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slicers/slicer1.xml" ContentType="application/vnd.ms-excel.slicer+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ЭтаКнига"/>
  <mc:AlternateContent xmlns:mc="http://schemas.openxmlformats.org/markup-compatibility/2006">
    <mc:Choice Requires="x15">
      <x15ac:absPath xmlns:x15ac="http://schemas.microsoft.com/office/spreadsheetml/2010/11/ac" url="C:\Users\marat\Desktop\SX_Однолинейка\odnolineyka\_Разработка\2026-10-04_v5\out\"/>
    </mc:Choice>
  </mc:AlternateContent>
  <xr:revisionPtr revIDLastSave="0" documentId="8_{8C0250D8-322C-4B13-BE5D-036E61B38558}" xr6:coauthVersionLast="47" xr6:coauthVersionMax="47" xr10:uidLastSave="{00000000-0000-0000-0000-000000000000}"/>
  <bookViews>
    <workbookView xWindow="4356" yWindow="3720" windowWidth="17280" windowHeight="9960" activeTab="4" xr2:uid="{6F064ABD-BBF2-4C61-AEC3-7F7A262BA80C}"/>
  </bookViews>
  <sheets>
    <sheet name="Гайд" sheetId="64" r:id="rId1"/>
    <sheet name="Проверка" sheetId="59" r:id="rId2"/>
    <sheet name="Объект" sheetId="51" r:id="rId3"/>
    <sheet name="Щиты" sheetId="53" r:id="rId4"/>
    <sheet name="Линии" sheetId="54" r:id="rId5"/>
    <sheet name="Коды" sheetId="52" r:id="rId6"/>
    <sheet name="Щит" sheetId="58" r:id="rId7"/>
    <sheet name="Кабельный_журнал" sheetId="57" r:id="rId8"/>
    <sheet name="Спецификация" sheetId="44" r:id="rId9"/>
    <sheet name="Бирки" sheetId="43" r:id="rId10"/>
    <sheet name="Изменения" sheetId="61" r:id="rId11"/>
    <sheet name="Наклейки" sheetId="62" r:id="rId12"/>
    <sheet name="Каталог" sheetId="42" r:id="rId13"/>
    <sheet name="Методика" sheetId="65" r:id="rId14"/>
    <sheet name="Таблицы_норм" sheetId="10" r:id="rId15"/>
    <sheet name="Режимы" sheetId="55" r:id="rId16"/>
    <sheet name="Расчёт_нагрузок" sheetId="56" r:id="rId17"/>
    <sheet name="Спецификация_авто" sheetId="16" state="hidden" r:id="rId18"/>
    <sheet name="Однолинейка" sheetId="40" state="hidden" r:id="rId19"/>
    <sheet name="Справочная_потребители" sheetId="19" state="hidden" r:id="rId20"/>
    <sheet name="_выдача" sheetId="60" state="hidden" r:id="rId21"/>
    <sheet name="_формулы" sheetId="63" state="veryHidden" r:id="rId22"/>
  </sheets>
  <functionGroups builtInGroupCount="19"/>
  <definedNames>
    <definedName name="_xlpm.a" hidden="1" xlm="1">#NAME?</definedName>
    <definedName name="_xlpm.a_" hidden="1" xlm="1">#NAME?</definedName>
    <definedName name="_xlpm.aa_" hidden="1" xlm="1">#NAME?</definedName>
    <definedName name="_xlpm.acc" hidden="1" xlm="1">#NAME?</definedName>
    <definedName name="_xlpm.ad" hidden="1" xlm="1">#NAME?</definedName>
    <definedName name="_xlpm.al" hidden="1" xlm="1">#NAME?</definedName>
    <definedName name="_xlpm.all" hidden="1" xlm="1">#NAME?</definedName>
    <definedName name="_xlpm.an" hidden="1" xlm="1">#NAME?</definedName>
    <definedName name="_xlpm.ap" hidden="1" xlm="1">#NAME?</definedName>
    <definedName name="_xlpm.aq" hidden="1" xlm="1">#NAME?</definedName>
    <definedName name="_xlpm.au" hidden="1" xlm="1">#NAME?</definedName>
    <definedName name="_xlpm.avr" hidden="1" xlm="1">#NAME?</definedName>
    <definedName name="_xlpm.ax" hidden="1" xlm="1">#NAME?</definedName>
    <definedName name="_xlpm.b" hidden="1" xlm="1">#NAME?</definedName>
    <definedName name="_xlpm.b_" hidden="1" xlm="1">#NAME?</definedName>
    <definedName name="_xlpm.b0" hidden="1" xlm="1">#NAME?</definedName>
    <definedName name="_xlpm.bb_" hidden="1" xlm="1">#NAME?</definedName>
    <definedName name="_xlpm.bc" hidden="1" xlm="1">#NAME?</definedName>
    <definedName name="_xlpm.bh" hidden="1" xlm="1">#NAME?</definedName>
    <definedName name="_xlpm.bk" hidden="1" xlm="1">#NAME?</definedName>
    <definedName name="_xlpm.bn" hidden="1" xlm="1">#NAME?</definedName>
    <definedName name="_xlpm.body" hidden="1" xlm="1">#NAME?</definedName>
    <definedName name="_xlpm.br" hidden="1" xlm="1">#NAME?</definedName>
    <definedName name="_xlpm.bt" hidden="1" xlm="1">#NAME?</definedName>
    <definedName name="_xlpm.byt" hidden="1" xlm="1">#NAME?</definedName>
    <definedName name="_xlpm.c" hidden="1" xlm="1">#NAME?</definedName>
    <definedName name="_xlpm.c_" hidden="1" xlm="1">#NAME?</definedName>
    <definedName name="_xlpm.c0" hidden="1" xlm="1">#NAME?</definedName>
    <definedName name="_xlpm.cats" hidden="1" xlm="1">#NAME?</definedName>
    <definedName name="_xlpm.cb" hidden="1" xlm="1">#NAME?</definedName>
    <definedName name="_xlpm.cbr" hidden="1" xlm="1">#NAME?</definedName>
    <definedName name="_xlpm.cc" hidden="1" xlm="1">#NAME?</definedName>
    <definedName name="_xlpm.cc_" hidden="1" xlm="1">#NAME?</definedName>
    <definedName name="_xlpm.cco" hidden="1" xlm="1">#NAME?</definedName>
    <definedName name="_xlpm.ch" hidden="1" xlm="1">#NAME?</definedName>
    <definedName name="_xlpm.CL" hidden="1" xlm="1">#NAME?</definedName>
    <definedName name="_xlpm.co" hidden="1" xlm="1">#NAME?</definedName>
    <definedName name="_xlpm.col" hidden="1" xlm="1">#NAME?</definedName>
    <definedName name="_xlpm.cq" hidden="1" xlm="1">#NAME?</definedName>
    <definedName name="_xlpm.cs" hidden="1" xlm="1">#NAME?</definedName>
    <definedName name="_xlpm.cs_" hidden="1" xlm="1">#NAME?</definedName>
    <definedName name="_xlpm.cse" hidden="1" xlm="1">#NAME?</definedName>
    <definedName name="_xlpm.cu" hidden="1" xlm="1">#NAME?</definedName>
    <definedName name="_xlpm.cur" hidden="1" xlm="1">#NAME?</definedName>
    <definedName name="_xlpm.cuu" hidden="1" xlm="1">#NAME?</definedName>
    <definedName name="_xlpm.d" hidden="1" xlm="1">#NAME?</definedName>
    <definedName name="_xlpm.dcx" hidden="1" xlm="1">#NAME?</definedName>
    <definedName name="_xlpm.dg_" hidden="1" xlm="1">#NAME?</definedName>
    <definedName name="_xlpm.dn" hidden="1" xlm="1">#NAME?</definedName>
    <definedName name="_xlpm.dpn" hidden="1" xlm="1">#NAME?</definedName>
    <definedName name="_xlpm.dpv" hidden="1" xlm="1">#NAME?</definedName>
    <definedName name="_xlpm.du_" hidden="1" xlm="1">#NAME?</definedName>
    <definedName name="_xlpm.ex" hidden="1" xlm="1">#NAME?</definedName>
    <definedName name="_xlpm.f" hidden="1" xlm="1">#NAME?</definedName>
    <definedName name="_xlpm.f_" hidden="1" xlm="1">#NAME?</definedName>
    <definedName name="_xlpm.fire" hidden="1" xlm="1">#NAME?</definedName>
    <definedName name="_xlpm.fl" hidden="1" xlm="1">#NAME?</definedName>
    <definedName name="_xlpm.fr" hidden="1" xlm="1">#NAME?</definedName>
    <definedName name="_xlpm.gd" hidden="1" xlm="1">#NAME?</definedName>
    <definedName name="_xlpm.gdn" hidden="1" xlm="1">#NAME?</definedName>
    <definedName name="_xlpm.gf" hidden="1" xlm="1">#NAME?</definedName>
    <definedName name="_xlpm.gk" hidden="1" xlm="1">#NAME?</definedName>
    <definedName name="_xlpm.gn" hidden="1" xlm="1">#NAME?</definedName>
    <definedName name="_xlpm.gp" hidden="1" xlm="1">#NAME?</definedName>
    <definedName name="_xlpm.gq" hidden="1" xlm="1">#NAME?</definedName>
    <definedName name="_xlpm.gs" hidden="1" xlm="1">#NAME?</definedName>
    <definedName name="_xlpm.gt" hidden="1" xlm="1">#NAME?</definedName>
    <definedName name="_xlpm.h" hidden="1" xlm="1">#NAME?</definedName>
    <definedName name="_xlpm.ha" hidden="1" xlm="1">#NAME?</definedName>
    <definedName name="_xlpm.hb" hidden="1" xlm="1">#NAME?</definedName>
    <definedName name="_xlpm.hd_a" hidden="1" xlm="1">#NAME?</definedName>
    <definedName name="_xlpm.hd_b" hidden="1" xlm="1">#NAME?</definedName>
    <definedName name="_xlpm.hn" hidden="1" xlm="1">#NAME?</definedName>
    <definedName name="_xlpm.hu" hidden="1" xlm="1">#NAME?</definedName>
    <definedName name="_xlpm.hx" hidden="1" xlm="1">#NAME?</definedName>
    <definedName name="_xlpm.ic" hidden="1" xlm="1">#NAME?</definedName>
    <definedName name="_xlpm.ids" hidden="1" xlm="1">#NAME?</definedName>
    <definedName name="_xlpm.ig" hidden="1" xlm="1">#NAME?</definedName>
    <definedName name="_xlpm.ii" hidden="1" xlm="1">#NAME?</definedName>
    <definedName name="_xlpm.inf" hidden="1" xlm="1">#NAME?</definedName>
    <definedName name="_xlpm.inn" hidden="1" xlm="1">#NAME?</definedName>
    <definedName name="_xlpm.inp" hidden="1" xlm="1">#NAME?</definedName>
    <definedName name="_xlpm.io" hidden="1" xlm="1">#NAME?</definedName>
    <definedName name="_xlpm.j" hidden="1" xlm="1">#NAME?</definedName>
    <definedName name="_xlpm.k" hidden="1" xlm="1">#NAME?</definedName>
    <definedName name="_xlpm.k_" hidden="1" xlm="1">#NAME?</definedName>
    <definedName name="_xlpm.kc" hidden="1" xlm="1">#NAME?</definedName>
    <definedName name="_xlpm.key" hidden="1" xlm="1">#NAME?</definedName>
    <definedName name="_xlpm.kinds" hidden="1" xlm="1">#NAME?</definedName>
    <definedName name="_xlpm.kk" hidden="1" xlm="1">#NAME?</definedName>
    <definedName name="_xlpm.ko" hidden="1" xlm="1">#NAME?</definedName>
    <definedName name="_xlpm.kz" hidden="1" xlm="1">#NAME?</definedName>
    <definedName name="_xlpm.l" hidden="1" xlm="1">#NAME?</definedName>
    <definedName name="_xlpm.L_" hidden="1" xlm="1">#NAME?</definedName>
    <definedName name="_xlpm.lc" hidden="1" xlm="1">#NAME?</definedName>
    <definedName name="_xlpm.ld" hidden="1" xlm="1">#NAME?</definedName>
    <definedName name="_xlpm.ln" hidden="1" xlm="1">#NAME?</definedName>
    <definedName name="_xlpm.lsum" hidden="1" xlm="1">#NAME?</definedName>
    <definedName name="_xlpm.m" hidden="1" xlm="1">#NAME?</definedName>
    <definedName name="_xlpm.m0" hidden="1" xlm="1">#NAME?</definedName>
    <definedName name="_xlpm.man" hidden="1" xlm="1">#NAME?</definedName>
    <definedName name="_xlpm.mask" hidden="1" xlm="1">#NAME?</definedName>
    <definedName name="_xlpm.mc" hidden="1" xlm="1">#NAME?</definedName>
    <definedName name="_xlpm.md" hidden="1" xlm="1">#NAME?</definedName>
    <definedName name="_xlpm.mk" hidden="1" xlm="1">#NAME?</definedName>
    <definedName name="_xlpm.mm" hidden="1" xlm="1">#NAME?</definedName>
    <definedName name="_xlpm.mn" hidden="1" xlm="1">#NAME?</definedName>
    <definedName name="_xlpm.mok" hidden="1" xlm="1">#NAME?</definedName>
    <definedName name="_xlpm.mr" hidden="1" xlm="1">#NAME?</definedName>
    <definedName name="_xlpm.mt" hidden="1" xlm="1">#NAME?</definedName>
    <definedName name="_xlpm.mv" hidden="1" xlm="1">#NAME?</definedName>
    <definedName name="_xlpm.mv_a" hidden="1" xlm="1">#NAME?</definedName>
    <definedName name="_xlpm.mv_b" hidden="1" xlm="1">#NAME?</definedName>
    <definedName name="_xlpm.n" hidden="1" xlm="1">#NAME?</definedName>
    <definedName name="_xlpm.n_1" hidden="1" xlm="1">#NAME?</definedName>
    <definedName name="_xlpm.n_2" hidden="1" xlm="1">#NAME?</definedName>
    <definedName name="_xlpm.n0" hidden="1" xlm="1">#NAME?</definedName>
    <definedName name="_xlpm.na" hidden="1" xlm="1">#NAME?</definedName>
    <definedName name="_xlpm.names" hidden="1" xlm="1">#NAME?</definedName>
    <definedName name="_xlpm.nb" hidden="1" xlm="1">#NAME?</definedName>
    <definedName name="_xlpm.nd" hidden="1" xlm="1">#NAME?</definedName>
    <definedName name="_xlpm.nf" hidden="1" xlm="1">#NAME?</definedName>
    <definedName name="_xlpm.nl_" hidden="1" xlm="1">#NAME?</definedName>
    <definedName name="_xlpm.nm" hidden="1" xlm="1">#NAME?</definedName>
    <definedName name="_xlpm.nn" hidden="1" xlm="1">#NAME?</definedName>
    <definedName name="_xlpm.nq" hidden="1" xlm="1">#NAME?</definedName>
    <definedName name="_xlpm.nx" hidden="1" xlm="1">#NAME?</definedName>
    <definedName name="_xlpm.o" hidden="1" xlm="1">#NAME?</definedName>
    <definedName name="_xlpm.ok" hidden="1" xlm="1">#NAME?</definedName>
    <definedName name="_xlpm.old" hidden="1" xlm="1">#NAME?</definedName>
    <definedName name="_xlpm.oo_" hidden="1" xlm="1">#NAME?</definedName>
    <definedName name="_xlpm.ord" hidden="1" xlm="1">#NAME?</definedName>
    <definedName name="_xlpm.otop" hidden="1" xlm="1">#NAME?</definedName>
    <definedName name="_xlpm.own" hidden="1" xlm="1">#NAME?</definedName>
    <definedName name="_xlpm.pall" hidden="1" xlm="1">#NAME?</definedName>
    <definedName name="_xlpm.pc" hidden="1" xlm="1">#NAME?</definedName>
    <definedName name="_xlpm.ph" hidden="1" xlm="1">#NAME?</definedName>
    <definedName name="_xlpm.pn" hidden="1" xlm="1">#NAME?</definedName>
    <definedName name="_xlpm.pos" hidden="1" xlm="1">#NAME?</definedName>
    <definedName name="_xlpm.post" hidden="1" xlm="1">#NAME?</definedName>
    <definedName name="_xlpm.pp_" hidden="1" xlm="1">#NAME?</definedName>
    <definedName name="_xlpm.pr" hidden="1" xlm="1">#NAME?</definedName>
    <definedName name="_xlpm.pr0" hidden="1" xlm="1">#NAME?</definedName>
    <definedName name="_xlpm.prev" hidden="1" xlm="1">#NAME?</definedName>
    <definedName name="_xlpm.prr_" hidden="1" xlm="1">#NAME?</definedName>
    <definedName name="_xlpm.pth" hidden="1" xlm="1">#NAME?</definedName>
    <definedName name="_xlpm.pv" hidden="1" xlm="1">#NAME?</definedName>
    <definedName name="_xlpm.pw" hidden="1" xlm="1">#NAME?</definedName>
    <definedName name="_xlpm.q" hidden="1" xlm="1">#NAME?</definedName>
    <definedName name="_xlpm.q0" hidden="1" xlm="1">#NAME?</definedName>
    <definedName name="_xlpm.qq_" hidden="1" xlm="1">#NAME?</definedName>
    <definedName name="_xlpm.qv_" hidden="1" xlm="1">#NAME?</definedName>
    <definedName name="_xlpm.r" hidden="1" xlm="1">#NAME?</definedName>
    <definedName name="_xlpm.r_" hidden="1" xlm="1">#NAME?</definedName>
    <definedName name="_xlpm.res" hidden="1" xlm="1">#NAME?</definedName>
    <definedName name="_xlpm.rho" hidden="1" xlm="1">#NAME?</definedName>
    <definedName name="_xlpm.rm" hidden="1" xlm="1">#NAME?</definedName>
    <definedName name="_xlpm.rows" hidden="1" xlm="1">#NAME?</definedName>
    <definedName name="_xlpm.rr" hidden="1" xlm="1">#NAME?</definedName>
    <definedName name="_xlpm.rw_a" hidden="1" xlm="1">#NAME?</definedName>
    <definedName name="_xlpm.rw_b" hidden="1" xlm="1">#NAME?</definedName>
    <definedName name="_xlpm.s" hidden="1" xlm="1">#NAME?</definedName>
    <definedName name="_xlpm.sa" hidden="1" xlm="1">#NAME?</definedName>
    <definedName name="_xlpm.se" hidden="1" xlm="1">#NAME?</definedName>
    <definedName name="_xlpm.sec_a" hidden="1" xlm="1">#NAME?</definedName>
    <definedName name="_xlpm.sec_b" hidden="1" xlm="1">#NAME?</definedName>
    <definedName name="_xlpm.sel" hidden="1" xlm="1">#NAME?</definedName>
    <definedName name="_xlpm.sg" hidden="1" xlm="1">#NAME?</definedName>
    <definedName name="_xlpm.sil" hidden="1" xlm="1">#NAME?</definedName>
    <definedName name="_xlpm.smin" hidden="1" xlm="1">#NAME?</definedName>
    <definedName name="_xlpm.SN" hidden="1" xlm="1">#NAME?</definedName>
    <definedName name="_xlpm.sr" hidden="1" xlm="1">#NAME?</definedName>
    <definedName name="_xlpm.src" hidden="1" xlm="1">#NAME?</definedName>
    <definedName name="_xlpm.srcs" hidden="1" xlm="1">#NAME?</definedName>
    <definedName name="_xlpm.ss_" hidden="1" xlm="1">#NAME?</definedName>
    <definedName name="_xlpm.sz" hidden="1" xlm="1">#NAME?</definedName>
    <definedName name="_xlpm.t" hidden="1" xlm="1">#NAME?</definedName>
    <definedName name="_xlpm.t_" hidden="1" xlm="1">#NAME?</definedName>
    <definedName name="_xlpm.tk" hidden="1" xlm="1">#NAME?</definedName>
    <definedName name="_xlpm.tp" hidden="1" xlm="1">#NAME?</definedName>
    <definedName name="_xlpm.tr" hidden="1" xlm="1">#NAME?</definedName>
    <definedName name="_xlpm.TX" hidden="1" xlm="1">#NAME?</definedName>
    <definedName name="_xlpm.TXT" hidden="1" xlm="1">#NAME?</definedName>
    <definedName name="_xlpm.u" hidden="1" xlm="1">#NAME?</definedName>
    <definedName name="_xlpm.u_" hidden="1" xlm="1">#NAME?</definedName>
    <definedName name="_xlpm.up" hidden="1" xlm="1">#NAME?</definedName>
    <definedName name="_xlpm.uu" hidden="1" xlm="1">#NAME?</definedName>
    <definedName name="_xlpm.v" hidden="1" xlm="1">#NAME?</definedName>
    <definedName name="_xlpm.v_" hidden="1" xlm="1">#NAME?</definedName>
    <definedName name="_xlpm.vng" hidden="1" xlm="1">#NAME?</definedName>
    <definedName name="_xlpm.vv_" hidden="1" xlm="1">#NAME?</definedName>
    <definedName name="_xlpm.w" hidden="1" xlm="1">#NAME?</definedName>
    <definedName name="_xlpm.w_" hidden="1" xlm="1">#NAME?</definedName>
    <definedName name="_xlpm.ww_" hidden="1" xlm="1">#NAME?</definedName>
    <definedName name="_xlpm.x" hidden="1" xlm="1">#NAME?</definedName>
    <definedName name="_xlpm.xx" hidden="1" xlm="1">#NAME?</definedName>
    <definedName name="_xlpm.ибп" hidden="1" xlm="1">#NAME?</definedName>
    <definedName name="_xlpm.кт" hidden="1" xlm="1">#NAME?</definedName>
    <definedName name="_xlpm.л1_" hidden="1" xlm="1">#NAME?</definedName>
    <definedName name="_xlpm.л2_" hidden="1" xlm="1">#NAME?</definedName>
    <definedName name="_xlpm.л3_" hidden="1" xlm="1">#NAME?</definedName>
    <definedName name="_xlpm.нг" hidden="1" xlm="1">#NAME?</definedName>
    <definedName name="_xlpm.п0" hidden="1" xlm="1">#NAME?</definedName>
    <definedName name="_xlpm.п1" hidden="1" xlm="1">#NAME?</definedName>
    <definedName name="_xlpm.п2" hidden="1" xlm="1">#NAME?</definedName>
    <definedName name="_xlpm.п3" hidden="1" xlm="1">#NAME?</definedName>
    <definedName name="_xlpm.п4" hidden="1" xlm="1">#NAME?</definedName>
    <definedName name="_xlpm.п5" hidden="1" xlm="1">#NAME?</definedName>
    <definedName name="_xlpm.п6" hidden="1" xlm="1">#NAME?</definedName>
    <definedName name="_xlpm.п7" hidden="1" xlm="1">#NAME?</definedName>
    <definedName name="_xlpm.РАСЧЁТ" hidden="1" xlm="1">#NAME?</definedName>
    <definedName name="_xlpm.рр" hidden="1" xlm="1">#NAME?</definedName>
    <definedName name="_xlpm.тр_" hidden="1" xlm="1">#NAME?</definedName>
    <definedName name="_xlpm.ф" hidden="1" xlm="1">#NAME?</definedName>
    <definedName name="_xlpm.ф1" hidden="1" xlm="1">#NAME?</definedName>
    <definedName name="_xlpm.ф2" hidden="1" xlm="1">#NAME?</definedName>
    <definedName name="_xlpm.ф3" hidden="1" xlm="1">#NAME?</definedName>
    <definedName name="_xlpm.фа" hidden="1" xlm="1">#NAME?</definedName>
    <definedName name="_xlpm.фб" hidden="1" xlm="1">#NAME?</definedName>
    <definedName name="_xlpm.фв" hidden="1" xlm="1">#NAME?</definedName>
    <definedName name="_xlpm.фз_" hidden="1" xlm="1">#NAME?</definedName>
    <definedName name="_xlpm.фс" hidden="1" xlm="1">#NAME?</definedName>
    <definedName name="_xlpm.щ" hidden="1" xlm="1">#NAME?</definedName>
    <definedName name="_xlpm.щит_" hidden="1" xlm="1">#NAME?</definedName>
    <definedName name="_xlnm._FilterDatabase" localSheetId="12" hidden="1">Каталог!$A$3:$P$500</definedName>
    <definedName name="_xlnm._FilterDatabase" localSheetId="18" hidden="1">Однолинейка!$A$2:$AD$1000</definedName>
    <definedName name="c_min">Объект!$C$7</definedName>
    <definedName name="dU_LED">Объект!$C$14</definedName>
    <definedName name="dU_пит">Таблицы_норм!$BQ$31</definedName>
    <definedName name="Iдоп_1ж">Таблицы_норм!$BY$4:$BY$18</definedName>
    <definedName name="Iдоп_2ж">Таблицы_норм!$BZ$4:$BZ$17</definedName>
    <definedName name="Iдоп_3ж">Таблицы_норм!$CA$4:$CA$17</definedName>
    <definedName name="Iдоп_S">Таблицы_норм!$BX$4:$BX$18</definedName>
    <definedName name="k_пк">Объект!$C$9</definedName>
    <definedName name="R_пер">Объект!$C$6</definedName>
    <definedName name="Uн_лин">Таблицы_норм!$BQ$29</definedName>
    <definedName name="ρкз_Al">Объект!$C$5</definedName>
    <definedName name="ρкз_Cu">Объект!$C$4</definedName>
    <definedName name="Автомат_номиналы">Таблицы_норм!$F$4:$G$23</definedName>
    <definedName name="Выдача_1">_выдача!$A$5:INDEX(_выдача!$A$5:$A$20004,MAX(1,Выдача_n))</definedName>
    <definedName name="Выдача_10">_выдача!$J$5:INDEX(_выдача!$J$5:$J$20004,MAX(1,Выдача_n))</definedName>
    <definedName name="Выдача_11">_выдача!$K$5:INDEX(_выдача!$K$5:$K$20004,MAX(1,Выдача_n))</definedName>
    <definedName name="Выдача_12">_выдача!$L$5:INDEX(_выдача!$L$5:$L$20004,MAX(1,Выдача_n))</definedName>
    <definedName name="Выдача_13">_выдача!$M$5:INDEX(_выдача!$M$5:$M$20004,MAX(1,Выдача_n))</definedName>
    <definedName name="Выдача_14">_выдача!$N$5:INDEX(_выдача!$N$5:$N$20004,MAX(1,Выдача_n))</definedName>
    <definedName name="Выдача_2">_выдача!$B$5:INDEX(_выдача!$B$5:$B$20004,MAX(1,Выдача_n))</definedName>
    <definedName name="Выдача_3">_выдача!$C$5:INDEX(_выдача!$C$5:$C$20004,MAX(1,Выдача_n))</definedName>
    <definedName name="Выдача_4">_выдача!$D$5:INDEX(_выдача!$D$5:$D$20004,MAX(1,Выдача_n))</definedName>
    <definedName name="Выдача_5">_выдача!$E$5:INDEX(_выдача!$E$5:$E$20004,MAX(1,Выдача_n))</definedName>
    <definedName name="Выдача_6">_выдача!$F$5:INDEX(_выдача!$F$5:$F$20004,MAX(1,Выдача_n))</definedName>
    <definedName name="Выдача_7">_выдача!$G$5:INDEX(_выдача!$G$5:$G$20004,MAX(1,Выдача_n))</definedName>
    <definedName name="Выдача_8">_выдача!$H$5:INDEX(_выдача!$H$5:$H$20004,MAX(1,Выдача_n))</definedName>
    <definedName name="Выдача_9">_выдача!$I$5:INDEX(_выдача!$I$5:$I$20004,MAX(1,Выдача_n))</definedName>
    <definedName name="Выдача_n">COUNTA(_выдача!$B$5:$B$20004)</definedName>
    <definedName name="Выдача_ключ">_выдача!$O$5:INDEX(_выдача!$O$5:$O$20004,MAX(1,Выдача_n))</definedName>
    <definedName name="гофра_пвх">Справочная_потребители!$Z$4:$AB$9</definedName>
    <definedName name="гофра_пнд">Справочная_потребители!$AD$4:$AF$9</definedName>
    <definedName name="Запас_БП">Объект!$C$13</definedName>
    <definedName name="Запас_кабеля">Кабельный_журнал!$L$1</definedName>
    <definedName name="ИБП_cos_вх">Объект!$C$24</definedName>
    <definedName name="ИБП_cos_вых">Объект!$C$18</definedName>
    <definedName name="ИБП_k">Объект!$C$22</definedName>
    <definedName name="ИБП_t">Объект!$C$19</definedName>
    <definedName name="ИБП_U">Объект!$C$20</definedName>
    <definedName name="ИБП_загрузка">Объект!$C$17</definedName>
    <definedName name="ИБП_заряд">Объект!$C$23</definedName>
    <definedName name="ИБП_КПД">Объект!$C$21</definedName>
    <definedName name="ИБП_ряд">Объект!$C$26:$N$26</definedName>
    <definedName name="Имя_пом">Объект!$C$11</definedName>
    <definedName name="Имя_режим">Объект!$C$10</definedName>
    <definedName name="К_прокл">Таблицы_норм!$BQ$30</definedName>
    <definedName name="Кабель_диаметр">Справочная_потребители!$T$4:$X$503</definedName>
    <definedName name="Кабель_номиналы">Таблицы_норм!$I$4:$J$19</definedName>
    <definedName name="Кабель_обозначение">Кабели[]</definedName>
    <definedName name="Кабель_сопротивление">Таблицы_норм!$B$4:$D$19</definedName>
    <definedName name="Категории_ПЗ">Таблицы_норм!$BT$4:$BT$33</definedName>
    <definedName name="Ко_сил">Таблицы_норм!$BQ$14</definedName>
    <definedName name="Коды_3L">Коды[3L клемм на линию]</definedName>
    <definedName name="Коды_апп">Коды[Аппараты]</definedName>
    <definedName name="Коды_вид">Коды[Вид нагрузки]</definedName>
    <definedName name="Коды_группа">Коды[Группа Кс]</definedName>
    <definedName name="Коды_имя">Коды[Наименование]</definedName>
    <definedName name="Коды_квт">Коды[кВт на шт]</definedName>
    <definedName name="Коды_код">Коды[Код]</definedName>
    <definedName name="Коды_мА">Коды[Дифзащита, мА (да = 30)]</definedName>
    <definedName name="Коды_минавт">Коды[Мин. автомат, А]</definedName>
    <definedName name="Коды_пожарная">Коды[Пожарная]</definedName>
    <definedName name="Коды_режим">Коды[1 - этаж/2 - шлейф]</definedName>
    <definedName name="Коды_уго">Коды[УГО]</definedName>
    <definedName name="Коды_упр">Коды[Управление]</definedName>
    <definedName name="Коды_утечка">Коды[Вид аппарата утечки]</definedName>
    <definedName name="Коды_хар">Коды[Характеристика (B/C/D)]</definedName>
    <definedName name="Кс_К">Таблицы_норм!$BQ$4:$BQ$11</definedName>
    <definedName name="Кс_Р">Таблицы_норм!$BP$4:$BP$11</definedName>
    <definedName name="Кс75_k">Объект!$G$3:$G$14</definedName>
    <definedName name="Кс75_n">Объект!$F$3:$F$14</definedName>
    <definedName name="Марка_пож">Объект!$C$12</definedName>
    <definedName name="Методика">Объект!$C$8</definedName>
    <definedName name="Мин_автомат_БП">Таблицы_норм!$BF$5</definedName>
    <definedName name="Модели_список">OFFSET(Каталог!$AB$3,0,0,1+MAX(Каталог!$AA$4:$AA$500),1)</definedName>
    <definedName name="Модули_спр">Каталог!$C$4:$F$500</definedName>
    <definedName name="Потребители_обозначение">Коды[[Код]:[Сечение]]</definedName>
    <definedName name="Спецификация">Спецификация!$B$3:$J$400</definedName>
    <definedName name="Список_автоматов">OFFSET(Каталог!$X$3,0,0,1+MAX(Каталог!$W$4:$W$500),1)</definedName>
    <definedName name="Список_аппаратов">OFFSET(Каталог!$Z$4,0,0,MAX(1,MAX(Каталог!$Y$4:$Y$500)),1)</definedName>
    <definedName name="Список_марок">Кабели[Обозначение]</definedName>
    <definedName name="Список_модулей">OFFSET(Каталог!$AB$3,0,0,1+MAX(Каталог!$AA$4:$AA$500),1)</definedName>
    <definedName name="Список_произв">OFFSET(Каталог!$AD$3,0,0,1+MAX(Каталог!$AC$4:$AC$500),1)</definedName>
    <definedName name="Список_щитов">Щиты[Щит]</definedName>
    <definedName name="Справочная_двигатели">Справочная_потребители!$B$4:$K$37</definedName>
    <definedName name="Справочная_ЛЭД">Справочная_потребители!$M$4:$O$19</definedName>
    <definedName name="Справочная_ПТО">Таблицы_норм!$AJ$4:$AK$200</definedName>
    <definedName name="Срез_Щит">#N/A</definedName>
    <definedName name="Столбцов_на_лист">Таблицы_норм!$BF$4</definedName>
    <definedName name="УГО_блоки">Таблицы_норм!$BA$4:$BC$30</definedName>
    <definedName name="Управление_цвета">Таблицы_норм!$AQ$4:$AS$10</definedName>
    <definedName name="Щит_спец">Спецификация!$L$1</definedName>
    <definedName name="Этаж_обозначение">Этажи[]</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5" i="61" l="1" a="1"/>
  <c r="B5" i="61" s="1"/>
  <c r="J5" i="61" s="1" a="1"/>
  <c r="J5" i="61" s="1"/>
  <c r="E2" i="61" a="1"/>
  <c r="E2" i="61"/>
  <c r="C2" i="61" a="1"/>
  <c r="C2" i="61"/>
  <c r="U4" i="42"/>
  <c r="U5" i="42"/>
  <c r="U6" i="42"/>
  <c r="U7" i="42"/>
  <c r="U8" i="42"/>
  <c r="V8" i="42" s="1"/>
  <c r="U9" i="42"/>
  <c r="U10" i="42"/>
  <c r="U11" i="42"/>
  <c r="U12" i="42"/>
  <c r="V12" i="42" s="1"/>
  <c r="U13" i="42"/>
  <c r="U14" i="42"/>
  <c r="U15" i="42"/>
  <c r="U16" i="42"/>
  <c r="U17" i="42"/>
  <c r="U18" i="42"/>
  <c r="U19" i="42"/>
  <c r="U20" i="42"/>
  <c r="U21" i="42"/>
  <c r="U22" i="42"/>
  <c r="U23" i="42"/>
  <c r="U24" i="42"/>
  <c r="U25" i="42"/>
  <c r="U26" i="42"/>
  <c r="V26" i="42" s="1"/>
  <c r="U27" i="42"/>
  <c r="V27" i="42" s="1"/>
  <c r="U28" i="42"/>
  <c r="U29" i="42"/>
  <c r="V29" i="42" s="1"/>
  <c r="U30" i="42"/>
  <c r="U31" i="42"/>
  <c r="U32" i="42"/>
  <c r="V32" i="42" s="1"/>
  <c r="U33" i="42"/>
  <c r="U34" i="42"/>
  <c r="U35" i="42"/>
  <c r="U36" i="42"/>
  <c r="U37" i="42"/>
  <c r="U38" i="42"/>
  <c r="U39" i="42"/>
  <c r="U40" i="42"/>
  <c r="U41" i="42"/>
  <c r="U42" i="42"/>
  <c r="U43" i="42"/>
  <c r="U44" i="42"/>
  <c r="U45" i="42"/>
  <c r="V45" i="42" s="1"/>
  <c r="U46" i="42"/>
  <c r="U47" i="42"/>
  <c r="U48" i="42"/>
  <c r="U49" i="42"/>
  <c r="U50" i="42"/>
  <c r="U51" i="42"/>
  <c r="U52" i="42"/>
  <c r="U53" i="42"/>
  <c r="U54" i="42"/>
  <c r="U55" i="42"/>
  <c r="V55" i="42" s="1"/>
  <c r="U56" i="42"/>
  <c r="V56" i="42" s="1"/>
  <c r="U57" i="42"/>
  <c r="U58" i="42"/>
  <c r="V58" i="42" s="1"/>
  <c r="U59" i="42"/>
  <c r="V59" i="42" s="1"/>
  <c r="U60" i="42"/>
  <c r="U61" i="42"/>
  <c r="V61" i="42" s="1"/>
  <c r="U62" i="42"/>
  <c r="V62" i="42" s="1"/>
  <c r="U63" i="42"/>
  <c r="U64" i="42"/>
  <c r="U65" i="42"/>
  <c r="U66" i="42"/>
  <c r="U67" i="42"/>
  <c r="U68" i="42"/>
  <c r="U69" i="42"/>
  <c r="V69" i="42" s="1"/>
  <c r="U70" i="42"/>
  <c r="V70" i="42" s="1"/>
  <c r="U71" i="42"/>
  <c r="V71" i="42" s="1"/>
  <c r="U72" i="42"/>
  <c r="U73" i="42"/>
  <c r="V73" i="42" s="1"/>
  <c r="U74" i="42"/>
  <c r="V74" i="42" s="1"/>
  <c r="U75" i="42"/>
  <c r="V75" i="42" s="1"/>
  <c r="U76" i="42"/>
  <c r="U77" i="42"/>
  <c r="U78" i="42"/>
  <c r="U79" i="42"/>
  <c r="U80" i="42"/>
  <c r="U81" i="42"/>
  <c r="U82" i="42"/>
  <c r="U83" i="42"/>
  <c r="U84" i="42"/>
  <c r="U85" i="42"/>
  <c r="U86" i="42"/>
  <c r="V86" i="42" s="1"/>
  <c r="U87" i="42"/>
  <c r="U88" i="42"/>
  <c r="U89" i="42"/>
  <c r="V89" i="42" s="1"/>
  <c r="U90" i="42"/>
  <c r="V90" i="42" s="1"/>
  <c r="U91" i="42"/>
  <c r="V91" i="42" s="1"/>
  <c r="U92" i="42"/>
  <c r="U93" i="42"/>
  <c r="U94" i="42"/>
  <c r="V94" i="42" s="1"/>
  <c r="U95" i="42"/>
  <c r="U96" i="42"/>
  <c r="U97" i="42"/>
  <c r="U98" i="42"/>
  <c r="U99" i="42"/>
  <c r="U100" i="42"/>
  <c r="U101" i="42"/>
  <c r="V101" i="42" s="1"/>
  <c r="U102" i="42"/>
  <c r="V102" i="42" s="1"/>
  <c r="U103" i="42"/>
  <c r="V103" i="42" s="1"/>
  <c r="U104" i="42"/>
  <c r="V104" i="42" s="1"/>
  <c r="U105" i="42"/>
  <c r="V105" i="42" s="1"/>
  <c r="U106" i="42"/>
  <c r="U107" i="42"/>
  <c r="V107" i="42" s="1"/>
  <c r="U108" i="42"/>
  <c r="U109" i="42"/>
  <c r="V109" i="42" s="1"/>
  <c r="U110" i="42"/>
  <c r="V110" i="42" s="1"/>
  <c r="U111" i="42"/>
  <c r="U112" i="42"/>
  <c r="U113" i="42"/>
  <c r="U114" i="42"/>
  <c r="U115" i="42"/>
  <c r="U116" i="42"/>
  <c r="U117" i="42"/>
  <c r="V117" i="42" s="1"/>
  <c r="U118" i="42"/>
  <c r="V118" i="42" s="1"/>
  <c r="U119" i="42"/>
  <c r="V119" i="42" s="1"/>
  <c r="U120" i="42"/>
  <c r="V120" i="42" s="1"/>
  <c r="U121" i="42"/>
  <c r="V121" i="42" s="1"/>
  <c r="U122" i="42"/>
  <c r="V122" i="42" s="1"/>
  <c r="U123" i="42"/>
  <c r="V123" i="42" s="1"/>
  <c r="U124" i="42"/>
  <c r="U125" i="42"/>
  <c r="U126" i="42"/>
  <c r="U127" i="42"/>
  <c r="U128" i="42"/>
  <c r="U129" i="42"/>
  <c r="U130" i="42"/>
  <c r="U131" i="42"/>
  <c r="U132" i="42"/>
  <c r="U133" i="42"/>
  <c r="U134" i="42"/>
  <c r="V134" i="42" s="1"/>
  <c r="U135" i="42"/>
  <c r="V135" i="42" s="1"/>
  <c r="U136" i="42"/>
  <c r="U137" i="42"/>
  <c r="V137" i="42" s="1"/>
  <c r="U138" i="42"/>
  <c r="V138" i="42" s="1"/>
  <c r="U139" i="42"/>
  <c r="V139" i="42" s="1"/>
  <c r="U140" i="42"/>
  <c r="U141" i="42"/>
  <c r="V141" i="42" s="1"/>
  <c r="U142" i="42"/>
  <c r="U143" i="42"/>
  <c r="U144" i="42"/>
  <c r="U145" i="42"/>
  <c r="U146" i="42"/>
  <c r="U147" i="42"/>
  <c r="U148" i="42"/>
  <c r="U149" i="42"/>
  <c r="U150" i="42"/>
  <c r="U151" i="42"/>
  <c r="V151" i="42" s="1"/>
  <c r="U152" i="42"/>
  <c r="U153" i="42"/>
  <c r="U154" i="42"/>
  <c r="V154" i="42" s="1"/>
  <c r="U155" i="42"/>
  <c r="V155" i="42" s="1"/>
  <c r="U156" i="42"/>
  <c r="U157" i="42"/>
  <c r="V157" i="42" s="1"/>
  <c r="U158" i="42"/>
  <c r="V158" i="42" s="1"/>
  <c r="U159" i="42"/>
  <c r="U160" i="42"/>
  <c r="V160" i="42" s="1"/>
  <c r="U161" i="42"/>
  <c r="U162" i="42"/>
  <c r="U163" i="42"/>
  <c r="U164" i="42"/>
  <c r="U165" i="42"/>
  <c r="U166" i="42"/>
  <c r="V166" i="42" s="1"/>
  <c r="U167" i="42"/>
  <c r="V167" i="42" s="1"/>
  <c r="U168" i="42"/>
  <c r="U169" i="42"/>
  <c r="U170" i="42"/>
  <c r="V170" i="42" s="1"/>
  <c r="U171" i="42"/>
  <c r="V171" i="42" s="1"/>
  <c r="U172" i="42"/>
  <c r="U173" i="42"/>
  <c r="U174" i="42"/>
  <c r="U175" i="42"/>
  <c r="U176" i="42"/>
  <c r="U177" i="42"/>
  <c r="U178" i="42"/>
  <c r="U179" i="42"/>
  <c r="U180" i="42"/>
  <c r="U181" i="42"/>
  <c r="U182" i="42"/>
  <c r="V182" i="42" s="1"/>
  <c r="U183" i="42"/>
  <c r="V183" i="42" s="1"/>
  <c r="U184" i="42"/>
  <c r="V184" i="42" s="1"/>
  <c r="U185" i="42"/>
  <c r="V185" i="42" s="1"/>
  <c r="U186" i="42"/>
  <c r="V186" i="42" s="1"/>
  <c r="U187" i="42"/>
  <c r="V187" i="42" s="1"/>
  <c r="U188" i="42"/>
  <c r="U189" i="42"/>
  <c r="U190" i="42"/>
  <c r="U191" i="42"/>
  <c r="U192" i="42"/>
  <c r="V192" i="42" s="1"/>
  <c r="U193" i="42"/>
  <c r="U194" i="42"/>
  <c r="U195" i="42"/>
  <c r="U196" i="42"/>
  <c r="U197" i="42"/>
  <c r="U198" i="42"/>
  <c r="V198" i="42" s="1"/>
  <c r="U199" i="42"/>
  <c r="V199" i="42" s="1"/>
  <c r="U200" i="42"/>
  <c r="U201" i="42"/>
  <c r="V201" i="42" s="1"/>
  <c r="U202" i="42"/>
  <c r="V202" i="42" s="1"/>
  <c r="U203" i="42"/>
  <c r="V203" i="42" s="1"/>
  <c r="U204" i="42"/>
  <c r="U205" i="42"/>
  <c r="V205" i="42" s="1"/>
  <c r="U206" i="42"/>
  <c r="U207" i="42"/>
  <c r="U208" i="42"/>
  <c r="U209" i="42"/>
  <c r="U210" i="42"/>
  <c r="U211" i="42"/>
  <c r="U212" i="42"/>
  <c r="U213" i="42"/>
  <c r="U214" i="42"/>
  <c r="V214" i="42" s="1"/>
  <c r="U215" i="42"/>
  <c r="U216" i="42"/>
  <c r="U217" i="42"/>
  <c r="V217" i="42" s="1"/>
  <c r="U218" i="42"/>
  <c r="V218" i="42" s="1"/>
  <c r="U219" i="42"/>
  <c r="U220" i="42"/>
  <c r="U221" i="42"/>
  <c r="V221" i="42" s="1"/>
  <c r="U222" i="42"/>
  <c r="U223" i="42"/>
  <c r="U224" i="42"/>
  <c r="V224" i="42" s="1"/>
  <c r="U225" i="42"/>
  <c r="U226" i="42"/>
  <c r="U227" i="42"/>
  <c r="U228" i="42"/>
  <c r="U229" i="42"/>
  <c r="U230" i="42"/>
  <c r="U231" i="42"/>
  <c r="V231" i="42" s="1"/>
  <c r="U232" i="42"/>
  <c r="V232" i="42" s="1"/>
  <c r="U233" i="42"/>
  <c r="V233" i="42" s="1"/>
  <c r="U234" i="42"/>
  <c r="V234" i="42" s="1"/>
  <c r="U235" i="42"/>
  <c r="V235" i="42" s="1"/>
  <c r="U236" i="42"/>
  <c r="U237" i="42"/>
  <c r="U238" i="42"/>
  <c r="U239" i="42"/>
  <c r="U240" i="42"/>
  <c r="V240" i="42" s="1"/>
  <c r="U241" i="42"/>
  <c r="U242" i="42"/>
  <c r="U243" i="42"/>
  <c r="U244" i="42"/>
  <c r="U245" i="42"/>
  <c r="U246" i="42"/>
  <c r="V246" i="42" s="1"/>
  <c r="U247" i="42"/>
  <c r="U248" i="42"/>
  <c r="V248" i="42" s="1"/>
  <c r="U249" i="42"/>
  <c r="V249" i="42" s="1"/>
  <c r="U250" i="42"/>
  <c r="V250" i="42" s="1"/>
  <c r="U251" i="42"/>
  <c r="V251" i="42" s="1"/>
  <c r="U252" i="42"/>
  <c r="U253" i="42"/>
  <c r="U254" i="42"/>
  <c r="U255" i="42"/>
  <c r="U256" i="42"/>
  <c r="V256" i="42" s="1"/>
  <c r="U257" i="42"/>
  <c r="U258" i="42"/>
  <c r="U259" i="42"/>
  <c r="U260" i="42"/>
  <c r="U261" i="42"/>
  <c r="U262" i="42"/>
  <c r="V262" i="42" s="1"/>
  <c r="U263" i="42"/>
  <c r="U264" i="42"/>
  <c r="V264" i="42" s="1"/>
  <c r="U265" i="42"/>
  <c r="V265" i="42" s="1"/>
  <c r="U266" i="42"/>
  <c r="U267" i="42"/>
  <c r="V267" i="42" s="1"/>
  <c r="U268" i="42"/>
  <c r="U269" i="42"/>
  <c r="V269" i="42" s="1"/>
  <c r="U270" i="42"/>
  <c r="U271" i="42"/>
  <c r="U272" i="42"/>
  <c r="U273" i="42"/>
  <c r="U274" i="42"/>
  <c r="U275" i="42"/>
  <c r="U276" i="42"/>
  <c r="U277" i="42"/>
  <c r="U278" i="42"/>
  <c r="V278" i="42" s="1"/>
  <c r="U279" i="42"/>
  <c r="U280" i="42"/>
  <c r="V280" i="42" s="1"/>
  <c r="U281" i="42"/>
  <c r="U282" i="42"/>
  <c r="V282" i="42" s="1"/>
  <c r="U283" i="42"/>
  <c r="U284" i="42"/>
  <c r="U285" i="42"/>
  <c r="U286" i="42"/>
  <c r="V286" i="42" s="1"/>
  <c r="U287" i="42"/>
  <c r="U288" i="42"/>
  <c r="V288" i="42" s="1"/>
  <c r="U289" i="42"/>
  <c r="U290" i="42"/>
  <c r="U291" i="42"/>
  <c r="U292" i="42"/>
  <c r="U293" i="42"/>
  <c r="V293" i="42" s="1"/>
  <c r="U294" i="42"/>
  <c r="V294" i="42" s="1"/>
  <c r="U295" i="42"/>
  <c r="V295" i="42" s="1"/>
  <c r="U296" i="42"/>
  <c r="U297" i="42"/>
  <c r="U298" i="42"/>
  <c r="V298" i="42" s="1"/>
  <c r="U299" i="42"/>
  <c r="V299" i="42" s="1"/>
  <c r="U300" i="42"/>
  <c r="V300" i="42" s="1"/>
  <c r="U301" i="42"/>
  <c r="U302" i="42"/>
  <c r="U303" i="42"/>
  <c r="U304" i="42"/>
  <c r="U305" i="42"/>
  <c r="U306" i="42"/>
  <c r="U307" i="42"/>
  <c r="U308" i="42"/>
  <c r="U309" i="42"/>
  <c r="V309" i="42" s="1"/>
  <c r="U310" i="42"/>
  <c r="V310" i="42" s="1"/>
  <c r="U311" i="42"/>
  <c r="U312" i="42"/>
  <c r="V312" i="42" s="1"/>
  <c r="U313" i="42"/>
  <c r="U314" i="42"/>
  <c r="V314" i="42" s="1"/>
  <c r="U315" i="42"/>
  <c r="U316" i="42"/>
  <c r="U317" i="42"/>
  <c r="U318" i="42"/>
  <c r="U319" i="42"/>
  <c r="V319" i="42" s="1"/>
  <c r="U320" i="42"/>
  <c r="V320" i="42" s="1"/>
  <c r="U321" i="42"/>
  <c r="U322" i="42"/>
  <c r="U323" i="42"/>
  <c r="U324" i="42"/>
  <c r="U325" i="42"/>
  <c r="V325" i="42" s="1"/>
  <c r="U326" i="42"/>
  <c r="U327" i="42"/>
  <c r="V327" i="42" s="1"/>
  <c r="U328" i="42"/>
  <c r="V328" i="42" s="1"/>
  <c r="U329" i="42"/>
  <c r="U330" i="42"/>
  <c r="V330" i="42" s="1"/>
  <c r="U331" i="42"/>
  <c r="V331" i="42" s="1"/>
  <c r="U332" i="42"/>
  <c r="V332" i="42" s="1"/>
  <c r="U333" i="42"/>
  <c r="U334" i="42"/>
  <c r="V334" i="42" s="1"/>
  <c r="U335" i="42"/>
  <c r="U336" i="42"/>
  <c r="V336" i="42" s="1"/>
  <c r="U337" i="42"/>
  <c r="U338" i="42"/>
  <c r="U339" i="42"/>
  <c r="U340" i="42"/>
  <c r="U341" i="42"/>
  <c r="U342" i="42"/>
  <c r="U343" i="42"/>
  <c r="U344" i="42"/>
  <c r="V344" i="42" s="1"/>
  <c r="U345" i="42"/>
  <c r="V345" i="42" s="1"/>
  <c r="U346" i="42"/>
  <c r="V346" i="42" s="1"/>
  <c r="U347" i="42"/>
  <c r="V347" i="42" s="1"/>
  <c r="U348" i="42"/>
  <c r="V348" i="42" s="1"/>
  <c r="U349" i="42"/>
  <c r="V349" i="42" s="1"/>
  <c r="U350" i="42"/>
  <c r="U351" i="42"/>
  <c r="U352" i="42"/>
  <c r="V352" i="42" s="1"/>
  <c r="U353" i="42"/>
  <c r="U354" i="42"/>
  <c r="U355" i="42"/>
  <c r="U356" i="42"/>
  <c r="U357" i="42"/>
  <c r="V357" i="42" s="1"/>
  <c r="U358" i="42"/>
  <c r="V358" i="42" s="1"/>
  <c r="U359" i="42"/>
  <c r="U360" i="42"/>
  <c r="V360" i="42" s="1"/>
  <c r="U361" i="42"/>
  <c r="V361" i="42" s="1"/>
  <c r="U362" i="42"/>
  <c r="V362" i="42" s="1"/>
  <c r="U363" i="42"/>
  <c r="U364" i="42"/>
  <c r="V364" i="42" s="1"/>
  <c r="U365" i="42"/>
  <c r="V365" i="42" s="1"/>
  <c r="U366" i="42"/>
  <c r="U367" i="42"/>
  <c r="V367" i="42" s="1"/>
  <c r="U368" i="42"/>
  <c r="U369" i="42"/>
  <c r="U370" i="42"/>
  <c r="U371" i="42"/>
  <c r="U372" i="42"/>
  <c r="V372" i="42" s="1"/>
  <c r="U373" i="42"/>
  <c r="U374" i="42"/>
  <c r="V374" i="42" s="1"/>
  <c r="U375" i="42"/>
  <c r="U376" i="42"/>
  <c r="V376" i="42" s="1"/>
  <c r="U377" i="42"/>
  <c r="V377" i="42" s="1"/>
  <c r="U378" i="42"/>
  <c r="V378" i="42" s="1"/>
  <c r="U379" i="42"/>
  <c r="V379" i="42" s="1"/>
  <c r="U380" i="42"/>
  <c r="U381" i="42"/>
  <c r="U382" i="42"/>
  <c r="V382" i="42" s="1"/>
  <c r="U383" i="42"/>
  <c r="V383" i="42" s="1"/>
  <c r="U384" i="42"/>
  <c r="V384" i="42" s="1"/>
  <c r="U385" i="42"/>
  <c r="U386" i="42"/>
  <c r="U387" i="42"/>
  <c r="U388" i="42"/>
  <c r="U389" i="42"/>
  <c r="U390" i="42"/>
  <c r="V390" i="42" s="1"/>
  <c r="U391" i="42"/>
  <c r="V391" i="42" s="1"/>
  <c r="U392" i="42"/>
  <c r="V392" i="42" s="1"/>
  <c r="U393" i="42"/>
  <c r="V393" i="42" s="1"/>
  <c r="U394" i="42"/>
  <c r="V394" i="42" s="1"/>
  <c r="U395" i="42"/>
  <c r="U396" i="42"/>
  <c r="V396" i="42" s="1"/>
  <c r="U397" i="42"/>
  <c r="U398" i="42"/>
  <c r="U399" i="42"/>
  <c r="U400" i="42"/>
  <c r="V400" i="42" s="1"/>
  <c r="U401" i="42"/>
  <c r="U402" i="42"/>
  <c r="U403" i="42"/>
  <c r="V403" i="42" s="1"/>
  <c r="U404" i="42"/>
  <c r="U405" i="42"/>
  <c r="V405" i="42" s="1"/>
  <c r="U406" i="42"/>
  <c r="V406" i="42" s="1"/>
  <c r="U407" i="42"/>
  <c r="V407" i="42" s="1"/>
  <c r="U408" i="42"/>
  <c r="U409" i="42"/>
  <c r="V409" i="42" s="1"/>
  <c r="U410" i="42"/>
  <c r="V410" i="42" s="1"/>
  <c r="U411" i="42"/>
  <c r="U412" i="42"/>
  <c r="V412" i="42" s="1"/>
  <c r="U413" i="42"/>
  <c r="U414" i="42"/>
  <c r="U415" i="42"/>
  <c r="V415" i="42" s="1"/>
  <c r="U416" i="42"/>
  <c r="V416" i="42" s="1"/>
  <c r="U417" i="42"/>
  <c r="U418" i="42"/>
  <c r="U419" i="42"/>
  <c r="U420" i="42"/>
  <c r="U421" i="42"/>
  <c r="V421" i="42" s="1"/>
  <c r="U422" i="42"/>
  <c r="U423" i="42"/>
  <c r="U424" i="42"/>
  <c r="V424" i="42" s="1"/>
  <c r="U425" i="42"/>
  <c r="U426" i="42"/>
  <c r="V426" i="42" s="1"/>
  <c r="U427" i="42"/>
  <c r="U428" i="42"/>
  <c r="V428" i="42" s="1"/>
  <c r="U429" i="42"/>
  <c r="V429" i="42" s="1"/>
  <c r="U430" i="42"/>
  <c r="U431" i="42"/>
  <c r="V431" i="42" s="1"/>
  <c r="U432" i="42"/>
  <c r="V432" i="42" s="1"/>
  <c r="U433" i="42"/>
  <c r="U434" i="42"/>
  <c r="U435" i="42"/>
  <c r="U436" i="42"/>
  <c r="U437" i="42"/>
  <c r="U438" i="42"/>
  <c r="V438" i="42" s="1"/>
  <c r="U439" i="42"/>
  <c r="V439" i="42" s="1"/>
  <c r="U440" i="42"/>
  <c r="V440" i="42" s="1"/>
  <c r="U441" i="42"/>
  <c r="V441" i="42" s="1"/>
  <c r="U442" i="42"/>
  <c r="V442" i="42" s="1"/>
  <c r="U443" i="42"/>
  <c r="V443" i="42" s="1"/>
  <c r="U444" i="42"/>
  <c r="U445" i="42"/>
  <c r="V445" i="42" s="1"/>
  <c r="U446" i="42"/>
  <c r="V446" i="42" s="1"/>
  <c r="U447" i="42"/>
  <c r="V447" i="42" s="1"/>
  <c r="U448" i="42"/>
  <c r="V448" i="42" s="1"/>
  <c r="U449" i="42"/>
  <c r="U450" i="42"/>
  <c r="U451" i="42"/>
  <c r="U452" i="42"/>
  <c r="V452" i="42" s="1"/>
  <c r="U453" i="42"/>
  <c r="V453" i="42" s="1"/>
  <c r="U454" i="42"/>
  <c r="V454" i="42" s="1"/>
  <c r="U455" i="42"/>
  <c r="V455" i="42" s="1"/>
  <c r="U456" i="42"/>
  <c r="V456" i="42" s="1"/>
  <c r="U457" i="42"/>
  <c r="V457" i="42" s="1"/>
  <c r="U458" i="42"/>
  <c r="V458" i="42" s="1"/>
  <c r="U459" i="42"/>
  <c r="V459" i="42" s="1"/>
  <c r="U460" i="42"/>
  <c r="V460" i="42" s="1"/>
  <c r="U461" i="42"/>
  <c r="V461" i="42" s="1"/>
  <c r="U462" i="42"/>
  <c r="U463" i="42"/>
  <c r="V463" i="42" s="1"/>
  <c r="U464" i="42"/>
  <c r="V464" i="42" s="1"/>
  <c r="U465" i="42"/>
  <c r="U466" i="42"/>
  <c r="U467" i="42"/>
  <c r="U468" i="42"/>
  <c r="V468" i="42" s="1"/>
  <c r="U469" i="42"/>
  <c r="U470" i="42"/>
  <c r="V470" i="42" s="1"/>
  <c r="U471" i="42"/>
  <c r="U472" i="42"/>
  <c r="V472" i="42" s="1"/>
  <c r="U473" i="42"/>
  <c r="V473" i="42" s="1"/>
  <c r="U474" i="42"/>
  <c r="V474" i="42" s="1"/>
  <c r="U475" i="42"/>
  <c r="V475" i="42" s="1"/>
  <c r="U476" i="42"/>
  <c r="V476" i="42" s="1"/>
  <c r="U477" i="42"/>
  <c r="U478" i="42"/>
  <c r="U479" i="42"/>
  <c r="V479" i="42" s="1"/>
  <c r="U480" i="42"/>
  <c r="V480" i="42" s="1"/>
  <c r="U481" i="42"/>
  <c r="U482" i="42"/>
  <c r="U483" i="42"/>
  <c r="U484" i="42"/>
  <c r="U485" i="42"/>
  <c r="U486" i="42"/>
  <c r="U487" i="42"/>
  <c r="U488" i="42"/>
  <c r="V488" i="42" s="1"/>
  <c r="U489" i="42"/>
  <c r="U490" i="42"/>
  <c r="V490" i="42" s="1"/>
  <c r="U491" i="42"/>
  <c r="V491" i="42" s="1"/>
  <c r="U492" i="42"/>
  <c r="V492" i="42" s="1"/>
  <c r="U493" i="42"/>
  <c r="U494" i="42"/>
  <c r="V494" i="42" s="1"/>
  <c r="U495" i="42"/>
  <c r="U496" i="42"/>
  <c r="V496" i="42" s="1"/>
  <c r="U497" i="42"/>
  <c r="U498" i="42"/>
  <c r="U499" i="42"/>
  <c r="V499" i="42" s="1"/>
  <c r="U500" i="42"/>
  <c r="N35" i="42"/>
  <c r="N36" i="42"/>
  <c r="P36" i="42" s="1"/>
  <c r="AE36" i="42" s="1"/>
  <c r="AF36" i="42" s="1"/>
  <c r="N37" i="42"/>
  <c r="P37" i="42" s="1"/>
  <c r="AE37" i="42" s="1"/>
  <c r="AF37" i="42" s="1"/>
  <c r="N38" i="42"/>
  <c r="P38" i="42" s="1"/>
  <c r="AE38" i="42" s="1"/>
  <c r="AF38" i="42" s="1"/>
  <c r="N39" i="42"/>
  <c r="N40" i="42"/>
  <c r="P40" i="42" s="1"/>
  <c r="AE40" i="42" s="1"/>
  <c r="AF40" i="42" s="1"/>
  <c r="N41" i="42"/>
  <c r="P41" i="42" s="1"/>
  <c r="AE41" i="42" s="1"/>
  <c r="AF41" i="42" s="1"/>
  <c r="N42" i="42"/>
  <c r="P42" i="42" s="1"/>
  <c r="AE42" i="42" s="1"/>
  <c r="AF42" i="42" s="1"/>
  <c r="N43" i="42"/>
  <c r="P43" i="42" s="1"/>
  <c r="AE43" i="42" s="1"/>
  <c r="AF43" i="42" s="1"/>
  <c r="N44" i="42"/>
  <c r="P44" i="42" s="1"/>
  <c r="AE44" i="42" s="1"/>
  <c r="AF44" i="42" s="1"/>
  <c r="N45" i="42"/>
  <c r="N46" i="42"/>
  <c r="N47" i="42"/>
  <c r="N48" i="42"/>
  <c r="N49" i="42"/>
  <c r="P49" i="42" s="1"/>
  <c r="AE49" i="42" s="1"/>
  <c r="AF49" i="42" s="1"/>
  <c r="N50" i="42"/>
  <c r="N51" i="42"/>
  <c r="P51" i="42" s="1"/>
  <c r="AE51" i="42" s="1"/>
  <c r="AF51" i="42" s="1"/>
  <c r="N52" i="42"/>
  <c r="P52" i="42" s="1"/>
  <c r="AE52" i="42" s="1"/>
  <c r="AF52" i="42" s="1"/>
  <c r="N53" i="42"/>
  <c r="P53" i="42" s="1"/>
  <c r="AE53" i="42" s="1"/>
  <c r="AF53" i="42" s="1"/>
  <c r="N54" i="42"/>
  <c r="P54" i="42" s="1"/>
  <c r="AE54" i="42" s="1"/>
  <c r="AF54" i="42" s="1"/>
  <c r="N55" i="42"/>
  <c r="P55" i="42" s="1"/>
  <c r="AE55" i="42" s="1"/>
  <c r="AF55" i="42" s="1"/>
  <c r="N56" i="42"/>
  <c r="P56" i="42" s="1"/>
  <c r="AE56" i="42" s="1"/>
  <c r="AF56" i="42" s="1"/>
  <c r="N57" i="42"/>
  <c r="P57" i="42" s="1"/>
  <c r="AE57" i="42" s="1"/>
  <c r="AF57" i="42" s="1"/>
  <c r="N58" i="42"/>
  <c r="P58" i="42" s="1"/>
  <c r="AE58" i="42" s="1"/>
  <c r="AF58" i="42" s="1"/>
  <c r="N59" i="42"/>
  <c r="P59" i="42" s="1"/>
  <c r="AE59" i="42" s="1"/>
  <c r="AF59" i="42" s="1"/>
  <c r="N60" i="42"/>
  <c r="P60" i="42" s="1"/>
  <c r="AE60" i="42" s="1"/>
  <c r="AF60" i="42" s="1"/>
  <c r="N61" i="42"/>
  <c r="N62" i="42"/>
  <c r="N63" i="42"/>
  <c r="N64" i="42"/>
  <c r="P64" i="42" s="1"/>
  <c r="AE64" i="42" s="1"/>
  <c r="AF64" i="42" s="1"/>
  <c r="N65" i="42"/>
  <c r="N66" i="42"/>
  <c r="P66" i="42" s="1"/>
  <c r="AE66" i="42" s="1"/>
  <c r="AF66" i="42" s="1"/>
  <c r="N67" i="42"/>
  <c r="P67" i="42" s="1"/>
  <c r="AE67" i="42" s="1"/>
  <c r="AF67" i="42" s="1"/>
  <c r="N68" i="42"/>
  <c r="N69" i="42"/>
  <c r="P69" i="42" s="1"/>
  <c r="AE69" i="42" s="1"/>
  <c r="AF69" i="42" s="1"/>
  <c r="N70" i="42"/>
  <c r="P70" i="42" s="1"/>
  <c r="AE70" i="42" s="1"/>
  <c r="AF70" i="42" s="1"/>
  <c r="N71" i="42"/>
  <c r="P71" i="42" s="1"/>
  <c r="AE71" i="42" s="1"/>
  <c r="AF71" i="42" s="1"/>
  <c r="N72" i="42"/>
  <c r="P72" i="42" s="1"/>
  <c r="AE72" i="42" s="1"/>
  <c r="AF72" i="42" s="1"/>
  <c r="N73" i="42"/>
  <c r="P73" i="42" s="1"/>
  <c r="AE73" i="42" s="1"/>
  <c r="AF73" i="42" s="1"/>
  <c r="N74" i="42"/>
  <c r="P74" i="42" s="1"/>
  <c r="AE74" i="42" s="1"/>
  <c r="AF74" i="42" s="1"/>
  <c r="N75" i="42"/>
  <c r="P75" i="42" s="1"/>
  <c r="AE75" i="42" s="1"/>
  <c r="AF75" i="42" s="1"/>
  <c r="N76" i="42"/>
  <c r="P76" i="42" s="1"/>
  <c r="AE76" i="42" s="1"/>
  <c r="AF76" i="42" s="1"/>
  <c r="N77" i="42"/>
  <c r="N78" i="42"/>
  <c r="N79" i="42"/>
  <c r="N80" i="42"/>
  <c r="N81" i="42"/>
  <c r="P81" i="42" s="1"/>
  <c r="AE81" i="42" s="1"/>
  <c r="AF81" i="42" s="1"/>
  <c r="N82" i="42"/>
  <c r="N83" i="42"/>
  <c r="P83" i="42" s="1"/>
  <c r="AE83" i="42" s="1"/>
  <c r="AF83" i="42" s="1"/>
  <c r="N84" i="42"/>
  <c r="N85" i="42"/>
  <c r="P85" i="42" s="1"/>
  <c r="AE85" i="42" s="1"/>
  <c r="AF85" i="42" s="1"/>
  <c r="N86" i="42"/>
  <c r="P86" i="42" s="1"/>
  <c r="AE86" i="42" s="1"/>
  <c r="AF86" i="42" s="1"/>
  <c r="N87" i="42"/>
  <c r="P87" i="42" s="1"/>
  <c r="AE87" i="42" s="1"/>
  <c r="AF87" i="42" s="1"/>
  <c r="N88" i="42"/>
  <c r="P88" i="42" s="1"/>
  <c r="AE88" i="42" s="1"/>
  <c r="AF88" i="42" s="1"/>
  <c r="N89" i="42"/>
  <c r="P89" i="42" s="1"/>
  <c r="AE89" i="42" s="1"/>
  <c r="AF89" i="42" s="1"/>
  <c r="N90" i="42"/>
  <c r="P90" i="42" s="1"/>
  <c r="AE90" i="42" s="1"/>
  <c r="AF90" i="42" s="1"/>
  <c r="N91" i="42"/>
  <c r="P91" i="42" s="1"/>
  <c r="AE91" i="42" s="1"/>
  <c r="AF91" i="42" s="1"/>
  <c r="N92" i="42"/>
  <c r="P92" i="42" s="1"/>
  <c r="AE92" i="42" s="1"/>
  <c r="AF92" i="42" s="1"/>
  <c r="N93" i="42"/>
  <c r="N94" i="42"/>
  <c r="N95" i="42"/>
  <c r="N96" i="42"/>
  <c r="N97" i="42"/>
  <c r="P97" i="42" s="1"/>
  <c r="AE97" i="42" s="1"/>
  <c r="AF97" i="42" s="1"/>
  <c r="N98" i="42"/>
  <c r="N99" i="42"/>
  <c r="N100" i="42"/>
  <c r="P100" i="42" s="1"/>
  <c r="AE100" i="42" s="1"/>
  <c r="AF100" i="42" s="1"/>
  <c r="N101" i="42"/>
  <c r="P101" i="42" s="1"/>
  <c r="AE101" i="42" s="1"/>
  <c r="AF101" i="42" s="1"/>
  <c r="N102" i="42"/>
  <c r="P102" i="42" s="1"/>
  <c r="AE102" i="42" s="1"/>
  <c r="AF102" i="42" s="1"/>
  <c r="N103" i="42"/>
  <c r="N104" i="42"/>
  <c r="P104" i="42" s="1"/>
  <c r="AE104" i="42" s="1"/>
  <c r="AF104" i="42" s="1"/>
  <c r="N105" i="42"/>
  <c r="P105" i="42" s="1"/>
  <c r="AE105" i="42" s="1"/>
  <c r="AF105" i="42" s="1"/>
  <c r="N106" i="42"/>
  <c r="P106" i="42" s="1"/>
  <c r="AE106" i="42" s="1"/>
  <c r="AF106" i="42" s="1"/>
  <c r="N107" i="42"/>
  <c r="P107" i="42" s="1"/>
  <c r="AE107" i="42" s="1"/>
  <c r="AF107" i="42" s="1"/>
  <c r="N108" i="42"/>
  <c r="P108" i="42" s="1"/>
  <c r="AE108" i="42" s="1"/>
  <c r="AF108" i="42" s="1"/>
  <c r="N109" i="42"/>
  <c r="N110" i="42"/>
  <c r="N111" i="42"/>
  <c r="N112" i="42"/>
  <c r="N113" i="42"/>
  <c r="P113" i="42" s="1"/>
  <c r="AE113" i="42" s="1"/>
  <c r="AF113" i="42" s="1"/>
  <c r="N114" i="42"/>
  <c r="P114" i="42" s="1"/>
  <c r="AE114" i="42" s="1"/>
  <c r="AF114" i="42" s="1"/>
  <c r="N115" i="42"/>
  <c r="P115" i="42" s="1"/>
  <c r="AE115" i="42" s="1"/>
  <c r="AF115" i="42" s="1"/>
  <c r="N116" i="42"/>
  <c r="P116" i="42" s="1"/>
  <c r="AE116" i="42" s="1"/>
  <c r="AF116" i="42" s="1"/>
  <c r="N117" i="42"/>
  <c r="P117" i="42" s="1"/>
  <c r="AE117" i="42" s="1"/>
  <c r="AF117" i="42" s="1"/>
  <c r="N118" i="42"/>
  <c r="P118" i="42" s="1"/>
  <c r="AE118" i="42" s="1"/>
  <c r="AF118" i="42" s="1"/>
  <c r="N119" i="42"/>
  <c r="P119" i="42" s="1"/>
  <c r="AE119" i="42" s="1"/>
  <c r="AF119" i="42" s="1"/>
  <c r="N120" i="42"/>
  <c r="P120" i="42" s="1"/>
  <c r="AE120" i="42" s="1"/>
  <c r="AF120" i="42" s="1"/>
  <c r="N121" i="42"/>
  <c r="P121" i="42" s="1"/>
  <c r="AE121" i="42" s="1"/>
  <c r="AF121" i="42" s="1"/>
  <c r="N122" i="42"/>
  <c r="P122" i="42" s="1"/>
  <c r="AE122" i="42" s="1"/>
  <c r="AF122" i="42" s="1"/>
  <c r="N123" i="42"/>
  <c r="P123" i="42" s="1"/>
  <c r="AE123" i="42" s="1"/>
  <c r="AF123" i="42" s="1"/>
  <c r="N124" i="42"/>
  <c r="P124" i="42" s="1"/>
  <c r="AE124" i="42" s="1"/>
  <c r="AF124" i="42" s="1"/>
  <c r="N125" i="42"/>
  <c r="N126" i="42"/>
  <c r="N127" i="42"/>
  <c r="N128" i="42"/>
  <c r="P128" i="42" s="1"/>
  <c r="AE128" i="42" s="1"/>
  <c r="AF128" i="42" s="1"/>
  <c r="N129" i="42"/>
  <c r="N130" i="42"/>
  <c r="N131" i="42"/>
  <c r="P131" i="42" s="1"/>
  <c r="AE131" i="42" s="1"/>
  <c r="AF131" i="42" s="1"/>
  <c r="N132" i="42"/>
  <c r="P132" i="42" s="1"/>
  <c r="AE132" i="42" s="1"/>
  <c r="AF132" i="42" s="1"/>
  <c r="N133" i="42"/>
  <c r="P133" i="42" s="1"/>
  <c r="AE133" i="42" s="1"/>
  <c r="AF133" i="42" s="1"/>
  <c r="N134" i="42"/>
  <c r="N135" i="42"/>
  <c r="P135" i="42" s="1"/>
  <c r="AE135" i="42" s="1"/>
  <c r="AF135" i="42" s="1"/>
  <c r="N136" i="42"/>
  <c r="P136" i="42" s="1"/>
  <c r="AE136" i="42" s="1"/>
  <c r="AF136" i="42" s="1"/>
  <c r="N137" i="42"/>
  <c r="P137" i="42" s="1"/>
  <c r="AE137" i="42" s="1"/>
  <c r="AF137" i="42" s="1"/>
  <c r="N138" i="42"/>
  <c r="P138" i="42" s="1"/>
  <c r="AE138" i="42" s="1"/>
  <c r="AF138" i="42" s="1"/>
  <c r="N139" i="42"/>
  <c r="P139" i="42" s="1"/>
  <c r="AE139" i="42" s="1"/>
  <c r="AF139" i="42" s="1"/>
  <c r="N140" i="42"/>
  <c r="P140" i="42" s="1"/>
  <c r="AE140" i="42" s="1"/>
  <c r="AF140" i="42" s="1"/>
  <c r="N141" i="42"/>
  <c r="N142" i="42"/>
  <c r="N143" i="42"/>
  <c r="N144" i="42"/>
  <c r="N145" i="42"/>
  <c r="P145" i="42" s="1"/>
  <c r="AE145" i="42" s="1"/>
  <c r="AF145" i="42" s="1"/>
  <c r="N146" i="42"/>
  <c r="N147" i="42"/>
  <c r="P147" i="42" s="1"/>
  <c r="AE147" i="42" s="1"/>
  <c r="AF147" i="42" s="1"/>
  <c r="N148" i="42"/>
  <c r="P148" i="42" s="1"/>
  <c r="AE148" i="42" s="1"/>
  <c r="AF148" i="42" s="1"/>
  <c r="N149" i="42"/>
  <c r="N150" i="42"/>
  <c r="N151" i="42"/>
  <c r="P151" i="42" s="1"/>
  <c r="AE151" i="42" s="1"/>
  <c r="AF151" i="42" s="1"/>
  <c r="N152" i="42"/>
  <c r="P152" i="42" s="1"/>
  <c r="AE152" i="42" s="1"/>
  <c r="AF152" i="42" s="1"/>
  <c r="N153" i="42"/>
  <c r="P153" i="42" s="1"/>
  <c r="AE153" i="42" s="1"/>
  <c r="AF153" i="42" s="1"/>
  <c r="N154" i="42"/>
  <c r="P154" i="42" s="1"/>
  <c r="AE154" i="42" s="1"/>
  <c r="AF154" i="42" s="1"/>
  <c r="N155" i="42"/>
  <c r="P155" i="42" s="1"/>
  <c r="AE155" i="42" s="1"/>
  <c r="AF155" i="42" s="1"/>
  <c r="N156" i="42"/>
  <c r="P156" i="42" s="1"/>
  <c r="AE156" i="42" s="1"/>
  <c r="AF156" i="42" s="1"/>
  <c r="N157" i="42"/>
  <c r="N158" i="42"/>
  <c r="N159" i="42"/>
  <c r="N160" i="42"/>
  <c r="N161" i="42"/>
  <c r="P161" i="42" s="1"/>
  <c r="AE161" i="42" s="1"/>
  <c r="AF161" i="42" s="1"/>
  <c r="N162" i="42"/>
  <c r="P162" i="42" s="1"/>
  <c r="AE162" i="42" s="1"/>
  <c r="AF162" i="42" s="1"/>
  <c r="N163" i="42"/>
  <c r="P163" i="42" s="1"/>
  <c r="AE163" i="42" s="1"/>
  <c r="AF163" i="42" s="1"/>
  <c r="N164" i="42"/>
  <c r="N165" i="42"/>
  <c r="P165" i="42" s="1"/>
  <c r="AE165" i="42" s="1"/>
  <c r="AF165" i="42" s="1"/>
  <c r="N166" i="42"/>
  <c r="P166" i="42" s="1"/>
  <c r="AE166" i="42" s="1"/>
  <c r="AF166" i="42" s="1"/>
  <c r="N167" i="42"/>
  <c r="P167" i="42" s="1"/>
  <c r="AE167" i="42" s="1"/>
  <c r="AF167" i="42" s="1"/>
  <c r="N168" i="42"/>
  <c r="P168" i="42" s="1"/>
  <c r="AE168" i="42" s="1"/>
  <c r="AF168" i="42" s="1"/>
  <c r="N169" i="42"/>
  <c r="P169" i="42" s="1"/>
  <c r="AE169" i="42" s="1"/>
  <c r="AF169" i="42" s="1"/>
  <c r="N170" i="42"/>
  <c r="P170" i="42" s="1"/>
  <c r="AE170" i="42" s="1"/>
  <c r="AF170" i="42" s="1"/>
  <c r="N171" i="42"/>
  <c r="P171" i="42" s="1"/>
  <c r="AE171" i="42" s="1"/>
  <c r="AF171" i="42" s="1"/>
  <c r="N172" i="42"/>
  <c r="P172" i="42" s="1"/>
  <c r="AE172" i="42" s="1"/>
  <c r="AF172" i="42" s="1"/>
  <c r="N173" i="42"/>
  <c r="N174" i="42"/>
  <c r="N175" i="42"/>
  <c r="N176" i="42"/>
  <c r="N177" i="42"/>
  <c r="P177" i="42" s="1"/>
  <c r="AE177" i="42" s="1"/>
  <c r="AF177" i="42" s="1"/>
  <c r="N178" i="42"/>
  <c r="N179" i="42"/>
  <c r="P179" i="42" s="1"/>
  <c r="AE179" i="42" s="1"/>
  <c r="AF179" i="42" s="1"/>
  <c r="N180" i="42"/>
  <c r="N181" i="42"/>
  <c r="P181" i="42" s="1"/>
  <c r="AE181" i="42" s="1"/>
  <c r="AF181" i="42" s="1"/>
  <c r="N182" i="42"/>
  <c r="P182" i="42" s="1"/>
  <c r="AE182" i="42" s="1"/>
  <c r="AF182" i="42" s="1"/>
  <c r="N183" i="42"/>
  <c r="P183" i="42" s="1"/>
  <c r="AE183" i="42" s="1"/>
  <c r="AF183" i="42" s="1"/>
  <c r="N184" i="42"/>
  <c r="P184" i="42" s="1"/>
  <c r="AE184" i="42" s="1"/>
  <c r="AF184" i="42" s="1"/>
  <c r="N185" i="42"/>
  <c r="P185" i="42" s="1"/>
  <c r="AE185" i="42" s="1"/>
  <c r="AF185" i="42" s="1"/>
  <c r="N186" i="42"/>
  <c r="P186" i="42" s="1"/>
  <c r="AE186" i="42" s="1"/>
  <c r="AF186" i="42" s="1"/>
  <c r="N187" i="42"/>
  <c r="P187" i="42" s="1"/>
  <c r="AE187" i="42" s="1"/>
  <c r="AF187" i="42" s="1"/>
  <c r="N188" i="42"/>
  <c r="P188" i="42" s="1"/>
  <c r="AE188" i="42" s="1"/>
  <c r="AF188" i="42" s="1"/>
  <c r="N189" i="42"/>
  <c r="N190" i="42"/>
  <c r="N191" i="42"/>
  <c r="N192" i="42"/>
  <c r="N193" i="42"/>
  <c r="P193" i="42" s="1"/>
  <c r="AE193" i="42" s="1"/>
  <c r="AF193" i="42" s="1"/>
  <c r="N194" i="42"/>
  <c r="P194" i="42" s="1"/>
  <c r="AE194" i="42" s="1"/>
  <c r="AF194" i="42" s="1"/>
  <c r="N195" i="42"/>
  <c r="P195" i="42" s="1"/>
  <c r="AE195" i="42" s="1"/>
  <c r="AF195" i="42" s="1"/>
  <c r="N196" i="42"/>
  <c r="P196" i="42" s="1"/>
  <c r="AE196" i="42" s="1"/>
  <c r="AF196" i="42" s="1"/>
  <c r="N197" i="42"/>
  <c r="P197" i="42" s="1"/>
  <c r="AE197" i="42" s="1"/>
  <c r="AF197" i="42" s="1"/>
  <c r="N198" i="42"/>
  <c r="P198" i="42" s="1"/>
  <c r="AE198" i="42" s="1"/>
  <c r="AF198" i="42" s="1"/>
  <c r="N199" i="42"/>
  <c r="P199" i="42" s="1"/>
  <c r="AE199" i="42" s="1"/>
  <c r="AF199" i="42" s="1"/>
  <c r="N200" i="42"/>
  <c r="P200" i="42" s="1"/>
  <c r="AE200" i="42" s="1"/>
  <c r="AF200" i="42" s="1"/>
  <c r="N201" i="42"/>
  <c r="P201" i="42" s="1"/>
  <c r="AE201" i="42" s="1"/>
  <c r="AF201" i="42" s="1"/>
  <c r="N202" i="42"/>
  <c r="P202" i="42" s="1"/>
  <c r="AE202" i="42" s="1"/>
  <c r="AF202" i="42" s="1"/>
  <c r="N203" i="42"/>
  <c r="P203" i="42" s="1"/>
  <c r="AE203" i="42" s="1"/>
  <c r="AF203" i="42" s="1"/>
  <c r="N204" i="42"/>
  <c r="N205" i="42"/>
  <c r="N206" i="42"/>
  <c r="N207" i="42"/>
  <c r="N208" i="42"/>
  <c r="N209" i="42"/>
  <c r="N210" i="42"/>
  <c r="P210" i="42" s="1"/>
  <c r="AE210" i="42" s="1"/>
  <c r="AF210" i="42" s="1"/>
  <c r="N211" i="42"/>
  <c r="N212" i="42"/>
  <c r="N213" i="42"/>
  <c r="P213" i="42" s="1"/>
  <c r="AE213" i="42" s="1"/>
  <c r="AF213" i="42" s="1"/>
  <c r="N214" i="42"/>
  <c r="P214" i="42" s="1"/>
  <c r="AE214" i="42" s="1"/>
  <c r="AF214" i="42" s="1"/>
  <c r="N215" i="42"/>
  <c r="P215" i="42" s="1"/>
  <c r="AE215" i="42" s="1"/>
  <c r="AF215" i="42" s="1"/>
  <c r="N216" i="42"/>
  <c r="P216" i="42" s="1"/>
  <c r="AE216" i="42" s="1"/>
  <c r="AF216" i="42" s="1"/>
  <c r="N217" i="42"/>
  <c r="P217" i="42" s="1"/>
  <c r="AE217" i="42" s="1"/>
  <c r="AF217" i="42" s="1"/>
  <c r="N218" i="42"/>
  <c r="P218" i="42" s="1"/>
  <c r="AE218" i="42" s="1"/>
  <c r="AF218" i="42" s="1"/>
  <c r="N219" i="42"/>
  <c r="P219" i="42" s="1"/>
  <c r="AE219" i="42" s="1"/>
  <c r="AF219" i="42" s="1"/>
  <c r="N220" i="42"/>
  <c r="P220" i="42" s="1"/>
  <c r="AE220" i="42" s="1"/>
  <c r="AF220" i="42" s="1"/>
  <c r="N221" i="42"/>
  <c r="N222" i="42"/>
  <c r="N223" i="42"/>
  <c r="N224" i="42"/>
  <c r="N225" i="42"/>
  <c r="N226" i="42"/>
  <c r="N227" i="42"/>
  <c r="P227" i="42" s="1"/>
  <c r="AE227" i="42" s="1"/>
  <c r="AF227" i="42" s="1"/>
  <c r="N228" i="42"/>
  <c r="P228" i="42" s="1"/>
  <c r="AE228" i="42" s="1"/>
  <c r="AF228" i="42" s="1"/>
  <c r="N229" i="42"/>
  <c r="P229" i="42" s="1"/>
  <c r="AE229" i="42" s="1"/>
  <c r="AF229" i="42" s="1"/>
  <c r="N230" i="42"/>
  <c r="P230" i="42" s="1"/>
  <c r="AE230" i="42" s="1"/>
  <c r="AF230" i="42" s="1"/>
  <c r="N231" i="42"/>
  <c r="P231" i="42" s="1"/>
  <c r="AE231" i="42" s="1"/>
  <c r="AF231" i="42" s="1"/>
  <c r="N232" i="42"/>
  <c r="P232" i="42" s="1"/>
  <c r="AE232" i="42" s="1"/>
  <c r="AF232" i="42" s="1"/>
  <c r="N233" i="42"/>
  <c r="P233" i="42" s="1"/>
  <c r="AE233" i="42" s="1"/>
  <c r="AF233" i="42" s="1"/>
  <c r="N234" i="42"/>
  <c r="P234" i="42" s="1"/>
  <c r="AE234" i="42" s="1"/>
  <c r="AF234" i="42" s="1"/>
  <c r="N235" i="42"/>
  <c r="P235" i="42" s="1"/>
  <c r="AE235" i="42" s="1"/>
  <c r="AF235" i="42" s="1"/>
  <c r="N236" i="42"/>
  <c r="P236" i="42" s="1"/>
  <c r="AE236" i="42" s="1"/>
  <c r="AF236" i="42" s="1"/>
  <c r="N237" i="42"/>
  <c r="N238" i="42"/>
  <c r="N239" i="42"/>
  <c r="N240" i="42"/>
  <c r="P240" i="42" s="1"/>
  <c r="AE240" i="42" s="1"/>
  <c r="AF240" i="42" s="1"/>
  <c r="N241" i="42"/>
  <c r="N242" i="42"/>
  <c r="N243" i="42"/>
  <c r="N244" i="42"/>
  <c r="P244" i="42" s="1"/>
  <c r="AE244" i="42" s="1"/>
  <c r="AF244" i="42" s="1"/>
  <c r="N245" i="42"/>
  <c r="P245" i="42" s="1"/>
  <c r="AE245" i="42" s="1"/>
  <c r="AF245" i="42" s="1"/>
  <c r="N246" i="42"/>
  <c r="P246" i="42" s="1"/>
  <c r="AE246" i="42" s="1"/>
  <c r="AF246" i="42" s="1"/>
  <c r="N247" i="42"/>
  <c r="P247" i="42" s="1"/>
  <c r="AE247" i="42" s="1"/>
  <c r="AF247" i="42" s="1"/>
  <c r="N248" i="42"/>
  <c r="P248" i="42" s="1"/>
  <c r="AE248" i="42" s="1"/>
  <c r="AF248" i="42" s="1"/>
  <c r="N249" i="42"/>
  <c r="P249" i="42" s="1"/>
  <c r="AE249" i="42" s="1"/>
  <c r="AF249" i="42" s="1"/>
  <c r="N250" i="42"/>
  <c r="P250" i="42" s="1"/>
  <c r="AE250" i="42" s="1"/>
  <c r="AF250" i="42" s="1"/>
  <c r="N251" i="42"/>
  <c r="P251" i="42" s="1"/>
  <c r="AE251" i="42" s="1"/>
  <c r="AF251" i="42" s="1"/>
  <c r="N252" i="42"/>
  <c r="P252" i="42" s="1"/>
  <c r="AE252" i="42" s="1"/>
  <c r="AF252" i="42" s="1"/>
  <c r="N253" i="42"/>
  <c r="N254" i="42"/>
  <c r="N255" i="42"/>
  <c r="N256" i="42"/>
  <c r="P256" i="42" s="1"/>
  <c r="AE256" i="42" s="1"/>
  <c r="AF256" i="42" s="1"/>
  <c r="N257" i="42"/>
  <c r="N258" i="42"/>
  <c r="P258" i="42" s="1"/>
  <c r="AE258" i="42" s="1"/>
  <c r="AF258" i="42" s="1"/>
  <c r="N259" i="42"/>
  <c r="N260" i="42"/>
  <c r="P260" i="42" s="1"/>
  <c r="AE260" i="42" s="1"/>
  <c r="AF260" i="42" s="1"/>
  <c r="N261" i="42"/>
  <c r="P261" i="42" s="1"/>
  <c r="AE261" i="42" s="1"/>
  <c r="AF261" i="42" s="1"/>
  <c r="N262" i="42"/>
  <c r="P262" i="42" s="1"/>
  <c r="AE262" i="42" s="1"/>
  <c r="AF262" i="42" s="1"/>
  <c r="N263" i="42"/>
  <c r="P263" i="42" s="1"/>
  <c r="AE263" i="42" s="1"/>
  <c r="AF263" i="42" s="1"/>
  <c r="N264" i="42"/>
  <c r="P264" i="42" s="1"/>
  <c r="AE264" i="42" s="1"/>
  <c r="AF264" i="42" s="1"/>
  <c r="N265" i="42"/>
  <c r="P265" i="42" s="1"/>
  <c r="AE265" i="42" s="1"/>
  <c r="AF265" i="42" s="1"/>
  <c r="N266" i="42"/>
  <c r="P266" i="42" s="1"/>
  <c r="AE266" i="42" s="1"/>
  <c r="AF266" i="42" s="1"/>
  <c r="N267" i="42"/>
  <c r="P267" i="42" s="1"/>
  <c r="AE267" i="42" s="1"/>
  <c r="AF267" i="42" s="1"/>
  <c r="N268" i="42"/>
  <c r="P268" i="42" s="1"/>
  <c r="AE268" i="42" s="1"/>
  <c r="AF268" i="42" s="1"/>
  <c r="N269" i="42"/>
  <c r="N270" i="42"/>
  <c r="N271" i="42"/>
  <c r="N272" i="42"/>
  <c r="P272" i="42" s="1"/>
  <c r="AE272" i="42" s="1"/>
  <c r="AF272" i="42" s="1"/>
  <c r="N273" i="42"/>
  <c r="N274" i="42"/>
  <c r="N275" i="42"/>
  <c r="P275" i="42" s="1"/>
  <c r="AE275" i="42" s="1"/>
  <c r="AF275" i="42" s="1"/>
  <c r="N276" i="42"/>
  <c r="P276" i="42" s="1"/>
  <c r="AE276" i="42" s="1"/>
  <c r="AF276" i="42" s="1"/>
  <c r="N277" i="42"/>
  <c r="N278" i="42"/>
  <c r="N279" i="42"/>
  <c r="P279" i="42" s="1"/>
  <c r="AE279" i="42" s="1"/>
  <c r="AF279" i="42" s="1"/>
  <c r="N280" i="42"/>
  <c r="P280" i="42" s="1"/>
  <c r="AE280" i="42" s="1"/>
  <c r="AF280" i="42" s="1"/>
  <c r="N281" i="42"/>
  <c r="N282" i="42"/>
  <c r="P282" i="42" s="1"/>
  <c r="AE282" i="42" s="1"/>
  <c r="AF282" i="42" s="1"/>
  <c r="N283" i="42"/>
  <c r="P283" i="42" s="1"/>
  <c r="AE283" i="42" s="1"/>
  <c r="AF283" i="42" s="1"/>
  <c r="N284" i="42"/>
  <c r="P284" i="42" s="1"/>
  <c r="AE284" i="42" s="1"/>
  <c r="AF284" i="42" s="1"/>
  <c r="N285" i="42"/>
  <c r="N286" i="42"/>
  <c r="N287" i="42"/>
  <c r="N288" i="42"/>
  <c r="N289" i="42"/>
  <c r="P289" i="42" s="1"/>
  <c r="AE289" i="42" s="1"/>
  <c r="AF289" i="42" s="1"/>
  <c r="N290" i="42"/>
  <c r="P290" i="42" s="1"/>
  <c r="AE290" i="42" s="1"/>
  <c r="AF290" i="42" s="1"/>
  <c r="N291" i="42"/>
  <c r="P291" i="42" s="1"/>
  <c r="AE291" i="42" s="1"/>
  <c r="AF291" i="42" s="1"/>
  <c r="N292" i="42"/>
  <c r="P292" i="42" s="1"/>
  <c r="AE292" i="42" s="1"/>
  <c r="AF292" i="42" s="1"/>
  <c r="N293" i="42"/>
  <c r="P293" i="42" s="1"/>
  <c r="AE293" i="42" s="1"/>
  <c r="AF293" i="42" s="1"/>
  <c r="N294" i="42"/>
  <c r="P294" i="42" s="1"/>
  <c r="AE294" i="42" s="1"/>
  <c r="AF294" i="42" s="1"/>
  <c r="N295" i="42"/>
  <c r="P295" i="42" s="1"/>
  <c r="AE295" i="42" s="1"/>
  <c r="AF295" i="42" s="1"/>
  <c r="N296" i="42"/>
  <c r="P296" i="42" s="1"/>
  <c r="AE296" i="42" s="1"/>
  <c r="AF296" i="42" s="1"/>
  <c r="N297" i="42"/>
  <c r="P297" i="42" s="1"/>
  <c r="AE297" i="42" s="1"/>
  <c r="AF297" i="42" s="1"/>
  <c r="N298" i="42"/>
  <c r="P298" i="42" s="1"/>
  <c r="AE298" i="42" s="1"/>
  <c r="AF298" i="42" s="1"/>
  <c r="N299" i="42"/>
  <c r="P299" i="42" s="1"/>
  <c r="AE299" i="42" s="1"/>
  <c r="AF299" i="42" s="1"/>
  <c r="N300" i="42"/>
  <c r="P300" i="42" s="1"/>
  <c r="AE300" i="42" s="1"/>
  <c r="AF300" i="42" s="1"/>
  <c r="N301" i="42"/>
  <c r="N302" i="42"/>
  <c r="N303" i="42"/>
  <c r="N304" i="42"/>
  <c r="N305" i="42"/>
  <c r="P305" i="42" s="1"/>
  <c r="AE305" i="42" s="1"/>
  <c r="AF305" i="42" s="1"/>
  <c r="N306" i="42"/>
  <c r="P306" i="42" s="1"/>
  <c r="AE306" i="42" s="1"/>
  <c r="AF306" i="42" s="1"/>
  <c r="N307" i="42"/>
  <c r="P307" i="42" s="1"/>
  <c r="AE307" i="42" s="1"/>
  <c r="AF307" i="42" s="1"/>
  <c r="N308" i="42"/>
  <c r="P308" i="42" s="1"/>
  <c r="AE308" i="42" s="1"/>
  <c r="AF308" i="42" s="1"/>
  <c r="N309" i="42"/>
  <c r="P309" i="42" s="1"/>
  <c r="AE309" i="42" s="1"/>
  <c r="AF309" i="42" s="1"/>
  <c r="N310" i="42"/>
  <c r="P310" i="42" s="1"/>
  <c r="AE310" i="42" s="1"/>
  <c r="AF310" i="42" s="1"/>
  <c r="N311" i="42"/>
  <c r="P311" i="42" s="1"/>
  <c r="AE311" i="42" s="1"/>
  <c r="AF311" i="42" s="1"/>
  <c r="N312" i="42"/>
  <c r="P312" i="42" s="1"/>
  <c r="AE312" i="42" s="1"/>
  <c r="AF312" i="42" s="1"/>
  <c r="N313" i="42"/>
  <c r="P313" i="42" s="1"/>
  <c r="AE313" i="42" s="1"/>
  <c r="AF313" i="42" s="1"/>
  <c r="N314" i="42"/>
  <c r="P314" i="42" s="1"/>
  <c r="AE314" i="42" s="1"/>
  <c r="AF314" i="42" s="1"/>
  <c r="N315" i="42"/>
  <c r="P315" i="42" s="1"/>
  <c r="AE315" i="42" s="1"/>
  <c r="AF315" i="42" s="1"/>
  <c r="N316" i="42"/>
  <c r="P316" i="42" s="1"/>
  <c r="AE316" i="42" s="1"/>
  <c r="AF316" i="42" s="1"/>
  <c r="N317" i="42"/>
  <c r="N318" i="42"/>
  <c r="N319" i="42"/>
  <c r="N320" i="42"/>
  <c r="N321" i="42"/>
  <c r="N322" i="42"/>
  <c r="N323" i="42"/>
  <c r="N324" i="42"/>
  <c r="P324" i="42" s="1"/>
  <c r="AE324" i="42" s="1"/>
  <c r="AF324" i="42" s="1"/>
  <c r="N325" i="42"/>
  <c r="P325" i="42" s="1"/>
  <c r="AE325" i="42" s="1"/>
  <c r="AF325" i="42" s="1"/>
  <c r="N326" i="42"/>
  <c r="P326" i="42" s="1"/>
  <c r="AE326" i="42" s="1"/>
  <c r="AF326" i="42" s="1"/>
  <c r="N327" i="42"/>
  <c r="P327" i="42" s="1"/>
  <c r="AE327" i="42" s="1"/>
  <c r="AF327" i="42" s="1"/>
  <c r="N328" i="42"/>
  <c r="P328" i="42" s="1"/>
  <c r="AE328" i="42" s="1"/>
  <c r="AF328" i="42" s="1"/>
  <c r="N329" i="42"/>
  <c r="P329" i="42" s="1"/>
  <c r="AE329" i="42" s="1"/>
  <c r="AF329" i="42" s="1"/>
  <c r="N330" i="42"/>
  <c r="P330" i="42" s="1"/>
  <c r="AE330" i="42" s="1"/>
  <c r="AF330" i="42" s="1"/>
  <c r="N331" i="42"/>
  <c r="P331" i="42" s="1"/>
  <c r="AE331" i="42" s="1"/>
  <c r="AF331" i="42" s="1"/>
  <c r="N332" i="42"/>
  <c r="P332" i="42" s="1"/>
  <c r="AE332" i="42" s="1"/>
  <c r="AF332" i="42" s="1"/>
  <c r="N333" i="42"/>
  <c r="N334" i="42"/>
  <c r="N335" i="42"/>
  <c r="N336" i="42"/>
  <c r="P336" i="42" s="1"/>
  <c r="AE336" i="42" s="1"/>
  <c r="AF336" i="42" s="1"/>
  <c r="N337" i="42"/>
  <c r="N338" i="42"/>
  <c r="P338" i="42" s="1"/>
  <c r="AE338" i="42" s="1"/>
  <c r="AF338" i="42" s="1"/>
  <c r="N339" i="42"/>
  <c r="N340" i="42"/>
  <c r="P340" i="42" s="1"/>
  <c r="AE340" i="42" s="1"/>
  <c r="AF340" i="42" s="1"/>
  <c r="N341" i="42"/>
  <c r="P341" i="42" s="1"/>
  <c r="AE341" i="42" s="1"/>
  <c r="AF341" i="42" s="1"/>
  <c r="N342" i="42"/>
  <c r="N343" i="42"/>
  <c r="P343" i="42" s="1"/>
  <c r="AE343" i="42" s="1"/>
  <c r="AF343" i="42" s="1"/>
  <c r="N344" i="42"/>
  <c r="P344" i="42" s="1"/>
  <c r="AE344" i="42" s="1"/>
  <c r="AF344" i="42" s="1"/>
  <c r="N345" i="42"/>
  <c r="P345" i="42" s="1"/>
  <c r="AE345" i="42" s="1"/>
  <c r="AF345" i="42" s="1"/>
  <c r="N346" i="42"/>
  <c r="P346" i="42" s="1"/>
  <c r="AE346" i="42" s="1"/>
  <c r="AF346" i="42" s="1"/>
  <c r="N347" i="42"/>
  <c r="P347" i="42" s="1"/>
  <c r="AE347" i="42" s="1"/>
  <c r="AF347" i="42" s="1"/>
  <c r="N348" i="42"/>
  <c r="P348" i="42" s="1"/>
  <c r="AE348" i="42" s="1"/>
  <c r="AF348" i="42" s="1"/>
  <c r="N349" i="42"/>
  <c r="N350" i="42"/>
  <c r="N351" i="42"/>
  <c r="N352" i="42"/>
  <c r="N353" i="42"/>
  <c r="P353" i="42" s="1"/>
  <c r="AE353" i="42" s="1"/>
  <c r="AF353" i="42" s="1"/>
  <c r="N354" i="42"/>
  <c r="P354" i="42" s="1"/>
  <c r="AE354" i="42" s="1"/>
  <c r="AF354" i="42" s="1"/>
  <c r="N355" i="42"/>
  <c r="P355" i="42" s="1"/>
  <c r="AE355" i="42" s="1"/>
  <c r="AF355" i="42" s="1"/>
  <c r="N356" i="42"/>
  <c r="P356" i="42" s="1"/>
  <c r="AE356" i="42" s="1"/>
  <c r="AF356" i="42" s="1"/>
  <c r="N357" i="42"/>
  <c r="P357" i="42" s="1"/>
  <c r="AE357" i="42" s="1"/>
  <c r="AF357" i="42" s="1"/>
  <c r="N358" i="42"/>
  <c r="P358" i="42" s="1"/>
  <c r="AE358" i="42" s="1"/>
  <c r="AF358" i="42" s="1"/>
  <c r="N359" i="42"/>
  <c r="P359" i="42" s="1"/>
  <c r="AE359" i="42" s="1"/>
  <c r="AF359" i="42" s="1"/>
  <c r="N360" i="42"/>
  <c r="P360" i="42" s="1"/>
  <c r="AE360" i="42" s="1"/>
  <c r="AF360" i="42" s="1"/>
  <c r="N361" i="42"/>
  <c r="P361" i="42" s="1"/>
  <c r="AE361" i="42" s="1"/>
  <c r="AF361" i="42" s="1"/>
  <c r="N362" i="42"/>
  <c r="P362" i="42" s="1"/>
  <c r="AE362" i="42" s="1"/>
  <c r="AF362" i="42" s="1"/>
  <c r="N363" i="42"/>
  <c r="P363" i="42" s="1"/>
  <c r="AE363" i="42" s="1"/>
  <c r="AF363" i="42" s="1"/>
  <c r="N364" i="42"/>
  <c r="P364" i="42" s="1"/>
  <c r="AE364" i="42" s="1"/>
  <c r="AF364" i="42" s="1"/>
  <c r="N365" i="42"/>
  <c r="N366" i="42"/>
  <c r="N367" i="42"/>
  <c r="N368" i="42"/>
  <c r="N369" i="42"/>
  <c r="P369" i="42" s="1"/>
  <c r="AE369" i="42" s="1"/>
  <c r="AF369" i="42" s="1"/>
  <c r="N370" i="42"/>
  <c r="N371" i="42"/>
  <c r="N372" i="42"/>
  <c r="P372" i="42" s="1"/>
  <c r="AE372" i="42" s="1"/>
  <c r="AF372" i="42" s="1"/>
  <c r="N373" i="42"/>
  <c r="N374" i="42"/>
  <c r="P374" i="42" s="1"/>
  <c r="AE374" i="42" s="1"/>
  <c r="AF374" i="42" s="1"/>
  <c r="N375" i="42"/>
  <c r="P375" i="42" s="1"/>
  <c r="AE375" i="42" s="1"/>
  <c r="AF375" i="42" s="1"/>
  <c r="N376" i="42"/>
  <c r="P376" i="42" s="1"/>
  <c r="AE376" i="42" s="1"/>
  <c r="AF376" i="42" s="1"/>
  <c r="N377" i="42"/>
  <c r="P377" i="42" s="1"/>
  <c r="AE377" i="42" s="1"/>
  <c r="AF377" i="42" s="1"/>
  <c r="N378" i="42"/>
  <c r="P378" i="42" s="1"/>
  <c r="AE378" i="42" s="1"/>
  <c r="AF378" i="42" s="1"/>
  <c r="N379" i="42"/>
  <c r="P379" i="42" s="1"/>
  <c r="AE379" i="42" s="1"/>
  <c r="AF379" i="42" s="1"/>
  <c r="N380" i="42"/>
  <c r="P380" i="42" s="1"/>
  <c r="AE380" i="42" s="1"/>
  <c r="AF380" i="42" s="1"/>
  <c r="N381" i="42"/>
  <c r="N382" i="42"/>
  <c r="N383" i="42"/>
  <c r="N384" i="42"/>
  <c r="N385" i="42"/>
  <c r="N386" i="42"/>
  <c r="P386" i="42" s="1"/>
  <c r="AE386" i="42" s="1"/>
  <c r="AF386" i="42" s="1"/>
  <c r="N387" i="42"/>
  <c r="P387" i="42" s="1"/>
  <c r="AE387" i="42" s="1"/>
  <c r="AF387" i="42" s="1"/>
  <c r="N388" i="42"/>
  <c r="N389" i="42"/>
  <c r="P389" i="42" s="1"/>
  <c r="AE389" i="42" s="1"/>
  <c r="AF389" i="42" s="1"/>
  <c r="N390" i="42"/>
  <c r="P390" i="42" s="1"/>
  <c r="AE390" i="42" s="1"/>
  <c r="AF390" i="42" s="1"/>
  <c r="N391" i="42"/>
  <c r="P391" i="42" s="1"/>
  <c r="AE391" i="42" s="1"/>
  <c r="AF391" i="42" s="1"/>
  <c r="N392" i="42"/>
  <c r="P392" i="42" s="1"/>
  <c r="AE392" i="42" s="1"/>
  <c r="AF392" i="42" s="1"/>
  <c r="N393" i="42"/>
  <c r="P393" i="42" s="1"/>
  <c r="AE393" i="42" s="1"/>
  <c r="AF393" i="42" s="1"/>
  <c r="N394" i="42"/>
  <c r="P394" i="42" s="1"/>
  <c r="AE394" i="42" s="1"/>
  <c r="AF394" i="42" s="1"/>
  <c r="N395" i="42"/>
  <c r="P395" i="42" s="1"/>
  <c r="AE395" i="42" s="1"/>
  <c r="AF395" i="42" s="1"/>
  <c r="N396" i="42"/>
  <c r="P396" i="42" s="1"/>
  <c r="AE396" i="42" s="1"/>
  <c r="AF396" i="42" s="1"/>
  <c r="N397" i="42"/>
  <c r="N398" i="42"/>
  <c r="N399" i="42"/>
  <c r="N400" i="42"/>
  <c r="N401" i="42"/>
  <c r="P401" i="42" s="1"/>
  <c r="AE401" i="42" s="1"/>
  <c r="AF401" i="42" s="1"/>
  <c r="N402" i="42"/>
  <c r="N403" i="42"/>
  <c r="P403" i="42" s="1"/>
  <c r="AE403" i="42" s="1"/>
  <c r="AF403" i="42" s="1"/>
  <c r="N404" i="42"/>
  <c r="N405" i="42"/>
  <c r="P405" i="42" s="1"/>
  <c r="AE405" i="42" s="1"/>
  <c r="AF405" i="42" s="1"/>
  <c r="N406" i="42"/>
  <c r="P406" i="42" s="1"/>
  <c r="AE406" i="42" s="1"/>
  <c r="AF406" i="42" s="1"/>
  <c r="N407" i="42"/>
  <c r="P407" i="42" s="1"/>
  <c r="AE407" i="42" s="1"/>
  <c r="AF407" i="42" s="1"/>
  <c r="N408" i="42"/>
  <c r="P408" i="42" s="1"/>
  <c r="AE408" i="42" s="1"/>
  <c r="AF408" i="42" s="1"/>
  <c r="N409" i="42"/>
  <c r="P409" i="42" s="1"/>
  <c r="AE409" i="42" s="1"/>
  <c r="AF409" i="42" s="1"/>
  <c r="N410" i="42"/>
  <c r="P410" i="42" s="1"/>
  <c r="AE410" i="42" s="1"/>
  <c r="AF410" i="42" s="1"/>
  <c r="N411" i="42"/>
  <c r="P411" i="42" s="1"/>
  <c r="AE411" i="42" s="1"/>
  <c r="AF411" i="42" s="1"/>
  <c r="N412" i="42"/>
  <c r="P412" i="42" s="1"/>
  <c r="AE412" i="42" s="1"/>
  <c r="AF412" i="42" s="1"/>
  <c r="N413" i="42"/>
  <c r="N414" i="42"/>
  <c r="N415" i="42"/>
  <c r="N416" i="42"/>
  <c r="N417" i="42"/>
  <c r="P417" i="42" s="1"/>
  <c r="AE417" i="42" s="1"/>
  <c r="AF417" i="42" s="1"/>
  <c r="N418" i="42"/>
  <c r="N419" i="42"/>
  <c r="N420" i="42"/>
  <c r="P420" i="42" s="1"/>
  <c r="AE420" i="42" s="1"/>
  <c r="AF420" i="42" s="1"/>
  <c r="N421" i="42"/>
  <c r="P421" i="42" s="1"/>
  <c r="AE421" i="42" s="1"/>
  <c r="AF421" i="42" s="1"/>
  <c r="N422" i="42"/>
  <c r="P422" i="42" s="1"/>
  <c r="AE422" i="42" s="1"/>
  <c r="AF422" i="42" s="1"/>
  <c r="N423" i="42"/>
  <c r="N424" i="42"/>
  <c r="P424" i="42" s="1"/>
  <c r="AE424" i="42" s="1"/>
  <c r="AF424" i="42" s="1"/>
  <c r="N425" i="42"/>
  <c r="P425" i="42" s="1"/>
  <c r="AE425" i="42" s="1"/>
  <c r="AF425" i="42" s="1"/>
  <c r="N426" i="42"/>
  <c r="P426" i="42" s="1"/>
  <c r="AE426" i="42" s="1"/>
  <c r="AF426" i="42" s="1"/>
  <c r="N427" i="42"/>
  <c r="P427" i="42" s="1"/>
  <c r="AE427" i="42" s="1"/>
  <c r="AF427" i="42" s="1"/>
  <c r="N428" i="42"/>
  <c r="P428" i="42" s="1"/>
  <c r="AE428" i="42" s="1"/>
  <c r="AF428" i="42" s="1"/>
  <c r="N429" i="42"/>
  <c r="N430" i="42"/>
  <c r="N431" i="42"/>
  <c r="N432" i="42"/>
  <c r="N433" i="42"/>
  <c r="P433" i="42" s="1"/>
  <c r="AE433" i="42" s="1"/>
  <c r="AF433" i="42" s="1"/>
  <c r="N434" i="42"/>
  <c r="P434" i="42" s="1"/>
  <c r="AE434" i="42" s="1"/>
  <c r="AF434" i="42" s="1"/>
  <c r="N435" i="42"/>
  <c r="N436" i="42"/>
  <c r="P436" i="42" s="1"/>
  <c r="AE436" i="42" s="1"/>
  <c r="AF436" i="42" s="1"/>
  <c r="N437" i="42"/>
  <c r="P437" i="42" s="1"/>
  <c r="AE437" i="42" s="1"/>
  <c r="AF437" i="42" s="1"/>
  <c r="N438" i="42"/>
  <c r="P438" i="42" s="1"/>
  <c r="AE438" i="42" s="1"/>
  <c r="AF438" i="42" s="1"/>
  <c r="N439" i="42"/>
  <c r="P439" i="42" s="1"/>
  <c r="AE439" i="42" s="1"/>
  <c r="AF439" i="42" s="1"/>
  <c r="N440" i="42"/>
  <c r="P440" i="42" s="1"/>
  <c r="AE440" i="42" s="1"/>
  <c r="AF440" i="42" s="1"/>
  <c r="N441" i="42"/>
  <c r="P441" i="42" s="1"/>
  <c r="AE441" i="42" s="1"/>
  <c r="AF441" i="42" s="1"/>
  <c r="N442" i="42"/>
  <c r="P442" i="42" s="1"/>
  <c r="AE442" i="42" s="1"/>
  <c r="AF442" i="42" s="1"/>
  <c r="N443" i="42"/>
  <c r="P443" i="42" s="1"/>
  <c r="AE443" i="42" s="1"/>
  <c r="AF443" i="42" s="1"/>
  <c r="N444" i="42"/>
  <c r="P444" i="42" s="1"/>
  <c r="AE444" i="42" s="1"/>
  <c r="AF444" i="42" s="1"/>
  <c r="N445" i="42"/>
  <c r="N446" i="42"/>
  <c r="N447" i="42"/>
  <c r="N448" i="42"/>
  <c r="N449" i="42"/>
  <c r="N450" i="42"/>
  <c r="P450" i="42" s="1"/>
  <c r="AE450" i="42" s="1"/>
  <c r="AF450" i="42" s="1"/>
  <c r="N451" i="42"/>
  <c r="P451" i="42" s="1"/>
  <c r="AE451" i="42" s="1"/>
  <c r="AF451" i="42" s="1"/>
  <c r="N452" i="42"/>
  <c r="P452" i="42" s="1"/>
  <c r="AE452" i="42" s="1"/>
  <c r="AF452" i="42" s="1"/>
  <c r="N453" i="42"/>
  <c r="P453" i="42" s="1"/>
  <c r="AE453" i="42" s="1"/>
  <c r="AF453" i="42" s="1"/>
  <c r="N454" i="42"/>
  <c r="P454" i="42" s="1"/>
  <c r="AE454" i="42" s="1"/>
  <c r="AF454" i="42" s="1"/>
  <c r="N455" i="42"/>
  <c r="P455" i="42" s="1"/>
  <c r="AE455" i="42" s="1"/>
  <c r="AF455" i="42" s="1"/>
  <c r="N456" i="42"/>
  <c r="P456" i="42" s="1"/>
  <c r="AE456" i="42" s="1"/>
  <c r="AF456" i="42" s="1"/>
  <c r="N457" i="42"/>
  <c r="P457" i="42" s="1"/>
  <c r="AE457" i="42" s="1"/>
  <c r="AF457" i="42" s="1"/>
  <c r="N458" i="42"/>
  <c r="P458" i="42" s="1"/>
  <c r="AE458" i="42" s="1"/>
  <c r="AF458" i="42" s="1"/>
  <c r="N459" i="42"/>
  <c r="P459" i="42" s="1"/>
  <c r="AE459" i="42" s="1"/>
  <c r="AF459" i="42" s="1"/>
  <c r="N460" i="42"/>
  <c r="P460" i="42" s="1"/>
  <c r="AE460" i="42" s="1"/>
  <c r="AF460" i="42" s="1"/>
  <c r="N461" i="42"/>
  <c r="N462" i="42"/>
  <c r="N463" i="42"/>
  <c r="N464" i="42"/>
  <c r="N465" i="42"/>
  <c r="P465" i="42" s="1"/>
  <c r="AE465" i="42" s="1"/>
  <c r="AF465" i="42" s="1"/>
  <c r="N466" i="42"/>
  <c r="N467" i="42"/>
  <c r="P467" i="42" s="1"/>
  <c r="AE467" i="42" s="1"/>
  <c r="AF467" i="42" s="1"/>
  <c r="N468" i="42"/>
  <c r="P468" i="42" s="1"/>
  <c r="AE468" i="42" s="1"/>
  <c r="AF468" i="42" s="1"/>
  <c r="N469" i="42"/>
  <c r="P469" i="42" s="1"/>
  <c r="AE469" i="42" s="1"/>
  <c r="AF469" i="42" s="1"/>
  <c r="N470" i="42"/>
  <c r="P470" i="42" s="1"/>
  <c r="AE470" i="42" s="1"/>
  <c r="AF470" i="42" s="1"/>
  <c r="N471" i="42"/>
  <c r="P471" i="42" s="1"/>
  <c r="AE471" i="42" s="1"/>
  <c r="AF471" i="42" s="1"/>
  <c r="N472" i="42"/>
  <c r="P472" i="42" s="1"/>
  <c r="AE472" i="42" s="1"/>
  <c r="AF472" i="42" s="1"/>
  <c r="N473" i="42"/>
  <c r="P473" i="42" s="1"/>
  <c r="AE473" i="42" s="1"/>
  <c r="AF473" i="42" s="1"/>
  <c r="N474" i="42"/>
  <c r="P474" i="42" s="1"/>
  <c r="AE474" i="42" s="1"/>
  <c r="AF474" i="42" s="1"/>
  <c r="N475" i="42"/>
  <c r="P475" i="42" s="1"/>
  <c r="AE475" i="42" s="1"/>
  <c r="AF475" i="42" s="1"/>
  <c r="N476" i="42"/>
  <c r="P476" i="42" s="1"/>
  <c r="AE476" i="42" s="1"/>
  <c r="AF476" i="42" s="1"/>
  <c r="N477" i="42"/>
  <c r="N478" i="42"/>
  <c r="N479" i="42"/>
  <c r="N480" i="42"/>
  <c r="N481" i="42"/>
  <c r="P481" i="42" s="1"/>
  <c r="AE481" i="42" s="1"/>
  <c r="AF481" i="42" s="1"/>
  <c r="N482" i="42"/>
  <c r="P482" i="42" s="1"/>
  <c r="AE482" i="42" s="1"/>
  <c r="AF482" i="42" s="1"/>
  <c r="N483" i="42"/>
  <c r="P483" i="42" s="1"/>
  <c r="AE483" i="42" s="1"/>
  <c r="AF483" i="42" s="1"/>
  <c r="N484" i="42"/>
  <c r="P484" i="42" s="1"/>
  <c r="AE484" i="42" s="1"/>
  <c r="AF484" i="42" s="1"/>
  <c r="N485" i="42"/>
  <c r="N486" i="42"/>
  <c r="P486" i="42" s="1"/>
  <c r="AE486" i="42" s="1"/>
  <c r="AF486" i="42" s="1"/>
  <c r="N487" i="42"/>
  <c r="P487" i="42" s="1"/>
  <c r="AE487" i="42" s="1"/>
  <c r="AF487" i="42" s="1"/>
  <c r="N488" i="42"/>
  <c r="P488" i="42" s="1"/>
  <c r="AE488" i="42" s="1"/>
  <c r="AF488" i="42" s="1"/>
  <c r="N489" i="42"/>
  <c r="P489" i="42" s="1"/>
  <c r="AE489" i="42" s="1"/>
  <c r="AF489" i="42" s="1"/>
  <c r="N490" i="42"/>
  <c r="P490" i="42" s="1"/>
  <c r="AE490" i="42" s="1"/>
  <c r="AF490" i="42" s="1"/>
  <c r="N491" i="42"/>
  <c r="P491" i="42" s="1"/>
  <c r="AE491" i="42" s="1"/>
  <c r="AF491" i="42" s="1"/>
  <c r="N492" i="42"/>
  <c r="N493" i="42"/>
  <c r="N494" i="42"/>
  <c r="N495" i="42"/>
  <c r="N496" i="42"/>
  <c r="N497" i="42"/>
  <c r="N498" i="42"/>
  <c r="P498" i="42" s="1"/>
  <c r="AE498" i="42" s="1"/>
  <c r="AF498" i="42" s="1"/>
  <c r="N499" i="42"/>
  <c r="P499" i="42" s="1"/>
  <c r="AE499" i="42" s="1"/>
  <c r="AF499" i="42" s="1"/>
  <c r="N500" i="42"/>
  <c r="P500" i="42" s="1"/>
  <c r="AE500" i="42" s="1"/>
  <c r="AF500" i="42" s="1"/>
  <c r="K1" i="16"/>
  <c r="L1" i="44"/>
  <c r="V269" i="19"/>
  <c r="W269" i="19" s="1"/>
  <c r="V268" i="19"/>
  <c r="X268" i="19" s="1"/>
  <c r="V267" i="19"/>
  <c r="X267" i="19" s="1"/>
  <c r="X266" i="19"/>
  <c r="W266" i="19"/>
  <c r="V266" i="19"/>
  <c r="V265" i="19"/>
  <c r="V264" i="19"/>
  <c r="V263" i="19"/>
  <c r="X263" i="19" s="1"/>
  <c r="V262" i="19"/>
  <c r="V261" i="19"/>
  <c r="X261" i="19" s="1"/>
  <c r="V260" i="19"/>
  <c r="X260" i="19" s="1"/>
  <c r="V259" i="19"/>
  <c r="W259" i="19" s="1"/>
  <c r="X258" i="19"/>
  <c r="W258" i="19"/>
  <c r="V258" i="19"/>
  <c r="W257" i="19"/>
  <c r="V257" i="19"/>
  <c r="X257" i="19" s="1"/>
  <c r="V256" i="19"/>
  <c r="X256" i="19" s="1"/>
  <c r="V255" i="19"/>
  <c r="V254" i="19"/>
  <c r="V253" i="19"/>
  <c r="X253" i="19" s="1"/>
  <c r="V252" i="19"/>
  <c r="X252" i="19" s="1"/>
  <c r="V251" i="19"/>
  <c r="X251" i="19" s="1"/>
  <c r="X250" i="19"/>
  <c r="W250" i="19"/>
  <c r="V250" i="19"/>
  <c r="V249" i="19"/>
  <c r="V248" i="19"/>
  <c r="X248" i="19" s="1"/>
  <c r="W247" i="19"/>
  <c r="V247" i="19"/>
  <c r="X247" i="19" s="1"/>
  <c r="V246" i="19"/>
  <c r="V245" i="19"/>
  <c r="V244" i="19"/>
  <c r="V243" i="19"/>
  <c r="V242" i="19"/>
  <c r="X242" i="19" s="1"/>
  <c r="X241" i="19"/>
  <c r="W241" i="19"/>
  <c r="V241" i="19"/>
  <c r="V240" i="19"/>
  <c r="V239" i="19"/>
  <c r="V238" i="19"/>
  <c r="X238" i="19" s="1"/>
  <c r="X237" i="19"/>
  <c r="V237" i="19"/>
  <c r="W237" i="19" s="1"/>
  <c r="V236" i="19"/>
  <c r="X236" i="19" s="1"/>
  <c r="V235" i="19"/>
  <c r="W234" i="19"/>
  <c r="V234" i="19"/>
  <c r="X234" i="19" s="1"/>
  <c r="V233" i="19"/>
  <c r="X233" i="19" s="1"/>
  <c r="X232" i="19"/>
  <c r="V232" i="19"/>
  <c r="W232" i="19" s="1"/>
  <c r="V231" i="19"/>
  <c r="X231" i="19" s="1"/>
  <c r="V230" i="19"/>
  <c r="W229" i="19"/>
  <c r="V229" i="19"/>
  <c r="X229" i="19" s="1"/>
  <c r="V228" i="19"/>
  <c r="V227" i="19"/>
  <c r="W227" i="19" s="1"/>
  <c r="V226" i="19"/>
  <c r="X225" i="19"/>
  <c r="W225" i="19"/>
  <c r="V225" i="19"/>
  <c r="V224" i="19"/>
  <c r="V223" i="19"/>
  <c r="V222" i="19"/>
  <c r="V221" i="19"/>
  <c r="X221" i="19" s="1"/>
  <c r="V220" i="19"/>
  <c r="X220" i="19" s="1"/>
  <c r="V219" i="19"/>
  <c r="V218" i="19"/>
  <c r="W218" i="19" s="1"/>
  <c r="V217" i="19"/>
  <c r="X217" i="19" s="1"/>
  <c r="X216" i="19"/>
  <c r="W216" i="19"/>
  <c r="V216" i="19"/>
  <c r="W215" i="19"/>
  <c r="V215" i="19"/>
  <c r="X215" i="19" s="1"/>
  <c r="V214" i="19"/>
  <c r="V213" i="19"/>
  <c r="V212" i="19"/>
  <c r="X212" i="19" s="1"/>
  <c r="X211" i="19"/>
  <c r="W211" i="19"/>
  <c r="V211" i="19"/>
  <c r="V210" i="19"/>
  <c r="X210" i="19" s="1"/>
  <c r="X209" i="19"/>
  <c r="W209" i="19"/>
  <c r="V209" i="19"/>
  <c r="V208" i="19"/>
  <c r="X208" i="19" s="1"/>
  <c r="V207" i="19"/>
  <c r="V206" i="19"/>
  <c r="W206" i="19" s="1"/>
  <c r="X205" i="19"/>
  <c r="V205" i="19"/>
  <c r="W205" i="19" s="1"/>
  <c r="V204" i="19"/>
  <c r="X204" i="19" s="1"/>
  <c r="V203" i="19"/>
  <c r="X203" i="19" s="1"/>
  <c r="V202" i="19"/>
  <c r="X202" i="19" s="1"/>
  <c r="V201" i="19"/>
  <c r="X201" i="19" s="1"/>
  <c r="W200" i="19"/>
  <c r="V200" i="19"/>
  <c r="X200" i="19" s="1"/>
  <c r="X199" i="19"/>
  <c r="W199" i="19"/>
  <c r="V199" i="19"/>
  <c r="V198" i="19"/>
  <c r="V197" i="19"/>
  <c r="X196" i="19"/>
  <c r="W196" i="19"/>
  <c r="V196" i="19"/>
  <c r="W195" i="19"/>
  <c r="V195" i="19"/>
  <c r="X195" i="19" s="1"/>
  <c r="X194" i="19"/>
  <c r="W194" i="19"/>
  <c r="V194" i="19"/>
  <c r="W193" i="19"/>
  <c r="V193" i="19"/>
  <c r="X193" i="19" s="1"/>
  <c r="V192" i="19"/>
  <c r="X192" i="19" s="1"/>
  <c r="V191" i="19"/>
  <c r="X191" i="19" s="1"/>
  <c r="V190" i="19"/>
  <c r="X189" i="19"/>
  <c r="W189" i="19"/>
  <c r="V189" i="19"/>
  <c r="V188" i="19"/>
  <c r="X188" i="19" s="1"/>
  <c r="V187" i="19"/>
  <c r="X187" i="19" s="1"/>
  <c r="X186" i="19"/>
  <c r="V186" i="19"/>
  <c r="W186" i="19" s="1"/>
  <c r="V185" i="19"/>
  <c r="V184" i="19"/>
  <c r="X184" i="19" s="1"/>
  <c r="V183" i="19"/>
  <c r="W183" i="19" s="1"/>
  <c r="V182" i="19"/>
  <c r="V181" i="19"/>
  <c r="W181" i="19" s="1"/>
  <c r="V180" i="19"/>
  <c r="X179" i="19"/>
  <c r="W179" i="19"/>
  <c r="V179" i="19"/>
  <c r="W178" i="19"/>
  <c r="V178" i="19"/>
  <c r="X178" i="19" s="1"/>
  <c r="V177" i="19"/>
  <c r="V176" i="19"/>
  <c r="V175" i="19"/>
  <c r="W175" i="19" s="1"/>
  <c r="V174" i="19"/>
  <c r="X174" i="19" s="1"/>
  <c r="X173" i="19"/>
  <c r="W173" i="19"/>
  <c r="V173" i="19"/>
  <c r="V172" i="19"/>
  <c r="X172" i="19" s="1"/>
  <c r="V171" i="19"/>
  <c r="V170" i="19"/>
  <c r="X170" i="19" s="1"/>
  <c r="V169" i="19"/>
  <c r="T267" i="19"/>
  <c r="T266" i="19"/>
  <c r="T265" i="19"/>
  <c r="T264" i="19"/>
  <c r="T263" i="19"/>
  <c r="T262" i="19"/>
  <c r="T261" i="19"/>
  <c r="T260" i="19"/>
  <c r="T259" i="19"/>
  <c r="T258" i="19"/>
  <c r="T257" i="19"/>
  <c r="T256" i="19"/>
  <c r="T255" i="19"/>
  <c r="T254" i="19"/>
  <c r="T253" i="19"/>
  <c r="T252" i="19"/>
  <c r="T251" i="19"/>
  <c r="T250" i="19"/>
  <c r="T249" i="19"/>
  <c r="T248" i="19"/>
  <c r="T247" i="19"/>
  <c r="T246" i="19"/>
  <c r="T245" i="19"/>
  <c r="T244" i="19"/>
  <c r="T243" i="19"/>
  <c r="T242" i="19"/>
  <c r="T241" i="19"/>
  <c r="T240" i="19"/>
  <c r="T239" i="19"/>
  <c r="T238" i="19"/>
  <c r="T237" i="19"/>
  <c r="T236" i="19"/>
  <c r="T235" i="19"/>
  <c r="T234" i="19"/>
  <c r="T233" i="19"/>
  <c r="T232" i="19"/>
  <c r="T231" i="19"/>
  <c r="T230" i="19"/>
  <c r="T229" i="19"/>
  <c r="T228" i="19"/>
  <c r="T227" i="19"/>
  <c r="T226" i="19"/>
  <c r="T225" i="19"/>
  <c r="T224" i="19"/>
  <c r="T223" i="19"/>
  <c r="T222" i="19"/>
  <c r="T221" i="19"/>
  <c r="T220" i="19"/>
  <c r="T219" i="19"/>
  <c r="T218" i="19"/>
  <c r="T217" i="19"/>
  <c r="T216" i="19"/>
  <c r="T215" i="19"/>
  <c r="T214" i="19"/>
  <c r="T213" i="19"/>
  <c r="T212" i="19"/>
  <c r="T211" i="19"/>
  <c r="T210" i="19"/>
  <c r="T209" i="19"/>
  <c r="T208" i="19"/>
  <c r="T207" i="19"/>
  <c r="T206" i="19"/>
  <c r="T205" i="19"/>
  <c r="T204" i="19"/>
  <c r="T203" i="19"/>
  <c r="T202" i="19"/>
  <c r="T201" i="19"/>
  <c r="T200" i="19"/>
  <c r="T199" i="19"/>
  <c r="T198" i="19"/>
  <c r="T197" i="19"/>
  <c r="T196" i="19"/>
  <c r="T195" i="19"/>
  <c r="T194" i="19"/>
  <c r="T193" i="19"/>
  <c r="T192" i="19"/>
  <c r="T191" i="19"/>
  <c r="T190" i="19"/>
  <c r="T189" i="19"/>
  <c r="T188" i="19"/>
  <c r="T187" i="19"/>
  <c r="T186" i="19"/>
  <c r="T185" i="19"/>
  <c r="T184" i="19"/>
  <c r="T183" i="19"/>
  <c r="T182" i="19"/>
  <c r="T181" i="19"/>
  <c r="T180" i="19"/>
  <c r="T179" i="19"/>
  <c r="T178" i="19"/>
  <c r="T177" i="19"/>
  <c r="T176" i="19"/>
  <c r="T175" i="19"/>
  <c r="T174" i="19"/>
  <c r="T173" i="19"/>
  <c r="T172" i="19"/>
  <c r="T171" i="19"/>
  <c r="T170" i="19"/>
  <c r="T169" i="19"/>
  <c r="G4" i="56"/>
  <c r="E5" i="55"/>
  <c r="D3" i="55"/>
  <c r="BI14" i="53"/>
  <c r="BI15" i="53"/>
  <c r="BI16" i="53"/>
  <c r="BI17" i="53"/>
  <c r="BI18" i="53"/>
  <c r="BI19" i="53"/>
  <c r="BG15" i="53"/>
  <c r="BG16" i="53"/>
  <c r="BG17" i="53"/>
  <c r="BG18" i="53"/>
  <c r="BG19" i="53"/>
  <c r="JZ3" i="54"/>
  <c r="JZ4" i="54"/>
  <c r="JZ5" i="54"/>
  <c r="JZ6" i="54"/>
  <c r="JZ7" i="54"/>
  <c r="JZ8" i="54"/>
  <c r="JZ9" i="54"/>
  <c r="JZ10" i="54"/>
  <c r="JZ11" i="54"/>
  <c r="JZ12" i="54"/>
  <c r="JZ13" i="54"/>
  <c r="JZ14" i="54"/>
  <c r="JZ15" i="54"/>
  <c r="JZ16" i="54"/>
  <c r="JZ17" i="54"/>
  <c r="JZ18" i="54"/>
  <c r="JZ19" i="54"/>
  <c r="JZ20" i="54"/>
  <c r="JZ21" i="54"/>
  <c r="JZ22" i="54"/>
  <c r="JZ23" i="54"/>
  <c r="JZ24" i="54"/>
  <c r="JZ25" i="54"/>
  <c r="JZ26" i="54"/>
  <c r="JZ27" i="54"/>
  <c r="JZ28" i="54"/>
  <c r="JZ29" i="54"/>
  <c r="JZ30" i="54"/>
  <c r="JZ31" i="54"/>
  <c r="JZ32" i="54"/>
  <c r="JZ33" i="54"/>
  <c r="JZ34" i="54"/>
  <c r="JZ35" i="54"/>
  <c r="JZ36" i="54"/>
  <c r="JZ37" i="54"/>
  <c r="JZ38" i="54"/>
  <c r="JZ39" i="54"/>
  <c r="JZ40" i="54"/>
  <c r="JZ41" i="54"/>
  <c r="JZ42" i="54"/>
  <c r="JZ43" i="54"/>
  <c r="JZ44" i="54"/>
  <c r="JZ45" i="54"/>
  <c r="JZ46" i="54"/>
  <c r="JZ47" i="54"/>
  <c r="JZ48" i="54"/>
  <c r="JZ49" i="54"/>
  <c r="JZ50" i="54"/>
  <c r="JZ51" i="54"/>
  <c r="JZ52" i="54"/>
  <c r="JZ53" i="54"/>
  <c r="JZ54" i="54"/>
  <c r="JZ55" i="54"/>
  <c r="JZ56" i="54"/>
  <c r="JZ57" i="54"/>
  <c r="JU23" i="54"/>
  <c r="JT3" i="54"/>
  <c r="JT4" i="54"/>
  <c r="JT5" i="54"/>
  <c r="JT6" i="54"/>
  <c r="JT7" i="54"/>
  <c r="JT8" i="54"/>
  <c r="JT9" i="54"/>
  <c r="JT10" i="54"/>
  <c r="JT11" i="54"/>
  <c r="JT12" i="54"/>
  <c r="JT13" i="54"/>
  <c r="JT14" i="54"/>
  <c r="JT15" i="54"/>
  <c r="JT16" i="54"/>
  <c r="JT17" i="54"/>
  <c r="JT18" i="54"/>
  <c r="JT19" i="54"/>
  <c r="JT20" i="54"/>
  <c r="JT21" i="54"/>
  <c r="JT22" i="54"/>
  <c r="JT23" i="54"/>
  <c r="JT24" i="54"/>
  <c r="JT25" i="54"/>
  <c r="JT26" i="54"/>
  <c r="JT27" i="54"/>
  <c r="JT28" i="54"/>
  <c r="JT29" i="54"/>
  <c r="JT30" i="54"/>
  <c r="JT31" i="54"/>
  <c r="JT32" i="54"/>
  <c r="JT33" i="54"/>
  <c r="JT34" i="54"/>
  <c r="JT35" i="54"/>
  <c r="JT36" i="54"/>
  <c r="JT37" i="54"/>
  <c r="JT38" i="54"/>
  <c r="JT39" i="54"/>
  <c r="JT40" i="54"/>
  <c r="JT41" i="54"/>
  <c r="JT42" i="54"/>
  <c r="JT43" i="54"/>
  <c r="JT44" i="54"/>
  <c r="JT45" i="54"/>
  <c r="JT46" i="54"/>
  <c r="JT47" i="54"/>
  <c r="JT48" i="54"/>
  <c r="JT49" i="54"/>
  <c r="JT50" i="54"/>
  <c r="JT51" i="54"/>
  <c r="JT52" i="54"/>
  <c r="JT53" i="54"/>
  <c r="JT54" i="54"/>
  <c r="JT55" i="54"/>
  <c r="JT56" i="54"/>
  <c r="JT57" i="54"/>
  <c r="JJ3" i="54"/>
  <c r="JJ4" i="54"/>
  <c r="JJ5" i="54"/>
  <c r="JJ6" i="54"/>
  <c r="JJ7" i="54"/>
  <c r="JJ8" i="54"/>
  <c r="JJ9" i="54"/>
  <c r="JJ10" i="54"/>
  <c r="JJ11" i="54"/>
  <c r="JJ12" i="54"/>
  <c r="JJ13" i="54"/>
  <c r="JJ14" i="54"/>
  <c r="JJ15" i="54"/>
  <c r="JJ16" i="54"/>
  <c r="JJ17" i="54"/>
  <c r="JJ18" i="54"/>
  <c r="JJ19" i="54"/>
  <c r="JJ20" i="54"/>
  <c r="JJ21" i="54"/>
  <c r="JJ22" i="54"/>
  <c r="JJ23" i="54"/>
  <c r="JJ24" i="54"/>
  <c r="JJ25" i="54"/>
  <c r="JJ26" i="54"/>
  <c r="JJ27" i="54"/>
  <c r="JJ28" i="54"/>
  <c r="JJ29" i="54"/>
  <c r="JJ30" i="54"/>
  <c r="JJ31" i="54"/>
  <c r="JJ32" i="54"/>
  <c r="JJ33" i="54"/>
  <c r="JJ34" i="54"/>
  <c r="JJ35" i="54"/>
  <c r="JJ36" i="54"/>
  <c r="JJ37" i="54"/>
  <c r="JJ38" i="54"/>
  <c r="JJ39" i="54"/>
  <c r="JJ40" i="54"/>
  <c r="JJ41" i="54"/>
  <c r="JJ42" i="54"/>
  <c r="JJ43" i="54"/>
  <c r="JJ44" i="54"/>
  <c r="JJ45" i="54"/>
  <c r="JJ46" i="54"/>
  <c r="JJ47" i="54"/>
  <c r="JJ48" i="54"/>
  <c r="JJ49" i="54"/>
  <c r="JJ50" i="54"/>
  <c r="JJ51" i="54"/>
  <c r="JJ52" i="54"/>
  <c r="JJ53" i="54"/>
  <c r="JJ54" i="54"/>
  <c r="JJ55" i="54"/>
  <c r="JJ56" i="54"/>
  <c r="JJ57" i="54"/>
  <c r="JI34" i="54"/>
  <c r="JI38" i="54"/>
  <c r="JH34" i="54"/>
  <c r="JH38" i="54"/>
  <c r="JD3" i="54"/>
  <c r="JD4" i="54"/>
  <c r="JD5" i="54"/>
  <c r="JD6" i="54"/>
  <c r="JD7" i="54"/>
  <c r="JD8" i="54"/>
  <c r="JD9" i="54"/>
  <c r="JD10" i="54"/>
  <c r="JD11" i="54"/>
  <c r="JD12" i="54"/>
  <c r="JD13" i="54"/>
  <c r="JD14" i="54"/>
  <c r="JD15" i="54"/>
  <c r="JD16" i="54"/>
  <c r="JD17" i="54"/>
  <c r="JD18" i="54"/>
  <c r="JD19" i="54"/>
  <c r="JD20" i="54"/>
  <c r="JD21" i="54"/>
  <c r="JD22" i="54"/>
  <c r="JD23" i="54"/>
  <c r="JD24" i="54"/>
  <c r="JD25" i="54"/>
  <c r="JD26" i="54"/>
  <c r="JD27" i="54"/>
  <c r="JD28" i="54"/>
  <c r="JD29" i="54"/>
  <c r="JD30" i="54"/>
  <c r="JD31" i="54"/>
  <c r="JD32" i="54"/>
  <c r="JD33" i="54"/>
  <c r="JD34" i="54"/>
  <c r="JD35" i="54"/>
  <c r="JD36" i="54"/>
  <c r="JD37" i="54"/>
  <c r="JD38" i="54"/>
  <c r="JD39" i="54"/>
  <c r="JD40" i="54"/>
  <c r="JD41" i="54"/>
  <c r="JD42" i="54"/>
  <c r="JD43" i="54"/>
  <c r="JD44" i="54"/>
  <c r="JD45" i="54"/>
  <c r="JD46" i="54"/>
  <c r="JD47" i="54"/>
  <c r="JD48" i="54"/>
  <c r="JD49" i="54"/>
  <c r="JD50" i="54"/>
  <c r="JD51" i="54"/>
  <c r="JD52" i="54"/>
  <c r="JD53" i="54"/>
  <c r="JD54" i="54"/>
  <c r="JD55" i="54"/>
  <c r="JD56" i="54"/>
  <c r="JD57" i="54"/>
  <c r="JB3" i="54"/>
  <c r="JB4" i="54"/>
  <c r="JB5" i="54"/>
  <c r="JB6" i="54"/>
  <c r="JB7" i="54"/>
  <c r="JB8" i="54"/>
  <c r="JB9" i="54"/>
  <c r="JB10" i="54"/>
  <c r="JB11" i="54"/>
  <c r="JB12" i="54"/>
  <c r="JB13" i="54"/>
  <c r="JB14" i="54"/>
  <c r="JB15" i="54"/>
  <c r="JB16" i="54"/>
  <c r="JB17" i="54"/>
  <c r="JB18" i="54"/>
  <c r="JB19" i="54"/>
  <c r="JB20" i="54"/>
  <c r="JB21" i="54"/>
  <c r="JB22" i="54"/>
  <c r="JB23" i="54"/>
  <c r="JB24" i="54"/>
  <c r="JB25" i="54"/>
  <c r="JB26" i="54"/>
  <c r="JB27" i="54"/>
  <c r="JB28" i="54"/>
  <c r="JB29" i="54"/>
  <c r="JB30" i="54"/>
  <c r="JB31" i="54"/>
  <c r="JB32" i="54"/>
  <c r="JB33" i="54"/>
  <c r="JB34" i="54"/>
  <c r="JB35" i="54"/>
  <c r="JB36" i="54"/>
  <c r="JB37" i="54"/>
  <c r="JB38" i="54"/>
  <c r="JB39" i="54"/>
  <c r="JB40" i="54"/>
  <c r="JB41" i="54"/>
  <c r="JB42" i="54"/>
  <c r="JB43" i="54"/>
  <c r="JB44" i="54"/>
  <c r="JB45" i="54"/>
  <c r="JB46" i="54"/>
  <c r="JB47" i="54"/>
  <c r="JB48" i="54"/>
  <c r="JB49" i="54"/>
  <c r="JB50" i="54"/>
  <c r="JB51" i="54"/>
  <c r="JB52" i="54"/>
  <c r="JB53" i="54"/>
  <c r="JB54" i="54"/>
  <c r="JB55" i="54"/>
  <c r="JB56" i="54"/>
  <c r="JB57" i="54"/>
  <c r="IB57" i="54"/>
  <c r="IA3" i="54"/>
  <c r="IA57" i="54"/>
  <c r="HZ44" i="54"/>
  <c r="HZ57" i="54"/>
  <c r="HY9" i="54"/>
  <c r="HX15" i="54"/>
  <c r="HW57" i="54"/>
  <c r="HQ34" i="54"/>
  <c r="HQ38" i="54"/>
  <c r="HN42" i="54"/>
  <c r="HL3" i="54"/>
  <c r="HL4" i="54"/>
  <c r="JO4" i="54" s="1"/>
  <c r="JP4" i="54" s="1"/>
  <c r="HL16" i="54"/>
  <c r="HM16" i="54" s="1"/>
  <c r="M16" i="54" s="1"/>
  <c r="HN16" i="54" s="1"/>
  <c r="HL23" i="54"/>
  <c r="HL26" i="54"/>
  <c r="HM26" i="54" s="1"/>
  <c r="M26" i="54" s="1"/>
  <c r="HN26" i="54" s="1"/>
  <c r="HL41" i="54"/>
  <c r="HL48" i="54"/>
  <c r="HL54" i="54"/>
  <c r="HL55" i="54"/>
  <c r="GZ3" i="54"/>
  <c r="GZ4" i="54"/>
  <c r="GZ5" i="54"/>
  <c r="GZ6" i="54"/>
  <c r="GZ7" i="54"/>
  <c r="GZ8" i="54"/>
  <c r="GZ9" i="54"/>
  <c r="GZ10" i="54"/>
  <c r="GZ11" i="54"/>
  <c r="GZ12" i="54"/>
  <c r="GZ13" i="54"/>
  <c r="GZ14" i="54"/>
  <c r="GZ15" i="54"/>
  <c r="GZ16" i="54"/>
  <c r="GZ17" i="54"/>
  <c r="HE17" i="54" s="1"/>
  <c r="GZ18" i="54"/>
  <c r="GZ19" i="54"/>
  <c r="GZ20" i="54"/>
  <c r="GZ21" i="54"/>
  <c r="HE21" i="54" s="1"/>
  <c r="GZ22" i="54"/>
  <c r="GZ23" i="54"/>
  <c r="GZ24" i="54"/>
  <c r="GZ25" i="54"/>
  <c r="GZ26" i="54"/>
  <c r="GZ27" i="54"/>
  <c r="GZ28" i="54"/>
  <c r="GZ29" i="54"/>
  <c r="GZ30" i="54"/>
  <c r="GZ31" i="54"/>
  <c r="HA31" i="54" s="1"/>
  <c r="HB31" i="54" s="1"/>
  <c r="HC31" i="54" s="1"/>
  <c r="GZ32" i="54"/>
  <c r="GZ33" i="54"/>
  <c r="GZ34" i="54"/>
  <c r="GZ35" i="54"/>
  <c r="GZ36" i="54"/>
  <c r="GZ37" i="54"/>
  <c r="GZ38" i="54"/>
  <c r="GZ39" i="54"/>
  <c r="GZ40" i="54"/>
  <c r="GZ41" i="54"/>
  <c r="GZ42" i="54"/>
  <c r="GZ43" i="54"/>
  <c r="GZ44" i="54"/>
  <c r="GZ45" i="54"/>
  <c r="GZ46" i="54"/>
  <c r="GZ47" i="54"/>
  <c r="GZ48" i="54"/>
  <c r="GZ49" i="54"/>
  <c r="GZ50" i="54"/>
  <c r="GZ51" i="54"/>
  <c r="GZ52" i="54"/>
  <c r="GZ53" i="54"/>
  <c r="GZ54" i="54"/>
  <c r="GZ55" i="54"/>
  <c r="GZ56" i="54"/>
  <c r="GZ57" i="54"/>
  <c r="GS34" i="54"/>
  <c r="GS38" i="54"/>
  <c r="GN34" i="54"/>
  <c r="GN38" i="54"/>
  <c r="GM34" i="54"/>
  <c r="GM38" i="54"/>
  <c r="GL34" i="54"/>
  <c r="GL38" i="54"/>
  <c r="GK34" i="54"/>
  <c r="GK38" i="54"/>
  <c r="GI23" i="54"/>
  <c r="GI34" i="54"/>
  <c r="GI38" i="54"/>
  <c r="GI50" i="54"/>
  <c r="GI51" i="54"/>
  <c r="GF34" i="54"/>
  <c r="GF38" i="54"/>
  <c r="GE34" i="54" a="1"/>
  <c r="GE34" i="54" s="1"/>
  <c r="GE38" i="54" a="1"/>
  <c r="GE38" i="54" s="1"/>
  <c r="GC34" i="54"/>
  <c r="GC38" i="54"/>
  <c r="GB24" i="54"/>
  <c r="GC24" i="54" s="1"/>
  <c r="GE24" i="54" s="1" a="1"/>
  <c r="GE24" i="54" s="1"/>
  <c r="GF24" i="54" s="1"/>
  <c r="GB25" i="54"/>
  <c r="GC25" i="54" s="1"/>
  <c r="GE25" i="54" s="1" a="1"/>
  <c r="GE25" i="54" s="1"/>
  <c r="GF25" i="54" s="1"/>
  <c r="GB51" i="54"/>
  <c r="GC51" i="54" s="1"/>
  <c r="GE51" i="54" s="1" a="1"/>
  <c r="GE51" i="54" s="1"/>
  <c r="GF51" i="54" s="1"/>
  <c r="GB53" i="54"/>
  <c r="GC53" i="54" s="1"/>
  <c r="GE53" i="54" s="1" a="1"/>
  <c r="GE53" i="54" s="1"/>
  <c r="GA5" i="54"/>
  <c r="GA7" i="54"/>
  <c r="GA10" i="54"/>
  <c r="GA11" i="54"/>
  <c r="GA34" i="54"/>
  <c r="GA35" i="54"/>
  <c r="GA38" i="54"/>
  <c r="GA56" i="54"/>
  <c r="GA57" i="54"/>
  <c r="FZ34" i="54"/>
  <c r="FZ38" i="54"/>
  <c r="FV34" i="54"/>
  <c r="FV38" i="54"/>
  <c r="FV42" i="54"/>
  <c r="FU34" i="54"/>
  <c r="L34" i="54" s="1"/>
  <c r="FU38" i="54"/>
  <c r="L38" i="54" s="1"/>
  <c r="FT3" i="54"/>
  <c r="FT4" i="54"/>
  <c r="FT5" i="54"/>
  <c r="FT6" i="54"/>
  <c r="FT7" i="54"/>
  <c r="FT8" i="54"/>
  <c r="FT9" i="54"/>
  <c r="FT10" i="54"/>
  <c r="FT11" i="54"/>
  <c r="FT12" i="54"/>
  <c r="FT13" i="54"/>
  <c r="FT14" i="54"/>
  <c r="FT15" i="54"/>
  <c r="FT16" i="54"/>
  <c r="FT17" i="54"/>
  <c r="FT18" i="54"/>
  <c r="FT19" i="54"/>
  <c r="FT20" i="54"/>
  <c r="FT21" i="54"/>
  <c r="FT22" i="54"/>
  <c r="FT23" i="54"/>
  <c r="FT24" i="54"/>
  <c r="FT25" i="54"/>
  <c r="FT26" i="54"/>
  <c r="FT27" i="54"/>
  <c r="FT28" i="54"/>
  <c r="FT29" i="54"/>
  <c r="FT30" i="54"/>
  <c r="FT31" i="54"/>
  <c r="FT32" i="54"/>
  <c r="FT33" i="54"/>
  <c r="FT34" i="54"/>
  <c r="FT35" i="54"/>
  <c r="FT36" i="54"/>
  <c r="FT37" i="54"/>
  <c r="FT38" i="54"/>
  <c r="FT39" i="54"/>
  <c r="FT40" i="54"/>
  <c r="FT41" i="54"/>
  <c r="FT42" i="54"/>
  <c r="FT43" i="54"/>
  <c r="FT44" i="54"/>
  <c r="FT45" i="54"/>
  <c r="FT46" i="54"/>
  <c r="FT47" i="54"/>
  <c r="FT48" i="54"/>
  <c r="FT49" i="54"/>
  <c r="FT50" i="54"/>
  <c r="FT51" i="54"/>
  <c r="FT52" i="54"/>
  <c r="FT53" i="54"/>
  <c r="FT54" i="54"/>
  <c r="FT55" i="54"/>
  <c r="FT56" i="54"/>
  <c r="FT57" i="54"/>
  <c r="FO38" i="54"/>
  <c r="FG34" i="54"/>
  <c r="FG38" i="54"/>
  <c r="FL38" i="54" s="1"/>
  <c r="FF3" i="54"/>
  <c r="FF18" i="54"/>
  <c r="AB18" i="54" s="1"/>
  <c r="FF31" i="54"/>
  <c r="AB31" i="54" s="1"/>
  <c r="FF34" i="54"/>
  <c r="AB34" i="54" s="1"/>
  <c r="FF35" i="54"/>
  <c r="AB35" i="54" s="1"/>
  <c r="FF38" i="54"/>
  <c r="AB38" i="54" s="1"/>
  <c r="FF39" i="54"/>
  <c r="AB39" i="54" s="1"/>
  <c r="EX32" i="54"/>
  <c r="EX34" i="54"/>
  <c r="EU13" i="54"/>
  <c r="EU14" i="54"/>
  <c r="EU39" i="54"/>
  <c r="EU40" i="54"/>
  <c r="EU41" i="54"/>
  <c r="EU42" i="54"/>
  <c r="EU44" i="54"/>
  <c r="ET7" i="54"/>
  <c r="ET10" i="54"/>
  <c r="ET11" i="54"/>
  <c r="ET12" i="54"/>
  <c r="ET13" i="54"/>
  <c r="ET46" i="54"/>
  <c r="ET51" i="54"/>
  <c r="ES16" i="54"/>
  <c r="ES23" i="54"/>
  <c r="ES38" i="54"/>
  <c r="ES41" i="54"/>
  <c r="EN3" i="54"/>
  <c r="ER3" i="54" s="1"/>
  <c r="EN4" i="54"/>
  <c r="EN13" i="54"/>
  <c r="EN16" i="54"/>
  <c r="EN23" i="54"/>
  <c r="EN26" i="54"/>
  <c r="ER26" i="54" s="1"/>
  <c r="EN34" i="54"/>
  <c r="EN36" i="54"/>
  <c r="EN38" i="54"/>
  <c r="EN41" i="54"/>
  <c r="ER41" i="54" s="1"/>
  <c r="EN48" i="54"/>
  <c r="EN54" i="54"/>
  <c r="ER54" i="54" s="1"/>
  <c r="EN55" i="54"/>
  <c r="EL34" i="54"/>
  <c r="EL38" i="54"/>
  <c r="EI3" i="54"/>
  <c r="EI4" i="54"/>
  <c r="EI5" i="54"/>
  <c r="EI6" i="54"/>
  <c r="EI7" i="54"/>
  <c r="EU7" i="54" s="1"/>
  <c r="EI8" i="54"/>
  <c r="EI9" i="54"/>
  <c r="EI10" i="54"/>
  <c r="EU10" i="54" s="1"/>
  <c r="EI11" i="54"/>
  <c r="EU11" i="54" s="1"/>
  <c r="EI12" i="54"/>
  <c r="EU12" i="54" s="1"/>
  <c r="EI13" i="54"/>
  <c r="EI14" i="54"/>
  <c r="ET14" i="54" s="1"/>
  <c r="EI15" i="54"/>
  <c r="EI17" i="54"/>
  <c r="EI18" i="54"/>
  <c r="EI19" i="54"/>
  <c r="EU19" i="54" s="1"/>
  <c r="EI20" i="54"/>
  <c r="EI21" i="54"/>
  <c r="EI22" i="54"/>
  <c r="EI23" i="54"/>
  <c r="EU23" i="54" s="1"/>
  <c r="EI24" i="54"/>
  <c r="EI25" i="54"/>
  <c r="ET25" i="54" s="1"/>
  <c r="EI27" i="54"/>
  <c r="ET27" i="54" s="1"/>
  <c r="EI28" i="54"/>
  <c r="EI29" i="54"/>
  <c r="ET29" i="54" s="1"/>
  <c r="EI30" i="54"/>
  <c r="ET30" i="54" s="1"/>
  <c r="EI31" i="54"/>
  <c r="EU31" i="54" s="1"/>
  <c r="EI32" i="54"/>
  <c r="EU32" i="54" s="1"/>
  <c r="EI33" i="54"/>
  <c r="EU33" i="54" s="1"/>
  <c r="EI35" i="54"/>
  <c r="EU35" i="54" s="1"/>
  <c r="EI36" i="54"/>
  <c r="EI37" i="54"/>
  <c r="EI38" i="54"/>
  <c r="EI39" i="54"/>
  <c r="ET39" i="54" s="1"/>
  <c r="EI40" i="54"/>
  <c r="ET40" i="54" s="1"/>
  <c r="EI41" i="54"/>
  <c r="EI42" i="54"/>
  <c r="ET42" i="54" s="1"/>
  <c r="EI43" i="54"/>
  <c r="EU43" i="54" s="1"/>
  <c r="EI45" i="54"/>
  <c r="ET45" i="54" s="1"/>
  <c r="EI46" i="54"/>
  <c r="EI47" i="54"/>
  <c r="EU47" i="54" s="1"/>
  <c r="EI49" i="54"/>
  <c r="EI50" i="54"/>
  <c r="ET50" i="54" s="1"/>
  <c r="EI51" i="54"/>
  <c r="EU51" i="54" s="1"/>
  <c r="EI52" i="54"/>
  <c r="EI53" i="54"/>
  <c r="EI54" i="54"/>
  <c r="EI55" i="54"/>
  <c r="ET55" i="54" s="1"/>
  <c r="EI56" i="54"/>
  <c r="ET56" i="54" s="1"/>
  <c r="EI57" i="54"/>
  <c r="EH3" i="54"/>
  <c r="K3" i="54" s="1"/>
  <c r="EH4" i="54"/>
  <c r="K4" i="54" s="1"/>
  <c r="EH5" i="54"/>
  <c r="EH6" i="54"/>
  <c r="EH7" i="54"/>
  <c r="EH8" i="54"/>
  <c r="EH9" i="54"/>
  <c r="EH10" i="54"/>
  <c r="EH11" i="54"/>
  <c r="EH12" i="54"/>
  <c r="EH13" i="54"/>
  <c r="EH14" i="54"/>
  <c r="EH15" i="54"/>
  <c r="EH16" i="54"/>
  <c r="K16" i="54" s="1"/>
  <c r="EI16" i="54" s="1"/>
  <c r="EH17" i="54"/>
  <c r="EH18" i="54"/>
  <c r="EH19" i="54"/>
  <c r="EH20" i="54"/>
  <c r="EH21" i="54"/>
  <c r="EH22" i="54"/>
  <c r="EH23" i="54"/>
  <c r="K23" i="54" s="1"/>
  <c r="EH24" i="54"/>
  <c r="EH25" i="54"/>
  <c r="EH26" i="54"/>
  <c r="K26" i="54" s="1"/>
  <c r="EI26" i="54" s="1"/>
  <c r="EH27" i="54"/>
  <c r="EH28" i="54"/>
  <c r="EH29" i="54"/>
  <c r="EH30" i="54"/>
  <c r="EH31" i="54"/>
  <c r="EH32" i="54"/>
  <c r="EH33" i="54"/>
  <c r="EH34" i="54"/>
  <c r="K34" i="54" s="1"/>
  <c r="EI34" i="54" s="1"/>
  <c r="EH35" i="54"/>
  <c r="EH36" i="54"/>
  <c r="EH37" i="54"/>
  <c r="EH38" i="54"/>
  <c r="K38" i="54" s="1"/>
  <c r="EH39" i="54"/>
  <c r="EH40" i="54"/>
  <c r="EH41" i="54"/>
  <c r="EH42" i="54"/>
  <c r="EH43" i="54"/>
  <c r="EH44" i="54"/>
  <c r="K44" i="54" s="1"/>
  <c r="EI44" i="54" s="1"/>
  <c r="ET44" i="54" s="1"/>
  <c r="EH45" i="54"/>
  <c r="EH46" i="54"/>
  <c r="EH47" i="54"/>
  <c r="EH48" i="54"/>
  <c r="K48" i="54" s="1"/>
  <c r="EI48" i="54" s="1"/>
  <c r="EH49" i="54"/>
  <c r="EH50" i="54"/>
  <c r="EH51" i="54"/>
  <c r="EH52" i="54"/>
  <c r="EH53" i="54"/>
  <c r="EH54" i="54"/>
  <c r="K54" i="54" s="1"/>
  <c r="EH55" i="54"/>
  <c r="K55" i="54" s="1"/>
  <c r="EH56" i="54"/>
  <c r="EH57" i="54"/>
  <c r="EC15" i="54"/>
  <c r="EC16" i="54"/>
  <c r="EC31" i="54"/>
  <c r="EA3" i="54"/>
  <c r="EA4" i="54"/>
  <c r="EA5" i="54"/>
  <c r="EA6" i="54"/>
  <c r="EA7" i="54"/>
  <c r="EA8" i="54"/>
  <c r="EA9" i="54"/>
  <c r="EA10" i="54"/>
  <c r="EA11" i="54"/>
  <c r="EA12" i="54"/>
  <c r="EA13" i="54"/>
  <c r="EA14" i="54"/>
  <c r="EA15" i="54"/>
  <c r="EA16" i="54"/>
  <c r="EA17" i="54"/>
  <c r="EA18" i="54"/>
  <c r="EA19" i="54"/>
  <c r="EA20" i="54"/>
  <c r="EA21" i="54"/>
  <c r="EA22" i="54"/>
  <c r="EA23" i="54"/>
  <c r="EA24" i="54"/>
  <c r="EA25" i="54"/>
  <c r="EA26" i="54"/>
  <c r="EA27" i="54"/>
  <c r="EA28" i="54"/>
  <c r="EA29" i="54"/>
  <c r="EA30" i="54"/>
  <c r="EA31" i="54"/>
  <c r="EA32" i="54"/>
  <c r="EA33" i="54"/>
  <c r="EA34" i="54"/>
  <c r="EA35" i="54"/>
  <c r="EA36" i="54"/>
  <c r="EA37" i="54"/>
  <c r="EA38" i="54"/>
  <c r="EA39" i="54"/>
  <c r="EA40" i="54"/>
  <c r="EA41" i="54"/>
  <c r="EA42" i="54"/>
  <c r="EA43" i="54"/>
  <c r="EA44" i="54"/>
  <c r="EA45" i="54"/>
  <c r="EA46" i="54"/>
  <c r="EA47" i="54"/>
  <c r="EA48" i="54"/>
  <c r="EA49" i="54"/>
  <c r="EA50" i="54"/>
  <c r="EA51" i="54"/>
  <c r="EA52" i="54"/>
  <c r="EA53" i="54"/>
  <c r="EA54" i="54"/>
  <c r="EA55" i="54"/>
  <c r="EA56" i="54"/>
  <c r="EA57" i="54"/>
  <c r="DZ39" i="54"/>
  <c r="DZ46" i="54"/>
  <c r="DQ29" i="54"/>
  <c r="DQ32" i="54"/>
  <c r="DQ33" i="54"/>
  <c r="DP13" i="54"/>
  <c r="DO34" i="54"/>
  <c r="G34" i="54" s="1"/>
  <c r="DP34" i="54" s="1"/>
  <c r="DO38" i="54"/>
  <c r="G38" i="54" s="1"/>
  <c r="DP38" i="54" s="1"/>
  <c r="DN17" i="54"/>
  <c r="DN18" i="54"/>
  <c r="DN19" i="54"/>
  <c r="DN48" i="54"/>
  <c r="DN49" i="54"/>
  <c r="DN50" i="54"/>
  <c r="DN51" i="54"/>
  <c r="DM34" i="54"/>
  <c r="DM38" i="54"/>
  <c r="DL3" i="54"/>
  <c r="DL34" i="54"/>
  <c r="DL38" i="54"/>
  <c r="DK34" i="54"/>
  <c r="DK38" i="54"/>
  <c r="DJ34" i="54"/>
  <c r="DJ38" i="54"/>
  <c r="DI3" i="54"/>
  <c r="H3" i="54" s="1"/>
  <c r="DJ3" i="54" s="1"/>
  <c r="DI4" i="54"/>
  <c r="H4" i="54" s="1"/>
  <c r="DJ4" i="54" s="1"/>
  <c r="DI5" i="54"/>
  <c r="H5" i="54" s="1"/>
  <c r="DJ5" i="54" s="1"/>
  <c r="DI6" i="54"/>
  <c r="H6" i="54" s="1"/>
  <c r="DJ6" i="54" s="1"/>
  <c r="DI11" i="54"/>
  <c r="H11" i="54" s="1"/>
  <c r="DJ11" i="54" s="1"/>
  <c r="DI20" i="54"/>
  <c r="H20" i="54" s="1"/>
  <c r="DJ20" i="54" s="1"/>
  <c r="DI21" i="54"/>
  <c r="H21" i="54" s="1"/>
  <c r="DJ21" i="54" s="1"/>
  <c r="DI34" i="54"/>
  <c r="H34" i="54" s="1"/>
  <c r="DI38" i="54"/>
  <c r="H38" i="54" s="1"/>
  <c r="DG3" i="54" a="1"/>
  <c r="DG3" i="54" s="1"/>
  <c r="DG34" i="54" a="1"/>
  <c r="DG34" i="54" s="1"/>
  <c r="DD17" i="54"/>
  <c r="DD21" i="54"/>
  <c r="DD36" i="54"/>
  <c r="DD37" i="54"/>
  <c r="DD38" i="54"/>
  <c r="DD44" i="54"/>
  <c r="DC3" i="54"/>
  <c r="I3" i="54" s="1"/>
  <c r="DD3" i="54" s="1"/>
  <c r="DF3" i="54" s="1" a="1"/>
  <c r="DF3" i="54" s="1"/>
  <c r="DC34" i="54"/>
  <c r="I34" i="54" s="1"/>
  <c r="DD34" i="54" s="1"/>
  <c r="DC38" i="54"/>
  <c r="I38" i="54" s="1"/>
  <c r="DC46" i="54"/>
  <c r="I46" i="54" s="1"/>
  <c r="DD46" i="54" s="1"/>
  <c r="CR46" i="54" s="1" a="1"/>
  <c r="CR46" i="54" s="1"/>
  <c r="DC47" i="54"/>
  <c r="I47" i="54" s="1"/>
  <c r="DD47" i="54" s="1"/>
  <c r="CR47" i="54" s="1" a="1"/>
  <c r="CR47" i="54" s="1"/>
  <c r="CT47" i="54" s="1" a="1"/>
  <c r="CT47" i="54" s="1"/>
  <c r="DC48" i="54"/>
  <c r="I48" i="54" s="1"/>
  <c r="DD48" i="54" s="1"/>
  <c r="DB6" i="54"/>
  <c r="DB7" i="54"/>
  <c r="DB8" i="54"/>
  <c r="DB25" i="54"/>
  <c r="DB26" i="54"/>
  <c r="DB27" i="54"/>
  <c r="DB28" i="54"/>
  <c r="DB34" i="54"/>
  <c r="DB38" i="54"/>
  <c r="DB48" i="54"/>
  <c r="CZ34" i="54"/>
  <c r="CZ38" i="54"/>
  <c r="CQ7" i="54"/>
  <c r="CQ8" i="54"/>
  <c r="CQ9" i="54"/>
  <c r="CQ25" i="54"/>
  <c r="CP34" i="54"/>
  <c r="Y34" i="54" s="1"/>
  <c r="CP38" i="54"/>
  <c r="Y38" i="54" s="1"/>
  <c r="CO16" i="54"/>
  <c r="CP16" i="54" s="1"/>
  <c r="Y16" i="54" s="1"/>
  <c r="CO18" i="54"/>
  <c r="CP18" i="54" s="1"/>
  <c r="Y18" i="54" s="1"/>
  <c r="CO34" i="54"/>
  <c r="CO39" i="54"/>
  <c r="CP39" i="54" s="1"/>
  <c r="Y39" i="54" s="1"/>
  <c r="CO47" i="54"/>
  <c r="CP47" i="54" s="1"/>
  <c r="Y47" i="54" s="1"/>
  <c r="CO48" i="54"/>
  <c r="CP48" i="54" s="1"/>
  <c r="Y48" i="54" s="1"/>
  <c r="CO56" i="54"/>
  <c r="CP56" i="54" s="1"/>
  <c r="Y56" i="54" s="1"/>
  <c r="CO57" i="54"/>
  <c r="CP57" i="54" s="1"/>
  <c r="Y57" i="54" s="1"/>
  <c r="CN14" i="54"/>
  <c r="CN15" i="54"/>
  <c r="CN16" i="54"/>
  <c r="CN52" i="54"/>
  <c r="CN57" i="54"/>
  <c r="CM4" i="54"/>
  <c r="CM7" i="54"/>
  <c r="CM13" i="54"/>
  <c r="CM14" i="54"/>
  <c r="CM15" i="54"/>
  <c r="CM16" i="54"/>
  <c r="CM20" i="54"/>
  <c r="CM23" i="54"/>
  <c r="CM46" i="54"/>
  <c r="CM56" i="54"/>
  <c r="CM57" i="54"/>
  <c r="CL4" i="54"/>
  <c r="CL5" i="54"/>
  <c r="CL6" i="54"/>
  <c r="CL7" i="54"/>
  <c r="CL23" i="54"/>
  <c r="CL39" i="54"/>
  <c r="CL45" i="54"/>
  <c r="CL48" i="54"/>
  <c r="CL49" i="54"/>
  <c r="CL57" i="54"/>
  <c r="CK4" i="54"/>
  <c r="CK6" i="54"/>
  <c r="CK9" i="54"/>
  <c r="CK14" i="54"/>
  <c r="CK15" i="54"/>
  <c r="CK29" i="54"/>
  <c r="CK48" i="54"/>
  <c r="CK49" i="54"/>
  <c r="CK52" i="54"/>
  <c r="CK57" i="54"/>
  <c r="CJ12" i="54"/>
  <c r="CJ13" i="54"/>
  <c r="CJ15" i="54"/>
  <c r="CJ20" i="54"/>
  <c r="CJ27" i="54"/>
  <c r="CJ29" i="54"/>
  <c r="CJ36" i="54"/>
  <c r="CJ38" i="54"/>
  <c r="CJ37" i="54" s="1"/>
  <c r="CJ39" i="54"/>
  <c r="CJ57" i="54"/>
  <c r="CI34" i="54"/>
  <c r="CI38" i="54"/>
  <c r="CH3" i="54"/>
  <c r="CH4" i="54"/>
  <c r="CH5" i="54"/>
  <c r="CH6" i="54"/>
  <c r="CH7" i="54"/>
  <c r="CH8" i="54"/>
  <c r="CH9" i="54"/>
  <c r="CH10" i="54"/>
  <c r="CH11" i="54"/>
  <c r="CH12" i="54"/>
  <c r="CH13" i="54"/>
  <c r="CH14" i="54"/>
  <c r="CH15" i="54"/>
  <c r="CH16" i="54"/>
  <c r="CH17" i="54"/>
  <c r="CH18" i="54"/>
  <c r="CH19" i="54"/>
  <c r="CH20" i="54"/>
  <c r="CH21" i="54"/>
  <c r="CH22" i="54"/>
  <c r="CH23" i="54"/>
  <c r="CH24" i="54"/>
  <c r="CH25" i="54"/>
  <c r="CH26" i="54"/>
  <c r="CH27" i="54"/>
  <c r="CH28" i="54"/>
  <c r="CH29" i="54"/>
  <c r="CH30" i="54"/>
  <c r="CH31" i="54"/>
  <c r="CH32" i="54"/>
  <c r="CH33" i="54"/>
  <c r="CH34" i="54"/>
  <c r="CH35" i="54"/>
  <c r="CH36" i="54"/>
  <c r="CH37" i="54"/>
  <c r="CH38" i="54"/>
  <c r="CH39" i="54"/>
  <c r="CH40" i="54"/>
  <c r="CH41" i="54"/>
  <c r="CH42" i="54"/>
  <c r="CH43" i="54"/>
  <c r="CH44" i="54"/>
  <c r="CH45" i="54"/>
  <c r="CH46" i="54"/>
  <c r="CH47" i="54"/>
  <c r="CH48" i="54"/>
  <c r="CH49" i="54"/>
  <c r="CH50" i="54"/>
  <c r="CH51" i="54"/>
  <c r="CH52" i="54"/>
  <c r="CH53" i="54"/>
  <c r="CH54" i="54"/>
  <c r="CH55" i="54"/>
  <c r="CH56" i="54"/>
  <c r="CH57" i="54"/>
  <c r="CG3" i="54"/>
  <c r="CG13" i="54"/>
  <c r="JW13" i="54" s="1"/>
  <c r="CG14" i="54"/>
  <c r="JW14" i="54" s="1"/>
  <c r="CG18" i="54"/>
  <c r="CG29" i="54"/>
  <c r="CR29" i="54" s="1" a="1"/>
  <c r="CR29" i="54" s="1"/>
  <c r="CG30" i="54"/>
  <c r="CG31" i="54"/>
  <c r="CG33" i="54"/>
  <c r="CG34" i="54"/>
  <c r="CG46" i="54"/>
  <c r="CG47" i="54"/>
  <c r="CG48" i="54"/>
  <c r="CF3" i="54"/>
  <c r="CF4" i="54"/>
  <c r="CF5" i="54"/>
  <c r="HW4" i="54" s="1"/>
  <c r="CF6" i="54"/>
  <c r="CF7" i="54"/>
  <c r="CF8" i="54"/>
  <c r="CF9" i="54"/>
  <c r="CF10" i="54"/>
  <c r="CF11" i="54"/>
  <c r="CF12" i="54"/>
  <c r="IA11" i="54" s="1"/>
  <c r="CF13" i="54"/>
  <c r="IA12" i="54" s="1"/>
  <c r="CF14" i="54"/>
  <c r="CK13" i="54" s="1"/>
  <c r="CF15" i="54"/>
  <c r="CF16" i="54"/>
  <c r="CF17" i="54"/>
  <c r="CG17" i="54" s="1"/>
  <c r="CF18" i="54"/>
  <c r="CF19" i="54"/>
  <c r="CF20" i="54"/>
  <c r="CF21" i="54"/>
  <c r="CL20" i="54" s="1"/>
  <c r="CF22" i="54"/>
  <c r="CF23" i="54"/>
  <c r="CL22" i="54" s="1"/>
  <c r="CF24" i="54"/>
  <c r="CF25" i="54"/>
  <c r="CF26" i="54"/>
  <c r="CF27" i="54"/>
  <c r="CF28" i="54"/>
  <c r="CF29" i="54"/>
  <c r="CF30" i="54"/>
  <c r="CL29" i="54" s="1"/>
  <c r="CF31" i="54"/>
  <c r="CN30" i="54" s="1"/>
  <c r="CF32" i="54"/>
  <c r="CG32" i="54" s="1"/>
  <c r="DY32" i="54" s="1"/>
  <c r="CF33" i="54"/>
  <c r="CF34" i="54"/>
  <c r="CF35" i="54"/>
  <c r="CF36" i="54"/>
  <c r="CF37" i="54"/>
  <c r="CF38" i="54"/>
  <c r="CF39" i="54"/>
  <c r="CN38" i="54" s="1"/>
  <c r="CN37" i="54" s="1"/>
  <c r="CF40" i="54"/>
  <c r="CM39" i="54" s="1"/>
  <c r="CF41" i="54"/>
  <c r="CL40" i="54" s="1"/>
  <c r="CF42" i="54"/>
  <c r="CF43" i="54"/>
  <c r="CL42" i="54" s="1"/>
  <c r="CF44" i="54"/>
  <c r="CF45" i="54"/>
  <c r="CG45" i="54" s="1"/>
  <c r="CF46" i="54"/>
  <c r="CF47" i="54"/>
  <c r="CF48" i="54"/>
  <c r="CF49" i="54"/>
  <c r="CM48" i="54" s="1"/>
  <c r="CF50" i="54"/>
  <c r="CM49" i="54" s="1"/>
  <c r="CF51" i="54"/>
  <c r="CJ50" i="54" s="1"/>
  <c r="CF52" i="54"/>
  <c r="CJ51" i="54" s="1"/>
  <c r="CF53" i="54"/>
  <c r="CF54" i="54"/>
  <c r="CN53" i="54" s="1"/>
  <c r="CF55" i="54"/>
  <c r="CF56" i="54"/>
  <c r="CN55" i="54" s="1"/>
  <c r="CF57" i="54"/>
  <c r="CE34" i="54" a="1"/>
  <c r="CE34" i="54" s="1"/>
  <c r="EK34" i="54" s="1"/>
  <c r="CE38" i="54" a="1"/>
  <c r="CE38" i="54" s="1"/>
  <c r="EK38" i="54" s="1"/>
  <c r="CD3" i="54"/>
  <c r="CD21" i="54"/>
  <c r="CD22" i="54"/>
  <c r="CD23" i="54"/>
  <c r="CD32" i="54"/>
  <c r="CD33" i="54"/>
  <c r="CD34" i="54"/>
  <c r="CD35" i="54"/>
  <c r="CD49" i="54"/>
  <c r="CD50" i="54"/>
  <c r="CD51" i="54"/>
  <c r="CC5" i="54"/>
  <c r="CC9" i="54"/>
  <c r="CC23" i="54"/>
  <c r="CC24" i="54"/>
  <c r="CC25" i="54"/>
  <c r="CC26" i="54"/>
  <c r="CC31" i="54"/>
  <c r="CC32" i="54"/>
  <c r="CC37" i="54"/>
  <c r="CC41" i="54"/>
  <c r="CC42" i="54"/>
  <c r="CC57" i="54"/>
  <c r="CB3" i="54"/>
  <c r="CB4" i="54"/>
  <c r="CB5" i="54"/>
  <c r="CB6" i="54"/>
  <c r="CB7" i="54"/>
  <c r="CB8" i="54"/>
  <c r="CB9" i="54"/>
  <c r="CB10" i="54"/>
  <c r="CB11" i="54"/>
  <c r="CB12" i="54"/>
  <c r="CB13" i="54"/>
  <c r="CB14" i="54"/>
  <c r="CB15" i="54"/>
  <c r="CB16" i="54"/>
  <c r="CB17" i="54"/>
  <c r="CB18" i="54"/>
  <c r="EB18" i="54" s="1"/>
  <c r="CB19" i="54"/>
  <c r="CB20" i="54"/>
  <c r="CB21" i="54"/>
  <c r="CB22" i="54"/>
  <c r="CB23" i="54"/>
  <c r="CB24" i="54"/>
  <c r="CB25" i="54"/>
  <c r="CB26" i="54"/>
  <c r="CB27" i="54"/>
  <c r="CB28" i="54"/>
  <c r="CB29" i="54"/>
  <c r="CB30" i="54"/>
  <c r="CB31" i="54"/>
  <c r="CB32" i="54"/>
  <c r="CB33" i="54"/>
  <c r="CB34" i="54"/>
  <c r="CB35" i="54"/>
  <c r="CB36" i="54"/>
  <c r="CB37" i="54"/>
  <c r="CB38" i="54"/>
  <c r="CB39" i="54"/>
  <c r="CB40" i="54"/>
  <c r="CB41" i="54"/>
  <c r="CB42" i="54"/>
  <c r="CB43" i="54"/>
  <c r="CB45" i="54"/>
  <c r="CB46" i="54"/>
  <c r="CB47" i="54"/>
  <c r="CB48" i="54"/>
  <c r="CB49" i="54"/>
  <c r="CB50" i="54"/>
  <c r="EB50" i="54" s="1"/>
  <c r="CB51" i="54"/>
  <c r="CB52" i="54"/>
  <c r="CB53" i="54"/>
  <c r="CB54" i="54"/>
  <c r="CB55" i="54"/>
  <c r="CB56" i="54"/>
  <c r="CB57" i="54"/>
  <c r="CA29" i="54"/>
  <c r="CA30" i="54"/>
  <c r="CA31" i="54"/>
  <c r="CA32" i="54"/>
  <c r="CA33" i="54"/>
  <c r="CA34" i="54"/>
  <c r="AO34" i="54" s="1"/>
  <c r="CA38" i="54"/>
  <c r="AO38" i="54" s="1"/>
  <c r="BZ3" i="54"/>
  <c r="BZ4" i="54"/>
  <c r="BZ5" i="54"/>
  <c r="BZ6" i="54"/>
  <c r="EX6" i="54" s="1"/>
  <c r="BZ7" i="54"/>
  <c r="BZ8" i="54"/>
  <c r="BZ9" i="54"/>
  <c r="CA9" i="54" s="1"/>
  <c r="BZ10" i="54"/>
  <c r="BZ11" i="54"/>
  <c r="BZ12" i="54"/>
  <c r="EC12" i="54" s="1"/>
  <c r="BZ13" i="54"/>
  <c r="EC13" i="54" s="1"/>
  <c r="BZ14" i="54"/>
  <c r="EC14" i="54" s="1"/>
  <c r="BZ15" i="54"/>
  <c r="BZ16" i="54"/>
  <c r="EX16" i="54" s="1"/>
  <c r="BZ17" i="54"/>
  <c r="BZ18" i="54"/>
  <c r="BZ19" i="54"/>
  <c r="BZ20" i="54"/>
  <c r="BZ21" i="54"/>
  <c r="BZ22" i="54"/>
  <c r="BZ23" i="54"/>
  <c r="BZ24" i="54"/>
  <c r="BZ25" i="54"/>
  <c r="BZ26" i="54"/>
  <c r="BZ27" i="54"/>
  <c r="BZ28" i="54"/>
  <c r="BZ29" i="54"/>
  <c r="EX29" i="54" s="1"/>
  <c r="BZ30" i="54"/>
  <c r="EX30" i="54" s="1"/>
  <c r="BZ31" i="54"/>
  <c r="BZ32" i="54"/>
  <c r="EC32" i="54" s="1"/>
  <c r="BZ33" i="54"/>
  <c r="EX33" i="54" s="1"/>
  <c r="BZ34" i="54"/>
  <c r="EC34" i="54" s="1"/>
  <c r="EY34" i="54" s="1"/>
  <c r="BZ35" i="54"/>
  <c r="EX35" i="54" s="1"/>
  <c r="BZ36" i="54"/>
  <c r="BZ37" i="54"/>
  <c r="BZ38" i="54"/>
  <c r="EX38" i="54" s="1"/>
  <c r="BZ39" i="54"/>
  <c r="EX39" i="54" s="1"/>
  <c r="BZ40" i="54"/>
  <c r="EC40" i="54" s="1"/>
  <c r="BZ41" i="54"/>
  <c r="BZ42" i="54"/>
  <c r="BZ43" i="54"/>
  <c r="BZ45" i="54"/>
  <c r="EC45" i="54" s="1"/>
  <c r="BZ46" i="54"/>
  <c r="BZ47" i="54"/>
  <c r="BZ48" i="54"/>
  <c r="BZ49" i="54"/>
  <c r="BZ50" i="54"/>
  <c r="BZ51" i="54"/>
  <c r="BZ52" i="54"/>
  <c r="BZ53" i="54"/>
  <c r="BZ54" i="54"/>
  <c r="BZ55" i="54"/>
  <c r="BZ56" i="54"/>
  <c r="BZ57" i="54"/>
  <c r="BY34" i="54"/>
  <c r="AN34" i="54" s="1"/>
  <c r="BY38" i="54"/>
  <c r="AN38" i="54" s="1"/>
  <c r="BX3" i="54"/>
  <c r="BX4" i="54"/>
  <c r="BX5" i="54"/>
  <c r="BX6" i="54"/>
  <c r="BX7" i="54"/>
  <c r="BX8" i="54"/>
  <c r="GN8" i="54" s="1"/>
  <c r="BX9" i="54"/>
  <c r="BX10" i="54"/>
  <c r="BX11" i="54"/>
  <c r="BX12" i="54"/>
  <c r="BX13" i="54"/>
  <c r="EJ13" i="54" s="1"/>
  <c r="BX14" i="54"/>
  <c r="DZ14" i="54" s="1"/>
  <c r="BX15" i="54"/>
  <c r="EJ15" i="54" s="1"/>
  <c r="BX16" i="54"/>
  <c r="GN16" i="54" s="1"/>
  <c r="BX17" i="54"/>
  <c r="GN17" i="54" s="1"/>
  <c r="BX18" i="54"/>
  <c r="GN18" i="54" s="1"/>
  <c r="BX19" i="54"/>
  <c r="BX20" i="54"/>
  <c r="GN20" i="54" s="1"/>
  <c r="BX21" i="54"/>
  <c r="BX22" i="54"/>
  <c r="BX23" i="54"/>
  <c r="BX24" i="54"/>
  <c r="BX25" i="54"/>
  <c r="BX26" i="54"/>
  <c r="DL26" i="54" s="1"/>
  <c r="BX27" i="54"/>
  <c r="EB27" i="54" s="1"/>
  <c r="BX28" i="54"/>
  <c r="BX29" i="54"/>
  <c r="BX30" i="54"/>
  <c r="EJ30" i="54" s="1"/>
  <c r="BX31" i="54"/>
  <c r="BX32" i="54"/>
  <c r="BX33" i="54"/>
  <c r="GN33" i="54" s="1"/>
  <c r="BX34" i="54"/>
  <c r="EJ34" i="54" s="1"/>
  <c r="BX35" i="54"/>
  <c r="GN35" i="54" s="1"/>
  <c r="BX36" i="54"/>
  <c r="BX37" i="54"/>
  <c r="BX38" i="54"/>
  <c r="EJ38" i="54" s="1"/>
  <c r="BX39" i="54"/>
  <c r="BX40" i="54"/>
  <c r="BX41" i="54"/>
  <c r="BX42" i="54"/>
  <c r="BX43" i="54"/>
  <c r="BX44" i="54"/>
  <c r="EJ44" i="54" s="1"/>
  <c r="BX45" i="54"/>
  <c r="EJ45" i="54" s="1"/>
  <c r="BX46" i="54"/>
  <c r="GN46" i="54" s="1"/>
  <c r="BX47" i="54"/>
  <c r="EJ47" i="54" s="1"/>
  <c r="BX48" i="54"/>
  <c r="DL48" i="54" s="1"/>
  <c r="BX49" i="54"/>
  <c r="DL49" i="54" s="1"/>
  <c r="BX50" i="54"/>
  <c r="BX51" i="54"/>
  <c r="BX52" i="54"/>
  <c r="GN52" i="54" s="1"/>
  <c r="BX53" i="54"/>
  <c r="GN53" i="54" s="1"/>
  <c r="BX54" i="54"/>
  <c r="BX55" i="54"/>
  <c r="BX56" i="54"/>
  <c r="BX57" i="54"/>
  <c r="BW34" i="54"/>
  <c r="Z34" i="54" s="1"/>
  <c r="BW35" i="54"/>
  <c r="BW38" i="54"/>
  <c r="Z38" i="54" s="1"/>
  <c r="BW47" i="54"/>
  <c r="BV7" i="54"/>
  <c r="BV9" i="54"/>
  <c r="BV13" i="54"/>
  <c r="BV22" i="54"/>
  <c r="BV23" i="54"/>
  <c r="BV24" i="54"/>
  <c r="BV25" i="54"/>
  <c r="BV34" i="54"/>
  <c r="BV38" i="54"/>
  <c r="BV41" i="54"/>
  <c r="BV42" i="54"/>
  <c r="BV43" i="54"/>
  <c r="HX43" i="54" s="1"/>
  <c r="BV46" i="54"/>
  <c r="BV54" i="54"/>
  <c r="BV55" i="54"/>
  <c r="BV56" i="54"/>
  <c r="BV57" i="54"/>
  <c r="BU3" i="54"/>
  <c r="BV3" i="54" s="1"/>
  <c r="HY3" i="54" s="1"/>
  <c r="BU4" i="54"/>
  <c r="BV4" i="54" s="1"/>
  <c r="BU5" i="54"/>
  <c r="BV5" i="54" s="1"/>
  <c r="BU6" i="54"/>
  <c r="BV6" i="54" s="1"/>
  <c r="BU7" i="54"/>
  <c r="BU8" i="54"/>
  <c r="BV8" i="54" s="1"/>
  <c r="BU9" i="54"/>
  <c r="BU10" i="54"/>
  <c r="BV10" i="54" s="1"/>
  <c r="BU11" i="54"/>
  <c r="BV11" i="54" s="1"/>
  <c r="BU12" i="54"/>
  <c r="BV12" i="54" s="1"/>
  <c r="BU13" i="54"/>
  <c r="BU14" i="54"/>
  <c r="BV14" i="54" s="1"/>
  <c r="BU15" i="54"/>
  <c r="BV15" i="54" s="1"/>
  <c r="BU16" i="54"/>
  <c r="BV16" i="54" s="1"/>
  <c r="BU17" i="54"/>
  <c r="BV17" i="54" s="1"/>
  <c r="BU18" i="54"/>
  <c r="BV18" i="54" s="1"/>
  <c r="BU19" i="54"/>
  <c r="BV19" i="54" s="1"/>
  <c r="BU20" i="54"/>
  <c r="BV20" i="54" s="1"/>
  <c r="BU21" i="54"/>
  <c r="BV21" i="54" s="1"/>
  <c r="BU22" i="54"/>
  <c r="BU23" i="54"/>
  <c r="BU24" i="54"/>
  <c r="BU25" i="54"/>
  <c r="BU26" i="54"/>
  <c r="BV26" i="54" s="1"/>
  <c r="BU27" i="54"/>
  <c r="BV27" i="54" s="1"/>
  <c r="BU28" i="54"/>
  <c r="BV28" i="54" s="1"/>
  <c r="BU29" i="54"/>
  <c r="BV29" i="54" s="1"/>
  <c r="BU30" i="54"/>
  <c r="BV30" i="54" s="1"/>
  <c r="BU31" i="54"/>
  <c r="BV31" i="54" s="1"/>
  <c r="BU32" i="54"/>
  <c r="BV32" i="54" s="1"/>
  <c r="BU33" i="54"/>
  <c r="BV33" i="54" s="1"/>
  <c r="BU35" i="54"/>
  <c r="BV35" i="54" s="1"/>
  <c r="BU36" i="54"/>
  <c r="BV36" i="54" s="1"/>
  <c r="BU37" i="54"/>
  <c r="BV37" i="54" s="1"/>
  <c r="BU39" i="54"/>
  <c r="BV39" i="54" s="1"/>
  <c r="BU40" i="54"/>
  <c r="BV40" i="54" s="1"/>
  <c r="BU41" i="54"/>
  <c r="BU42" i="54"/>
  <c r="BU43" i="54"/>
  <c r="BU44" i="54"/>
  <c r="BV44" i="54" s="1"/>
  <c r="BU45" i="54"/>
  <c r="BV45" i="54" s="1"/>
  <c r="BU46" i="54"/>
  <c r="BU47" i="54"/>
  <c r="BV47" i="54" s="1"/>
  <c r="BU48" i="54"/>
  <c r="BV48" i="54" s="1"/>
  <c r="BU49" i="54"/>
  <c r="BV49" i="54" s="1"/>
  <c r="BU50" i="54"/>
  <c r="BV50" i="54" s="1"/>
  <c r="HX50" i="54" s="1"/>
  <c r="BU51" i="54"/>
  <c r="BV51" i="54" s="1"/>
  <c r="BU52" i="54"/>
  <c r="BV52" i="54" s="1"/>
  <c r="BU53" i="54"/>
  <c r="BV53" i="54" s="1"/>
  <c r="BU54" i="54"/>
  <c r="BU55" i="54"/>
  <c r="BU56" i="54"/>
  <c r="BU57" i="54"/>
  <c r="BT9" i="54"/>
  <c r="BT10" i="54"/>
  <c r="BT11" i="54"/>
  <c r="BT12" i="54"/>
  <c r="BT32" i="54"/>
  <c r="BT33" i="54"/>
  <c r="BT34" i="54"/>
  <c r="AA34" i="54" s="1"/>
  <c r="BU34" i="54" s="1"/>
  <c r="BT38" i="54"/>
  <c r="AA38" i="54" s="1"/>
  <c r="BU38" i="54" s="1"/>
  <c r="BT41" i="54"/>
  <c r="BT46" i="54"/>
  <c r="BT47" i="54"/>
  <c r="BT48" i="54"/>
  <c r="BT49" i="54"/>
  <c r="BT54" i="54"/>
  <c r="BS34" i="54"/>
  <c r="BS38" i="54"/>
  <c r="BR5" i="54"/>
  <c r="BR6" i="54"/>
  <c r="BR12" i="54"/>
  <c r="BR13" i="54"/>
  <c r="BR14" i="54"/>
  <c r="BR17" i="54"/>
  <c r="BR18" i="54"/>
  <c r="BR19" i="54"/>
  <c r="BR20" i="54"/>
  <c r="BR21" i="54"/>
  <c r="BR22" i="54"/>
  <c r="BR24" i="54"/>
  <c r="BR25" i="54"/>
  <c r="BR27" i="54"/>
  <c r="BR28" i="54"/>
  <c r="BR29" i="54"/>
  <c r="BR30" i="54"/>
  <c r="BR31" i="54"/>
  <c r="BR32" i="54"/>
  <c r="BR33" i="54"/>
  <c r="BR34" i="54"/>
  <c r="BR35" i="54"/>
  <c r="BR36" i="54"/>
  <c r="BR37" i="54"/>
  <c r="BR39" i="54"/>
  <c r="BR40" i="54"/>
  <c r="BR42" i="54"/>
  <c r="BR43" i="54"/>
  <c r="BR44" i="54"/>
  <c r="BR45" i="54"/>
  <c r="BR46" i="54"/>
  <c r="BR47" i="54"/>
  <c r="BR49" i="54"/>
  <c r="BR50" i="54"/>
  <c r="BR51" i="54"/>
  <c r="BR52" i="54"/>
  <c r="BR53" i="54"/>
  <c r="BR56" i="54"/>
  <c r="BR57" i="54"/>
  <c r="BQ34" i="54"/>
  <c r="E34" i="54" s="1"/>
  <c r="BQ38" i="54"/>
  <c r="E38" i="54" s="1"/>
  <c r="BR38" i="54" s="1"/>
  <c r="BP15" i="54"/>
  <c r="BP18" i="54"/>
  <c r="BP20" i="54"/>
  <c r="BP31" i="54"/>
  <c r="BP32" i="54"/>
  <c r="BP33" i="54"/>
  <c r="BP34" i="54"/>
  <c r="BP35" i="54"/>
  <c r="BP50" i="54"/>
  <c r="BP51" i="54"/>
  <c r="BO9" i="54"/>
  <c r="BO26" i="54"/>
  <c r="BO27" i="54"/>
  <c r="BO28" i="54"/>
  <c r="BO29" i="54"/>
  <c r="BO30" i="54"/>
  <c r="BO36" i="54"/>
  <c r="BO37" i="54"/>
  <c r="BO41" i="54"/>
  <c r="BO44" i="54"/>
  <c r="BO57" i="54"/>
  <c r="BN48" i="54"/>
  <c r="S48" i="54" s="1"/>
  <c r="BM3" i="54"/>
  <c r="BM4" i="54"/>
  <c r="BM5" i="54"/>
  <c r="BM6" i="54"/>
  <c r="BM14" i="54"/>
  <c r="BM16" i="54"/>
  <c r="GJ16" i="54" s="1"/>
  <c r="BM23" i="54"/>
  <c r="BM26" i="54"/>
  <c r="BM48" i="54"/>
  <c r="GJ48" i="54" s="1"/>
  <c r="BM54" i="54"/>
  <c r="BM55" i="54"/>
  <c r="BL3" i="54"/>
  <c r="BL4" i="54"/>
  <c r="BL5" i="54"/>
  <c r="BL6" i="54"/>
  <c r="BL7" i="54"/>
  <c r="BL8" i="54"/>
  <c r="BL9" i="54"/>
  <c r="BL10" i="54"/>
  <c r="BL11" i="54"/>
  <c r="BL12" i="54"/>
  <c r="BL13" i="54"/>
  <c r="BL14" i="54"/>
  <c r="BL15" i="54"/>
  <c r="BL16" i="54"/>
  <c r="BL17" i="54"/>
  <c r="BL18" i="54"/>
  <c r="BL19" i="54"/>
  <c r="BL20" i="54"/>
  <c r="BL21" i="54"/>
  <c r="BL22" i="54"/>
  <c r="BL23" i="54"/>
  <c r="BL24" i="54"/>
  <c r="BL25" i="54"/>
  <c r="BL26" i="54"/>
  <c r="BL27" i="54"/>
  <c r="BL28" i="54"/>
  <c r="BL29" i="54"/>
  <c r="BL30" i="54"/>
  <c r="BL31" i="54"/>
  <c r="BL32" i="54"/>
  <c r="BL33" i="54"/>
  <c r="BL34" i="54"/>
  <c r="BL35" i="54"/>
  <c r="BL36" i="54"/>
  <c r="BL37" i="54"/>
  <c r="BL38" i="54"/>
  <c r="BL39" i="54"/>
  <c r="BL40" i="54"/>
  <c r="BL41" i="54"/>
  <c r="BL42" i="54"/>
  <c r="BL43" i="54"/>
  <c r="BL44" i="54"/>
  <c r="BL45" i="54"/>
  <c r="BL46" i="54"/>
  <c r="BL47" i="54"/>
  <c r="BL48" i="54"/>
  <c r="BL49" i="54"/>
  <c r="BL50" i="54"/>
  <c r="BL51" i="54"/>
  <c r="BL52" i="54"/>
  <c r="BL53" i="54"/>
  <c r="BL54" i="54"/>
  <c r="BN54" i="54" s="1"/>
  <c r="BL55" i="54"/>
  <c r="BL56" i="54"/>
  <c r="BL57" i="54"/>
  <c r="BK3" i="54"/>
  <c r="BK4" i="54"/>
  <c r="BK5" i="54"/>
  <c r="BK6" i="54"/>
  <c r="BK7" i="54"/>
  <c r="BK8" i="54"/>
  <c r="BK9" i="54"/>
  <c r="BK10" i="54"/>
  <c r="BK11" i="54"/>
  <c r="BK12" i="54"/>
  <c r="BK13" i="54"/>
  <c r="BK14" i="54"/>
  <c r="BK15" i="54"/>
  <c r="BK16" i="54"/>
  <c r="BK17" i="54"/>
  <c r="BK18" i="54"/>
  <c r="BK19" i="54"/>
  <c r="BK20" i="54"/>
  <c r="BK21" i="54"/>
  <c r="BK22" i="54"/>
  <c r="BK23" i="54"/>
  <c r="BK24" i="54"/>
  <c r="BK25" i="54"/>
  <c r="BK26" i="54"/>
  <c r="BK27" i="54"/>
  <c r="BK28" i="54"/>
  <c r="BK29" i="54"/>
  <c r="BK30" i="54"/>
  <c r="BK31" i="54"/>
  <c r="BK32" i="54"/>
  <c r="BK33" i="54"/>
  <c r="BK34" i="54"/>
  <c r="BK35" i="54"/>
  <c r="BK36" i="54"/>
  <c r="BK37" i="54"/>
  <c r="BK38" i="54"/>
  <c r="BK39" i="54"/>
  <c r="BK40" i="54"/>
  <c r="BK41" i="54"/>
  <c r="BK42" i="54"/>
  <c r="BK43" i="54"/>
  <c r="BK44" i="54"/>
  <c r="BK45" i="54"/>
  <c r="BK46" i="54"/>
  <c r="BK47" i="54"/>
  <c r="BK48" i="54"/>
  <c r="BK49" i="54"/>
  <c r="BK50" i="54"/>
  <c r="BK51" i="54"/>
  <c r="BK52" i="54"/>
  <c r="BK53" i="54"/>
  <c r="BK54" i="54"/>
  <c r="BK55" i="54"/>
  <c r="BK56" i="54"/>
  <c r="BK57" i="54"/>
  <c r="BJ3" i="54"/>
  <c r="BJ4" i="54"/>
  <c r="BJ5" i="54"/>
  <c r="BJ6" i="54"/>
  <c r="BJ10" i="54"/>
  <c r="BJ11" i="54"/>
  <c r="BJ15" i="54"/>
  <c r="BJ17" i="54"/>
  <c r="BJ18" i="54"/>
  <c r="BJ19" i="54"/>
  <c r="BJ20" i="54"/>
  <c r="BJ21" i="54"/>
  <c r="BJ22" i="54"/>
  <c r="BJ25" i="54"/>
  <c r="BJ30" i="54"/>
  <c r="BJ40" i="54"/>
  <c r="BJ43" i="54"/>
  <c r="BJ44" i="54"/>
  <c r="BJ51" i="54"/>
  <c r="BJ52" i="54"/>
  <c r="BJ53" i="54"/>
  <c r="BJ56" i="54"/>
  <c r="BJ57" i="54"/>
  <c r="BI25" i="54" a="1"/>
  <c r="BI25" i="54" s="1"/>
  <c r="BI34" i="54" a="1"/>
  <c r="BI34" i="54" s="1"/>
  <c r="C34" i="54" s="1"/>
  <c r="BJ34" i="54" s="1"/>
  <c r="BI38" i="54" a="1"/>
  <c r="BI38" i="54" s="1"/>
  <c r="C38" i="54" s="1"/>
  <c r="BJ38" i="54" s="1"/>
  <c r="BI49" i="54"/>
  <c r="C49" i="54" s="1"/>
  <c r="BJ49" i="54" s="1"/>
  <c r="BH3" i="54"/>
  <c r="BW3" i="54" s="1"/>
  <c r="BH4" i="54"/>
  <c r="BW4" i="54" s="1"/>
  <c r="BH5" i="54"/>
  <c r="BH6" i="54"/>
  <c r="BH7" i="54"/>
  <c r="BI7" i="54" s="1" a="1"/>
  <c r="BI7" i="54" s="1"/>
  <c r="C7" i="54" s="1"/>
  <c r="BJ7" i="54" s="1"/>
  <c r="BH8" i="54"/>
  <c r="BH9" i="54"/>
  <c r="BI9" i="54" s="1" a="1"/>
  <c r="BI9" i="54" s="1"/>
  <c r="C9" i="54" s="1"/>
  <c r="BJ9" i="54" s="1"/>
  <c r="BH10" i="54"/>
  <c r="BH11" i="54"/>
  <c r="BH12" i="54"/>
  <c r="BH13" i="54"/>
  <c r="BW13" i="54" s="1"/>
  <c r="BH14" i="54"/>
  <c r="BH15" i="54"/>
  <c r="BI15" i="54" s="1" a="1"/>
  <c r="BI15" i="54" s="1"/>
  <c r="BH16" i="54"/>
  <c r="BH17" i="54"/>
  <c r="BH18" i="54"/>
  <c r="BW18" i="54" s="1"/>
  <c r="BH19" i="54"/>
  <c r="BS19" i="54" s="1"/>
  <c r="GL19" i="54" s="1"/>
  <c r="BH20" i="54"/>
  <c r="BH21" i="54"/>
  <c r="BH22" i="54"/>
  <c r="BH23" i="54"/>
  <c r="BH24" i="54"/>
  <c r="BS24" i="54" s="1"/>
  <c r="GL24" i="54" s="1"/>
  <c r="BH25" i="54"/>
  <c r="BS25" i="54" s="1"/>
  <c r="GL25" i="54" s="1"/>
  <c r="BH26" i="54"/>
  <c r="BI26" i="54" s="1" a="1"/>
  <c r="BI26" i="54" s="1"/>
  <c r="C26" i="54" s="1"/>
  <c r="BJ26" i="54" s="1"/>
  <c r="BH27" i="54"/>
  <c r="BW27" i="54" s="1"/>
  <c r="BH28" i="54"/>
  <c r="BH29" i="54"/>
  <c r="BH30" i="54"/>
  <c r="BH31" i="54"/>
  <c r="BW31" i="54" s="1"/>
  <c r="BH32" i="54"/>
  <c r="BW32" i="54" s="1"/>
  <c r="BH33" i="54"/>
  <c r="BW33" i="54" s="1"/>
  <c r="BH34" i="54"/>
  <c r="T34" i="54" s="1"/>
  <c r="BH35" i="54"/>
  <c r="BH36" i="54"/>
  <c r="BH37" i="54"/>
  <c r="BH38" i="54"/>
  <c r="BH39" i="54"/>
  <c r="BS39" i="54" s="1"/>
  <c r="GL39" i="54" s="1"/>
  <c r="BH40" i="54"/>
  <c r="BS40" i="54" s="1"/>
  <c r="GL40" i="54" s="1"/>
  <c r="BH41" i="54"/>
  <c r="BH42" i="54"/>
  <c r="BH43" i="54"/>
  <c r="BH44" i="54"/>
  <c r="FG44" i="54" s="1"/>
  <c r="BH45" i="54"/>
  <c r="BH46" i="54"/>
  <c r="BH47" i="54"/>
  <c r="BH48" i="54"/>
  <c r="BW48" i="54" s="1"/>
  <c r="BH49" i="54"/>
  <c r="BI49" i="54" s="1" a="1"/>
  <c r="BH50" i="54"/>
  <c r="BW50" i="54" s="1"/>
  <c r="BH51" i="54"/>
  <c r="BH52" i="54"/>
  <c r="BH53" i="54"/>
  <c r="BH54" i="54"/>
  <c r="BH55" i="54"/>
  <c r="BH56" i="54"/>
  <c r="BH57" i="54"/>
  <c r="BG9" i="54"/>
  <c r="BG41" i="54"/>
  <c r="BG42" i="54"/>
  <c r="BG57" i="54"/>
  <c r="BF7" i="54"/>
  <c r="BG7" i="54" s="1"/>
  <c r="BF8" i="54"/>
  <c r="BG8" i="54" s="1"/>
  <c r="BF15" i="54"/>
  <c r="BG15" i="54" s="1"/>
  <c r="BF16" i="54"/>
  <c r="BG16" i="54" s="1"/>
  <c r="BI16" i="54" s="1" a="1"/>
  <c r="BI16" i="54" s="1"/>
  <c r="C16" i="54" s="1"/>
  <c r="BJ16" i="54" s="1"/>
  <c r="BF17" i="54"/>
  <c r="BG17" i="54" s="1"/>
  <c r="BF18" i="54"/>
  <c r="BG18" i="54" s="1"/>
  <c r="BF19" i="54"/>
  <c r="BG19" i="54" s="1"/>
  <c r="BF39" i="54"/>
  <c r="BG39" i="54" s="1"/>
  <c r="BF40" i="54"/>
  <c r="BG40" i="54" s="1"/>
  <c r="BF48" i="54"/>
  <c r="BG48" i="54" s="1"/>
  <c r="BF54" i="54"/>
  <c r="BG54" i="54" s="1"/>
  <c r="BF55" i="54"/>
  <c r="BG55" i="54" s="1"/>
  <c r="BF56" i="54"/>
  <c r="BG56" i="54" s="1"/>
  <c r="BI56" i="54" s="1" a="1"/>
  <c r="BI56" i="54" s="1"/>
  <c r="BE8" i="54"/>
  <c r="BE16" i="54"/>
  <c r="BE24" i="54"/>
  <c r="BE25" i="54"/>
  <c r="P25" i="54" s="1"/>
  <c r="BE26" i="54"/>
  <c r="BE48" i="54"/>
  <c r="BE49" i="54"/>
  <c r="BE56" i="54"/>
  <c r="BE57" i="54"/>
  <c r="BD3" i="54"/>
  <c r="BD4" i="54"/>
  <c r="BD5" i="54"/>
  <c r="BD6" i="54"/>
  <c r="BE6" i="54" s="1"/>
  <c r="BD7" i="54"/>
  <c r="BE7" i="54" s="1"/>
  <c r="BD8" i="54"/>
  <c r="BD9" i="54"/>
  <c r="BF9" i="54" s="1"/>
  <c r="BD10" i="54"/>
  <c r="BF10" i="54" s="1"/>
  <c r="BG10" i="54" s="1"/>
  <c r="BD11" i="54"/>
  <c r="BD12" i="54"/>
  <c r="BD13" i="54"/>
  <c r="BD14" i="54"/>
  <c r="BD15" i="54"/>
  <c r="BE15" i="54" s="1"/>
  <c r="BD16" i="54"/>
  <c r="BD17" i="54"/>
  <c r="BE17" i="54" s="1"/>
  <c r="BD18" i="54"/>
  <c r="BE18" i="54" s="1"/>
  <c r="BD19" i="54"/>
  <c r="BE19" i="54" s="1"/>
  <c r="BD20" i="54"/>
  <c r="BE20" i="54" s="1"/>
  <c r="BD21" i="54"/>
  <c r="BE21" i="54" s="1"/>
  <c r="BD22" i="54"/>
  <c r="BE22" i="54" s="1"/>
  <c r="BD23" i="54"/>
  <c r="BE23" i="54" s="1"/>
  <c r="BD24" i="54"/>
  <c r="BF24" i="54" s="1"/>
  <c r="BG24" i="54" s="1"/>
  <c r="BD25" i="54"/>
  <c r="BF25" i="54" s="1"/>
  <c r="BG25" i="54" s="1"/>
  <c r="BD26" i="54"/>
  <c r="BF26" i="54" s="1"/>
  <c r="BG26" i="54" s="1"/>
  <c r="BD27" i="54"/>
  <c r="BD28" i="54"/>
  <c r="BD29" i="54"/>
  <c r="BF29" i="54" s="1"/>
  <c r="BG29" i="54" s="1"/>
  <c r="BD30" i="54"/>
  <c r="BF30" i="54" s="1"/>
  <c r="BG30" i="54" s="1"/>
  <c r="BD31" i="54"/>
  <c r="BD32" i="54"/>
  <c r="BE32" i="54" s="1"/>
  <c r="BD33" i="54"/>
  <c r="BD34" i="54"/>
  <c r="BD35" i="54"/>
  <c r="BD36" i="54"/>
  <c r="BD37" i="54"/>
  <c r="BD38" i="54"/>
  <c r="BD39" i="54"/>
  <c r="BE39" i="54" s="1"/>
  <c r="BD40" i="54"/>
  <c r="BE40" i="54" s="1"/>
  <c r="BD41" i="54"/>
  <c r="BF41" i="54" s="1"/>
  <c r="BD42" i="54"/>
  <c r="BF42" i="54" s="1"/>
  <c r="BD43" i="54"/>
  <c r="BD44" i="54"/>
  <c r="BE44" i="54" s="1"/>
  <c r="BD45" i="54"/>
  <c r="BF45" i="54" s="1"/>
  <c r="BG45" i="54" s="1"/>
  <c r="BD46" i="54"/>
  <c r="BE46" i="54" s="1"/>
  <c r="BD47" i="54"/>
  <c r="BF47" i="54" s="1"/>
  <c r="BG47" i="54" s="1"/>
  <c r="BI47" i="54" s="1" a="1"/>
  <c r="BI47" i="54" s="1"/>
  <c r="C47" i="54" s="1"/>
  <c r="BJ47" i="54" s="1"/>
  <c r="BD48" i="54"/>
  <c r="BD49" i="54"/>
  <c r="BF49" i="54" s="1"/>
  <c r="BG49" i="54" s="1"/>
  <c r="BD50" i="54"/>
  <c r="BD51" i="54"/>
  <c r="BD52" i="54"/>
  <c r="BE52" i="54" s="1"/>
  <c r="BD53" i="54"/>
  <c r="BE53" i="54" s="1"/>
  <c r="BD54" i="54"/>
  <c r="BE54" i="54" s="1"/>
  <c r="BD55" i="54"/>
  <c r="BE55" i="54" s="1"/>
  <c r="BD56" i="54"/>
  <c r="BD57" i="54"/>
  <c r="BF57" i="54" s="1"/>
  <c r="BC3" i="54"/>
  <c r="CQ3" i="54" s="1"/>
  <c r="BC4" i="54"/>
  <c r="BC5" i="54"/>
  <c r="BC6" i="54"/>
  <c r="BC7" i="54"/>
  <c r="BC8" i="54"/>
  <c r="BC9" i="54"/>
  <c r="BC10" i="54"/>
  <c r="BC11" i="54"/>
  <c r="BC12" i="54"/>
  <c r="CO12" i="54" s="1"/>
  <c r="CP12" i="54" s="1"/>
  <c r="Y12" i="54" s="1"/>
  <c r="BC13" i="54"/>
  <c r="BT13" i="54" s="1"/>
  <c r="BC14" i="54"/>
  <c r="BT14" i="54" s="1"/>
  <c r="BC15" i="54"/>
  <c r="CO15" i="54" s="1"/>
  <c r="CP15" i="54" s="1"/>
  <c r="Y15" i="54" s="1"/>
  <c r="BC16" i="54"/>
  <c r="DC16" i="54" s="1"/>
  <c r="I16" i="54" s="1"/>
  <c r="DD16" i="54" s="1"/>
  <c r="BC17" i="54"/>
  <c r="CD17" i="54" s="1"/>
  <c r="BC18" i="54"/>
  <c r="DC18" i="54" s="1"/>
  <c r="I18" i="54" s="1"/>
  <c r="DD18" i="54" s="1"/>
  <c r="BC19" i="54"/>
  <c r="DC19" i="54" s="1"/>
  <c r="I19" i="54" s="1"/>
  <c r="DD19" i="54" s="1"/>
  <c r="DE19" i="54" s="1" a="1"/>
  <c r="DE19" i="54" s="1"/>
  <c r="BC20" i="54"/>
  <c r="BC21" i="54"/>
  <c r="BC22" i="54"/>
  <c r="BC23" i="54"/>
  <c r="BC24" i="54"/>
  <c r="BC25" i="54"/>
  <c r="BC26" i="54"/>
  <c r="BC27" i="54"/>
  <c r="CA27" i="54" s="1"/>
  <c r="BC28" i="54"/>
  <c r="CA28" i="54" s="1"/>
  <c r="BC29" i="54"/>
  <c r="DB29" i="54" s="1"/>
  <c r="BC30" i="54"/>
  <c r="BC31" i="54"/>
  <c r="BC32" i="54"/>
  <c r="GA32" i="54" s="1"/>
  <c r="BC33" i="54"/>
  <c r="BC34" i="54"/>
  <c r="BC35" i="54"/>
  <c r="BC36" i="54"/>
  <c r="BC37" i="54"/>
  <c r="CD37" i="54" s="1"/>
  <c r="BC38" i="54"/>
  <c r="BC39" i="54"/>
  <c r="BC40" i="54"/>
  <c r="BC41" i="54"/>
  <c r="BC42" i="54"/>
  <c r="CQ42" i="54" s="1"/>
  <c r="BC43" i="54"/>
  <c r="BC44" i="54"/>
  <c r="BC45" i="54"/>
  <c r="BC46" i="54"/>
  <c r="BC47" i="54"/>
  <c r="BC48" i="54"/>
  <c r="GI48" i="54" s="1"/>
  <c r="BC49" i="54"/>
  <c r="FF49" i="54" s="1"/>
  <c r="AB49" i="54" s="1"/>
  <c r="BC50" i="54"/>
  <c r="CO50" i="54" s="1"/>
  <c r="CP50" i="54" s="1"/>
  <c r="Y50" i="54" s="1"/>
  <c r="BC51" i="54"/>
  <c r="BC52" i="54"/>
  <c r="BC53" i="54"/>
  <c r="BC54" i="54"/>
  <c r="BC55" i="54"/>
  <c r="BC56" i="54"/>
  <c r="DB56" i="54" s="1"/>
  <c r="BC57" i="54"/>
  <c r="BA3" i="54" a="1"/>
  <c r="BA3" i="54"/>
  <c r="BA4" i="54" a="1"/>
  <c r="BA4" i="54" s="1"/>
  <c r="BA5" i="54" a="1"/>
  <c r="BA5" i="54" s="1"/>
  <c r="BA6" i="54" a="1"/>
  <c r="BA6" i="54"/>
  <c r="BA7" i="54" a="1"/>
  <c r="BA7" i="54" s="1"/>
  <c r="BA8" i="54" a="1"/>
  <c r="BA8" i="54" s="1"/>
  <c r="BA9" i="54" a="1"/>
  <c r="BA9" i="54"/>
  <c r="BA10" i="54" a="1"/>
  <c r="BA10" i="54"/>
  <c r="BA11" i="54" a="1"/>
  <c r="BA11" i="54" s="1"/>
  <c r="BA12" i="54" a="1"/>
  <c r="BA12" i="54"/>
  <c r="BA13" i="54" a="1"/>
  <c r="BA13" i="54" s="1"/>
  <c r="BA14" i="54" a="1"/>
  <c r="BA14" i="54" s="1"/>
  <c r="BA15" i="54" a="1"/>
  <c r="BA15" i="54" s="1"/>
  <c r="BA16" i="54" a="1"/>
  <c r="BA16" i="54" s="1"/>
  <c r="BA17" i="54" a="1"/>
  <c r="BA17" i="54" s="1"/>
  <c r="BA18" i="54" a="1"/>
  <c r="BA18" i="54" s="1"/>
  <c r="BA19" i="54" a="1"/>
  <c r="BA19" i="54" s="1"/>
  <c r="BA20" i="54" a="1"/>
  <c r="BA20" i="54" s="1"/>
  <c r="BA21" i="54" a="1"/>
  <c r="BA21" i="54" s="1"/>
  <c r="BA22" i="54" a="1"/>
  <c r="BA22" i="54" s="1"/>
  <c r="BA23" i="54" a="1"/>
  <c r="BA23" i="54"/>
  <c r="BA24" i="54" a="1"/>
  <c r="BA24" i="54" s="1"/>
  <c r="BA25" i="54" a="1"/>
  <c r="BA25" i="54" s="1"/>
  <c r="BA26" i="54" a="1"/>
  <c r="BA26" i="54"/>
  <c r="BA27" i="54" a="1"/>
  <c r="BA27" i="54" s="1"/>
  <c r="BA28" i="54" a="1"/>
  <c r="BA28" i="54"/>
  <c r="BA29" i="54" a="1"/>
  <c r="BA29" i="54"/>
  <c r="BA30" i="54" a="1"/>
  <c r="BA30" i="54" s="1"/>
  <c r="BA31" i="54" a="1"/>
  <c r="BA31" i="54" s="1"/>
  <c r="GO31" i="54" s="1"/>
  <c r="BA32" i="54" a="1"/>
  <c r="BA32" i="54" s="1"/>
  <c r="BA33" i="54" a="1"/>
  <c r="BA33" i="54"/>
  <c r="BA34" i="54" a="1"/>
  <c r="BA34" i="54"/>
  <c r="BA35" i="54" a="1"/>
  <c r="BA35" i="54" s="1"/>
  <c r="BA36" i="54" a="1"/>
  <c r="BA36" i="54"/>
  <c r="BA37" i="54" a="1"/>
  <c r="BA37" i="54" s="1"/>
  <c r="BA38" i="54" a="1"/>
  <c r="BA38" i="54" s="1"/>
  <c r="BA39" i="54" a="1"/>
  <c r="BA39" i="54" s="1"/>
  <c r="BA40" i="54" a="1"/>
  <c r="BA40" i="54" s="1"/>
  <c r="BA41" i="54" a="1"/>
  <c r="BA41" i="54"/>
  <c r="BA42" i="54" a="1"/>
  <c r="BA42" i="54"/>
  <c r="BA43" i="54" a="1"/>
  <c r="BA43" i="54" s="1"/>
  <c r="BA44" i="54" a="1"/>
  <c r="BA44" i="54" s="1"/>
  <c r="GO44" i="54" s="1"/>
  <c r="BA45" i="54" a="1"/>
  <c r="BA45" i="54" s="1"/>
  <c r="BA46" i="54" a="1"/>
  <c r="BA46" i="54" s="1"/>
  <c r="BA47" i="54" a="1"/>
  <c r="BA47" i="54" s="1"/>
  <c r="BA48" i="54" a="1"/>
  <c r="BA48" i="54" s="1"/>
  <c r="BA49" i="54" a="1"/>
  <c r="BA49" i="54" s="1"/>
  <c r="BA50" i="54" a="1"/>
  <c r="BA50" i="54"/>
  <c r="BA51" i="54" a="1"/>
  <c r="BA51" i="54"/>
  <c r="BA52" i="54" a="1"/>
  <c r="BA52" i="54"/>
  <c r="BA53" i="54" a="1"/>
  <c r="BA53" i="54" s="1"/>
  <c r="BA54" i="54" a="1"/>
  <c r="BA54" i="54" s="1"/>
  <c r="BA55" i="54" a="1"/>
  <c r="BA55" i="54"/>
  <c r="BA56" i="54" a="1"/>
  <c r="BA56" i="54" s="1"/>
  <c r="BA57" i="54" a="1"/>
  <c r="BA57" i="54"/>
  <c r="GO57" i="54" s="1"/>
  <c r="P9" i="54"/>
  <c r="P10" i="54"/>
  <c r="P11" i="54"/>
  <c r="P23" i="54"/>
  <c r="FA23" i="54" s="1"/>
  <c r="P34" i="54"/>
  <c r="P38" i="54"/>
  <c r="O34" i="54" a="1"/>
  <c r="O34" i="54" s="1"/>
  <c r="O38" i="54" a="1"/>
  <c r="O38" i="54" s="1"/>
  <c r="V503" i="19"/>
  <c r="W503" i="19" s="1"/>
  <c r="V502" i="19"/>
  <c r="V501" i="19"/>
  <c r="V500" i="19"/>
  <c r="W500" i="19" s="1"/>
  <c r="V499" i="19"/>
  <c r="X499" i="19" s="1"/>
  <c r="V498" i="19"/>
  <c r="X498" i="19" s="1"/>
  <c r="V497" i="19"/>
  <c r="X497" i="19" s="1"/>
  <c r="V496" i="19"/>
  <c r="X496" i="19" s="1"/>
  <c r="V495" i="19"/>
  <c r="W495" i="19" s="1"/>
  <c r="V494" i="19"/>
  <c r="X494" i="19" s="1"/>
  <c r="V493" i="19"/>
  <c r="X493" i="19" s="1"/>
  <c r="V492" i="19"/>
  <c r="X492" i="19" s="1"/>
  <c r="V491" i="19"/>
  <c r="W491" i="19" s="1"/>
  <c r="V490" i="19"/>
  <c r="W490" i="19" s="1"/>
  <c r="V489" i="19"/>
  <c r="W489" i="19" s="1"/>
  <c r="V488" i="19"/>
  <c r="V487" i="19"/>
  <c r="W487" i="19" s="1"/>
  <c r="V486" i="19"/>
  <c r="V485" i="19"/>
  <c r="X485" i="19" s="1"/>
  <c r="V484" i="19"/>
  <c r="X483" i="19"/>
  <c r="V483" i="19"/>
  <c r="W483" i="19" s="1"/>
  <c r="V482" i="19"/>
  <c r="W482" i="19" s="1"/>
  <c r="V481" i="19"/>
  <c r="X481" i="19" s="1"/>
  <c r="V480" i="19"/>
  <c r="X480" i="19" s="1"/>
  <c r="V479" i="19"/>
  <c r="V478" i="19"/>
  <c r="V477" i="19"/>
  <c r="W477" i="19" s="1"/>
  <c r="V476" i="19"/>
  <c r="X476" i="19" s="1"/>
  <c r="V475" i="19"/>
  <c r="W475" i="19" s="1"/>
  <c r="V474" i="19"/>
  <c r="V473" i="19"/>
  <c r="X473" i="19" s="1"/>
  <c r="V472" i="19"/>
  <c r="X472" i="19" s="1"/>
  <c r="V471" i="19"/>
  <c r="W471" i="19" s="1"/>
  <c r="V470" i="19"/>
  <c r="W470" i="19" s="1"/>
  <c r="V469" i="19"/>
  <c r="X469" i="19" s="1"/>
  <c r="V468" i="19"/>
  <c r="X468" i="19" s="1"/>
  <c r="V467" i="19"/>
  <c r="V466" i="19"/>
  <c r="W466" i="19" s="1"/>
  <c r="V465" i="19"/>
  <c r="X465" i="19" s="1"/>
  <c r="V464" i="19"/>
  <c r="X464" i="19" s="1"/>
  <c r="V463" i="19"/>
  <c r="W463" i="19" s="1"/>
  <c r="V462" i="19"/>
  <c r="X462" i="19" s="1"/>
  <c r="V461" i="19"/>
  <c r="V460" i="19"/>
  <c r="X460" i="19" s="1"/>
  <c r="V459" i="19"/>
  <c r="W459" i="19" s="1"/>
  <c r="V458" i="19"/>
  <c r="X458" i="19" s="1"/>
  <c r="V457" i="19"/>
  <c r="X457" i="19" s="1"/>
  <c r="V456" i="19"/>
  <c r="X456" i="19" s="1"/>
  <c r="V455" i="19"/>
  <c r="W455" i="19" s="1"/>
  <c r="V454" i="19"/>
  <c r="X454" i="19" s="1"/>
  <c r="V453" i="19"/>
  <c r="V452" i="19"/>
  <c r="X452" i="19" s="1"/>
  <c r="V451" i="19"/>
  <c r="W451" i="19" s="1"/>
  <c r="V450" i="19"/>
  <c r="W450" i="19" s="1"/>
  <c r="V449" i="19"/>
  <c r="V448" i="19"/>
  <c r="X448" i="19" s="1"/>
  <c r="V447" i="19"/>
  <c r="W447" i="19" s="1"/>
  <c r="V446" i="19"/>
  <c r="X446" i="19" s="1"/>
  <c r="V445" i="19"/>
  <c r="X445" i="19" s="1"/>
  <c r="V444" i="19"/>
  <c r="V443" i="19"/>
  <c r="V442" i="19"/>
  <c r="V441" i="19"/>
  <c r="V440" i="19"/>
  <c r="X440" i="19" s="1"/>
  <c r="V439" i="19"/>
  <c r="W439" i="19" s="1"/>
  <c r="V438" i="19"/>
  <c r="X438" i="19" s="1"/>
  <c r="V437" i="19"/>
  <c r="X437" i="19" s="1"/>
  <c r="V436" i="19"/>
  <c r="W436" i="19" s="1"/>
  <c r="V435" i="19"/>
  <c r="X435" i="19" s="1"/>
  <c r="V434" i="19"/>
  <c r="X434" i="19" s="1"/>
  <c r="V433" i="19"/>
  <c r="X433" i="19" s="1"/>
  <c r="V432" i="19"/>
  <c r="X432" i="19" s="1"/>
  <c r="V431" i="19"/>
  <c r="V430" i="19"/>
  <c r="W430" i="19" s="1"/>
  <c r="V429" i="19"/>
  <c r="X429" i="19" s="1"/>
  <c r="V428" i="19"/>
  <c r="X428" i="19" s="1"/>
  <c r="V427" i="19"/>
  <c r="W427" i="19" s="1"/>
  <c r="V426" i="19"/>
  <c r="V425" i="19"/>
  <c r="W425" i="19" s="1"/>
  <c r="V424" i="19"/>
  <c r="X424" i="19" s="1"/>
  <c r="V423" i="19"/>
  <c r="W423" i="19" s="1"/>
  <c r="V422" i="19"/>
  <c r="X422" i="19" s="1"/>
  <c r="V421" i="19"/>
  <c r="X421" i="19" s="1"/>
  <c r="V420" i="19"/>
  <c r="V419" i="19"/>
  <c r="V418" i="19"/>
  <c r="W418" i="19" s="1"/>
  <c r="V417" i="19"/>
  <c r="X417" i="19" s="1"/>
  <c r="V416" i="19"/>
  <c r="X416" i="19" s="1"/>
  <c r="V415" i="19"/>
  <c r="W415" i="19" s="1"/>
  <c r="V414" i="19"/>
  <c r="V413" i="19"/>
  <c r="W413" i="19" s="1"/>
  <c r="V412" i="19"/>
  <c r="X412" i="19" s="1"/>
  <c r="V411" i="19"/>
  <c r="W411" i="19" s="1"/>
  <c r="V410" i="19"/>
  <c r="V409" i="19"/>
  <c r="V408" i="19"/>
  <c r="X408" i="19" s="1"/>
  <c r="V407" i="19"/>
  <c r="V406" i="19"/>
  <c r="X406" i="19" s="1"/>
  <c r="V405" i="19"/>
  <c r="X405" i="19" s="1"/>
  <c r="V404" i="19"/>
  <c r="X404" i="19" s="1"/>
  <c r="V403" i="19"/>
  <c r="W403" i="19" s="1"/>
  <c r="V402" i="19"/>
  <c r="X402" i="19" s="1"/>
  <c r="V401" i="19"/>
  <c r="W401" i="19" s="1"/>
  <c r="V400" i="19"/>
  <c r="X400" i="19" s="1"/>
  <c r="V399" i="19"/>
  <c r="V398" i="19"/>
  <c r="X398" i="19" s="1"/>
  <c r="V397" i="19"/>
  <c r="V396" i="19"/>
  <c r="X396" i="19" s="1"/>
  <c r="V395" i="19"/>
  <c r="W395" i="19" s="1"/>
  <c r="V394" i="19"/>
  <c r="X394" i="19" s="1"/>
  <c r="V393" i="19"/>
  <c r="V392" i="19"/>
  <c r="X392" i="19" s="1"/>
  <c r="V391" i="19"/>
  <c r="W391" i="19" s="1"/>
  <c r="V390" i="19"/>
  <c r="X390" i="19" s="1"/>
  <c r="V389" i="19"/>
  <c r="X389" i="19" s="1"/>
  <c r="V388" i="19"/>
  <c r="X388" i="19" s="1"/>
  <c r="V387" i="19"/>
  <c r="V386" i="19"/>
  <c r="X386" i="19" s="1"/>
  <c r="V385" i="19"/>
  <c r="V384" i="19"/>
  <c r="V383" i="19"/>
  <c r="X383" i="19" s="1"/>
  <c r="V382" i="19"/>
  <c r="X382" i="19" s="1"/>
  <c r="V381" i="19"/>
  <c r="X381" i="19" s="1"/>
  <c r="V380" i="19"/>
  <c r="V379" i="19"/>
  <c r="V378" i="19"/>
  <c r="X378" i="19" s="1"/>
  <c r="V377" i="19"/>
  <c r="V376" i="19"/>
  <c r="X376" i="19" s="1"/>
  <c r="V375" i="19"/>
  <c r="W375" i="19" s="1"/>
  <c r="V374" i="19"/>
  <c r="X374" i="19" s="1"/>
  <c r="V373" i="19"/>
  <c r="V372" i="19"/>
  <c r="V371" i="19"/>
  <c r="X371" i="19" s="1"/>
  <c r="V370" i="19"/>
  <c r="X370" i="19" s="1"/>
  <c r="V369" i="19"/>
  <c r="X369" i="19" s="1"/>
  <c r="V368" i="19"/>
  <c r="X368" i="19" s="1"/>
  <c r="V367" i="19"/>
  <c r="V366" i="19"/>
  <c r="X366" i="19" s="1"/>
  <c r="V365" i="19"/>
  <c r="X365" i="19" s="1"/>
  <c r="V364" i="19"/>
  <c r="V363" i="19"/>
  <c r="W363" i="19" s="1"/>
  <c r="V362" i="19"/>
  <c r="W362" i="19" s="1"/>
  <c r="V361" i="19"/>
  <c r="V360" i="19"/>
  <c r="X360" i="19" s="1"/>
  <c r="V359" i="19"/>
  <c r="W359" i="19" s="1"/>
  <c r="V358" i="19"/>
  <c r="V357" i="19"/>
  <c r="X357" i="19" s="1"/>
  <c r="V356" i="19"/>
  <c r="V355" i="19"/>
  <c r="V354" i="19"/>
  <c r="X354" i="19" s="1"/>
  <c r="V353" i="19"/>
  <c r="X353" i="19" s="1"/>
  <c r="V352" i="19"/>
  <c r="X352" i="19" s="1"/>
  <c r="V351" i="19"/>
  <c r="X351" i="19" s="1"/>
  <c r="V350" i="19"/>
  <c r="V349" i="19"/>
  <c r="V348" i="19"/>
  <c r="X348" i="19" s="1"/>
  <c r="V347" i="19"/>
  <c r="W347" i="19" s="1"/>
  <c r="V346" i="19"/>
  <c r="W346" i="19" s="1"/>
  <c r="V345" i="19"/>
  <c r="X345" i="19" s="1"/>
  <c r="V344" i="19"/>
  <c r="X344" i="19" s="1"/>
  <c r="V343" i="19"/>
  <c r="W343" i="19" s="1"/>
  <c r="V342" i="19"/>
  <c r="X342" i="19" s="1"/>
  <c r="V341" i="19"/>
  <c r="X341" i="19" s="1"/>
  <c r="V340" i="19"/>
  <c r="X340" i="19" s="1"/>
  <c r="V339" i="19"/>
  <c r="W339" i="19" s="1"/>
  <c r="V338" i="19"/>
  <c r="X338" i="19" s="1"/>
  <c r="V337" i="19"/>
  <c r="X337" i="19" s="1"/>
  <c r="V336" i="19"/>
  <c r="X336" i="19" s="1"/>
  <c r="V335" i="19"/>
  <c r="X335" i="19" s="1"/>
  <c r="V334" i="19"/>
  <c r="X334" i="19" s="1"/>
  <c r="V333" i="19"/>
  <c r="V332" i="19"/>
  <c r="V331" i="19"/>
  <c r="W331" i="19" s="1"/>
  <c r="V330" i="19"/>
  <c r="X330" i="19" s="1"/>
  <c r="V329" i="19"/>
  <c r="V328" i="19"/>
  <c r="X328" i="19" s="1"/>
  <c r="V327" i="19"/>
  <c r="W327" i="19" s="1"/>
  <c r="V326" i="19"/>
  <c r="W326" i="19" s="1"/>
  <c r="V325" i="19"/>
  <c r="X325" i="19" s="1"/>
  <c r="V324" i="19"/>
  <c r="X324" i="19" s="1"/>
  <c r="V323" i="19"/>
  <c r="W323" i="19" s="1"/>
  <c r="V322" i="19"/>
  <c r="X322" i="19" s="1"/>
  <c r="V321" i="19"/>
  <c r="V320" i="19"/>
  <c r="V319" i="19"/>
  <c r="W319" i="19" s="1"/>
  <c r="V318" i="19"/>
  <c r="X318" i="19" s="1"/>
  <c r="V317" i="19"/>
  <c r="X317" i="19" s="1"/>
  <c r="V316" i="19"/>
  <c r="V315" i="19"/>
  <c r="V314" i="19"/>
  <c r="V313" i="19"/>
  <c r="X313" i="19" s="1"/>
  <c r="V312" i="19"/>
  <c r="X312" i="19" s="1"/>
  <c r="V311" i="19"/>
  <c r="W311" i="19" s="1"/>
  <c r="V310" i="19"/>
  <c r="W310" i="19" s="1"/>
  <c r="V309" i="19"/>
  <c r="X309" i="19" s="1"/>
  <c r="V308" i="19"/>
  <c r="V307" i="19"/>
  <c r="X307" i="19" s="1"/>
  <c r="V306" i="19"/>
  <c r="W306" i="19" s="1"/>
  <c r="V305" i="19"/>
  <c r="X305" i="19" s="1"/>
  <c r="V304" i="19"/>
  <c r="X304" i="19" s="1"/>
  <c r="V303" i="19"/>
  <c r="W303" i="19" s="1"/>
  <c r="V302" i="19"/>
  <c r="W302" i="19" s="1"/>
  <c r="V301" i="19"/>
  <c r="X301" i="19" s="1"/>
  <c r="V300" i="19"/>
  <c r="X300" i="19" s="1"/>
  <c r="V299" i="19"/>
  <c r="W299" i="19" s="1"/>
  <c r="V298" i="19"/>
  <c r="V297" i="19"/>
  <c r="V296" i="19"/>
  <c r="X296" i="19" s="1"/>
  <c r="V295" i="19"/>
  <c r="W295" i="19" s="1"/>
  <c r="V294" i="19"/>
  <c r="W294" i="19" s="1"/>
  <c r="V293" i="19"/>
  <c r="X293" i="19" s="1"/>
  <c r="V292" i="19"/>
  <c r="V291" i="19"/>
  <c r="X291" i="19" s="1"/>
  <c r="V290" i="19"/>
  <c r="V289" i="19"/>
  <c r="X289" i="19" s="1"/>
  <c r="V288" i="19"/>
  <c r="X288" i="19" s="1"/>
  <c r="V287" i="19"/>
  <c r="V286" i="19"/>
  <c r="V285" i="19"/>
  <c r="W285" i="19" s="1"/>
  <c r="V284" i="19"/>
  <c r="X284" i="19" s="1"/>
  <c r="V283" i="19"/>
  <c r="W283" i="19" s="1"/>
  <c r="V282" i="19"/>
  <c r="W282" i="19" s="1"/>
  <c r="V281" i="19"/>
  <c r="V280" i="19"/>
  <c r="X280" i="19" s="1"/>
  <c r="V279" i="19"/>
  <c r="V278" i="19"/>
  <c r="X278" i="19" s="1"/>
  <c r="V277" i="19"/>
  <c r="X277" i="19" s="1"/>
  <c r="V276" i="19"/>
  <c r="X276" i="19" s="1"/>
  <c r="V275" i="19"/>
  <c r="W275" i="19" s="1"/>
  <c r="V274" i="19"/>
  <c r="V273" i="19"/>
  <c r="X273" i="19" s="1"/>
  <c r="V272" i="19"/>
  <c r="X272" i="19" s="1"/>
  <c r="V271" i="19"/>
  <c r="X271" i="19" s="1"/>
  <c r="V270" i="19"/>
  <c r="X270" i="19" s="1"/>
  <c r="V168" i="19"/>
  <c r="W168" i="19" s="1"/>
  <c r="V167" i="19"/>
  <c r="X167" i="19" s="1"/>
  <c r="V166" i="19"/>
  <c r="W166" i="19" s="1"/>
  <c r="V165" i="19"/>
  <c r="V164" i="19"/>
  <c r="X164" i="19" s="1"/>
  <c r="V163" i="19"/>
  <c r="V162" i="19"/>
  <c r="X162" i="19" s="1"/>
  <c r="V161" i="19"/>
  <c r="V160" i="19"/>
  <c r="X160" i="19" s="1"/>
  <c r="V159" i="19"/>
  <c r="X159" i="19" s="1"/>
  <c r="V158" i="19"/>
  <c r="T158" i="19"/>
  <c r="V157" i="19"/>
  <c r="T157" i="19"/>
  <c r="V156" i="19"/>
  <c r="W156" i="19" s="1"/>
  <c r="T156" i="19"/>
  <c r="V155" i="19"/>
  <c r="W155" i="19" s="1"/>
  <c r="T155" i="19"/>
  <c r="V154" i="19"/>
  <c r="X154" i="19" s="1"/>
  <c r="T154" i="19"/>
  <c r="V153" i="19"/>
  <c r="T153" i="19"/>
  <c r="V152" i="19"/>
  <c r="W152" i="19" s="1"/>
  <c r="T152" i="19"/>
  <c r="V151" i="19"/>
  <c r="T151" i="19"/>
  <c r="V150" i="19"/>
  <c r="T150" i="19"/>
  <c r="V149" i="19"/>
  <c r="T149" i="19"/>
  <c r="V148" i="19"/>
  <c r="T148" i="19"/>
  <c r="V147" i="19"/>
  <c r="W147" i="19" s="1"/>
  <c r="T147" i="19"/>
  <c r="V146" i="19"/>
  <c r="X146" i="19" s="1"/>
  <c r="T146" i="19"/>
  <c r="V145" i="19"/>
  <c r="X145" i="19" s="1"/>
  <c r="T145" i="19"/>
  <c r="V144" i="19"/>
  <c r="W144" i="19" s="1"/>
  <c r="T144" i="19"/>
  <c r="V143" i="19"/>
  <c r="T143" i="19"/>
  <c r="V142" i="19"/>
  <c r="T142" i="19"/>
  <c r="V141" i="19"/>
  <c r="X141" i="19" s="1"/>
  <c r="T141" i="19"/>
  <c r="V140" i="19"/>
  <c r="W140" i="19" s="1"/>
  <c r="T140" i="19"/>
  <c r="V139" i="19"/>
  <c r="T139" i="19"/>
  <c r="V138" i="19"/>
  <c r="W138" i="19" s="1"/>
  <c r="T138" i="19"/>
  <c r="V137" i="19"/>
  <c r="X137" i="19" s="1"/>
  <c r="T137" i="19"/>
  <c r="V136" i="19"/>
  <c r="W136" i="19" s="1"/>
  <c r="T136" i="19"/>
  <c r="V135" i="19"/>
  <c r="W135" i="19" s="1"/>
  <c r="T135" i="19"/>
  <c r="V134" i="19"/>
  <c r="W134" i="19" s="1"/>
  <c r="T134" i="19"/>
  <c r="V133" i="19"/>
  <c r="X133" i="19" s="1"/>
  <c r="T133" i="19"/>
  <c r="V132" i="19"/>
  <c r="W132" i="19" s="1"/>
  <c r="T132" i="19"/>
  <c r="V131" i="19"/>
  <c r="W131" i="19" s="1"/>
  <c r="T131" i="19"/>
  <c r="V130" i="19"/>
  <c r="T130" i="19"/>
  <c r="V129" i="19"/>
  <c r="T129" i="19"/>
  <c r="V128" i="19"/>
  <c r="W128" i="19" s="1"/>
  <c r="T128" i="19"/>
  <c r="V127" i="19"/>
  <c r="T127" i="19"/>
  <c r="V126" i="19"/>
  <c r="W126" i="19" s="1"/>
  <c r="T126" i="19"/>
  <c r="V125" i="19"/>
  <c r="W125" i="19" s="1"/>
  <c r="T125" i="19"/>
  <c r="V124" i="19"/>
  <c r="T124" i="19"/>
  <c r="V123" i="19"/>
  <c r="W123" i="19" s="1"/>
  <c r="T123" i="19"/>
  <c r="V122" i="19"/>
  <c r="X122" i="19" s="1"/>
  <c r="T122" i="19"/>
  <c r="V121" i="19"/>
  <c r="T121" i="19"/>
  <c r="V120" i="19"/>
  <c r="W120" i="19" s="1"/>
  <c r="T120" i="19"/>
  <c r="V119" i="19"/>
  <c r="W119" i="19" s="1"/>
  <c r="T119" i="19"/>
  <c r="V118" i="19"/>
  <c r="T118" i="19"/>
  <c r="V117" i="19"/>
  <c r="W117" i="19" s="1"/>
  <c r="T117" i="19"/>
  <c r="V116" i="19"/>
  <c r="W116" i="19" s="1"/>
  <c r="T116" i="19"/>
  <c r="V115" i="19"/>
  <c r="W115" i="19" s="1"/>
  <c r="T115" i="19"/>
  <c r="V114" i="19"/>
  <c r="X114" i="19" s="1"/>
  <c r="T114" i="19"/>
  <c r="V113" i="19"/>
  <c r="X113" i="19" s="1"/>
  <c r="T113" i="19"/>
  <c r="V112" i="19"/>
  <c r="W112" i="19" s="1"/>
  <c r="T112" i="19"/>
  <c r="V111" i="19"/>
  <c r="T111" i="19"/>
  <c r="V110" i="19"/>
  <c r="X110" i="19" s="1"/>
  <c r="T110" i="19"/>
  <c r="V109" i="19"/>
  <c r="X109" i="19" s="1"/>
  <c r="T109" i="19"/>
  <c r="V108" i="19"/>
  <c r="W108" i="19" s="1"/>
  <c r="T108" i="19"/>
  <c r="V107" i="19"/>
  <c r="T107" i="19"/>
  <c r="V106" i="19"/>
  <c r="T106" i="19"/>
  <c r="V105" i="19"/>
  <c r="X105" i="19" s="1"/>
  <c r="T105" i="19"/>
  <c r="V104" i="19"/>
  <c r="W104" i="19" s="1"/>
  <c r="T104" i="19"/>
  <c r="V103" i="19"/>
  <c r="W103" i="19" s="1"/>
  <c r="T103" i="19"/>
  <c r="V102" i="19"/>
  <c r="T102" i="19"/>
  <c r="V101" i="19"/>
  <c r="W101" i="19" s="1"/>
  <c r="T101" i="19"/>
  <c r="V100" i="19"/>
  <c r="W100" i="19" s="1"/>
  <c r="T100" i="19"/>
  <c r="V99" i="19"/>
  <c r="W99" i="19" s="1"/>
  <c r="T99" i="19"/>
  <c r="V98" i="19"/>
  <c r="T98" i="19"/>
  <c r="V97" i="19"/>
  <c r="W97" i="19" s="1"/>
  <c r="T97" i="19"/>
  <c r="V96" i="19"/>
  <c r="W96" i="19" s="1"/>
  <c r="T96" i="19"/>
  <c r="V95" i="19"/>
  <c r="T95" i="19"/>
  <c r="V94" i="19"/>
  <c r="T94" i="19"/>
  <c r="V93" i="19"/>
  <c r="W93" i="19" s="1"/>
  <c r="T93" i="19"/>
  <c r="V92" i="19"/>
  <c r="T92" i="19"/>
  <c r="V91" i="19"/>
  <c r="W91" i="19" s="1"/>
  <c r="T91" i="19"/>
  <c r="V90" i="19"/>
  <c r="X90" i="19" s="1"/>
  <c r="T90" i="19"/>
  <c r="V89" i="19"/>
  <c r="T89" i="19"/>
  <c r="V88" i="19"/>
  <c r="W88" i="19" s="1"/>
  <c r="T88" i="19"/>
  <c r="V87" i="19"/>
  <c r="W87" i="19" s="1"/>
  <c r="T87" i="19"/>
  <c r="V86" i="19"/>
  <c r="T86" i="19"/>
  <c r="V85" i="19"/>
  <c r="W85" i="19" s="1"/>
  <c r="T85" i="19"/>
  <c r="V84" i="19"/>
  <c r="T84" i="19"/>
  <c r="V83" i="19"/>
  <c r="W83" i="19" s="1"/>
  <c r="T83" i="19"/>
  <c r="V82" i="19"/>
  <c r="X82" i="19" s="1"/>
  <c r="T82" i="19"/>
  <c r="V81" i="19"/>
  <c r="X81" i="19" s="1"/>
  <c r="T81" i="19"/>
  <c r="V80" i="19"/>
  <c r="W80" i="19" s="1"/>
  <c r="T80" i="19"/>
  <c r="V79" i="19"/>
  <c r="T79" i="19"/>
  <c r="V78" i="19"/>
  <c r="W78" i="19" s="1"/>
  <c r="T78" i="19"/>
  <c r="V77" i="19"/>
  <c r="W77" i="19" s="1"/>
  <c r="T77" i="19"/>
  <c r="V76" i="19"/>
  <c r="T76" i="19"/>
  <c r="V75" i="19"/>
  <c r="T75" i="19"/>
  <c r="V74" i="19"/>
  <c r="W74" i="19" s="1"/>
  <c r="T74" i="19"/>
  <c r="V73" i="19"/>
  <c r="X73" i="19" s="1"/>
  <c r="T73" i="19"/>
  <c r="V72" i="19"/>
  <c r="W72" i="19" s="1"/>
  <c r="T72" i="19"/>
  <c r="V71" i="19"/>
  <c r="W71" i="19" s="1"/>
  <c r="T71" i="19"/>
  <c r="V70" i="19"/>
  <c r="W70" i="19" s="1"/>
  <c r="T70" i="19"/>
  <c r="V69" i="19"/>
  <c r="W69" i="19" s="1"/>
  <c r="T69" i="19"/>
  <c r="V68" i="19"/>
  <c r="W68" i="19" s="1"/>
  <c r="T68" i="19"/>
  <c r="V67" i="19"/>
  <c r="W67" i="19" s="1"/>
  <c r="T67" i="19"/>
  <c r="V66" i="19"/>
  <c r="T66" i="19"/>
  <c r="V65" i="19"/>
  <c r="T65" i="19"/>
  <c r="V64" i="19"/>
  <c r="W64" i="19" s="1"/>
  <c r="T64" i="19"/>
  <c r="V63" i="19"/>
  <c r="W63" i="19" s="1"/>
  <c r="T63" i="19"/>
  <c r="V62" i="19"/>
  <c r="T62" i="19"/>
  <c r="V61" i="19"/>
  <c r="T61" i="19"/>
  <c r="V60" i="19"/>
  <c r="W60" i="19" s="1"/>
  <c r="T60" i="19"/>
  <c r="V59" i="19"/>
  <c r="W59" i="19" s="1"/>
  <c r="T59" i="19"/>
  <c r="V58" i="19"/>
  <c r="X58" i="19" s="1"/>
  <c r="T58" i="19"/>
  <c r="V57" i="19"/>
  <c r="T57" i="19"/>
  <c r="V56" i="19"/>
  <c r="W56" i="19" s="1"/>
  <c r="T56" i="19"/>
  <c r="V55" i="19"/>
  <c r="W55" i="19" s="1"/>
  <c r="T55" i="19"/>
  <c r="V54" i="19"/>
  <c r="W54" i="19" s="1"/>
  <c r="T54" i="19"/>
  <c r="V53" i="19"/>
  <c r="T53" i="19"/>
  <c r="V52" i="19"/>
  <c r="T52" i="19"/>
  <c r="V51" i="19"/>
  <c r="W51" i="19" s="1"/>
  <c r="T51" i="19"/>
  <c r="V50" i="19"/>
  <c r="X50" i="19" s="1"/>
  <c r="T50" i="19"/>
  <c r="V49" i="19"/>
  <c r="X49" i="19" s="1"/>
  <c r="T49" i="19"/>
  <c r="V48" i="19"/>
  <c r="W48" i="19" s="1"/>
  <c r="T48" i="19"/>
  <c r="V47" i="19"/>
  <c r="T47" i="19"/>
  <c r="V46" i="19"/>
  <c r="X46" i="19" s="1"/>
  <c r="T46" i="19"/>
  <c r="V45" i="19"/>
  <c r="X45" i="19" s="1"/>
  <c r="T45" i="19"/>
  <c r="V44" i="19"/>
  <c r="W44" i="19" s="1"/>
  <c r="T44" i="19"/>
  <c r="V43" i="19"/>
  <c r="T43" i="19"/>
  <c r="V42" i="19"/>
  <c r="T42" i="19"/>
  <c r="V41" i="19"/>
  <c r="X41" i="19" s="1"/>
  <c r="T41" i="19"/>
  <c r="V40" i="19"/>
  <c r="W40" i="19" s="1"/>
  <c r="T40" i="19"/>
  <c r="V39" i="19"/>
  <c r="W39" i="19" s="1"/>
  <c r="T39" i="19"/>
  <c r="V38" i="19"/>
  <c r="W38" i="19" s="1"/>
  <c r="T38" i="19"/>
  <c r="V37" i="19"/>
  <c r="T37" i="19"/>
  <c r="V36" i="19"/>
  <c r="W36" i="19" s="1"/>
  <c r="T36" i="19"/>
  <c r="V35" i="19"/>
  <c r="W35" i="19" s="1"/>
  <c r="T35" i="19"/>
  <c r="V34" i="19"/>
  <c r="T34" i="19"/>
  <c r="V33" i="19"/>
  <c r="W33" i="19" s="1"/>
  <c r="T33" i="19"/>
  <c r="V32" i="19"/>
  <c r="W32" i="19" s="1"/>
  <c r="T32" i="19"/>
  <c r="V31" i="19"/>
  <c r="W31" i="19" s="1"/>
  <c r="T31" i="19"/>
  <c r="V30" i="19"/>
  <c r="W30" i="19" s="1"/>
  <c r="T30" i="19"/>
  <c r="V29" i="19"/>
  <c r="W29" i="19" s="1"/>
  <c r="T29" i="19"/>
  <c r="V28" i="19"/>
  <c r="W28" i="19" s="1"/>
  <c r="T28" i="19"/>
  <c r="V27" i="19"/>
  <c r="W27" i="19" s="1"/>
  <c r="T27" i="19"/>
  <c r="V26" i="19"/>
  <c r="X26" i="19" s="1"/>
  <c r="T26" i="19"/>
  <c r="V25" i="19"/>
  <c r="T25" i="19"/>
  <c r="V24" i="19"/>
  <c r="W24" i="19" s="1"/>
  <c r="T24" i="19"/>
  <c r="V23" i="19"/>
  <c r="T23" i="19"/>
  <c r="V22" i="19"/>
  <c r="X22" i="19" s="1"/>
  <c r="T22" i="19"/>
  <c r="V21" i="19"/>
  <c r="X21" i="19" s="1"/>
  <c r="T21" i="19"/>
  <c r="V20" i="19"/>
  <c r="T20" i="19"/>
  <c r="V19" i="19"/>
  <c r="W19" i="19" s="1"/>
  <c r="T19" i="19"/>
  <c r="V18" i="19"/>
  <c r="X18" i="19" s="1"/>
  <c r="T18" i="19"/>
  <c r="V17" i="19"/>
  <c r="X17" i="19" s="1"/>
  <c r="T17" i="19"/>
  <c r="E17" i="19"/>
  <c r="F17" i="19" s="1"/>
  <c r="V16" i="19"/>
  <c r="T16" i="19"/>
  <c r="E16" i="19"/>
  <c r="F16" i="19" s="1"/>
  <c r="V15" i="19"/>
  <c r="X15" i="19" s="1"/>
  <c r="T15" i="19"/>
  <c r="E15" i="19"/>
  <c r="F15" i="19" s="1"/>
  <c r="V14" i="19"/>
  <c r="W14" i="19" s="1"/>
  <c r="T14" i="19"/>
  <c r="E14" i="19"/>
  <c r="F14" i="19" s="1"/>
  <c r="V13" i="19"/>
  <c r="W13" i="19" s="1"/>
  <c r="T13" i="19"/>
  <c r="E13" i="19"/>
  <c r="F13" i="19" s="1"/>
  <c r="V12" i="19"/>
  <c r="X12" i="19" s="1"/>
  <c r="T12" i="19"/>
  <c r="E12" i="19"/>
  <c r="F12" i="19" s="1"/>
  <c r="V11" i="19"/>
  <c r="W11" i="19" s="1"/>
  <c r="T11" i="19"/>
  <c r="E11" i="19"/>
  <c r="F11" i="19" s="1"/>
  <c r="V10" i="19"/>
  <c r="W10" i="19" s="1"/>
  <c r="T10" i="19"/>
  <c r="E10" i="19"/>
  <c r="F10" i="19" s="1"/>
  <c r="V9" i="19"/>
  <c r="X9" i="19" s="1"/>
  <c r="T9" i="19"/>
  <c r="E9" i="19"/>
  <c r="F9" i="19" s="1"/>
  <c r="V8" i="19"/>
  <c r="T8" i="19"/>
  <c r="E8" i="19"/>
  <c r="F8" i="19" s="1"/>
  <c r="V7" i="19"/>
  <c r="T7" i="19"/>
  <c r="E7" i="19"/>
  <c r="F7" i="19" s="1"/>
  <c r="V6" i="19"/>
  <c r="X6" i="19" s="1"/>
  <c r="T6" i="19"/>
  <c r="E6" i="19"/>
  <c r="F6" i="19" s="1"/>
  <c r="V5" i="19"/>
  <c r="W5" i="19" s="1"/>
  <c r="T5" i="19"/>
  <c r="E5" i="19"/>
  <c r="F5" i="19" s="1"/>
  <c r="V4" i="19"/>
  <c r="W4" i="19" s="1"/>
  <c r="T4" i="19"/>
  <c r="E4" i="19"/>
  <c r="F4" i="19" s="1"/>
  <c r="AC500" i="42"/>
  <c r="AA500" i="42"/>
  <c r="Y500" i="42"/>
  <c r="V500" i="42"/>
  <c r="AC499" i="42"/>
  <c r="AA499" i="42"/>
  <c r="Y499" i="42"/>
  <c r="AC498" i="42"/>
  <c r="AA498" i="42"/>
  <c r="Y498" i="42"/>
  <c r="V498" i="42"/>
  <c r="AC497" i="42"/>
  <c r="AA497" i="42"/>
  <c r="Y497" i="42"/>
  <c r="V497" i="42"/>
  <c r="P497" i="42"/>
  <c r="AE497" i="42" s="1"/>
  <c r="AF497" i="42" s="1"/>
  <c r="AC496" i="42"/>
  <c r="AA496" i="42"/>
  <c r="Y496" i="42"/>
  <c r="P496" i="42"/>
  <c r="AE496" i="42" s="1"/>
  <c r="AF496" i="42" s="1"/>
  <c r="AC495" i="42"/>
  <c r="AA495" i="42"/>
  <c r="Y495" i="42"/>
  <c r="V495" i="42"/>
  <c r="P495" i="42"/>
  <c r="AE495" i="42" s="1"/>
  <c r="AF495" i="42" s="1"/>
  <c r="AC494" i="42"/>
  <c r="AA494" i="42"/>
  <c r="Y494" i="42"/>
  <c r="P494" i="42"/>
  <c r="AE494" i="42" s="1"/>
  <c r="AF494" i="42" s="1"/>
  <c r="AC493" i="42"/>
  <c r="AA493" i="42"/>
  <c r="Y493" i="42"/>
  <c r="V493" i="42"/>
  <c r="P493" i="42"/>
  <c r="AE493" i="42" s="1"/>
  <c r="AF493" i="42" s="1"/>
  <c r="AC492" i="42"/>
  <c r="AA492" i="42"/>
  <c r="Y492" i="42"/>
  <c r="P492" i="42"/>
  <c r="AE492" i="42" s="1"/>
  <c r="AF492" i="42" s="1"/>
  <c r="AC491" i="42"/>
  <c r="AA491" i="42"/>
  <c r="Y491" i="42"/>
  <c r="AC490" i="42"/>
  <c r="AA490" i="42"/>
  <c r="Y490" i="42"/>
  <c r="AC489" i="42"/>
  <c r="AA489" i="42"/>
  <c r="Y489" i="42"/>
  <c r="AC488" i="42"/>
  <c r="AA488" i="42"/>
  <c r="Y488" i="42"/>
  <c r="AC487" i="42"/>
  <c r="AA487" i="42"/>
  <c r="Y487" i="42"/>
  <c r="AC486" i="42"/>
  <c r="AA486" i="42"/>
  <c r="Y486" i="42"/>
  <c r="V486" i="42"/>
  <c r="AC485" i="42"/>
  <c r="AA485" i="42"/>
  <c r="Y485" i="42"/>
  <c r="P485" i="42"/>
  <c r="AE485" i="42" s="1"/>
  <c r="AF485" i="42" s="1"/>
  <c r="AC484" i="42"/>
  <c r="AA484" i="42"/>
  <c r="Y484" i="42"/>
  <c r="V484" i="42"/>
  <c r="AC483" i="42"/>
  <c r="AA483" i="42"/>
  <c r="Y483" i="42"/>
  <c r="V483" i="42"/>
  <c r="AC482" i="42"/>
  <c r="AA482" i="42"/>
  <c r="Y482" i="42"/>
  <c r="V482" i="42"/>
  <c r="AC481" i="42"/>
  <c r="AA481" i="42"/>
  <c r="Y481" i="42"/>
  <c r="V481" i="42"/>
  <c r="AC480" i="42"/>
  <c r="AA480" i="42"/>
  <c r="Y480" i="42"/>
  <c r="P480" i="42"/>
  <c r="AE480" i="42" s="1"/>
  <c r="AF480" i="42" s="1"/>
  <c r="AC479" i="42"/>
  <c r="AA479" i="42"/>
  <c r="Y479" i="42"/>
  <c r="P479" i="42"/>
  <c r="AE479" i="42" s="1"/>
  <c r="AF479" i="42" s="1"/>
  <c r="AC478" i="42"/>
  <c r="AA478" i="42"/>
  <c r="Y478" i="42"/>
  <c r="V478" i="42"/>
  <c r="P478" i="42"/>
  <c r="AE478" i="42" s="1"/>
  <c r="AF478" i="42" s="1"/>
  <c r="AC477" i="42"/>
  <c r="AA477" i="42"/>
  <c r="Y477" i="42"/>
  <c r="P477" i="42"/>
  <c r="AE477" i="42" s="1"/>
  <c r="AF477" i="42" s="1"/>
  <c r="AC476" i="42"/>
  <c r="AA476" i="42"/>
  <c r="Y476" i="42"/>
  <c r="AC475" i="42"/>
  <c r="AA475" i="42"/>
  <c r="Y475" i="42"/>
  <c r="AC474" i="42"/>
  <c r="AA474" i="42"/>
  <c r="Y474" i="42"/>
  <c r="AC473" i="42"/>
  <c r="AA473" i="42"/>
  <c r="Y473" i="42"/>
  <c r="AC472" i="42"/>
  <c r="AA472" i="42"/>
  <c r="Y472" i="42"/>
  <c r="AC471" i="42"/>
  <c r="AA471" i="42"/>
  <c r="Y471" i="42"/>
  <c r="AC470" i="42"/>
  <c r="AA470" i="42"/>
  <c r="Y470" i="42"/>
  <c r="AC469" i="42"/>
  <c r="AA469" i="42"/>
  <c r="Y469" i="42"/>
  <c r="AC468" i="42"/>
  <c r="AA468" i="42"/>
  <c r="Y468" i="42"/>
  <c r="AC467" i="42"/>
  <c r="AA467" i="42"/>
  <c r="Y467" i="42"/>
  <c r="V467" i="42"/>
  <c r="AC466" i="42"/>
  <c r="AA466" i="42"/>
  <c r="Y466" i="42"/>
  <c r="V466" i="42"/>
  <c r="P466" i="42"/>
  <c r="AE466" i="42" s="1"/>
  <c r="AF466" i="42" s="1"/>
  <c r="AC465" i="42"/>
  <c r="AA465" i="42"/>
  <c r="Y465" i="42"/>
  <c r="AC464" i="42"/>
  <c r="AA464" i="42"/>
  <c r="Y464" i="42"/>
  <c r="P464" i="42"/>
  <c r="AE464" i="42" s="1"/>
  <c r="AF464" i="42" s="1"/>
  <c r="AC463" i="42"/>
  <c r="AA463" i="42"/>
  <c r="Y463" i="42"/>
  <c r="P463" i="42"/>
  <c r="AE463" i="42" s="1"/>
  <c r="AF463" i="42" s="1"/>
  <c r="AC462" i="42"/>
  <c r="AA462" i="42"/>
  <c r="Y462" i="42"/>
  <c r="V462" i="42"/>
  <c r="P462" i="42"/>
  <c r="AE462" i="42" s="1"/>
  <c r="AF462" i="42" s="1"/>
  <c r="AC461" i="42"/>
  <c r="AA461" i="42"/>
  <c r="Y461" i="42"/>
  <c r="P461" i="42"/>
  <c r="AE461" i="42" s="1"/>
  <c r="AF461" i="42" s="1"/>
  <c r="AC460" i="42"/>
  <c r="AA460" i="42"/>
  <c r="Y460" i="42"/>
  <c r="AC459" i="42"/>
  <c r="AA459" i="42"/>
  <c r="Y459" i="42"/>
  <c r="AC458" i="42"/>
  <c r="AA458" i="42"/>
  <c r="Y458" i="42"/>
  <c r="AC457" i="42"/>
  <c r="AA457" i="42"/>
  <c r="Y457" i="42"/>
  <c r="AC456" i="42"/>
  <c r="AA456" i="42"/>
  <c r="Y456" i="42"/>
  <c r="AC455" i="42"/>
  <c r="AA455" i="42"/>
  <c r="Y455" i="42"/>
  <c r="AC454" i="42"/>
  <c r="AA454" i="42"/>
  <c r="Y454" i="42"/>
  <c r="AC453" i="42"/>
  <c r="AA453" i="42"/>
  <c r="Y453" i="42"/>
  <c r="AC452" i="42"/>
  <c r="AA452" i="42"/>
  <c r="Y452" i="42"/>
  <c r="AC451" i="42"/>
  <c r="AA451" i="42"/>
  <c r="Y451" i="42"/>
  <c r="AC450" i="42"/>
  <c r="AA450" i="42"/>
  <c r="Y450" i="42"/>
  <c r="V450" i="42"/>
  <c r="AC449" i="42"/>
  <c r="AA449" i="42"/>
  <c r="Y449" i="42"/>
  <c r="P449" i="42"/>
  <c r="AE449" i="42" s="1"/>
  <c r="AF449" i="42" s="1"/>
  <c r="AC448" i="42"/>
  <c r="AA448" i="42"/>
  <c r="Y448" i="42"/>
  <c r="P448" i="42"/>
  <c r="AE448" i="42" s="1"/>
  <c r="AF448" i="42" s="1"/>
  <c r="AC447" i="42"/>
  <c r="AA447" i="42"/>
  <c r="Y447" i="42"/>
  <c r="P447" i="42"/>
  <c r="AE447" i="42" s="1"/>
  <c r="AF447" i="42" s="1"/>
  <c r="AC446" i="42"/>
  <c r="AA446" i="42"/>
  <c r="Y446" i="42"/>
  <c r="P446" i="42"/>
  <c r="AE446" i="42" s="1"/>
  <c r="AF446" i="42" s="1"/>
  <c r="AC445" i="42"/>
  <c r="AA445" i="42"/>
  <c r="Y445" i="42"/>
  <c r="P445" i="42"/>
  <c r="AE445" i="42" s="1"/>
  <c r="AF445" i="42" s="1"/>
  <c r="AC444" i="42"/>
  <c r="AA444" i="42"/>
  <c r="Y444" i="42"/>
  <c r="AC443" i="42"/>
  <c r="AA443" i="42"/>
  <c r="Y443" i="42"/>
  <c r="AC442" i="42"/>
  <c r="AA442" i="42"/>
  <c r="Y442" i="42"/>
  <c r="AC441" i="42"/>
  <c r="AA441" i="42"/>
  <c r="Y441" i="42"/>
  <c r="AC440" i="42"/>
  <c r="AA440" i="42"/>
  <c r="Y440" i="42"/>
  <c r="AC439" i="42"/>
  <c r="AA439" i="42"/>
  <c r="Y439" i="42"/>
  <c r="AC438" i="42"/>
  <c r="AA438" i="42"/>
  <c r="Y438" i="42"/>
  <c r="AC437" i="42"/>
  <c r="AA437" i="42"/>
  <c r="Y437" i="42"/>
  <c r="AC436" i="42"/>
  <c r="AA436" i="42"/>
  <c r="Y436" i="42"/>
  <c r="V436" i="42"/>
  <c r="AC435" i="42"/>
  <c r="AA435" i="42"/>
  <c r="Y435" i="42"/>
  <c r="V435" i="42"/>
  <c r="P435" i="42"/>
  <c r="AE435" i="42" s="1"/>
  <c r="AF435" i="42" s="1"/>
  <c r="AC434" i="42"/>
  <c r="AA434" i="42"/>
  <c r="Y434" i="42"/>
  <c r="V434" i="42"/>
  <c r="AC433" i="42"/>
  <c r="AA433" i="42"/>
  <c r="Y433" i="42"/>
  <c r="AC432" i="42"/>
  <c r="AA432" i="42"/>
  <c r="Y432" i="42"/>
  <c r="P432" i="42"/>
  <c r="AE432" i="42" s="1"/>
  <c r="AF432" i="42" s="1"/>
  <c r="AC431" i="42"/>
  <c r="AA431" i="42"/>
  <c r="Y431" i="42"/>
  <c r="P431" i="42"/>
  <c r="AE431" i="42" s="1"/>
  <c r="AF431" i="42" s="1"/>
  <c r="AC430" i="42"/>
  <c r="AA430" i="42"/>
  <c r="Y430" i="42"/>
  <c r="V430" i="42"/>
  <c r="P430" i="42"/>
  <c r="AE430" i="42" s="1"/>
  <c r="AF430" i="42" s="1"/>
  <c r="AC429" i="42"/>
  <c r="AA429" i="42"/>
  <c r="Y429" i="42"/>
  <c r="P429" i="42"/>
  <c r="AE429" i="42" s="1"/>
  <c r="AF429" i="42" s="1"/>
  <c r="AC428" i="42"/>
  <c r="AA428" i="42"/>
  <c r="Y428" i="42"/>
  <c r="AC427" i="42"/>
  <c r="AA427" i="42"/>
  <c r="Y427" i="42"/>
  <c r="AC426" i="42"/>
  <c r="AA426" i="42"/>
  <c r="Y426" i="42"/>
  <c r="AC425" i="42"/>
  <c r="AA425" i="42"/>
  <c r="Y425" i="42"/>
  <c r="AC424" i="42"/>
  <c r="AA424" i="42"/>
  <c r="Y424" i="42"/>
  <c r="AC423" i="42"/>
  <c r="AA423" i="42"/>
  <c r="Y423" i="42"/>
  <c r="V423" i="42"/>
  <c r="P423" i="42"/>
  <c r="AE423" i="42" s="1"/>
  <c r="AF423" i="42" s="1"/>
  <c r="AC422" i="42"/>
  <c r="AA422" i="42"/>
  <c r="Y422" i="42"/>
  <c r="V422" i="42"/>
  <c r="AC421" i="42"/>
  <c r="AA421" i="42"/>
  <c r="Y421" i="42"/>
  <c r="AC420" i="42"/>
  <c r="AA420" i="42"/>
  <c r="Y420" i="42"/>
  <c r="AC419" i="42"/>
  <c r="AA419" i="42"/>
  <c r="Y419" i="42"/>
  <c r="V419" i="42"/>
  <c r="P419" i="42"/>
  <c r="AE419" i="42" s="1"/>
  <c r="AF419" i="42" s="1"/>
  <c r="AC418" i="42"/>
  <c r="AA418" i="42"/>
  <c r="Y418" i="42"/>
  <c r="V418" i="42"/>
  <c r="P418" i="42"/>
  <c r="AE418" i="42" s="1"/>
  <c r="AF418" i="42" s="1"/>
  <c r="AC417" i="42"/>
  <c r="AA417" i="42"/>
  <c r="Y417" i="42"/>
  <c r="V417" i="42"/>
  <c r="AC416" i="42"/>
  <c r="AA416" i="42"/>
  <c r="Y416" i="42"/>
  <c r="P416" i="42"/>
  <c r="AE416" i="42" s="1"/>
  <c r="AF416" i="42" s="1"/>
  <c r="AC415" i="42"/>
  <c r="AA415" i="42"/>
  <c r="Y415" i="42"/>
  <c r="P415" i="42"/>
  <c r="AE415" i="42" s="1"/>
  <c r="AF415" i="42" s="1"/>
  <c r="AC414" i="42"/>
  <c r="AA414" i="42"/>
  <c r="Y414" i="42"/>
  <c r="V414" i="42"/>
  <c r="P414" i="42"/>
  <c r="AE414" i="42" s="1"/>
  <c r="AF414" i="42" s="1"/>
  <c r="AC413" i="42"/>
  <c r="AA413" i="42"/>
  <c r="Y413" i="42"/>
  <c r="P413" i="42"/>
  <c r="AE413" i="42" s="1"/>
  <c r="AF413" i="42" s="1"/>
  <c r="AC412" i="42"/>
  <c r="AA412" i="42"/>
  <c r="Y412" i="42"/>
  <c r="AC411" i="42"/>
  <c r="AA411" i="42"/>
  <c r="Y411" i="42"/>
  <c r="AC410" i="42"/>
  <c r="AA410" i="42"/>
  <c r="Y410" i="42"/>
  <c r="AC409" i="42"/>
  <c r="AA409" i="42"/>
  <c r="Y409" i="42"/>
  <c r="AC408" i="42"/>
  <c r="AA408" i="42"/>
  <c r="Y408" i="42"/>
  <c r="V408" i="42"/>
  <c r="AC407" i="42"/>
  <c r="AA407" i="42"/>
  <c r="Y407" i="42"/>
  <c r="AC406" i="42"/>
  <c r="AA406" i="42"/>
  <c r="Y406" i="42"/>
  <c r="AC405" i="42"/>
  <c r="AA405" i="42"/>
  <c r="Y405" i="42"/>
  <c r="AC404" i="42"/>
  <c r="AA404" i="42"/>
  <c r="Y404" i="42"/>
  <c r="P404" i="42"/>
  <c r="AE404" i="42" s="1"/>
  <c r="AF404" i="42" s="1"/>
  <c r="AC403" i="42"/>
  <c r="AA403" i="42"/>
  <c r="Y403" i="42"/>
  <c r="AC402" i="42"/>
  <c r="AA402" i="42"/>
  <c r="Y402" i="42"/>
  <c r="V402" i="42"/>
  <c r="P402" i="42"/>
  <c r="AE402" i="42" s="1"/>
  <c r="AF402" i="42" s="1"/>
  <c r="AC401" i="42"/>
  <c r="AA401" i="42"/>
  <c r="Y401" i="42"/>
  <c r="V401" i="42"/>
  <c r="AC400" i="42"/>
  <c r="AA400" i="42"/>
  <c r="Y400" i="42"/>
  <c r="P400" i="42"/>
  <c r="AE400" i="42" s="1"/>
  <c r="AF400" i="42" s="1"/>
  <c r="AC399" i="42"/>
  <c r="AA399" i="42"/>
  <c r="Y399" i="42"/>
  <c r="P399" i="42"/>
  <c r="AE399" i="42" s="1"/>
  <c r="AF399" i="42" s="1"/>
  <c r="AC398" i="42"/>
  <c r="AA398" i="42"/>
  <c r="Y398" i="42"/>
  <c r="V398" i="42"/>
  <c r="P398" i="42"/>
  <c r="AE398" i="42" s="1"/>
  <c r="AF398" i="42" s="1"/>
  <c r="AC397" i="42"/>
  <c r="AA397" i="42"/>
  <c r="Y397" i="42"/>
  <c r="P397" i="42"/>
  <c r="AE397" i="42" s="1"/>
  <c r="AF397" i="42" s="1"/>
  <c r="AC396" i="42"/>
  <c r="AA396" i="42"/>
  <c r="Y396" i="42"/>
  <c r="AC395" i="42"/>
  <c r="AA395" i="42"/>
  <c r="Y395" i="42"/>
  <c r="AC394" i="42"/>
  <c r="AA394" i="42"/>
  <c r="Y394" i="42"/>
  <c r="AC393" i="42"/>
  <c r="AA393" i="42"/>
  <c r="Y393" i="42"/>
  <c r="AC392" i="42"/>
  <c r="AA392" i="42"/>
  <c r="Y392" i="42"/>
  <c r="AC391" i="42"/>
  <c r="AA391" i="42"/>
  <c r="Y391" i="42"/>
  <c r="AC390" i="42"/>
  <c r="AA390" i="42"/>
  <c r="Y390" i="42"/>
  <c r="AC389" i="42"/>
  <c r="AA389" i="42"/>
  <c r="Y389" i="42"/>
  <c r="AC388" i="42"/>
  <c r="AA388" i="42"/>
  <c r="Y388" i="42"/>
  <c r="P388" i="42"/>
  <c r="AE388" i="42" s="1"/>
  <c r="AF388" i="42" s="1"/>
  <c r="AC387" i="42"/>
  <c r="AA387" i="42"/>
  <c r="Y387" i="42"/>
  <c r="AC386" i="42"/>
  <c r="AA386" i="42"/>
  <c r="Y386" i="42"/>
  <c r="V386" i="42"/>
  <c r="AC385" i="42"/>
  <c r="AA385" i="42"/>
  <c r="Y385" i="42"/>
  <c r="V385" i="42"/>
  <c r="P385" i="42"/>
  <c r="AE385" i="42" s="1"/>
  <c r="AF385" i="42" s="1"/>
  <c r="AC384" i="42"/>
  <c r="AA384" i="42"/>
  <c r="Y384" i="42"/>
  <c r="P384" i="42"/>
  <c r="AE384" i="42" s="1"/>
  <c r="AF384" i="42" s="1"/>
  <c r="AC383" i="42"/>
  <c r="AA383" i="42"/>
  <c r="Y383" i="42"/>
  <c r="P383" i="42"/>
  <c r="AE383" i="42" s="1"/>
  <c r="AF383" i="42" s="1"/>
  <c r="AC382" i="42"/>
  <c r="AA382" i="42"/>
  <c r="Y382" i="42"/>
  <c r="P382" i="42"/>
  <c r="AE382" i="42" s="1"/>
  <c r="AF382" i="42" s="1"/>
  <c r="AC381" i="42"/>
  <c r="AA381" i="42"/>
  <c r="Y381" i="42"/>
  <c r="P381" i="42"/>
  <c r="AE381" i="42" s="1"/>
  <c r="AF381" i="42" s="1"/>
  <c r="AC380" i="42"/>
  <c r="AA380" i="42"/>
  <c r="Y380" i="42"/>
  <c r="AC379" i="42"/>
  <c r="AA379" i="42"/>
  <c r="Y379" i="42"/>
  <c r="AC378" i="42"/>
  <c r="AA378" i="42"/>
  <c r="Y378" i="42"/>
  <c r="AC377" i="42"/>
  <c r="AA377" i="42"/>
  <c r="Y377" i="42"/>
  <c r="AC376" i="42"/>
  <c r="AA376" i="42"/>
  <c r="Y376" i="42"/>
  <c r="AC375" i="42"/>
  <c r="AA375" i="42"/>
  <c r="Y375" i="42"/>
  <c r="AC374" i="42"/>
  <c r="AA374" i="42"/>
  <c r="Y374" i="42"/>
  <c r="AC373" i="42"/>
  <c r="AA373" i="42"/>
  <c r="Y373" i="42"/>
  <c r="P373" i="42"/>
  <c r="AE373" i="42" s="1"/>
  <c r="AF373" i="42" s="1"/>
  <c r="AC372" i="42"/>
  <c r="AA372" i="42"/>
  <c r="Y372" i="42"/>
  <c r="AC371" i="42"/>
  <c r="AA371" i="42"/>
  <c r="Y371" i="42"/>
  <c r="V371" i="42"/>
  <c r="P371" i="42"/>
  <c r="AE371" i="42" s="1"/>
  <c r="AF371" i="42" s="1"/>
  <c r="AC370" i="42"/>
  <c r="AA370" i="42"/>
  <c r="Y370" i="42"/>
  <c r="V370" i="42"/>
  <c r="P370" i="42"/>
  <c r="AE370" i="42" s="1"/>
  <c r="AF370" i="42" s="1"/>
  <c r="AC369" i="42"/>
  <c r="AA369" i="42"/>
  <c r="Y369" i="42"/>
  <c r="V369" i="42"/>
  <c r="AC368" i="42"/>
  <c r="AA368" i="42"/>
  <c r="Y368" i="42"/>
  <c r="V368" i="42"/>
  <c r="P368" i="42"/>
  <c r="AE368" i="42" s="1"/>
  <c r="AF368" i="42" s="1"/>
  <c r="AC367" i="42"/>
  <c r="AA367" i="42"/>
  <c r="Y367" i="42"/>
  <c r="P367" i="42"/>
  <c r="AE367" i="42" s="1"/>
  <c r="AF367" i="42" s="1"/>
  <c r="AC366" i="42"/>
  <c r="AA366" i="42"/>
  <c r="Y366" i="42"/>
  <c r="V366" i="42"/>
  <c r="P366" i="42"/>
  <c r="AE366" i="42" s="1"/>
  <c r="AF366" i="42" s="1"/>
  <c r="AC365" i="42"/>
  <c r="AA365" i="42"/>
  <c r="Y365" i="42"/>
  <c r="P365" i="42"/>
  <c r="AE365" i="42" s="1"/>
  <c r="AF365" i="42" s="1"/>
  <c r="AC364" i="42"/>
  <c r="AA364" i="42"/>
  <c r="Y364" i="42"/>
  <c r="AC363" i="42"/>
  <c r="AA363" i="42"/>
  <c r="Y363" i="42"/>
  <c r="AC362" i="42"/>
  <c r="AA362" i="42"/>
  <c r="Y362" i="42"/>
  <c r="AC361" i="42"/>
  <c r="AA361" i="42"/>
  <c r="Y361" i="42"/>
  <c r="AC360" i="42"/>
  <c r="AA360" i="42"/>
  <c r="Y360" i="42"/>
  <c r="AC359" i="42"/>
  <c r="AA359" i="42"/>
  <c r="Y359" i="42"/>
  <c r="AC358" i="42"/>
  <c r="AA358" i="42"/>
  <c r="Y358" i="42"/>
  <c r="AC357" i="42"/>
  <c r="AA357" i="42"/>
  <c r="Y357" i="42"/>
  <c r="AC356" i="42"/>
  <c r="AA356" i="42"/>
  <c r="Y356" i="42"/>
  <c r="V356" i="42"/>
  <c r="AC355" i="42"/>
  <c r="AA355" i="42"/>
  <c r="Y355" i="42"/>
  <c r="AC354" i="42"/>
  <c r="AA354" i="42"/>
  <c r="Y354" i="42"/>
  <c r="V354" i="42"/>
  <c r="AC353" i="42"/>
  <c r="AA353" i="42"/>
  <c r="Y353" i="42"/>
  <c r="V353" i="42"/>
  <c r="AC352" i="42"/>
  <c r="AA352" i="42"/>
  <c r="Y352" i="42"/>
  <c r="P352" i="42"/>
  <c r="AE352" i="42" s="1"/>
  <c r="AF352" i="42" s="1"/>
  <c r="AC351" i="42"/>
  <c r="AA351" i="42"/>
  <c r="Y351" i="42"/>
  <c r="V351" i="42"/>
  <c r="P351" i="42"/>
  <c r="AE351" i="42" s="1"/>
  <c r="AF351" i="42" s="1"/>
  <c r="AC350" i="42"/>
  <c r="AA350" i="42"/>
  <c r="Y350" i="42"/>
  <c r="V350" i="42"/>
  <c r="P350" i="42"/>
  <c r="AE350" i="42" s="1"/>
  <c r="AF350" i="42" s="1"/>
  <c r="AC349" i="42"/>
  <c r="AA349" i="42"/>
  <c r="Y349" i="42"/>
  <c r="P349" i="42"/>
  <c r="AE349" i="42" s="1"/>
  <c r="AF349" i="42" s="1"/>
  <c r="AC348" i="42"/>
  <c r="AA348" i="42"/>
  <c r="Y348" i="42"/>
  <c r="AC347" i="42"/>
  <c r="AA347" i="42"/>
  <c r="Y347" i="42"/>
  <c r="AC346" i="42"/>
  <c r="AA346" i="42"/>
  <c r="Y346" i="42"/>
  <c r="AC345" i="42"/>
  <c r="AA345" i="42"/>
  <c r="Y345" i="42"/>
  <c r="AC344" i="42"/>
  <c r="AA344" i="42"/>
  <c r="Y344" i="42"/>
  <c r="AC343" i="42"/>
  <c r="AA343" i="42"/>
  <c r="Y343" i="42"/>
  <c r="AC342" i="42"/>
  <c r="AA342" i="42"/>
  <c r="Y342" i="42"/>
  <c r="V342" i="42"/>
  <c r="P342" i="42"/>
  <c r="AE342" i="42" s="1"/>
  <c r="AF342" i="42" s="1"/>
  <c r="AC341" i="42"/>
  <c r="AA341" i="42"/>
  <c r="Y341" i="42"/>
  <c r="AC340" i="42"/>
  <c r="AA340" i="42"/>
  <c r="Y340" i="42"/>
  <c r="V340" i="42"/>
  <c r="AC339" i="42"/>
  <c r="AA339" i="42"/>
  <c r="Y339" i="42"/>
  <c r="V339" i="42"/>
  <c r="P339" i="42"/>
  <c r="AE339" i="42" s="1"/>
  <c r="AF339" i="42" s="1"/>
  <c r="AC338" i="42"/>
  <c r="AA338" i="42"/>
  <c r="Y338" i="42"/>
  <c r="V338" i="42"/>
  <c r="AC337" i="42"/>
  <c r="AA337" i="42"/>
  <c r="Y337" i="42"/>
  <c r="P337" i="42"/>
  <c r="AE337" i="42" s="1"/>
  <c r="AF337" i="42" s="1"/>
  <c r="AC336" i="42"/>
  <c r="AA336" i="42"/>
  <c r="Y336" i="42"/>
  <c r="AC335" i="42"/>
  <c r="AA335" i="42"/>
  <c r="Y335" i="42"/>
  <c r="P335" i="42"/>
  <c r="AE335" i="42" s="1"/>
  <c r="AF335" i="42" s="1"/>
  <c r="AC334" i="42"/>
  <c r="AA334" i="42"/>
  <c r="Y334" i="42"/>
  <c r="P334" i="42"/>
  <c r="AE334" i="42" s="1"/>
  <c r="AF334" i="42" s="1"/>
  <c r="AC333" i="42"/>
  <c r="AA333" i="42"/>
  <c r="Y333" i="42"/>
  <c r="V333" i="42"/>
  <c r="P333" i="42"/>
  <c r="AE333" i="42" s="1"/>
  <c r="AF333" i="42" s="1"/>
  <c r="AC332" i="42"/>
  <c r="AA332" i="42"/>
  <c r="Y332" i="42"/>
  <c r="AC331" i="42"/>
  <c r="AA331" i="42"/>
  <c r="Y331" i="42"/>
  <c r="AC330" i="42"/>
  <c r="AA330" i="42"/>
  <c r="Y330" i="42"/>
  <c r="AC329" i="42"/>
  <c r="AA329" i="42"/>
  <c r="Y329" i="42"/>
  <c r="V329" i="42"/>
  <c r="AC328" i="42"/>
  <c r="AA328" i="42"/>
  <c r="Y328" i="42"/>
  <c r="AC327" i="42"/>
  <c r="AA327" i="42"/>
  <c r="Y327" i="42"/>
  <c r="AC326" i="42"/>
  <c r="AA326" i="42"/>
  <c r="Y326" i="42"/>
  <c r="V326" i="42"/>
  <c r="AC325" i="42"/>
  <c r="AA325" i="42"/>
  <c r="Y325" i="42"/>
  <c r="AC324" i="42"/>
  <c r="AA324" i="42"/>
  <c r="Y324" i="42"/>
  <c r="V324" i="42"/>
  <c r="AC323" i="42"/>
  <c r="AA323" i="42"/>
  <c r="Y323" i="42"/>
  <c r="P323" i="42"/>
  <c r="AE323" i="42" s="1"/>
  <c r="AF323" i="42" s="1"/>
  <c r="AC322" i="42"/>
  <c r="AA322" i="42"/>
  <c r="Y322" i="42"/>
  <c r="V322" i="42"/>
  <c r="P322" i="42"/>
  <c r="AE322" i="42" s="1"/>
  <c r="AF322" i="42" s="1"/>
  <c r="AC321" i="42"/>
  <c r="AA321" i="42"/>
  <c r="Y321" i="42"/>
  <c r="P321" i="42"/>
  <c r="AE321" i="42" s="1"/>
  <c r="AF321" i="42" s="1"/>
  <c r="AC320" i="42"/>
  <c r="AA320" i="42"/>
  <c r="Y320" i="42"/>
  <c r="P320" i="42"/>
  <c r="AE320" i="42" s="1"/>
  <c r="AF320" i="42" s="1"/>
  <c r="AC319" i="42"/>
  <c r="AA319" i="42"/>
  <c r="Y319" i="42"/>
  <c r="P319" i="42"/>
  <c r="AE319" i="42" s="1"/>
  <c r="AF319" i="42" s="1"/>
  <c r="AC318" i="42"/>
  <c r="AA318" i="42"/>
  <c r="Y318" i="42"/>
  <c r="V318" i="42"/>
  <c r="P318" i="42"/>
  <c r="AE318" i="42" s="1"/>
  <c r="AF318" i="42" s="1"/>
  <c r="AC317" i="42"/>
  <c r="AA317" i="42"/>
  <c r="Y317" i="42"/>
  <c r="P317" i="42"/>
  <c r="AE317" i="42" s="1"/>
  <c r="AF317" i="42" s="1"/>
  <c r="AC316" i="42"/>
  <c r="AA316" i="42"/>
  <c r="Y316" i="42"/>
  <c r="AC315" i="42"/>
  <c r="AA315" i="42"/>
  <c r="Y315" i="42"/>
  <c r="AC314" i="42"/>
  <c r="AA314" i="42"/>
  <c r="Y314" i="42"/>
  <c r="AC313" i="42"/>
  <c r="AA313" i="42"/>
  <c r="Y313" i="42"/>
  <c r="AC312" i="42"/>
  <c r="AA312" i="42"/>
  <c r="Y312" i="42"/>
  <c r="AC311" i="42"/>
  <c r="AA311" i="42"/>
  <c r="Y311" i="42"/>
  <c r="AC310" i="42"/>
  <c r="AA310" i="42"/>
  <c r="Y310" i="42"/>
  <c r="AC309" i="42"/>
  <c r="AA309" i="42"/>
  <c r="Y309" i="42"/>
  <c r="AC308" i="42"/>
  <c r="AA308" i="42"/>
  <c r="Y308" i="42"/>
  <c r="V308" i="42"/>
  <c r="AC307" i="42"/>
  <c r="AA307" i="42"/>
  <c r="Y307" i="42"/>
  <c r="AC306" i="42"/>
  <c r="AA306" i="42"/>
  <c r="Y306" i="42"/>
  <c r="V306" i="42"/>
  <c r="AC305" i="42"/>
  <c r="AA305" i="42"/>
  <c r="Y305" i="42"/>
  <c r="V305" i="42"/>
  <c r="AC304" i="42"/>
  <c r="AA304" i="42"/>
  <c r="Y304" i="42"/>
  <c r="P304" i="42"/>
  <c r="AE304" i="42" s="1"/>
  <c r="AF304" i="42" s="1"/>
  <c r="AC303" i="42"/>
  <c r="AA303" i="42"/>
  <c r="Y303" i="42"/>
  <c r="V303" i="42"/>
  <c r="P303" i="42"/>
  <c r="AE303" i="42" s="1"/>
  <c r="AF303" i="42" s="1"/>
  <c r="AC302" i="42"/>
  <c r="AA302" i="42"/>
  <c r="Y302" i="42"/>
  <c r="V302" i="42"/>
  <c r="P302" i="42"/>
  <c r="AE302" i="42" s="1"/>
  <c r="AF302" i="42" s="1"/>
  <c r="AC301" i="42"/>
  <c r="AA301" i="42"/>
  <c r="Y301" i="42"/>
  <c r="P301" i="42"/>
  <c r="AE301" i="42" s="1"/>
  <c r="AF301" i="42" s="1"/>
  <c r="AC300" i="42"/>
  <c r="AA300" i="42"/>
  <c r="Y300" i="42"/>
  <c r="AC299" i="42"/>
  <c r="AA299" i="42"/>
  <c r="Y299" i="42"/>
  <c r="AC298" i="42"/>
  <c r="AA298" i="42"/>
  <c r="Y298" i="42"/>
  <c r="AC297" i="42"/>
  <c r="AA297" i="42"/>
  <c r="Y297" i="42"/>
  <c r="V297" i="42"/>
  <c r="AC296" i="42"/>
  <c r="AA296" i="42"/>
  <c r="Y296" i="42"/>
  <c r="AC295" i="42"/>
  <c r="AA295" i="42"/>
  <c r="Y295" i="42"/>
  <c r="AC294" i="42"/>
  <c r="AA294" i="42"/>
  <c r="Y294" i="42"/>
  <c r="AC293" i="42"/>
  <c r="AA293" i="42"/>
  <c r="Y293" i="42"/>
  <c r="AC292" i="42"/>
  <c r="AA292" i="42"/>
  <c r="Y292" i="42"/>
  <c r="AC291" i="42"/>
  <c r="AA291" i="42"/>
  <c r="Y291" i="42"/>
  <c r="V291" i="42"/>
  <c r="AC290" i="42"/>
  <c r="AA290" i="42"/>
  <c r="Y290" i="42"/>
  <c r="AC289" i="42"/>
  <c r="AA289" i="42"/>
  <c r="Y289" i="42"/>
  <c r="V289" i="42"/>
  <c r="AC288" i="42"/>
  <c r="AA288" i="42"/>
  <c r="Y288" i="42"/>
  <c r="P288" i="42"/>
  <c r="AE288" i="42" s="1"/>
  <c r="AF288" i="42" s="1"/>
  <c r="AC287" i="42"/>
  <c r="AA287" i="42"/>
  <c r="Y287" i="42"/>
  <c r="P287" i="42"/>
  <c r="AE287" i="42" s="1"/>
  <c r="AF287" i="42" s="1"/>
  <c r="AC286" i="42"/>
  <c r="AA286" i="42"/>
  <c r="Y286" i="42"/>
  <c r="P286" i="42"/>
  <c r="AE286" i="42" s="1"/>
  <c r="AF286" i="42" s="1"/>
  <c r="AC285" i="42"/>
  <c r="AA285" i="42"/>
  <c r="Y285" i="42"/>
  <c r="V285" i="42"/>
  <c r="P285" i="42"/>
  <c r="AE285" i="42" s="1"/>
  <c r="AF285" i="42" s="1"/>
  <c r="AC284" i="42"/>
  <c r="AA284" i="42"/>
  <c r="Y284" i="42"/>
  <c r="AC283" i="42"/>
  <c r="AA283" i="42"/>
  <c r="Y283" i="42"/>
  <c r="AC282" i="42"/>
  <c r="AA282" i="42"/>
  <c r="Y282" i="42"/>
  <c r="AC281" i="42"/>
  <c r="AA281" i="42"/>
  <c r="Y281" i="42"/>
  <c r="P281" i="42"/>
  <c r="AE281" i="42" s="1"/>
  <c r="AF281" i="42" s="1"/>
  <c r="AC280" i="42"/>
  <c r="AA280" i="42"/>
  <c r="Y280" i="42"/>
  <c r="AC279" i="42"/>
  <c r="AA279" i="42"/>
  <c r="Y279" i="42"/>
  <c r="AC278" i="42"/>
  <c r="AA278" i="42"/>
  <c r="Y278" i="42"/>
  <c r="P278" i="42"/>
  <c r="AE278" i="42" s="1"/>
  <c r="AF278" i="42" s="1"/>
  <c r="AC277" i="42"/>
  <c r="AA277" i="42"/>
  <c r="Y277" i="42"/>
  <c r="V277" i="42"/>
  <c r="P277" i="42"/>
  <c r="AE277" i="42" s="1"/>
  <c r="AF277" i="42" s="1"/>
  <c r="AC276" i="42"/>
  <c r="AA276" i="42"/>
  <c r="Y276" i="42"/>
  <c r="AC275" i="42"/>
  <c r="AA275" i="42"/>
  <c r="Y275" i="42"/>
  <c r="V275" i="42"/>
  <c r="AC274" i="42"/>
  <c r="AA274" i="42"/>
  <c r="Y274" i="42"/>
  <c r="V274" i="42"/>
  <c r="P274" i="42"/>
  <c r="AE274" i="42" s="1"/>
  <c r="AF274" i="42" s="1"/>
  <c r="AC273" i="42"/>
  <c r="AA273" i="42"/>
  <c r="Y273" i="42"/>
  <c r="P273" i="42"/>
  <c r="AE273" i="42" s="1"/>
  <c r="AF273" i="42" s="1"/>
  <c r="AC272" i="42"/>
  <c r="AA272" i="42"/>
  <c r="Y272" i="42"/>
  <c r="AC271" i="42"/>
  <c r="AA271" i="42"/>
  <c r="Y271" i="42"/>
  <c r="V271" i="42"/>
  <c r="P271" i="42"/>
  <c r="AE271" i="42" s="1"/>
  <c r="AF271" i="42" s="1"/>
  <c r="AC270" i="42"/>
  <c r="AA270" i="42"/>
  <c r="Y270" i="42"/>
  <c r="V270" i="42"/>
  <c r="P270" i="42"/>
  <c r="AE270" i="42" s="1"/>
  <c r="AF270" i="42" s="1"/>
  <c r="AC269" i="42"/>
  <c r="AA269" i="42"/>
  <c r="Y269" i="42"/>
  <c r="P269" i="42"/>
  <c r="AE269" i="42" s="1"/>
  <c r="AF269" i="42" s="1"/>
  <c r="AC268" i="42"/>
  <c r="AA268" i="42"/>
  <c r="Y268" i="42"/>
  <c r="AC267" i="42"/>
  <c r="AA267" i="42"/>
  <c r="Y267" i="42"/>
  <c r="AC266" i="42"/>
  <c r="AA266" i="42"/>
  <c r="Y266" i="42"/>
  <c r="V266" i="42"/>
  <c r="AC265" i="42"/>
  <c r="AA265" i="42"/>
  <c r="Y265" i="42"/>
  <c r="AC264" i="42"/>
  <c r="AA264" i="42"/>
  <c r="Y264" i="42"/>
  <c r="AC263" i="42"/>
  <c r="AA263" i="42"/>
  <c r="Y263" i="42"/>
  <c r="V263" i="42"/>
  <c r="AC262" i="42"/>
  <c r="AA262" i="42"/>
  <c r="Y262" i="42"/>
  <c r="AC261" i="42"/>
  <c r="AA261" i="42"/>
  <c r="Y261" i="42"/>
  <c r="AC260" i="42"/>
  <c r="AA260" i="42"/>
  <c r="Y260" i="42"/>
  <c r="AC259" i="42"/>
  <c r="AA259" i="42"/>
  <c r="Y259" i="42"/>
  <c r="V259" i="42"/>
  <c r="P259" i="42"/>
  <c r="AE259" i="42" s="1"/>
  <c r="AF259" i="42" s="1"/>
  <c r="AC258" i="42"/>
  <c r="AA258" i="42"/>
  <c r="Y258" i="42"/>
  <c r="V258" i="42"/>
  <c r="AC257" i="42"/>
  <c r="AA257" i="42"/>
  <c r="Y257" i="42"/>
  <c r="V257" i="42"/>
  <c r="P257" i="42"/>
  <c r="AE257" i="42" s="1"/>
  <c r="AF257" i="42" s="1"/>
  <c r="AC256" i="42"/>
  <c r="AA256" i="42"/>
  <c r="Y256" i="42"/>
  <c r="AC255" i="42"/>
  <c r="AA255" i="42"/>
  <c r="Y255" i="42"/>
  <c r="V255" i="42"/>
  <c r="P255" i="42"/>
  <c r="AE255" i="42" s="1"/>
  <c r="AF255" i="42" s="1"/>
  <c r="AC254" i="42"/>
  <c r="AA254" i="42"/>
  <c r="Y254" i="42"/>
  <c r="V254" i="42"/>
  <c r="P254" i="42"/>
  <c r="AE254" i="42" s="1"/>
  <c r="AF254" i="42" s="1"/>
  <c r="AC253" i="42"/>
  <c r="AA253" i="42"/>
  <c r="Y253" i="42"/>
  <c r="P253" i="42"/>
  <c r="AE253" i="42" s="1"/>
  <c r="AF253" i="42" s="1"/>
  <c r="AC252" i="42"/>
  <c r="AA252" i="42"/>
  <c r="Y252" i="42"/>
  <c r="AC251" i="42"/>
  <c r="AA251" i="42"/>
  <c r="Y251" i="42"/>
  <c r="AC250" i="42"/>
  <c r="AA250" i="42"/>
  <c r="Y250" i="42"/>
  <c r="AC249" i="42"/>
  <c r="AA249" i="42"/>
  <c r="Y249" i="42"/>
  <c r="AC248" i="42"/>
  <c r="AA248" i="42"/>
  <c r="Y248" i="42"/>
  <c r="AC247" i="42"/>
  <c r="AA247" i="42"/>
  <c r="Y247" i="42"/>
  <c r="V247" i="42"/>
  <c r="AC246" i="42"/>
  <c r="AA246" i="42"/>
  <c r="Y246" i="42"/>
  <c r="AC245" i="42"/>
  <c r="AA245" i="42"/>
  <c r="Y245" i="42"/>
  <c r="AC244" i="42"/>
  <c r="AA244" i="42"/>
  <c r="Y244" i="42"/>
  <c r="AC243" i="42"/>
  <c r="AA243" i="42"/>
  <c r="Y243" i="42"/>
  <c r="V243" i="42"/>
  <c r="P243" i="42"/>
  <c r="AE243" i="42" s="1"/>
  <c r="AF243" i="42" s="1"/>
  <c r="AC242" i="42"/>
  <c r="AA242" i="42"/>
  <c r="Y242" i="42"/>
  <c r="V242" i="42"/>
  <c r="P242" i="42"/>
  <c r="AE242" i="42" s="1"/>
  <c r="AF242" i="42" s="1"/>
  <c r="AC241" i="42"/>
  <c r="AA241" i="42"/>
  <c r="Y241" i="42"/>
  <c r="V241" i="42"/>
  <c r="P241" i="42"/>
  <c r="AE241" i="42" s="1"/>
  <c r="AF241" i="42" s="1"/>
  <c r="AC240" i="42"/>
  <c r="AA240" i="42"/>
  <c r="Y240" i="42"/>
  <c r="AC239" i="42"/>
  <c r="AA239" i="42"/>
  <c r="Y239" i="42"/>
  <c r="V239" i="42"/>
  <c r="P239" i="42"/>
  <c r="AE239" i="42" s="1"/>
  <c r="AF239" i="42" s="1"/>
  <c r="AC238" i="42"/>
  <c r="AA238" i="42"/>
  <c r="Y238" i="42"/>
  <c r="V238" i="42"/>
  <c r="P238" i="42"/>
  <c r="AE238" i="42" s="1"/>
  <c r="AF238" i="42" s="1"/>
  <c r="AC237" i="42"/>
  <c r="AA237" i="42"/>
  <c r="Y237" i="42"/>
  <c r="P237" i="42"/>
  <c r="AE237" i="42" s="1"/>
  <c r="AF237" i="42" s="1"/>
  <c r="AC236" i="42"/>
  <c r="AA236" i="42"/>
  <c r="Y236" i="42"/>
  <c r="AC235" i="42"/>
  <c r="AA235" i="42"/>
  <c r="Y235" i="42"/>
  <c r="AC234" i="42"/>
  <c r="AA234" i="42"/>
  <c r="Y234" i="42"/>
  <c r="AC233" i="42"/>
  <c r="AA233" i="42"/>
  <c r="Y233" i="42"/>
  <c r="AC232" i="42"/>
  <c r="AA232" i="42"/>
  <c r="Y232" i="42"/>
  <c r="AC231" i="42"/>
  <c r="AA231" i="42"/>
  <c r="Y231" i="42"/>
  <c r="AC230" i="42"/>
  <c r="AA230" i="42"/>
  <c r="Y230" i="42"/>
  <c r="V230" i="42"/>
  <c r="AC229" i="42"/>
  <c r="AA229" i="42"/>
  <c r="Y229" i="42"/>
  <c r="AC228" i="42"/>
  <c r="AA228" i="42"/>
  <c r="Y228" i="42"/>
  <c r="AC227" i="42"/>
  <c r="AA227" i="42"/>
  <c r="Y227" i="42"/>
  <c r="V227" i="42"/>
  <c r="AC226" i="42"/>
  <c r="AA226" i="42"/>
  <c r="Y226" i="42"/>
  <c r="V226" i="42"/>
  <c r="P226" i="42"/>
  <c r="AE226" i="42" s="1"/>
  <c r="AF226" i="42" s="1"/>
  <c r="AC225" i="42"/>
  <c r="AA225" i="42"/>
  <c r="Y225" i="42"/>
  <c r="V225" i="42"/>
  <c r="P225" i="42"/>
  <c r="AE225" i="42" s="1"/>
  <c r="AF225" i="42" s="1"/>
  <c r="AC224" i="42"/>
  <c r="AA224" i="42"/>
  <c r="Y224" i="42"/>
  <c r="P224" i="42"/>
  <c r="AE224" i="42" s="1"/>
  <c r="AF224" i="42" s="1"/>
  <c r="AC223" i="42"/>
  <c r="AA223" i="42"/>
  <c r="Y223" i="42"/>
  <c r="V223" i="42"/>
  <c r="P223" i="42"/>
  <c r="AE223" i="42" s="1"/>
  <c r="AF223" i="42" s="1"/>
  <c r="AC222" i="42"/>
  <c r="AA222" i="42"/>
  <c r="Y222" i="42"/>
  <c r="V222" i="42"/>
  <c r="P222" i="42"/>
  <c r="AE222" i="42" s="1"/>
  <c r="AF222" i="42" s="1"/>
  <c r="AC221" i="42"/>
  <c r="AA221" i="42"/>
  <c r="Y221" i="42"/>
  <c r="P221" i="42"/>
  <c r="AE221" i="42" s="1"/>
  <c r="AF221" i="42" s="1"/>
  <c r="AC220" i="42"/>
  <c r="AA220" i="42"/>
  <c r="Y220" i="42"/>
  <c r="AC219" i="42"/>
  <c r="AA219" i="42"/>
  <c r="Y219" i="42"/>
  <c r="V219" i="42"/>
  <c r="AC218" i="42"/>
  <c r="AA218" i="42"/>
  <c r="Y218" i="42"/>
  <c r="AC217" i="42"/>
  <c r="AA217" i="42"/>
  <c r="Y217" i="42"/>
  <c r="AC216" i="42"/>
  <c r="AA216" i="42"/>
  <c r="Y216" i="42"/>
  <c r="AC215" i="42"/>
  <c r="AA215" i="42"/>
  <c r="Y215" i="42"/>
  <c r="V215" i="42"/>
  <c r="AC214" i="42"/>
  <c r="AA214" i="42"/>
  <c r="Y214" i="42"/>
  <c r="AC213" i="42"/>
  <c r="AA213" i="42"/>
  <c r="Y213" i="42"/>
  <c r="AC212" i="42"/>
  <c r="AA212" i="42"/>
  <c r="Y212" i="42"/>
  <c r="P212" i="42"/>
  <c r="AE212" i="42" s="1"/>
  <c r="AF212" i="42" s="1"/>
  <c r="AC211" i="42"/>
  <c r="AA211" i="42"/>
  <c r="Y211" i="42"/>
  <c r="V211" i="42"/>
  <c r="P211" i="42"/>
  <c r="AE211" i="42" s="1"/>
  <c r="AF211" i="42" s="1"/>
  <c r="AC210" i="42"/>
  <c r="AA210" i="42"/>
  <c r="Y210" i="42"/>
  <c r="V210" i="42"/>
  <c r="AC209" i="42"/>
  <c r="AA209" i="42"/>
  <c r="Y209" i="42"/>
  <c r="V209" i="42"/>
  <c r="P209" i="42"/>
  <c r="AE209" i="42" s="1"/>
  <c r="AF209" i="42" s="1"/>
  <c r="AC208" i="42"/>
  <c r="AA208" i="42"/>
  <c r="Y208" i="42"/>
  <c r="P208" i="42"/>
  <c r="AE208" i="42" s="1"/>
  <c r="AF208" i="42" s="1"/>
  <c r="AC207" i="42"/>
  <c r="AA207" i="42"/>
  <c r="Y207" i="42"/>
  <c r="V207" i="42"/>
  <c r="P207" i="42"/>
  <c r="AE207" i="42" s="1"/>
  <c r="AF207" i="42" s="1"/>
  <c r="AC206" i="42"/>
  <c r="AA206" i="42"/>
  <c r="Y206" i="42"/>
  <c r="V206" i="42"/>
  <c r="P206" i="42"/>
  <c r="AE206" i="42" s="1"/>
  <c r="AF206" i="42" s="1"/>
  <c r="AC205" i="42"/>
  <c r="AA205" i="42"/>
  <c r="Y205" i="42"/>
  <c r="P205" i="42"/>
  <c r="AE205" i="42" s="1"/>
  <c r="AF205" i="42" s="1"/>
  <c r="AC204" i="42"/>
  <c r="AA204" i="42"/>
  <c r="Y204" i="42"/>
  <c r="P204" i="42"/>
  <c r="AE204" i="42" s="1"/>
  <c r="AF204" i="42" s="1"/>
  <c r="AC203" i="42"/>
  <c r="AA203" i="42"/>
  <c r="Y203" i="42"/>
  <c r="AC202" i="42"/>
  <c r="AA202" i="42"/>
  <c r="Y202" i="42"/>
  <c r="AC201" i="42"/>
  <c r="AA201" i="42"/>
  <c r="Y201" i="42"/>
  <c r="AC200" i="42"/>
  <c r="AA200" i="42"/>
  <c r="Y200" i="42"/>
  <c r="AC199" i="42"/>
  <c r="AA199" i="42"/>
  <c r="Y199" i="42"/>
  <c r="AC198" i="42"/>
  <c r="AA198" i="42"/>
  <c r="Y198" i="42"/>
  <c r="AC197" i="42"/>
  <c r="AA197" i="42"/>
  <c r="Y197" i="42"/>
  <c r="V197" i="42"/>
  <c r="AC196" i="42"/>
  <c r="AA196" i="42"/>
  <c r="Y196" i="42"/>
  <c r="AC195" i="42"/>
  <c r="AA195" i="42"/>
  <c r="Y195" i="42"/>
  <c r="V195" i="42"/>
  <c r="AC194" i="42"/>
  <c r="AA194" i="42"/>
  <c r="Y194" i="42"/>
  <c r="V194" i="42"/>
  <c r="AC193" i="42"/>
  <c r="AA193" i="42"/>
  <c r="Y193" i="42"/>
  <c r="V193" i="42"/>
  <c r="AC192" i="42"/>
  <c r="AA192" i="42"/>
  <c r="Y192" i="42"/>
  <c r="P192" i="42"/>
  <c r="AE192" i="42" s="1"/>
  <c r="AF192" i="42" s="1"/>
  <c r="AC191" i="42"/>
  <c r="AA191" i="42"/>
  <c r="Y191" i="42"/>
  <c r="V191" i="42"/>
  <c r="P191" i="42"/>
  <c r="AE191" i="42" s="1"/>
  <c r="AF191" i="42" s="1"/>
  <c r="AC190" i="42"/>
  <c r="AA190" i="42"/>
  <c r="Y190" i="42"/>
  <c r="V190" i="42"/>
  <c r="P190" i="42"/>
  <c r="AE190" i="42" s="1"/>
  <c r="AF190" i="42" s="1"/>
  <c r="AC189" i="42"/>
  <c r="AA189" i="42"/>
  <c r="Y189" i="42"/>
  <c r="P189" i="42"/>
  <c r="AE189" i="42" s="1"/>
  <c r="AF189" i="42" s="1"/>
  <c r="AC188" i="42"/>
  <c r="AA188" i="42"/>
  <c r="Y188" i="42"/>
  <c r="AC187" i="42"/>
  <c r="AA187" i="42"/>
  <c r="Y187" i="42"/>
  <c r="AC186" i="42"/>
  <c r="AA186" i="42"/>
  <c r="Y186" i="42"/>
  <c r="AC185" i="42"/>
  <c r="AA185" i="42"/>
  <c r="Y185" i="42"/>
  <c r="AC184" i="42"/>
  <c r="AA184" i="42"/>
  <c r="Y184" i="42"/>
  <c r="AC183" i="42"/>
  <c r="AA183" i="42"/>
  <c r="Y183" i="42"/>
  <c r="AC182" i="42"/>
  <c r="AA182" i="42"/>
  <c r="Y182" i="42"/>
  <c r="AC181" i="42"/>
  <c r="AA181" i="42"/>
  <c r="Y181" i="42"/>
  <c r="AC180" i="42"/>
  <c r="AA180" i="42"/>
  <c r="Y180" i="42"/>
  <c r="P180" i="42"/>
  <c r="AE180" i="42" s="1"/>
  <c r="AF180" i="42" s="1"/>
  <c r="AC179" i="42"/>
  <c r="AA179" i="42"/>
  <c r="Y179" i="42"/>
  <c r="V179" i="42"/>
  <c r="AC178" i="42"/>
  <c r="AA178" i="42"/>
  <c r="Y178" i="42"/>
  <c r="V178" i="42"/>
  <c r="P178" i="42"/>
  <c r="AE178" i="42" s="1"/>
  <c r="AF178" i="42" s="1"/>
  <c r="AC177" i="42"/>
  <c r="AA177" i="42"/>
  <c r="Y177" i="42"/>
  <c r="V177" i="42"/>
  <c r="AC176" i="42"/>
  <c r="AA176" i="42"/>
  <c r="Y176" i="42"/>
  <c r="P176" i="42"/>
  <c r="AE176" i="42" s="1"/>
  <c r="AF176" i="42" s="1"/>
  <c r="AC175" i="42"/>
  <c r="AA175" i="42"/>
  <c r="Y175" i="42"/>
  <c r="V175" i="42"/>
  <c r="P175" i="42"/>
  <c r="AE175" i="42" s="1"/>
  <c r="AF175" i="42" s="1"/>
  <c r="AC174" i="42"/>
  <c r="AA174" i="42"/>
  <c r="Y174" i="42"/>
  <c r="V174" i="42"/>
  <c r="P174" i="42"/>
  <c r="AE174" i="42" s="1"/>
  <c r="AF174" i="42" s="1"/>
  <c r="AC173" i="42"/>
  <c r="AA173" i="42"/>
  <c r="Y173" i="42"/>
  <c r="P173" i="42"/>
  <c r="AE173" i="42" s="1"/>
  <c r="AF173" i="42" s="1"/>
  <c r="AC172" i="42"/>
  <c r="AA172" i="42"/>
  <c r="Y172" i="42"/>
  <c r="AC171" i="42"/>
  <c r="AA171" i="42"/>
  <c r="Y171" i="42"/>
  <c r="AC170" i="42"/>
  <c r="AA170" i="42"/>
  <c r="Y170" i="42"/>
  <c r="AC169" i="42"/>
  <c r="AA169" i="42"/>
  <c r="Y169" i="42"/>
  <c r="V169" i="42"/>
  <c r="AC168" i="42"/>
  <c r="AA168" i="42"/>
  <c r="Y168" i="42"/>
  <c r="V168" i="42"/>
  <c r="AC167" i="42"/>
  <c r="AA167" i="42"/>
  <c r="Y167" i="42"/>
  <c r="AC166" i="42"/>
  <c r="AA166" i="42"/>
  <c r="Y166" i="42"/>
  <c r="AC165" i="42"/>
  <c r="AA165" i="42"/>
  <c r="Y165" i="42"/>
  <c r="AC164" i="42"/>
  <c r="AA164" i="42"/>
  <c r="Y164" i="42"/>
  <c r="P164" i="42"/>
  <c r="AE164" i="42" s="1"/>
  <c r="AF164" i="42" s="1"/>
  <c r="AC163" i="42"/>
  <c r="AA163" i="42"/>
  <c r="Y163" i="42"/>
  <c r="V163" i="42"/>
  <c r="AC162" i="42"/>
  <c r="AA162" i="42"/>
  <c r="Y162" i="42"/>
  <c r="V162" i="42"/>
  <c r="AC161" i="42"/>
  <c r="AA161" i="42"/>
  <c r="Y161" i="42"/>
  <c r="V161" i="42"/>
  <c r="AC160" i="42"/>
  <c r="AA160" i="42"/>
  <c r="Y160" i="42"/>
  <c r="P160" i="42"/>
  <c r="AE160" i="42" s="1"/>
  <c r="AF160" i="42" s="1"/>
  <c r="AC159" i="42"/>
  <c r="AA159" i="42"/>
  <c r="Y159" i="42"/>
  <c r="V159" i="42"/>
  <c r="P159" i="42"/>
  <c r="AE159" i="42" s="1"/>
  <c r="AF159" i="42" s="1"/>
  <c r="AC158" i="42"/>
  <c r="AA158" i="42"/>
  <c r="Y158" i="42"/>
  <c r="P158" i="42"/>
  <c r="AE158" i="42" s="1"/>
  <c r="AF158" i="42" s="1"/>
  <c r="AC157" i="42"/>
  <c r="AA157" i="42"/>
  <c r="Y157" i="42"/>
  <c r="P157" i="42"/>
  <c r="AE157" i="42" s="1"/>
  <c r="AF157" i="42" s="1"/>
  <c r="AC156" i="42"/>
  <c r="AA156" i="42"/>
  <c r="Y156" i="42"/>
  <c r="AC155" i="42"/>
  <c r="AA155" i="42"/>
  <c r="Y155" i="42"/>
  <c r="AC154" i="42"/>
  <c r="AA154" i="42"/>
  <c r="Y154" i="42"/>
  <c r="AC153" i="42"/>
  <c r="AA153" i="42"/>
  <c r="Y153" i="42"/>
  <c r="V153" i="42"/>
  <c r="AC152" i="42"/>
  <c r="AA152" i="42"/>
  <c r="Y152" i="42"/>
  <c r="AC151" i="42"/>
  <c r="AA151" i="42"/>
  <c r="Y151" i="42"/>
  <c r="AC150" i="42"/>
  <c r="AA150" i="42"/>
  <c r="Y150" i="42"/>
  <c r="V150" i="42"/>
  <c r="P150" i="42"/>
  <c r="AE150" i="42" s="1"/>
  <c r="AF150" i="42" s="1"/>
  <c r="AC149" i="42"/>
  <c r="AA149" i="42"/>
  <c r="Y149" i="42"/>
  <c r="P149" i="42"/>
  <c r="AE149" i="42" s="1"/>
  <c r="AF149" i="42" s="1"/>
  <c r="AC148" i="42"/>
  <c r="AA148" i="42"/>
  <c r="Y148" i="42"/>
  <c r="AC147" i="42"/>
  <c r="AA147" i="42"/>
  <c r="Y147" i="42"/>
  <c r="V147" i="42"/>
  <c r="AC146" i="42"/>
  <c r="AA146" i="42"/>
  <c r="Y146" i="42"/>
  <c r="V146" i="42"/>
  <c r="P146" i="42"/>
  <c r="AE146" i="42" s="1"/>
  <c r="AF146" i="42" s="1"/>
  <c r="AC145" i="42"/>
  <c r="AA145" i="42"/>
  <c r="Y145" i="42"/>
  <c r="V145" i="42"/>
  <c r="AC144" i="42"/>
  <c r="AA144" i="42"/>
  <c r="Y144" i="42"/>
  <c r="P144" i="42"/>
  <c r="AE144" i="42" s="1"/>
  <c r="AF144" i="42" s="1"/>
  <c r="AC143" i="42"/>
  <c r="AA143" i="42"/>
  <c r="Y143" i="42"/>
  <c r="V143" i="42"/>
  <c r="P143" i="42"/>
  <c r="AE143" i="42" s="1"/>
  <c r="AF143" i="42" s="1"/>
  <c r="AC142" i="42"/>
  <c r="AA142" i="42"/>
  <c r="Y142" i="42"/>
  <c r="V142" i="42"/>
  <c r="P142" i="42"/>
  <c r="AE142" i="42" s="1"/>
  <c r="AF142" i="42" s="1"/>
  <c r="AC141" i="42"/>
  <c r="AA141" i="42"/>
  <c r="Y141" i="42"/>
  <c r="P141" i="42"/>
  <c r="AE141" i="42" s="1"/>
  <c r="AF141" i="42" s="1"/>
  <c r="AC140" i="42"/>
  <c r="AA140" i="42"/>
  <c r="Y140" i="42"/>
  <c r="AC139" i="42"/>
  <c r="AA139" i="42"/>
  <c r="Y139" i="42"/>
  <c r="AC138" i="42"/>
  <c r="AA138" i="42"/>
  <c r="Y138" i="42"/>
  <c r="AC137" i="42"/>
  <c r="AA137" i="42"/>
  <c r="Y137" i="42"/>
  <c r="AC136" i="42"/>
  <c r="AA136" i="42"/>
  <c r="Y136" i="42"/>
  <c r="AC135" i="42"/>
  <c r="AA135" i="42"/>
  <c r="Y135" i="42"/>
  <c r="AC134" i="42"/>
  <c r="AA134" i="42"/>
  <c r="Y134" i="42"/>
  <c r="P134" i="42"/>
  <c r="AE134" i="42" s="1"/>
  <c r="AF134" i="42" s="1"/>
  <c r="AC133" i="42"/>
  <c r="AA133" i="42"/>
  <c r="Y133" i="42"/>
  <c r="AC132" i="42"/>
  <c r="AA132" i="42"/>
  <c r="Y132" i="42"/>
  <c r="AC131" i="42"/>
  <c r="AA131" i="42"/>
  <c r="Y131" i="42"/>
  <c r="V131" i="42"/>
  <c r="AC130" i="42"/>
  <c r="AA130" i="42"/>
  <c r="Y130" i="42"/>
  <c r="V130" i="42"/>
  <c r="P130" i="42"/>
  <c r="AE130" i="42" s="1"/>
  <c r="AF130" i="42" s="1"/>
  <c r="AC129" i="42"/>
  <c r="AA129" i="42"/>
  <c r="Y129" i="42"/>
  <c r="V129" i="42"/>
  <c r="P129" i="42"/>
  <c r="AE129" i="42" s="1"/>
  <c r="AF129" i="42" s="1"/>
  <c r="AC128" i="42"/>
  <c r="AA128" i="42"/>
  <c r="Y128" i="42"/>
  <c r="AC127" i="42"/>
  <c r="AA127" i="42"/>
  <c r="Y127" i="42"/>
  <c r="V127" i="42"/>
  <c r="P127" i="42"/>
  <c r="AE127" i="42" s="1"/>
  <c r="AF127" i="42" s="1"/>
  <c r="AC126" i="42"/>
  <c r="AA126" i="42"/>
  <c r="Y126" i="42"/>
  <c r="V126" i="42"/>
  <c r="P126" i="42"/>
  <c r="AE126" i="42" s="1"/>
  <c r="AF126" i="42" s="1"/>
  <c r="AC125" i="42"/>
  <c r="AA125" i="42"/>
  <c r="Y125" i="42"/>
  <c r="P125" i="42"/>
  <c r="AE125" i="42" s="1"/>
  <c r="AF125" i="42" s="1"/>
  <c r="AC124" i="42"/>
  <c r="AA124" i="42"/>
  <c r="Y124" i="42"/>
  <c r="AC123" i="42"/>
  <c r="AA123" i="42"/>
  <c r="Y123" i="42"/>
  <c r="AC122" i="42"/>
  <c r="AA122" i="42"/>
  <c r="Y122" i="42"/>
  <c r="AC121" i="42"/>
  <c r="AA121" i="42"/>
  <c r="Y121" i="42"/>
  <c r="AC120" i="42"/>
  <c r="AA120" i="42"/>
  <c r="Y120" i="42"/>
  <c r="AC119" i="42"/>
  <c r="AA119" i="42"/>
  <c r="Y119" i="42"/>
  <c r="AC118" i="42"/>
  <c r="AA118" i="42"/>
  <c r="Y118" i="42"/>
  <c r="AC117" i="42"/>
  <c r="AA117" i="42"/>
  <c r="Y117" i="42"/>
  <c r="AC116" i="42"/>
  <c r="AA116" i="42"/>
  <c r="Y116" i="42"/>
  <c r="AC115" i="42"/>
  <c r="AA115" i="42"/>
  <c r="Y115" i="42"/>
  <c r="V115" i="42"/>
  <c r="AC114" i="42"/>
  <c r="AA114" i="42"/>
  <c r="Y114" i="42"/>
  <c r="V114" i="42"/>
  <c r="AC113" i="42"/>
  <c r="AA113" i="42"/>
  <c r="Y113" i="42"/>
  <c r="V113" i="42"/>
  <c r="AC112" i="42"/>
  <c r="AA112" i="42"/>
  <c r="Y112" i="42"/>
  <c r="P112" i="42"/>
  <c r="AE112" i="42" s="1"/>
  <c r="AF112" i="42" s="1"/>
  <c r="AC111" i="42"/>
  <c r="AA111" i="42"/>
  <c r="Y111" i="42"/>
  <c r="V111" i="42"/>
  <c r="P111" i="42"/>
  <c r="AE111" i="42" s="1"/>
  <c r="AF111" i="42" s="1"/>
  <c r="AC110" i="42"/>
  <c r="AA110" i="42"/>
  <c r="Y110" i="42"/>
  <c r="P110" i="42"/>
  <c r="AE110" i="42" s="1"/>
  <c r="AF110" i="42" s="1"/>
  <c r="AC109" i="42"/>
  <c r="AA109" i="42"/>
  <c r="Y109" i="42"/>
  <c r="P109" i="42"/>
  <c r="AE109" i="42" s="1"/>
  <c r="AF109" i="42" s="1"/>
  <c r="AC108" i="42"/>
  <c r="AA108" i="42"/>
  <c r="Y108" i="42"/>
  <c r="AC107" i="42"/>
  <c r="AA107" i="42"/>
  <c r="Y107" i="42"/>
  <c r="AC106" i="42"/>
  <c r="AA106" i="42"/>
  <c r="Y106" i="42"/>
  <c r="V106" i="42"/>
  <c r="AC105" i="42"/>
  <c r="AA105" i="42"/>
  <c r="Y105" i="42"/>
  <c r="AC104" i="42"/>
  <c r="AA104" i="42"/>
  <c r="Y104" i="42"/>
  <c r="AC103" i="42"/>
  <c r="AA103" i="42"/>
  <c r="Y103" i="42"/>
  <c r="P103" i="42"/>
  <c r="AE103" i="42" s="1"/>
  <c r="AF103" i="42" s="1"/>
  <c r="AC102" i="42"/>
  <c r="AA102" i="42"/>
  <c r="Y102" i="42"/>
  <c r="AC101" i="42"/>
  <c r="AA101" i="42"/>
  <c r="Y101" i="42"/>
  <c r="AC100" i="42"/>
  <c r="AA100" i="42"/>
  <c r="Y100" i="42"/>
  <c r="AC99" i="42"/>
  <c r="AA99" i="42"/>
  <c r="Y99" i="42"/>
  <c r="V99" i="42"/>
  <c r="P99" i="42"/>
  <c r="AE99" i="42" s="1"/>
  <c r="AF99" i="42" s="1"/>
  <c r="AC98" i="42"/>
  <c r="AA98" i="42"/>
  <c r="Y98" i="42"/>
  <c r="V98" i="42"/>
  <c r="P98" i="42"/>
  <c r="AE98" i="42" s="1"/>
  <c r="AF98" i="42" s="1"/>
  <c r="AC97" i="42"/>
  <c r="AA97" i="42"/>
  <c r="Y97" i="42"/>
  <c r="V97" i="42"/>
  <c r="AC96" i="42"/>
  <c r="AA96" i="42"/>
  <c r="Y96" i="42"/>
  <c r="P96" i="42"/>
  <c r="AE96" i="42" s="1"/>
  <c r="AF96" i="42" s="1"/>
  <c r="AC95" i="42"/>
  <c r="AA95" i="42"/>
  <c r="Y95" i="42"/>
  <c r="V95" i="42"/>
  <c r="P95" i="42"/>
  <c r="AE95" i="42" s="1"/>
  <c r="AF95" i="42" s="1"/>
  <c r="AC94" i="42"/>
  <c r="AA94" i="42"/>
  <c r="Y94" i="42"/>
  <c r="P94" i="42"/>
  <c r="AE94" i="42" s="1"/>
  <c r="AF94" i="42" s="1"/>
  <c r="AC93" i="42"/>
  <c r="AA93" i="42"/>
  <c r="Y93" i="42"/>
  <c r="P93" i="42"/>
  <c r="AE93" i="42" s="1"/>
  <c r="AF93" i="42" s="1"/>
  <c r="AC92" i="42"/>
  <c r="AA92" i="42"/>
  <c r="Y92" i="42"/>
  <c r="AC91" i="42"/>
  <c r="AA91" i="42"/>
  <c r="Y91" i="42"/>
  <c r="AC90" i="42"/>
  <c r="AA90" i="42"/>
  <c r="Y90" i="42"/>
  <c r="AC89" i="42"/>
  <c r="AA89" i="42"/>
  <c r="Y89" i="42"/>
  <c r="AA88" i="42"/>
  <c r="Y88" i="42"/>
  <c r="AC87" i="42"/>
  <c r="AA87" i="42"/>
  <c r="Y87" i="42"/>
  <c r="V87" i="42"/>
  <c r="AC86" i="42"/>
  <c r="AA86" i="42"/>
  <c r="Y86" i="42"/>
  <c r="AC85" i="42"/>
  <c r="AA85" i="42"/>
  <c r="Y85" i="42"/>
  <c r="AC84" i="42"/>
  <c r="AA84" i="42"/>
  <c r="Y84" i="42"/>
  <c r="P84" i="42"/>
  <c r="AE84" i="42" s="1"/>
  <c r="AF84" i="42" s="1"/>
  <c r="AC83" i="42"/>
  <c r="AA83" i="42"/>
  <c r="Y83" i="42"/>
  <c r="V83" i="42"/>
  <c r="AC82" i="42"/>
  <c r="AA82" i="42"/>
  <c r="Y82" i="42"/>
  <c r="V82" i="42"/>
  <c r="P82" i="42"/>
  <c r="AE82" i="42" s="1"/>
  <c r="AF82" i="42" s="1"/>
  <c r="AC81" i="42"/>
  <c r="AA81" i="42"/>
  <c r="Y81" i="42"/>
  <c r="V81" i="42"/>
  <c r="AC80" i="42"/>
  <c r="AA80" i="42"/>
  <c r="Y80" i="42"/>
  <c r="P80" i="42"/>
  <c r="AE80" i="42" s="1"/>
  <c r="AF80" i="42" s="1"/>
  <c r="AC79" i="42"/>
  <c r="AA79" i="42"/>
  <c r="Y79" i="42"/>
  <c r="V79" i="42"/>
  <c r="P79" i="42"/>
  <c r="AE79" i="42" s="1"/>
  <c r="AF79" i="42" s="1"/>
  <c r="AC78" i="42"/>
  <c r="AA78" i="42"/>
  <c r="Y78" i="42"/>
  <c r="V78" i="42"/>
  <c r="P78" i="42"/>
  <c r="AE78" i="42" s="1"/>
  <c r="AF78" i="42" s="1"/>
  <c r="AC77" i="42"/>
  <c r="AA77" i="42"/>
  <c r="Y77" i="42"/>
  <c r="P77" i="42"/>
  <c r="AE77" i="42" s="1"/>
  <c r="AF77" i="42" s="1"/>
  <c r="AC76" i="42"/>
  <c r="AA76" i="42"/>
  <c r="Y76" i="42"/>
  <c r="AC75" i="42"/>
  <c r="AA75" i="42"/>
  <c r="Y75" i="42"/>
  <c r="AC74" i="42"/>
  <c r="AA74" i="42"/>
  <c r="Y74" i="42"/>
  <c r="AC73" i="42"/>
  <c r="AA73" i="42"/>
  <c r="Y73" i="42"/>
  <c r="AC72" i="42"/>
  <c r="AA72" i="42"/>
  <c r="Y72" i="42"/>
  <c r="AC71" i="42"/>
  <c r="AA71" i="42"/>
  <c r="Y71" i="42"/>
  <c r="AC70" i="42"/>
  <c r="AA70" i="42"/>
  <c r="Y70" i="42"/>
  <c r="AC69" i="42"/>
  <c r="AA69" i="42"/>
  <c r="Y69" i="42"/>
  <c r="AA68" i="42"/>
  <c r="Y68" i="42"/>
  <c r="P68" i="42"/>
  <c r="AE68" i="42" s="1"/>
  <c r="AF68" i="42" s="1"/>
  <c r="AC67" i="42"/>
  <c r="AA67" i="42"/>
  <c r="Y67" i="42"/>
  <c r="V67" i="42"/>
  <c r="AC66" i="42"/>
  <c r="AA66" i="42"/>
  <c r="Y66" i="42"/>
  <c r="V66" i="42"/>
  <c r="AC65" i="42"/>
  <c r="AA65" i="42"/>
  <c r="Y65" i="42"/>
  <c r="P65" i="42"/>
  <c r="AE65" i="42" s="1"/>
  <c r="AF65" i="42" s="1"/>
  <c r="AC64" i="42"/>
  <c r="AA64" i="42"/>
  <c r="Y64" i="42"/>
  <c r="AC63" i="42"/>
  <c r="AA63" i="42"/>
  <c r="Y63" i="42"/>
  <c r="V63" i="42"/>
  <c r="P63" i="42"/>
  <c r="AE63" i="42" s="1"/>
  <c r="AF63" i="42" s="1"/>
  <c r="AC62" i="42"/>
  <c r="AA62" i="42"/>
  <c r="Y62" i="42"/>
  <c r="P62" i="42"/>
  <c r="AE62" i="42" s="1"/>
  <c r="AF62" i="42" s="1"/>
  <c r="AC61" i="42"/>
  <c r="AA61" i="42"/>
  <c r="Y61" i="42"/>
  <c r="P61" i="42"/>
  <c r="AE61" i="42" s="1"/>
  <c r="AF61" i="42" s="1"/>
  <c r="AC60" i="42"/>
  <c r="AA60" i="42"/>
  <c r="Y60" i="42"/>
  <c r="AC59" i="42"/>
  <c r="AA59" i="42"/>
  <c r="Y59" i="42"/>
  <c r="AC58" i="42"/>
  <c r="AA58" i="42"/>
  <c r="Y58" i="42"/>
  <c r="AC57" i="42"/>
  <c r="AA57" i="42"/>
  <c r="Y57" i="42"/>
  <c r="AC56" i="42"/>
  <c r="AA56" i="42"/>
  <c r="Y56" i="42"/>
  <c r="AA55" i="42"/>
  <c r="Y55" i="42"/>
  <c r="AC54" i="42"/>
  <c r="AA54" i="42"/>
  <c r="Y54" i="42"/>
  <c r="V54" i="42"/>
  <c r="AC53" i="42"/>
  <c r="AA53" i="42"/>
  <c r="Y53" i="42"/>
  <c r="AC52" i="42"/>
  <c r="AA52" i="42"/>
  <c r="Y52" i="42"/>
  <c r="AC51" i="42"/>
  <c r="AA51" i="42"/>
  <c r="Y51" i="42"/>
  <c r="V51" i="42"/>
  <c r="AC50" i="42"/>
  <c r="AA50" i="42"/>
  <c r="Y50" i="42"/>
  <c r="V50" i="42"/>
  <c r="P50" i="42"/>
  <c r="AE50" i="42" s="1"/>
  <c r="AF50" i="42" s="1"/>
  <c r="AC49" i="42"/>
  <c r="AA49" i="42"/>
  <c r="Y49" i="42"/>
  <c r="V49" i="42"/>
  <c r="AC48" i="42"/>
  <c r="AA48" i="42"/>
  <c r="Y48" i="42"/>
  <c r="P48" i="42"/>
  <c r="AE48" i="42" s="1"/>
  <c r="AF48" i="42" s="1"/>
  <c r="AC47" i="42"/>
  <c r="AA47" i="42"/>
  <c r="Y47" i="42"/>
  <c r="V47" i="42"/>
  <c r="P47" i="42"/>
  <c r="AE47" i="42" s="1"/>
  <c r="AF47" i="42" s="1"/>
  <c r="AC46" i="42"/>
  <c r="AA46" i="42"/>
  <c r="Y46" i="42"/>
  <c r="V46" i="42"/>
  <c r="P46" i="42"/>
  <c r="AE46" i="42" s="1"/>
  <c r="AF46" i="42" s="1"/>
  <c r="AC45" i="42"/>
  <c r="AA45" i="42"/>
  <c r="Y45" i="42"/>
  <c r="P45" i="42"/>
  <c r="AE45" i="42" s="1"/>
  <c r="AF45" i="42" s="1"/>
  <c r="AC44" i="42"/>
  <c r="AA44" i="42"/>
  <c r="Y44" i="42"/>
  <c r="AC43" i="42"/>
  <c r="AA43" i="42"/>
  <c r="Y43" i="42"/>
  <c r="AC42" i="42"/>
  <c r="AA42" i="42"/>
  <c r="Y42" i="42"/>
  <c r="AC41" i="42"/>
  <c r="AA41" i="42"/>
  <c r="Y41" i="42"/>
  <c r="AC40" i="42"/>
  <c r="AA40" i="42"/>
  <c r="Y40" i="42"/>
  <c r="AC39" i="42"/>
  <c r="AA39" i="42"/>
  <c r="Y39" i="42"/>
  <c r="P39" i="42"/>
  <c r="AE39" i="42" s="1"/>
  <c r="AF39" i="42" s="1"/>
  <c r="AC38" i="42"/>
  <c r="AA38" i="42"/>
  <c r="Y38" i="42"/>
  <c r="AC37" i="42"/>
  <c r="AA37" i="42"/>
  <c r="Y37" i="42"/>
  <c r="AC36" i="42"/>
  <c r="AA36" i="42"/>
  <c r="Y36" i="42"/>
  <c r="AC35" i="42"/>
  <c r="AA35" i="42"/>
  <c r="Y35" i="42"/>
  <c r="P35" i="42"/>
  <c r="AE35" i="42" s="1"/>
  <c r="AF35" i="42" s="1"/>
  <c r="AC34" i="42"/>
  <c r="AA34" i="42"/>
  <c r="Y34" i="42"/>
  <c r="V34" i="42"/>
  <c r="AA33" i="42"/>
  <c r="Y33" i="42"/>
  <c r="V33" i="42"/>
  <c r="AC32" i="42"/>
  <c r="Y32" i="42"/>
  <c r="Y31" i="42"/>
  <c r="V31" i="42"/>
  <c r="AC30" i="42"/>
  <c r="Y30" i="42"/>
  <c r="AC29" i="42"/>
  <c r="Y29" i="42"/>
  <c r="AC28" i="42"/>
  <c r="Y28" i="42"/>
  <c r="V28" i="42"/>
  <c r="AC27" i="42"/>
  <c r="Y27" i="42"/>
  <c r="AC26" i="42"/>
  <c r="Y26" i="42"/>
  <c r="AC25" i="42"/>
  <c r="Y25" i="42"/>
  <c r="AC24" i="42"/>
  <c r="Y24" i="42"/>
  <c r="AC23" i="42"/>
  <c r="Y23" i="42"/>
  <c r="AC22" i="42"/>
  <c r="Y22" i="42"/>
  <c r="V22" i="42"/>
  <c r="AA21" i="42"/>
  <c r="V21" i="42"/>
  <c r="AC20" i="42"/>
  <c r="AA20" i="42"/>
  <c r="AC19" i="42"/>
  <c r="AA19" i="42"/>
  <c r="AC18" i="42"/>
  <c r="AA18" i="42"/>
  <c r="V18" i="42"/>
  <c r="AA17" i="42"/>
  <c r="V17" i="42"/>
  <c r="AC16" i="42"/>
  <c r="AA16" i="42"/>
  <c r="AC15" i="42"/>
  <c r="AA15" i="42"/>
  <c r="V15" i="42"/>
  <c r="AC14" i="42"/>
  <c r="AA14" i="42"/>
  <c r="AC13" i="42"/>
  <c r="AA13" i="42"/>
  <c r="AA12" i="42"/>
  <c r="AC11" i="42"/>
  <c r="AA11" i="42"/>
  <c r="Y11" i="42"/>
  <c r="AC10" i="42"/>
  <c r="AA10" i="42"/>
  <c r="Y10" i="42"/>
  <c r="AC9" i="42"/>
  <c r="AA9" i="42"/>
  <c r="Y9" i="42"/>
  <c r="V9" i="42"/>
  <c r="AC8" i="42"/>
  <c r="AA8" i="42"/>
  <c r="Y8" i="42"/>
  <c r="AC7" i="42"/>
  <c r="AA7" i="42"/>
  <c r="Y7" i="42"/>
  <c r="AC6" i="42"/>
  <c r="AA6" i="42"/>
  <c r="Y6" i="42"/>
  <c r="AC5" i="42"/>
  <c r="AA5" i="42"/>
  <c r="Y5" i="42"/>
  <c r="AC4" i="42"/>
  <c r="AA4" i="42"/>
  <c r="Y4" i="42"/>
  <c r="AJ193" i="10"/>
  <c r="AJ192" i="10"/>
  <c r="AJ191" i="10"/>
  <c r="AJ190" i="10"/>
  <c r="AJ189" i="10"/>
  <c r="AJ188" i="10"/>
  <c r="AJ187" i="10"/>
  <c r="AJ186" i="10"/>
  <c r="AJ185" i="10"/>
  <c r="AJ184" i="10"/>
  <c r="AJ183" i="10"/>
  <c r="AJ182" i="10"/>
  <c r="AJ181" i="10"/>
  <c r="AJ180" i="10"/>
  <c r="AJ179" i="10"/>
  <c r="AJ178" i="10"/>
  <c r="AJ177" i="10"/>
  <c r="AJ176" i="10"/>
  <c r="AJ175" i="10"/>
  <c r="AJ174" i="10"/>
  <c r="AJ173" i="10"/>
  <c r="AJ172" i="10"/>
  <c r="AJ171" i="10"/>
  <c r="AJ170" i="10"/>
  <c r="AJ169" i="10"/>
  <c r="AJ168" i="10"/>
  <c r="AJ167" i="10"/>
  <c r="AJ166" i="10"/>
  <c r="AJ165" i="10"/>
  <c r="AJ164" i="10"/>
  <c r="AJ163" i="10"/>
  <c r="AJ162" i="10"/>
  <c r="AJ161" i="10"/>
  <c r="AJ160" i="10"/>
  <c r="AJ159" i="10"/>
  <c r="AJ158" i="10"/>
  <c r="AJ157" i="10"/>
  <c r="AJ156" i="10"/>
  <c r="AJ155" i="10"/>
  <c r="AJ154" i="10"/>
  <c r="AJ153" i="10"/>
  <c r="AJ152" i="10"/>
  <c r="AJ151" i="10"/>
  <c r="AJ150" i="10"/>
  <c r="AJ149" i="10"/>
  <c r="AJ148" i="10"/>
  <c r="AJ147" i="10"/>
  <c r="AJ146" i="10"/>
  <c r="AJ145" i="10"/>
  <c r="AJ144" i="10"/>
  <c r="AJ143" i="10"/>
  <c r="AJ142" i="10"/>
  <c r="AJ141" i="10"/>
  <c r="AJ140" i="10"/>
  <c r="AJ139" i="10"/>
  <c r="AJ138" i="10"/>
  <c r="AJ137" i="10"/>
  <c r="AJ136" i="10"/>
  <c r="AJ135" i="10"/>
  <c r="AJ134" i="10"/>
  <c r="AJ133" i="10"/>
  <c r="AJ132" i="10"/>
  <c r="AJ131" i="10"/>
  <c r="AJ130" i="10"/>
  <c r="AJ129" i="10"/>
  <c r="AJ128" i="10"/>
  <c r="AJ127" i="10"/>
  <c r="AJ126" i="10"/>
  <c r="AJ125" i="10"/>
  <c r="AJ124" i="10"/>
  <c r="AJ123" i="10"/>
  <c r="AJ122" i="10"/>
  <c r="AJ121" i="10"/>
  <c r="AJ120" i="10"/>
  <c r="AJ119" i="10"/>
  <c r="AJ118" i="10"/>
  <c r="AJ117" i="10"/>
  <c r="AJ116" i="10"/>
  <c r="AJ115" i="10"/>
  <c r="AJ114" i="10"/>
  <c r="AJ113" i="10"/>
  <c r="AJ112" i="10"/>
  <c r="AJ111" i="10"/>
  <c r="AJ110" i="10"/>
  <c r="AJ109" i="10"/>
  <c r="AJ108" i="10"/>
  <c r="AJ107" i="10"/>
  <c r="AJ106" i="10"/>
  <c r="AJ105" i="10"/>
  <c r="AJ104" i="10"/>
  <c r="AJ103" i="10"/>
  <c r="AJ102" i="10"/>
  <c r="AJ101" i="10"/>
  <c r="AJ100" i="10"/>
  <c r="AJ99" i="10"/>
  <c r="AJ98" i="10"/>
  <c r="AJ97" i="10"/>
  <c r="AJ96" i="10"/>
  <c r="AJ95" i="10"/>
  <c r="AJ94" i="10"/>
  <c r="AJ93" i="10"/>
  <c r="AJ92" i="10"/>
  <c r="AJ91" i="10"/>
  <c r="AJ90" i="10"/>
  <c r="AJ89" i="10"/>
  <c r="AJ88" i="10"/>
  <c r="AJ87" i="10"/>
  <c r="AJ86" i="10"/>
  <c r="AJ85" i="10"/>
  <c r="AJ84" i="10"/>
  <c r="AJ83" i="10"/>
  <c r="AJ82" i="10"/>
  <c r="AJ81" i="10"/>
  <c r="AJ80" i="10"/>
  <c r="AJ79" i="10"/>
  <c r="AJ78" i="10"/>
  <c r="AJ77" i="10"/>
  <c r="AJ76" i="10"/>
  <c r="AJ75" i="10"/>
  <c r="AJ74" i="10"/>
  <c r="AJ73" i="10"/>
  <c r="AJ72" i="10"/>
  <c r="AJ71" i="10"/>
  <c r="AJ70" i="10"/>
  <c r="AJ69" i="10"/>
  <c r="AJ68" i="10"/>
  <c r="AJ67" i="10"/>
  <c r="AJ66" i="10"/>
  <c r="AJ65" i="10"/>
  <c r="AJ64" i="10"/>
  <c r="AJ63" i="10"/>
  <c r="AJ62" i="10"/>
  <c r="AJ61" i="10"/>
  <c r="AJ60" i="10"/>
  <c r="AJ59" i="10"/>
  <c r="AJ58" i="10"/>
  <c r="AJ57" i="10"/>
  <c r="AJ56" i="10"/>
  <c r="AJ55" i="10"/>
  <c r="AJ54" i="10"/>
  <c r="AJ53" i="10"/>
  <c r="AJ52" i="10"/>
  <c r="AJ51" i="10"/>
  <c r="AJ50" i="10"/>
  <c r="AJ49" i="10"/>
  <c r="AJ48" i="10"/>
  <c r="AJ47" i="10"/>
  <c r="AJ46" i="10"/>
  <c r="AJ45" i="10"/>
  <c r="AJ44" i="10"/>
  <c r="AJ43" i="10"/>
  <c r="AJ42" i="10"/>
  <c r="AJ41" i="10"/>
  <c r="AJ40" i="10"/>
  <c r="AJ39" i="10"/>
  <c r="AJ38" i="10"/>
  <c r="AJ37" i="10"/>
  <c r="AJ36" i="10"/>
  <c r="AJ35" i="10"/>
  <c r="AJ34" i="10"/>
  <c r="AJ33" i="10"/>
  <c r="AJ32" i="10"/>
  <c r="AJ31" i="10"/>
  <c r="AJ30" i="10"/>
  <c r="AJ29" i="10"/>
  <c r="AJ28" i="10"/>
  <c r="AJ27" i="10"/>
  <c r="AJ26" i="10"/>
  <c r="AJ25" i="10"/>
  <c r="AJ24" i="10"/>
  <c r="AJ23" i="10"/>
  <c r="AJ22" i="10"/>
  <c r="AJ21" i="10"/>
  <c r="AJ20" i="10"/>
  <c r="AJ19" i="10"/>
  <c r="AJ18" i="10"/>
  <c r="AJ17" i="10"/>
  <c r="AJ16" i="10"/>
  <c r="AJ15" i="10"/>
  <c r="AJ14" i="10"/>
  <c r="AJ13" i="10"/>
  <c r="AJ12" i="10"/>
  <c r="AJ11" i="10"/>
  <c r="AJ10" i="10"/>
  <c r="AJ9" i="10"/>
  <c r="AJ8" i="10"/>
  <c r="AJ7" i="10"/>
  <c r="AJ6" i="10"/>
  <c r="AJ5" i="10"/>
  <c r="AJ4" i="10"/>
  <c r="BN23" i="54" l="1"/>
  <c r="S23" i="54" s="1"/>
  <c r="EB31" i="54"/>
  <c r="EB15" i="54"/>
  <c r="BS50" i="54"/>
  <c r="GL50" i="54" s="1"/>
  <c r="BS49" i="54"/>
  <c r="GL49" i="54" s="1"/>
  <c r="BS42" i="54"/>
  <c r="GL42" i="54" s="1"/>
  <c r="BN16" i="54"/>
  <c r="S16" i="54" s="1"/>
  <c r="T33" i="54"/>
  <c r="BI55" i="54" a="1"/>
  <c r="BI55" i="54" s="1"/>
  <c r="C55" i="54" s="1"/>
  <c r="BJ55" i="54" s="1"/>
  <c r="FG31" i="54"/>
  <c r="FO31" i="54" s="1"/>
  <c r="DZ15" i="54"/>
  <c r="BY32" i="54"/>
  <c r="DL16" i="54"/>
  <c r="EC35" i="54"/>
  <c r="BS21" i="54"/>
  <c r="GL21" i="54" s="1"/>
  <c r="EB25" i="54"/>
  <c r="EJ46" i="54"/>
  <c r="BW49" i="54"/>
  <c r="EC33" i="54"/>
  <c r="FG26" i="54"/>
  <c r="FK26" i="54" s="1"/>
  <c r="JU26" i="54"/>
  <c r="DZ37" i="54"/>
  <c r="BS22" i="54"/>
  <c r="GL22" i="54" s="1"/>
  <c r="DL20" i="54"/>
  <c r="ES54" i="54"/>
  <c r="DF44" i="54" a="1"/>
  <c r="DF44" i="54" s="1"/>
  <c r="DE44" i="54" a="1"/>
  <c r="DE44" i="54" s="1"/>
  <c r="DH44" i="54" s="1"/>
  <c r="BQ20" i="54"/>
  <c r="BS20" i="54"/>
  <c r="GL20" i="54" s="1"/>
  <c r="W192" i="19"/>
  <c r="X302" i="19"/>
  <c r="ET15" i="54"/>
  <c r="EU15" i="54"/>
  <c r="W174" i="19"/>
  <c r="X183" i="19"/>
  <c r="DZ38" i="54"/>
  <c r="X175" i="19"/>
  <c r="FJ34" i="54"/>
  <c r="FQ34" i="54"/>
  <c r="FP34" i="54"/>
  <c r="FH34" i="54"/>
  <c r="FK34" i="54"/>
  <c r="W176" i="19"/>
  <c r="X176" i="19"/>
  <c r="EU18" i="54"/>
  <c r="ET18" i="54"/>
  <c r="BS52" i="54"/>
  <c r="GL52" i="54" s="1"/>
  <c r="BW52" i="54"/>
  <c r="DG21" i="54" a="1"/>
  <c r="DG21" i="54" s="1"/>
  <c r="DE21" i="54" a="1"/>
  <c r="DE21" i="54" s="1"/>
  <c r="JE21" i="54" s="1"/>
  <c r="GN19" i="54"/>
  <c r="EJ19" i="54"/>
  <c r="DE17" i="54" a="1"/>
  <c r="DE17" i="54" s="1"/>
  <c r="JE17" i="54" s="1"/>
  <c r="DG17" i="54" a="1"/>
  <c r="DG17" i="54" s="1"/>
  <c r="EU17" i="54"/>
  <c r="ET17" i="54"/>
  <c r="HH21" i="54"/>
  <c r="HF21" i="54"/>
  <c r="HG21" i="54" s="1"/>
  <c r="JQ21" i="54" s="1"/>
  <c r="CL41" i="54"/>
  <c r="CN41" i="54"/>
  <c r="CJ9" i="54"/>
  <c r="CL9" i="54"/>
  <c r="DL9" i="54" s="1"/>
  <c r="X259" i="19"/>
  <c r="T32" i="54"/>
  <c r="GA8" i="54"/>
  <c r="CC8" i="54"/>
  <c r="BO8" i="54"/>
  <c r="P8" i="54"/>
  <c r="EL8" i="54" s="1"/>
  <c r="DF21" i="54" a="1"/>
  <c r="DF21" i="54" s="1"/>
  <c r="JF21" i="54" s="1"/>
  <c r="CD39" i="54"/>
  <c r="DN39" i="54"/>
  <c r="P39" i="54"/>
  <c r="BT39" i="54"/>
  <c r="BO39" i="54"/>
  <c r="CQ39" i="54"/>
  <c r="CC39" i="54"/>
  <c r="DC39" i="54"/>
  <c r="I39" i="54" s="1"/>
  <c r="DD39" i="54" s="1"/>
  <c r="DE39" i="54" s="1" a="1"/>
  <c r="DE39" i="54" s="1"/>
  <c r="JE39" i="54" s="1"/>
  <c r="FK44" i="54"/>
  <c r="FP44" i="54"/>
  <c r="FM34" i="54"/>
  <c r="X269" i="19"/>
  <c r="EJ51" i="54"/>
  <c r="GN51" i="54"/>
  <c r="HA36" i="54"/>
  <c r="HB36" i="54" s="1"/>
  <c r="HC36" i="54" s="1"/>
  <c r="HE36" i="54"/>
  <c r="HH36" i="54" s="1"/>
  <c r="BP24" i="54"/>
  <c r="BT24" i="54"/>
  <c r="BO24" i="54"/>
  <c r="DB24" i="54"/>
  <c r="CQ24" i="54"/>
  <c r="FF24" i="54"/>
  <c r="AB24" i="54" s="1"/>
  <c r="FG24" i="54" s="1"/>
  <c r="FK24" i="54" s="1"/>
  <c r="BE31" i="54"/>
  <c r="BF31" i="54"/>
  <c r="BG31" i="54" s="1"/>
  <c r="BT55" i="54"/>
  <c r="DC55" i="54"/>
  <c r="I55" i="54" s="1"/>
  <c r="DD55" i="54" s="1"/>
  <c r="DH55" i="54" s="1"/>
  <c r="CO55" i="54"/>
  <c r="CP55" i="54" s="1"/>
  <c r="Y55" i="54" s="1"/>
  <c r="CC55" i="54"/>
  <c r="BO55" i="54"/>
  <c r="CD55" i="54"/>
  <c r="FY55" i="54" s="1"/>
  <c r="CD7" i="54"/>
  <c r="FY7" i="54" s="1"/>
  <c r="CC7" i="54"/>
  <c r="BO7" i="54"/>
  <c r="P7" i="54"/>
  <c r="BF14" i="54"/>
  <c r="BG14" i="54" s="1"/>
  <c r="BE14" i="54"/>
  <c r="BE47" i="54"/>
  <c r="BF46" i="54"/>
  <c r="BG46" i="54" s="1"/>
  <c r="EB38" i="54"/>
  <c r="W260" i="19"/>
  <c r="BP38" i="54"/>
  <c r="GD38" i="54" s="1"/>
  <c r="CD38" i="54"/>
  <c r="FX38" i="54" s="1" a="1"/>
  <c r="FX38" i="54" s="1"/>
  <c r="DN38" i="54"/>
  <c r="BO38" i="54"/>
  <c r="CQ38" i="54"/>
  <c r="CO38" i="54"/>
  <c r="CC38" i="54"/>
  <c r="FN34" i="54"/>
  <c r="FF53" i="54"/>
  <c r="AB53" i="54" s="1"/>
  <c r="DC53" i="54"/>
  <c r="I53" i="54" s="1"/>
  <c r="DD53" i="54" s="1"/>
  <c r="CO53" i="54"/>
  <c r="CP53" i="54" s="1"/>
  <c r="Y53" i="54" s="1"/>
  <c r="BO53" i="54"/>
  <c r="CC53" i="54"/>
  <c r="BP53" i="54"/>
  <c r="BW53" i="54"/>
  <c r="CD53" i="54"/>
  <c r="DB53" i="54"/>
  <c r="DN21" i="54"/>
  <c r="GI21" i="54"/>
  <c r="CC21" i="54"/>
  <c r="DC21" i="54"/>
  <c r="GA21" i="54"/>
  <c r="BY21" i="54" s="1"/>
  <c r="CQ21" i="54"/>
  <c r="BO21" i="54"/>
  <c r="BF28" i="54"/>
  <c r="BG28" i="54" s="1"/>
  <c r="BE28" i="54"/>
  <c r="BE45" i="54"/>
  <c r="BF44" i="54"/>
  <c r="BG44" i="54" s="1"/>
  <c r="FG10" i="54"/>
  <c r="FQ10" i="54" s="1"/>
  <c r="BI10" i="54" a="1"/>
  <c r="BI10" i="54" s="1"/>
  <c r="CO8" i="54"/>
  <c r="CP8" i="54" s="1"/>
  <c r="Y8" i="54" s="1"/>
  <c r="FF52" i="54"/>
  <c r="BO52" i="54"/>
  <c r="DI52" i="54"/>
  <c r="H52" i="54" s="1"/>
  <c r="DJ52" i="54" s="1"/>
  <c r="BP52" i="54"/>
  <c r="GD52" i="54" s="1"/>
  <c r="CD52" i="54"/>
  <c r="FY52" i="54" s="1"/>
  <c r="DN36" i="54"/>
  <c r="BP36" i="54"/>
  <c r="GD36" i="54" s="1"/>
  <c r="DC36" i="54"/>
  <c r="FF20" i="54"/>
  <c r="AB20" i="54" s="1"/>
  <c r="GI20" i="54"/>
  <c r="DC20" i="54"/>
  <c r="I20" i="54" s="1"/>
  <c r="DD20" i="54" s="1"/>
  <c r="DH20" i="54" s="1"/>
  <c r="DN20" i="54"/>
  <c r="BO20" i="54"/>
  <c r="CD20" i="54"/>
  <c r="CQ20" i="54"/>
  <c r="CQ4" i="54"/>
  <c r="BP4" i="54"/>
  <c r="HV4" i="54" s="1"/>
  <c r="DN4" i="54"/>
  <c r="DC4" i="54"/>
  <c r="I4" i="54" s="1"/>
  <c r="DD4" i="54" s="1"/>
  <c r="DG4" i="54" s="1" a="1"/>
  <c r="DG4" i="54" s="1"/>
  <c r="JG4" i="54" s="1"/>
  <c r="BO4" i="54"/>
  <c r="CD4" i="54"/>
  <c r="BF43" i="54"/>
  <c r="BG43" i="54" s="1"/>
  <c r="BE43" i="54"/>
  <c r="P43" i="54" s="1"/>
  <c r="EL43" i="54" s="1"/>
  <c r="BF27" i="54"/>
  <c r="BG27" i="54" s="1"/>
  <c r="BI27" i="54" s="1" a="1"/>
  <c r="BI27" i="54" s="1"/>
  <c r="C27" i="54" s="1"/>
  <c r="BJ27" i="54" s="1"/>
  <c r="BE27" i="54"/>
  <c r="P27" i="54" s="1"/>
  <c r="BF11" i="54"/>
  <c r="BG11" i="54" s="1"/>
  <c r="BI11" i="54" s="1" a="1"/>
  <c r="BI11" i="54" s="1"/>
  <c r="BE11" i="54"/>
  <c r="BI40" i="54" a="1"/>
  <c r="BI40" i="54" s="1"/>
  <c r="BS57" i="54"/>
  <c r="GL57" i="54" s="1"/>
  <c r="CO7" i="54"/>
  <c r="CP7" i="54" s="1"/>
  <c r="Y7" i="54" s="1"/>
  <c r="EX12" i="54"/>
  <c r="FO34" i="54"/>
  <c r="X206" i="19"/>
  <c r="GI56" i="54"/>
  <c r="BT56" i="54"/>
  <c r="CC56" i="54"/>
  <c r="BO56" i="54"/>
  <c r="CN56" i="54"/>
  <c r="IB56" i="54"/>
  <c r="CJ8" i="54"/>
  <c r="CL8" i="54"/>
  <c r="IA8" i="54"/>
  <c r="HA18" i="54"/>
  <c r="W226" i="19"/>
  <c r="X226" i="19"/>
  <c r="FF22" i="54"/>
  <c r="AB22" i="54" s="1"/>
  <c r="FG22" i="54" s="1"/>
  <c r="DI22" i="54"/>
  <c r="H22" i="54" s="1"/>
  <c r="DJ22" i="54" s="1"/>
  <c r="BO22" i="54"/>
  <c r="GI22" i="54"/>
  <c r="CC22" i="54"/>
  <c r="DB22" i="54"/>
  <c r="DC22" i="54"/>
  <c r="I22" i="54" s="1"/>
  <c r="DD22" i="54" s="1"/>
  <c r="DE22" i="54" s="1" a="1"/>
  <c r="DE22" i="54" s="1"/>
  <c r="CQ22" i="54"/>
  <c r="DN22" i="54"/>
  <c r="BT22" i="54"/>
  <c r="CA6" i="54"/>
  <c r="CQ6" i="54"/>
  <c r="CC6" i="54"/>
  <c r="BT6" i="54"/>
  <c r="BO6" i="54"/>
  <c r="FF6" i="54"/>
  <c r="AB6" i="54" s="1"/>
  <c r="FG6" i="54" s="1"/>
  <c r="P6" i="54"/>
  <c r="CD6" i="54"/>
  <c r="BW6" i="54"/>
  <c r="BF13" i="54"/>
  <c r="BG13" i="54" s="1"/>
  <c r="BE13" i="54"/>
  <c r="EB37" i="54"/>
  <c r="DF17" i="54" a="1"/>
  <c r="DF17" i="54" s="1"/>
  <c r="JF17" i="54" s="1"/>
  <c r="CQ5" i="54"/>
  <c r="DB5" i="54"/>
  <c r="BP5" i="54"/>
  <c r="BQ5" i="54" s="1"/>
  <c r="BO5" i="54"/>
  <c r="CD5" i="54"/>
  <c r="BW5" i="54"/>
  <c r="EX13" i="54"/>
  <c r="EY13" i="54" s="1"/>
  <c r="BE30" i="54"/>
  <c r="CD36" i="54"/>
  <c r="CO6" i="54"/>
  <c r="CP6" i="54" s="1"/>
  <c r="Y6" i="54" s="1"/>
  <c r="DB55" i="54"/>
  <c r="X207" i="19"/>
  <c r="W207" i="19"/>
  <c r="CL25" i="54"/>
  <c r="DL25" i="54" s="1"/>
  <c r="CG26" i="54"/>
  <c r="JW26" i="54" s="1"/>
  <c r="CM25" i="54"/>
  <c r="BP40" i="54"/>
  <c r="GD40" i="54" s="1"/>
  <c r="CQ40" i="54"/>
  <c r="P40" i="54"/>
  <c r="BT40" i="54"/>
  <c r="BO40" i="54"/>
  <c r="CC40" i="54"/>
  <c r="CM24" i="54"/>
  <c r="CL24" i="54"/>
  <c r="DL24" i="54" s="1"/>
  <c r="HA21" i="54"/>
  <c r="BT23" i="54"/>
  <c r="BO23" i="54"/>
  <c r="DB23" i="54"/>
  <c r="DC23" i="54"/>
  <c r="I23" i="54" s="1"/>
  <c r="DD23" i="54" s="1"/>
  <c r="DF23" i="54" s="1" a="1"/>
  <c r="DF23" i="54" s="1"/>
  <c r="CQ23" i="54"/>
  <c r="FF23" i="54"/>
  <c r="DC54" i="54"/>
  <c r="I54" i="54" s="1"/>
  <c r="DD54" i="54" s="1"/>
  <c r="CO54" i="54"/>
  <c r="CP54" i="54" s="1"/>
  <c r="Y54" i="54" s="1"/>
  <c r="CC54" i="54"/>
  <c r="DB54" i="54"/>
  <c r="CD54" i="54"/>
  <c r="FY54" i="54" s="1"/>
  <c r="BO54" i="54"/>
  <c r="FF37" i="54"/>
  <c r="BP37" i="54"/>
  <c r="CQ37" i="54"/>
  <c r="DI37" i="54"/>
  <c r="H37" i="54" s="1"/>
  <c r="DJ37" i="54" s="1"/>
  <c r="GX37" i="54" s="1"/>
  <c r="HA37" i="54" s="1"/>
  <c r="HA38" i="54" s="1"/>
  <c r="DC37" i="54"/>
  <c r="CO37" i="54"/>
  <c r="CP37" i="54" s="1"/>
  <c r="Y37" i="54" s="1"/>
  <c r="BF12" i="54"/>
  <c r="BG12" i="54" s="1"/>
  <c r="BI12" i="54" s="1" a="1"/>
  <c r="BI12" i="54" s="1"/>
  <c r="C12" i="54" s="1"/>
  <c r="BJ12" i="54" s="1"/>
  <c r="BE12" i="54"/>
  <c r="P12" i="54" s="1"/>
  <c r="EL12" i="54" s="1"/>
  <c r="DG44" i="54" a="1"/>
  <c r="DG44" i="54" s="1"/>
  <c r="JG44" i="54" s="1"/>
  <c r="X240" i="19"/>
  <c r="W240" i="19"/>
  <c r="BE29" i="54"/>
  <c r="P29" i="54" s="1"/>
  <c r="EL29" i="54" s="1"/>
  <c r="BT8" i="54"/>
  <c r="EU20" i="54"/>
  <c r="ET20" i="54"/>
  <c r="X181" i="19"/>
  <c r="W191" i="19"/>
  <c r="DZ36" i="54"/>
  <c r="EB36" i="54"/>
  <c r="BP21" i="54"/>
  <c r="BT7" i="54"/>
  <c r="CN40" i="54"/>
  <c r="EJ53" i="54"/>
  <c r="BF20" i="54"/>
  <c r="BG20" i="54" s="1"/>
  <c r="BI20" i="54" s="1" a="1"/>
  <c r="BI20" i="54" s="1"/>
  <c r="BW45" i="54"/>
  <c r="BW29" i="54"/>
  <c r="BS18" i="54"/>
  <c r="GL18" i="54" s="1"/>
  <c r="EL9" i="54"/>
  <c r="CL26" i="54"/>
  <c r="CM26" i="54"/>
  <c r="CG27" i="54"/>
  <c r="CG11" i="54"/>
  <c r="CK10" i="54"/>
  <c r="CJ10" i="54"/>
  <c r="ET57" i="54"/>
  <c r="EU57" i="54"/>
  <c r="EU21" i="54"/>
  <c r="ET21" i="54"/>
  <c r="FJ38" i="54"/>
  <c r="FQ38" i="54"/>
  <c r="FI38" i="54"/>
  <c r="FK38" i="54"/>
  <c r="W244" i="19"/>
  <c r="X244" i="19"/>
  <c r="BS51" i="54"/>
  <c r="GL51" i="54" s="1"/>
  <c r="BW51" i="54"/>
  <c r="DZ3" i="54"/>
  <c r="X185" i="19"/>
  <c r="W185" i="19"/>
  <c r="BM7" i="54"/>
  <c r="CK47" i="54"/>
  <c r="CJ47" i="54"/>
  <c r="CG16" i="54"/>
  <c r="DS16" i="54" s="1"/>
  <c r="HZ15" i="54"/>
  <c r="JV48" i="54"/>
  <c r="HM48" i="54"/>
  <c r="M48" i="54" s="1"/>
  <c r="HN48" i="54" s="1"/>
  <c r="W231" i="19"/>
  <c r="W251" i="19"/>
  <c r="BP47" i="54"/>
  <c r="CD47" i="54"/>
  <c r="FY47" i="54" s="1"/>
  <c r="DN47" i="54"/>
  <c r="DB47" i="54"/>
  <c r="CA47" i="54"/>
  <c r="DI31" i="54"/>
  <c r="H31" i="54" s="1"/>
  <c r="DJ31" i="54" s="1"/>
  <c r="GX31" i="54" s="1"/>
  <c r="BT31" i="54"/>
  <c r="CD31" i="54"/>
  <c r="FY31" i="54" s="1"/>
  <c r="CD15" i="54"/>
  <c r="FY15" i="54" s="1"/>
  <c r="CC15" i="54"/>
  <c r="BE38" i="54"/>
  <c r="BF38" i="54"/>
  <c r="BG38" i="54" s="1"/>
  <c r="BI41" i="54" a="1"/>
  <c r="BI41" i="54" s="1"/>
  <c r="C41" i="54" s="1"/>
  <c r="BJ41" i="54" s="1"/>
  <c r="BS17" i="54"/>
  <c r="GL17" i="54" s="1"/>
  <c r="BN6" i="54"/>
  <c r="GP6" i="54" s="1"/>
  <c r="IA46" i="54"/>
  <c r="CK46" i="54"/>
  <c r="IA14" i="54"/>
  <c r="CG15" i="54"/>
  <c r="GB15" i="54" s="1"/>
  <c r="GC15" i="54" s="1"/>
  <c r="GE15" i="54" s="1" a="1"/>
  <c r="GE15" i="54" s="1"/>
  <c r="GF15" i="54" s="1"/>
  <c r="W177" i="19"/>
  <c r="X177" i="19"/>
  <c r="W221" i="19"/>
  <c r="GO7" i="54"/>
  <c r="IK7" i="54"/>
  <c r="BI39" i="54" a="1"/>
  <c r="BI39" i="54" s="1"/>
  <c r="C39" i="54" s="1"/>
  <c r="BJ39" i="54" s="1"/>
  <c r="CO46" i="54"/>
  <c r="CP46" i="54" s="1"/>
  <c r="Y46" i="54" s="1"/>
  <c r="BO46" i="54"/>
  <c r="CC46" i="54"/>
  <c r="DI46" i="54"/>
  <c r="H46" i="54" s="1"/>
  <c r="DJ46" i="54" s="1"/>
  <c r="DB30" i="54"/>
  <c r="CD30" i="54"/>
  <c r="FX30" i="54" s="1" a="1"/>
  <c r="FX30" i="54" s="1"/>
  <c r="CO14" i="54"/>
  <c r="CP14" i="54" s="1"/>
  <c r="Y14" i="54" s="1"/>
  <c r="BP14" i="54"/>
  <c r="GG14" i="54" s="1"/>
  <c r="BE37" i="54"/>
  <c r="P37" i="54" s="1"/>
  <c r="EL37" i="54" s="1"/>
  <c r="BF37" i="54"/>
  <c r="BG37" i="54" s="1"/>
  <c r="BI37" i="54" s="1" a="1"/>
  <c r="BI37" i="54" s="1"/>
  <c r="C37" i="54" s="1"/>
  <c r="BJ37" i="54" s="1"/>
  <c r="P21" i="54"/>
  <c r="BI48" i="54" a="1"/>
  <c r="BI48" i="54" s="1"/>
  <c r="C48" i="54" s="1"/>
  <c r="BJ48" i="54" s="1"/>
  <c r="BN5" i="54"/>
  <c r="CA48" i="54"/>
  <c r="HX48" i="54"/>
  <c r="CK45" i="54"/>
  <c r="CJ45" i="54"/>
  <c r="CM45" i="54"/>
  <c r="DY34" i="54"/>
  <c r="DA34" i="54"/>
  <c r="CO31" i="54"/>
  <c r="CP31" i="54" s="1"/>
  <c r="Y31" i="54" s="1"/>
  <c r="ET24" i="54"/>
  <c r="EU24" i="54"/>
  <c r="X169" i="19"/>
  <c r="W169" i="19"/>
  <c r="W242" i="19"/>
  <c r="W212" i="19"/>
  <c r="X254" i="19"/>
  <c r="W254" i="19"/>
  <c r="BS35" i="54"/>
  <c r="GL35" i="54" s="1"/>
  <c r="EB19" i="54"/>
  <c r="IC17" i="54"/>
  <c r="BO45" i="54"/>
  <c r="CC45" i="54"/>
  <c r="DI45" i="54"/>
  <c r="H45" i="54" s="1"/>
  <c r="DJ45" i="54" s="1"/>
  <c r="GY45" i="54" s="1"/>
  <c r="CQ45" i="54"/>
  <c r="CO13" i="54"/>
  <c r="CP13" i="54" s="1"/>
  <c r="Y13" i="54" s="1"/>
  <c r="BP13" i="54"/>
  <c r="CE13" i="54" s="1" a="1"/>
  <c r="CE13" i="54" s="1"/>
  <c r="EK13" i="54" s="1"/>
  <c r="P52" i="54"/>
  <c r="EL52" i="54" s="1"/>
  <c r="BE36" i="54"/>
  <c r="P36" i="54" s="1"/>
  <c r="BF36" i="54"/>
  <c r="BG36" i="54" s="1"/>
  <c r="P24" i="54"/>
  <c r="BN4" i="54"/>
  <c r="S4" i="54" s="1"/>
  <c r="CM44" i="54"/>
  <c r="CJ44" i="54"/>
  <c r="HZ12" i="54"/>
  <c r="CK12" i="54"/>
  <c r="DY33" i="54"/>
  <c r="DA33" i="54"/>
  <c r="CK44" i="54"/>
  <c r="DH34" i="54"/>
  <c r="DF34" i="54" a="1"/>
  <c r="DF34" i="54" s="1"/>
  <c r="JF34" i="54" s="1"/>
  <c r="DE34" i="54" a="1"/>
  <c r="DE34" i="54" s="1"/>
  <c r="JL34" i="54" s="1"/>
  <c r="ET41" i="54"/>
  <c r="P41" i="54"/>
  <c r="FA41" i="54" s="1"/>
  <c r="ET6" i="54"/>
  <c r="EU6" i="54"/>
  <c r="ER34" i="54"/>
  <c r="FB34" i="54"/>
  <c r="FA34" i="54"/>
  <c r="JO23" i="54"/>
  <c r="JP23" i="54" s="1"/>
  <c r="HM23" i="54"/>
  <c r="M23" i="54" s="1"/>
  <c r="HN23" i="54" s="1"/>
  <c r="JV23" i="54"/>
  <c r="BF21" i="54"/>
  <c r="BG21" i="54" s="1"/>
  <c r="BW30" i="54"/>
  <c r="BN3" i="54"/>
  <c r="S3" i="54" s="1"/>
  <c r="CM43" i="54"/>
  <c r="CL43" i="54"/>
  <c r="DL43" i="54" s="1"/>
  <c r="CM27" i="54"/>
  <c r="CL27" i="54"/>
  <c r="DL27" i="54" s="1"/>
  <c r="CG28" i="54"/>
  <c r="JW28" i="54" s="1"/>
  <c r="CK11" i="54"/>
  <c r="CJ11" i="54"/>
  <c r="CK30" i="54"/>
  <c r="EU22" i="54"/>
  <c r="ET22" i="54"/>
  <c r="W223" i="19"/>
  <c r="X223" i="19"/>
  <c r="W233" i="19"/>
  <c r="P44" i="54"/>
  <c r="DI44" i="54"/>
  <c r="H44" i="54" s="1"/>
  <c r="DJ44" i="54" s="1"/>
  <c r="CC44" i="54"/>
  <c r="BE35" i="54"/>
  <c r="BF35" i="54"/>
  <c r="BG35" i="54" s="1"/>
  <c r="BI35" i="54" s="1" a="1"/>
  <c r="BI35" i="54" s="1"/>
  <c r="C35" i="54" s="1"/>
  <c r="BJ35" i="54" s="1"/>
  <c r="BI57" i="54" a="1"/>
  <c r="BI57" i="54" s="1"/>
  <c r="BS56" i="54"/>
  <c r="GL56" i="54" s="1"/>
  <c r="FG8" i="54"/>
  <c r="FO8" i="54" s="1"/>
  <c r="BI8" i="54" a="1"/>
  <c r="BI8" i="54" s="1"/>
  <c r="C8" i="54" s="1"/>
  <c r="BJ8" i="54" s="1"/>
  <c r="DZ17" i="54"/>
  <c r="EB17" i="54"/>
  <c r="CN39" i="54"/>
  <c r="CO28" i="54"/>
  <c r="CP28" i="54" s="1"/>
  <c r="Y28" i="54" s="1"/>
  <c r="CQ44" i="54"/>
  <c r="HA17" i="54"/>
  <c r="W263" i="19"/>
  <c r="CC43" i="54"/>
  <c r="CQ43" i="54"/>
  <c r="BE34" i="54"/>
  <c r="BF34" i="54"/>
  <c r="BG34" i="54" s="1"/>
  <c r="P57" i="54"/>
  <c r="EL57" i="54" s="1"/>
  <c r="CK54" i="54"/>
  <c r="CN54" i="54"/>
  <c r="DL22" i="54"/>
  <c r="CO27" i="54"/>
  <c r="CP27" i="54" s="1"/>
  <c r="Y27" i="54" s="1"/>
  <c r="ET49" i="54"/>
  <c r="EU49" i="54"/>
  <c r="X171" i="19"/>
  <c r="W171" i="19"/>
  <c r="W202" i="19"/>
  <c r="W210" i="19"/>
  <c r="CA10" i="54"/>
  <c r="BE33" i="54"/>
  <c r="BF33" i="54"/>
  <c r="BG33" i="54" s="1"/>
  <c r="BF32" i="54"/>
  <c r="BG32" i="54" s="1"/>
  <c r="BW54" i="54"/>
  <c r="HV38" i="54"/>
  <c r="BW22" i="54"/>
  <c r="BP12" i="54"/>
  <c r="GD12" i="54" s="1"/>
  <c r="EC49" i="54"/>
  <c r="EX49" i="54"/>
  <c r="CN22" i="54"/>
  <c r="X218" i="19"/>
  <c r="X227" i="19"/>
  <c r="W256" i="19"/>
  <c r="X264" i="19"/>
  <c r="W264" i="19"/>
  <c r="X78" i="19"/>
  <c r="BP57" i="54"/>
  <c r="BQ57" i="54" s="1"/>
  <c r="BT57" i="54"/>
  <c r="CO41" i="54"/>
  <c r="CP41" i="54" s="1"/>
  <c r="Y41" i="54" s="1"/>
  <c r="CQ41" i="54"/>
  <c r="BP25" i="54"/>
  <c r="BQ25" i="54" s="1"/>
  <c r="CA25" i="54"/>
  <c r="BT25" i="54"/>
  <c r="BO25" i="54"/>
  <c r="BP9" i="54"/>
  <c r="HV9" i="54" s="1"/>
  <c r="CO9" i="54"/>
  <c r="CP9" i="54" s="1"/>
  <c r="Y9" i="54" s="1"/>
  <c r="EB47" i="54"/>
  <c r="DZ47" i="54"/>
  <c r="EB30" i="54"/>
  <c r="EB14" i="54"/>
  <c r="CN36" i="54"/>
  <c r="CM36" i="54"/>
  <c r="CN20" i="54"/>
  <c r="DB9" i="54"/>
  <c r="BP49" i="54"/>
  <c r="GG49" i="54" s="1"/>
  <c r="EB46" i="54"/>
  <c r="CD48" i="54"/>
  <c r="FX48" i="54" s="1" a="1"/>
  <c r="FX48" i="54" s="1"/>
  <c r="CD19" i="54"/>
  <c r="FX19" i="54" s="1" a="1"/>
  <c r="FX19" i="54" s="1"/>
  <c r="EJ18" i="54"/>
  <c r="FA38" i="54"/>
  <c r="BE41" i="54"/>
  <c r="BE10" i="54"/>
  <c r="BP48" i="54"/>
  <c r="CD18" i="54"/>
  <c r="DI32" i="54"/>
  <c r="H32" i="54" s="1"/>
  <c r="DJ32" i="54" s="1"/>
  <c r="EJ17" i="54"/>
  <c r="X294" i="19"/>
  <c r="BI24" i="54" a="1"/>
  <c r="BI24" i="54" s="1"/>
  <c r="C24" i="54" s="1"/>
  <c r="BJ24" i="54" s="1"/>
  <c r="BE9" i="54"/>
  <c r="BP3" i="54"/>
  <c r="GD3" i="54" s="1"/>
  <c r="CC16" i="54"/>
  <c r="CD16" i="54"/>
  <c r="CG50" i="54"/>
  <c r="U50" i="54" s="1"/>
  <c r="CJ49" i="54"/>
  <c r="DC17" i="54"/>
  <c r="EJ16" i="54"/>
  <c r="ET43" i="54"/>
  <c r="HE31" i="54"/>
  <c r="HF31" i="54" s="1"/>
  <c r="CG49" i="54"/>
  <c r="CJ48" i="54"/>
  <c r="JL19" i="54"/>
  <c r="JE19" i="54"/>
  <c r="FY51" i="54"/>
  <c r="IK21" i="54"/>
  <c r="GO21" i="54"/>
  <c r="IK30" i="54"/>
  <c r="GO30" i="54"/>
  <c r="GO56" i="54"/>
  <c r="IK56" i="54"/>
  <c r="BM56" i="54"/>
  <c r="GO55" i="54"/>
  <c r="IK55" i="54"/>
  <c r="IK46" i="54"/>
  <c r="GO46" i="54"/>
  <c r="IK37" i="54"/>
  <c r="GO37" i="54"/>
  <c r="GG53" i="54"/>
  <c r="GD53" i="54"/>
  <c r="GF53" i="54" s="1"/>
  <c r="JW31" i="54"/>
  <c r="DS31" i="54"/>
  <c r="GB31" i="54"/>
  <c r="GC31" i="54" s="1"/>
  <c r="DG22" i="54" a="1"/>
  <c r="DG22" i="54" s="1"/>
  <c r="DH22" i="54"/>
  <c r="DF22" i="54" a="1"/>
  <c r="DF22" i="54" s="1"/>
  <c r="DF36" i="54" a="1"/>
  <c r="DF36" i="54" s="1"/>
  <c r="DE36" i="54" a="1"/>
  <c r="DE36" i="54" s="1"/>
  <c r="DH36" i="54" s="1"/>
  <c r="DG36" i="54" a="1"/>
  <c r="DG36" i="54" s="1"/>
  <c r="JK29" i="54"/>
  <c r="DR29" i="54" a="1"/>
  <c r="DR29" i="54" s="1"/>
  <c r="GO13" i="54"/>
  <c r="IK13" i="54"/>
  <c r="DH16" i="54"/>
  <c r="DX16" i="54" s="1"/>
  <c r="DE16" i="54" a="1"/>
  <c r="DE16" i="54" s="1"/>
  <c r="DF16" i="54" a="1"/>
  <c r="DF16" i="54" s="1"/>
  <c r="DG16" i="54" a="1"/>
  <c r="DG16" i="54" s="1"/>
  <c r="FY50" i="54"/>
  <c r="FX50" i="54" a="1"/>
  <c r="FX50" i="54" s="1"/>
  <c r="JV55" i="54"/>
  <c r="JO55" i="54"/>
  <c r="JP55" i="54" s="1"/>
  <c r="HM55" i="54"/>
  <c r="M55" i="54" s="1"/>
  <c r="HN55" i="54" s="1"/>
  <c r="IL55" i="54" s="1"/>
  <c r="IM55" i="54" s="1"/>
  <c r="JU55" i="54"/>
  <c r="IK29" i="54"/>
  <c r="GO29" i="54"/>
  <c r="IK47" i="54"/>
  <c r="GO47" i="54"/>
  <c r="IK19" i="54"/>
  <c r="GO19" i="54"/>
  <c r="HA19" i="54"/>
  <c r="HA20" i="54" s="1"/>
  <c r="HD21" i="54" s="1"/>
  <c r="GG15" i="54"/>
  <c r="GD15" i="54"/>
  <c r="HV15" i="54"/>
  <c r="FM31" i="54"/>
  <c r="FL31" i="54"/>
  <c r="FI31" i="54"/>
  <c r="FN31" i="54"/>
  <c r="HX8" i="54"/>
  <c r="HY8" i="54"/>
  <c r="GY20" i="54"/>
  <c r="GX20" i="54"/>
  <c r="HX30" i="54"/>
  <c r="HY30" i="54"/>
  <c r="HX7" i="54"/>
  <c r="HY7" i="54"/>
  <c r="EL7" i="54"/>
  <c r="FY23" i="54"/>
  <c r="FX23" i="54" a="1"/>
  <c r="FX23" i="54" s="1"/>
  <c r="GY31" i="54"/>
  <c r="GG24" i="54"/>
  <c r="BQ24" i="54"/>
  <c r="GD24" i="54"/>
  <c r="GJ7" i="54"/>
  <c r="BN7" i="54"/>
  <c r="BM8" i="54"/>
  <c r="HX29" i="54"/>
  <c r="HY29" i="54"/>
  <c r="EL6" i="54"/>
  <c r="HY6" i="54"/>
  <c r="FX22" i="54" a="1"/>
  <c r="FX22" i="54" s="1"/>
  <c r="FY22" i="54"/>
  <c r="HY28" i="54"/>
  <c r="HX28" i="54"/>
  <c r="CT46" i="54" a="1"/>
  <c r="CT46" i="54" s="1"/>
  <c r="CU46" i="54" a="1"/>
  <c r="CU46" i="54" s="1"/>
  <c r="IK38" i="54"/>
  <c r="GO38" i="54"/>
  <c r="IK28" i="54"/>
  <c r="GO28" i="54"/>
  <c r="JW11" i="54"/>
  <c r="GB11" i="54"/>
  <c r="GC11" i="54" s="1"/>
  <c r="DS11" i="54"/>
  <c r="U11" i="54"/>
  <c r="DG37" i="54" a="1"/>
  <c r="DG37" i="54" s="1"/>
  <c r="DE37" i="54" a="1"/>
  <c r="DE37" i="54" s="1"/>
  <c r="DH37" i="54" s="1"/>
  <c r="DF37" i="54" a="1"/>
  <c r="DF37" i="54" s="1"/>
  <c r="CU29" i="54" a="1"/>
  <c r="CU29" i="54" s="1"/>
  <c r="CT29" i="54" a="1"/>
  <c r="CT29" i="54" s="1"/>
  <c r="DG20" i="54" a="1"/>
  <c r="DG20" i="54" s="1"/>
  <c r="DE20" i="54" a="1"/>
  <c r="DE20" i="54" s="1"/>
  <c r="DF20" i="54" a="1"/>
  <c r="DF20" i="54" s="1"/>
  <c r="JG21" i="54"/>
  <c r="JN21" i="54"/>
  <c r="GX21" i="54"/>
  <c r="GY21" i="54"/>
  <c r="FY53" i="54"/>
  <c r="FX53" i="54" a="1"/>
  <c r="FX53" i="54" s="1"/>
  <c r="IK11" i="54"/>
  <c r="GO11" i="54"/>
  <c r="IK20" i="54"/>
  <c r="GO20" i="54"/>
  <c r="JW3" i="54"/>
  <c r="GB3" i="54"/>
  <c r="GC3" i="54" s="1"/>
  <c r="IC3" i="54"/>
  <c r="DS3" i="54"/>
  <c r="CR3" i="54" a="1"/>
  <c r="CR3" i="54" s="1"/>
  <c r="V3" i="54"/>
  <c r="T3" i="54"/>
  <c r="HX47" i="54"/>
  <c r="HY47" i="54"/>
  <c r="IK54" i="54"/>
  <c r="GO54" i="54"/>
  <c r="IK4" i="54"/>
  <c r="GO4" i="54"/>
  <c r="GY44" i="54"/>
  <c r="GX44" i="54"/>
  <c r="DH19" i="54"/>
  <c r="DG19" i="54" a="1"/>
  <c r="DG19" i="54" s="1"/>
  <c r="DF19" i="54" a="1"/>
  <c r="DF19" i="54" s="1"/>
  <c r="GX22" i="54"/>
  <c r="HA22" i="54" s="1"/>
  <c r="GY22" i="54"/>
  <c r="HX6" i="54"/>
  <c r="EZ34" i="54"/>
  <c r="HL34" i="54" s="1"/>
  <c r="R34" i="54"/>
  <c r="IK36" i="54"/>
  <c r="GO36" i="54"/>
  <c r="EL18" i="54"/>
  <c r="HX57" i="54"/>
  <c r="HY57" i="54"/>
  <c r="HX27" i="54"/>
  <c r="EX37" i="54"/>
  <c r="EC37" i="54"/>
  <c r="JW30" i="54"/>
  <c r="IC30" i="54"/>
  <c r="GB30" i="54"/>
  <c r="GC30" i="54" s="1"/>
  <c r="DS30" i="54"/>
  <c r="IK53" i="54"/>
  <c r="GO53" i="54"/>
  <c r="IK35" i="54"/>
  <c r="HY16" i="54"/>
  <c r="HX16" i="54"/>
  <c r="CA16" i="54"/>
  <c r="HY25" i="54"/>
  <c r="HX25" i="54"/>
  <c r="EL25" i="54"/>
  <c r="EX19" i="54"/>
  <c r="EC19" i="54"/>
  <c r="HY15" i="54"/>
  <c r="EJ43" i="54"/>
  <c r="GN43" i="54"/>
  <c r="GN11" i="54"/>
  <c r="EJ11" i="54"/>
  <c r="DZ11" i="54"/>
  <c r="EC51" i="54"/>
  <c r="EX51" i="54"/>
  <c r="EX18" i="54"/>
  <c r="EC18" i="54"/>
  <c r="CA18" i="54"/>
  <c r="HZ35" i="54"/>
  <c r="HW35" i="54"/>
  <c r="IB35" i="54"/>
  <c r="IB34" i="54" s="1"/>
  <c r="V34" i="54" s="1"/>
  <c r="IA35" i="54"/>
  <c r="CM35" i="54"/>
  <c r="CK35" i="54"/>
  <c r="CG36" i="54"/>
  <c r="CL35" i="54"/>
  <c r="CN35" i="54"/>
  <c r="CJ35" i="54"/>
  <c r="HZ3" i="54"/>
  <c r="IB3" i="54"/>
  <c r="U3" i="54" s="1"/>
  <c r="CM3" i="54"/>
  <c r="CG4" i="54"/>
  <c r="CJ3" i="54"/>
  <c r="HW3" i="54"/>
  <c r="CN3" i="54"/>
  <c r="CK3" i="54"/>
  <c r="GX4" i="54"/>
  <c r="GY4" i="54"/>
  <c r="CA50" i="54"/>
  <c r="IK15" i="54"/>
  <c r="GO15" i="54"/>
  <c r="BM15" i="54"/>
  <c r="JH30" i="54"/>
  <c r="JI30" i="54" s="1"/>
  <c r="GI30" i="54"/>
  <c r="GA30" i="54"/>
  <c r="BY30" i="54" s="1"/>
  <c r="CQ30" i="54"/>
  <c r="P30" i="54"/>
  <c r="DC30" i="54"/>
  <c r="I30" i="54" s="1"/>
  <c r="DD30" i="54" s="1"/>
  <c r="CR30" i="54" s="1" a="1"/>
  <c r="CR30" i="54" s="1"/>
  <c r="FF30" i="54"/>
  <c r="AB30" i="54" s="1"/>
  <c r="FG30" i="54" s="1"/>
  <c r="CO30" i="54"/>
  <c r="CP30" i="54" s="1"/>
  <c r="CC30" i="54"/>
  <c r="DI30" i="54"/>
  <c r="H30" i="54" s="1"/>
  <c r="DJ30" i="54" s="1"/>
  <c r="BI53" i="54" a="1"/>
  <c r="BI53" i="54" s="1"/>
  <c r="BS53" i="54"/>
  <c r="GL53" i="54" s="1"/>
  <c r="FG53" i="54"/>
  <c r="CE53" i="54" s="1" a="1"/>
  <c r="CE53" i="54" s="1"/>
  <c r="EK53" i="54" s="1"/>
  <c r="BQ53" i="54"/>
  <c r="BS5" i="54"/>
  <c r="GL5" i="54" s="1"/>
  <c r="DZ40" i="54"/>
  <c r="EB40" i="54"/>
  <c r="DZ8" i="54"/>
  <c r="JX18" i="54"/>
  <c r="JY18" i="54"/>
  <c r="JW18" i="54"/>
  <c r="FS18" i="54"/>
  <c r="IC18" i="54"/>
  <c r="DQ18" i="54"/>
  <c r="DY18" i="54"/>
  <c r="DA18" i="54"/>
  <c r="CR18" i="54" a="1"/>
  <c r="CR18" i="54" s="1"/>
  <c r="T18" i="54"/>
  <c r="DS18" i="54"/>
  <c r="CL3" i="54"/>
  <c r="GX45" i="54"/>
  <c r="DN30" i="54"/>
  <c r="EU56" i="54"/>
  <c r="P56" i="54"/>
  <c r="EL56" i="54" s="1"/>
  <c r="EU5" i="54"/>
  <c r="ET5" i="54"/>
  <c r="P22" i="54"/>
  <c r="GA45" i="54"/>
  <c r="BY45" i="54" s="1"/>
  <c r="JH45" i="54"/>
  <c r="JI45" i="54" s="1"/>
  <c r="GI45" i="54"/>
  <c r="FF45" i="54"/>
  <c r="AB45" i="54" s="1"/>
  <c r="FG45" i="54" s="1"/>
  <c r="CD45" i="54"/>
  <c r="CO45" i="54"/>
  <c r="CP45" i="54" s="1"/>
  <c r="Y45" i="54" s="1"/>
  <c r="P45" i="54"/>
  <c r="DB45" i="54"/>
  <c r="BT45" i="54"/>
  <c r="BP45" i="54"/>
  <c r="DC45" i="54"/>
  <c r="I45" i="54" s="1"/>
  <c r="DD45" i="54" s="1"/>
  <c r="IC45" i="54" s="1"/>
  <c r="DN45" i="54"/>
  <c r="CA45" i="54"/>
  <c r="JH29" i="54"/>
  <c r="JI29" i="54" s="1"/>
  <c r="GA29" i="54"/>
  <c r="BY29" i="54" s="1"/>
  <c r="GI29" i="54"/>
  <c r="FF29" i="54"/>
  <c r="AB29" i="54" s="1"/>
  <c r="FG29" i="54" s="1"/>
  <c r="DC29" i="54"/>
  <c r="I29" i="54" s="1"/>
  <c r="DD29" i="54" s="1"/>
  <c r="CD29" i="54"/>
  <c r="CO29" i="54"/>
  <c r="CP29" i="54" s="1"/>
  <c r="Y29" i="54" s="1"/>
  <c r="CC29" i="54"/>
  <c r="CQ29" i="54"/>
  <c r="BP29" i="54"/>
  <c r="BQ29" i="54" s="1"/>
  <c r="DI29" i="54"/>
  <c r="H29" i="54" s="1"/>
  <c r="DJ29" i="54" s="1"/>
  <c r="GA13" i="54"/>
  <c r="BY13" i="54" s="1"/>
  <c r="GI13" i="54"/>
  <c r="FF13" i="54"/>
  <c r="JH13" i="54"/>
  <c r="JI13" i="54" s="1"/>
  <c r="DI13" i="54"/>
  <c r="H13" i="54" s="1"/>
  <c r="DJ13" i="54" s="1"/>
  <c r="DC13" i="54"/>
  <c r="I13" i="54" s="1"/>
  <c r="DD13" i="54" s="1"/>
  <c r="DN13" i="54"/>
  <c r="CQ13" i="54"/>
  <c r="CD13" i="54"/>
  <c r="CA13" i="54"/>
  <c r="BO13" i="54"/>
  <c r="DB13" i="54"/>
  <c r="CC13" i="54"/>
  <c r="BE4" i="54"/>
  <c r="BF4" i="54"/>
  <c r="BG4" i="54" s="1"/>
  <c r="BI4" i="54" s="1" a="1"/>
  <c r="BI4" i="54" s="1"/>
  <c r="FG52" i="54"/>
  <c r="BQ52" i="54"/>
  <c r="BI36" i="54" a="1"/>
  <c r="BI36" i="54" s="1"/>
  <c r="C36" i="54" s="1"/>
  <c r="BJ36" i="54" s="1"/>
  <c r="BW36" i="54"/>
  <c r="BS36" i="54"/>
  <c r="GL36" i="54" s="1"/>
  <c r="FG20" i="54"/>
  <c r="BW20" i="54"/>
  <c r="FG4" i="54"/>
  <c r="GD33" i="54"/>
  <c r="GG33" i="54"/>
  <c r="HY44" i="54"/>
  <c r="HX44" i="54"/>
  <c r="EL44" i="54"/>
  <c r="GN55" i="54"/>
  <c r="EJ55" i="54"/>
  <c r="DL55" i="54"/>
  <c r="EJ39" i="54"/>
  <c r="GN39" i="54"/>
  <c r="DL39" i="54"/>
  <c r="EJ23" i="54"/>
  <c r="GN23" i="54"/>
  <c r="GN7" i="54"/>
  <c r="EJ7" i="54"/>
  <c r="DL7" i="54"/>
  <c r="DZ56" i="54"/>
  <c r="EB56" i="54"/>
  <c r="EB39" i="54"/>
  <c r="DZ23" i="54"/>
  <c r="EB23" i="54"/>
  <c r="DZ7" i="54"/>
  <c r="EB7" i="54"/>
  <c r="FY35" i="54"/>
  <c r="FX35" i="54" a="1"/>
  <c r="FX35" i="54" s="1"/>
  <c r="FY4" i="54"/>
  <c r="FX4" i="54" a="1"/>
  <c r="FX4" i="54" s="1"/>
  <c r="JW49" i="54"/>
  <c r="DS49" i="54"/>
  <c r="GB49" i="54"/>
  <c r="GC49" i="54" s="1"/>
  <c r="DN29" i="54"/>
  <c r="EU48" i="54"/>
  <c r="ET48" i="54"/>
  <c r="EU16" i="54"/>
  <c r="ET16" i="54"/>
  <c r="EU55" i="54"/>
  <c r="P55" i="54"/>
  <c r="ET38" i="54"/>
  <c r="EU38" i="54"/>
  <c r="ET4" i="54"/>
  <c r="EU4" i="54"/>
  <c r="P4" i="54"/>
  <c r="FB4" i="54" s="1"/>
  <c r="FL26" i="54"/>
  <c r="FQ26" i="54"/>
  <c r="FH26" i="54"/>
  <c r="FO26" i="54"/>
  <c r="FM26" i="54"/>
  <c r="FP26" i="54"/>
  <c r="FR26" i="54"/>
  <c r="FN26" i="54"/>
  <c r="FJ26" i="54"/>
  <c r="JV3" i="54"/>
  <c r="HM3" i="54"/>
  <c r="M3" i="54" s="1"/>
  <c r="HN3" i="54" s="1"/>
  <c r="JU3" i="54"/>
  <c r="JO3" i="54"/>
  <c r="JP3" i="54" s="1"/>
  <c r="GG12" i="54"/>
  <c r="EL17" i="54"/>
  <c r="CA17" i="54"/>
  <c r="HX26" i="54"/>
  <c r="HY26" i="54"/>
  <c r="EX36" i="54"/>
  <c r="EX4" i="54"/>
  <c r="EC4" i="54"/>
  <c r="JX29" i="54"/>
  <c r="JW29" i="54"/>
  <c r="IC29" i="54"/>
  <c r="II29" i="54"/>
  <c r="IJ29" i="54" s="1"/>
  <c r="JY29" i="54"/>
  <c r="DA29" i="54"/>
  <c r="DY29" i="54"/>
  <c r="JN17" i="54"/>
  <c r="JG17" i="54"/>
  <c r="EY16" i="54"/>
  <c r="R16" i="54" s="1"/>
  <c r="HY27" i="54"/>
  <c r="GN44" i="54"/>
  <c r="EJ12" i="54"/>
  <c r="GN12" i="54"/>
  <c r="EC3" i="54"/>
  <c r="EX3" i="54"/>
  <c r="GX5" i="54"/>
  <c r="GY5" i="54"/>
  <c r="GG37" i="54"/>
  <c r="GD37" i="54"/>
  <c r="EM34" i="54" a="1"/>
  <c r="EM34" i="54" s="1"/>
  <c r="J34" i="54" s="1"/>
  <c r="EO34" i="54" a="1"/>
  <c r="EO34" i="54" s="1"/>
  <c r="HX23" i="54"/>
  <c r="HY23" i="54"/>
  <c r="EL23" i="54"/>
  <c r="FC23" i="54"/>
  <c r="FD23" i="54" s="1"/>
  <c r="HS23" i="54" s="1"/>
  <c r="HU23" i="54" s="1"/>
  <c r="EB42" i="54"/>
  <c r="IB50" i="54"/>
  <c r="HZ50" i="54"/>
  <c r="HW50" i="54"/>
  <c r="IA50" i="54"/>
  <c r="CN50" i="54"/>
  <c r="CM50" i="54"/>
  <c r="CK50" i="54"/>
  <c r="CL50" i="54"/>
  <c r="DL50" i="54" s="1"/>
  <c r="FS29" i="54"/>
  <c r="BS6" i="54"/>
  <c r="GL6" i="54" s="1"/>
  <c r="GN57" i="54"/>
  <c r="EJ57" i="54"/>
  <c r="DL57" i="54"/>
  <c r="DZ41" i="54"/>
  <c r="EB41" i="54"/>
  <c r="DZ9" i="54"/>
  <c r="FY6" i="54"/>
  <c r="FX6" i="54" a="1"/>
  <c r="FX6" i="54" s="1"/>
  <c r="CG19" i="54"/>
  <c r="CU47" i="54" a="1"/>
  <c r="CU47" i="54" s="1"/>
  <c r="DG46" i="54" a="1"/>
  <c r="DG46" i="54" s="1"/>
  <c r="DF46" i="54" a="1"/>
  <c r="DF46" i="54" s="1"/>
  <c r="DH46" i="54"/>
  <c r="DE46" i="54" a="1"/>
  <c r="DE46" i="54" s="1"/>
  <c r="JN3" i="54"/>
  <c r="JG3" i="54"/>
  <c r="GD34" i="54"/>
  <c r="GG34" i="54"/>
  <c r="EJ40" i="54"/>
  <c r="GN40" i="54"/>
  <c r="DL40" i="54"/>
  <c r="DZ24" i="54"/>
  <c r="EB24" i="54"/>
  <c r="GG32" i="54"/>
  <c r="GD32" i="54"/>
  <c r="FY3" i="54"/>
  <c r="FX3" i="54" a="1"/>
  <c r="FX3" i="54" s="1"/>
  <c r="EB9" i="54"/>
  <c r="EU3" i="54"/>
  <c r="ET3" i="54"/>
  <c r="P20" i="54"/>
  <c r="IK31" i="54"/>
  <c r="IK22" i="54"/>
  <c r="GO22" i="54"/>
  <c r="IK12" i="54"/>
  <c r="GO12" i="54"/>
  <c r="HA3" i="54"/>
  <c r="HA4" i="54" s="1"/>
  <c r="IK3" i="54"/>
  <c r="GO3" i="54"/>
  <c r="GI43" i="54"/>
  <c r="JH43" i="54"/>
  <c r="JI43" i="54" s="1"/>
  <c r="DN43" i="54"/>
  <c r="DC43" i="54"/>
  <c r="I43" i="54" s="1"/>
  <c r="DD43" i="54" s="1"/>
  <c r="BP43" i="54"/>
  <c r="DI43" i="54"/>
  <c r="H43" i="54" s="1"/>
  <c r="DJ43" i="54" s="1"/>
  <c r="CO43" i="54"/>
  <c r="CP43" i="54" s="1"/>
  <c r="Y43" i="54" s="1"/>
  <c r="CD43" i="54"/>
  <c r="GA43" i="54"/>
  <c r="BY43" i="54" s="1"/>
  <c r="DB43" i="54"/>
  <c r="BO43" i="54"/>
  <c r="FF43" i="54"/>
  <c r="AB43" i="54" s="1"/>
  <c r="CA43" i="54"/>
  <c r="BT43" i="54"/>
  <c r="BI43" i="54" a="1"/>
  <c r="BI43" i="54" s="1"/>
  <c r="GI27" i="54"/>
  <c r="FF27" i="54"/>
  <c r="AB27" i="54" s="1"/>
  <c r="FG27" i="54" s="1"/>
  <c r="GA27" i="54"/>
  <c r="BY27" i="54" s="1"/>
  <c r="DC27" i="54"/>
  <c r="I27" i="54" s="1"/>
  <c r="DD27" i="54" s="1"/>
  <c r="BP27" i="54"/>
  <c r="JH27" i="54"/>
  <c r="JI27" i="54" s="1"/>
  <c r="CD27" i="54"/>
  <c r="CC27" i="54"/>
  <c r="DI27" i="54"/>
  <c r="H27" i="54" s="1"/>
  <c r="DJ27" i="54" s="1"/>
  <c r="CQ27" i="54"/>
  <c r="JH11" i="54"/>
  <c r="JI11" i="54" s="1"/>
  <c r="GI11" i="54"/>
  <c r="FF11" i="54"/>
  <c r="DC11" i="54"/>
  <c r="I11" i="54" s="1"/>
  <c r="DD11" i="54" s="1"/>
  <c r="DN11" i="54"/>
  <c r="CQ11" i="54"/>
  <c r="BP11" i="54"/>
  <c r="CD11" i="54"/>
  <c r="BY11" i="54"/>
  <c r="BO11" i="54"/>
  <c r="CO11" i="54"/>
  <c r="CP11" i="54" s="1"/>
  <c r="Y11" i="54" s="1"/>
  <c r="DB11" i="54"/>
  <c r="CC11" i="54"/>
  <c r="BE50" i="54"/>
  <c r="BF50" i="54"/>
  <c r="BG50" i="54" s="1"/>
  <c r="BI50" i="54" s="1" a="1"/>
  <c r="BI50" i="54" s="1"/>
  <c r="C50" i="54" s="1"/>
  <c r="BJ50" i="54" s="1"/>
  <c r="BF52" i="54"/>
  <c r="BG52" i="54" s="1"/>
  <c r="BI52" i="54" s="1" a="1"/>
  <c r="BI52" i="54" s="1"/>
  <c r="GG31" i="54"/>
  <c r="GD31" i="54"/>
  <c r="BT29" i="54"/>
  <c r="EL11" i="54"/>
  <c r="DZ54" i="54"/>
  <c r="EB54" i="54"/>
  <c r="EB21" i="54"/>
  <c r="DZ21" i="54"/>
  <c r="DZ5" i="54"/>
  <c r="EB5" i="54"/>
  <c r="FY33" i="54"/>
  <c r="FX33" i="54" a="1"/>
  <c r="FX33" i="54" s="1"/>
  <c r="IC47" i="54"/>
  <c r="GB47" i="54"/>
  <c r="GC47" i="54" s="1"/>
  <c r="DS47" i="54"/>
  <c r="JW47" i="54"/>
  <c r="JF3" i="54"/>
  <c r="JM3" i="54"/>
  <c r="DL23" i="54"/>
  <c r="DN27" i="54"/>
  <c r="JK33" i="54"/>
  <c r="DR33" i="54" a="1"/>
  <c r="DR33" i="54" s="1"/>
  <c r="EB8" i="54"/>
  <c r="EU53" i="54"/>
  <c r="ET53" i="54"/>
  <c r="P53" i="54"/>
  <c r="EU36" i="54"/>
  <c r="ET36" i="54"/>
  <c r="FQ24" i="54"/>
  <c r="FN24" i="54"/>
  <c r="FJ24" i="54"/>
  <c r="FO24" i="54"/>
  <c r="HD18" i="54"/>
  <c r="HB18" i="54"/>
  <c r="HC18" i="54" s="1"/>
  <c r="GX11" i="54"/>
  <c r="GY11" i="54"/>
  <c r="HY49" i="54"/>
  <c r="GN45" i="54"/>
  <c r="DL45" i="54"/>
  <c r="EB45" i="54"/>
  <c r="GN29" i="54"/>
  <c r="DL29" i="54"/>
  <c r="EJ29" i="54"/>
  <c r="EX53" i="54"/>
  <c r="EC53" i="54"/>
  <c r="EX20" i="54"/>
  <c r="EC20" i="54"/>
  <c r="CA26" i="54"/>
  <c r="HY32" i="54"/>
  <c r="HX32" i="54"/>
  <c r="EL32" i="54"/>
  <c r="GN28" i="54"/>
  <c r="EJ28" i="54"/>
  <c r="DZ45" i="54"/>
  <c r="GS36" i="54"/>
  <c r="FY17" i="54"/>
  <c r="FX17" i="54" a="1"/>
  <c r="FX17" i="54" s="1"/>
  <c r="GD4" i="54"/>
  <c r="HX54" i="54"/>
  <c r="HY54" i="54"/>
  <c r="CA11" i="54"/>
  <c r="EB43" i="54"/>
  <c r="DZ27" i="54"/>
  <c r="CG20" i="54"/>
  <c r="CL19" i="54"/>
  <c r="DL19" i="54" s="1"/>
  <c r="JW27" i="54"/>
  <c r="GB27" i="54"/>
  <c r="GC27" i="54" s="1"/>
  <c r="DS27" i="54"/>
  <c r="U27" i="54"/>
  <c r="DH48" i="54"/>
  <c r="DX48" i="54" s="1"/>
  <c r="DE48" i="54" a="1"/>
  <c r="DE48" i="54" s="1"/>
  <c r="DF48" i="54" a="1"/>
  <c r="DF48" i="54" s="1"/>
  <c r="DG48" i="54" a="1"/>
  <c r="DG48" i="54" s="1"/>
  <c r="EB28" i="54"/>
  <c r="GN10" i="54"/>
  <c r="EJ10" i="54"/>
  <c r="DZ10" i="54"/>
  <c r="CL34" i="54"/>
  <c r="CG35" i="54"/>
  <c r="GB26" i="54"/>
  <c r="GC26" i="54" s="1"/>
  <c r="T26" i="54"/>
  <c r="V26" i="54"/>
  <c r="DS26" i="54"/>
  <c r="U26" i="54"/>
  <c r="DF47" i="54" a="1"/>
  <c r="DF47" i="54" s="1"/>
  <c r="DG47" i="54" a="1"/>
  <c r="DG47" i="54" s="1"/>
  <c r="DH47" i="54"/>
  <c r="DX47" i="54" s="1"/>
  <c r="DE47" i="54" a="1"/>
  <c r="DE47" i="54" s="1"/>
  <c r="ER13" i="54"/>
  <c r="ES13" i="54"/>
  <c r="GD35" i="54"/>
  <c r="GG35" i="54"/>
  <c r="CA49" i="54"/>
  <c r="CG51" i="54"/>
  <c r="GY46" i="54"/>
  <c r="GX46" i="54"/>
  <c r="IK5" i="54"/>
  <c r="GO5" i="54"/>
  <c r="BE5" i="54"/>
  <c r="P5" i="54" s="1"/>
  <c r="BF5" i="54"/>
  <c r="BG5" i="54" s="1"/>
  <c r="BI5" i="54" s="1" a="1"/>
  <c r="BI5" i="54" s="1"/>
  <c r="FG37" i="54"/>
  <c r="BS37" i="54"/>
  <c r="BW37" i="54"/>
  <c r="GN56" i="54"/>
  <c r="EJ56" i="54"/>
  <c r="EJ24" i="54"/>
  <c r="GN24" i="54"/>
  <c r="DZ57" i="54"/>
  <c r="EB57" i="54"/>
  <c r="FY5" i="54"/>
  <c r="FX5" i="54" a="1"/>
  <c r="FX5" i="54" s="1"/>
  <c r="JH28" i="54"/>
  <c r="JI28" i="54" s="1"/>
  <c r="GI28" i="54"/>
  <c r="FF28" i="54"/>
  <c r="AB28" i="54" s="1"/>
  <c r="GA28" i="54"/>
  <c r="BY28" i="54" s="1"/>
  <c r="CD28" i="54"/>
  <c r="DC28" i="54"/>
  <c r="I28" i="54" s="1"/>
  <c r="DD28" i="54" s="1"/>
  <c r="CC28" i="54"/>
  <c r="DI28" i="54"/>
  <c r="H28" i="54" s="1"/>
  <c r="DJ28" i="54" s="1"/>
  <c r="CQ28" i="54"/>
  <c r="P28" i="54"/>
  <c r="EL28" i="54" s="1"/>
  <c r="BP28" i="54"/>
  <c r="BE51" i="54"/>
  <c r="P51" i="54" s="1"/>
  <c r="EL51" i="54" s="1"/>
  <c r="BF51" i="54"/>
  <c r="BG51" i="54" s="1"/>
  <c r="BI51" i="54" s="1" a="1"/>
  <c r="BI51" i="54" s="1"/>
  <c r="DZ55" i="54"/>
  <c r="EB55" i="54"/>
  <c r="DZ22" i="54"/>
  <c r="EB22" i="54"/>
  <c r="FY34" i="54"/>
  <c r="FX34" i="54" a="1"/>
  <c r="FX34" i="54" s="1"/>
  <c r="EU54" i="54"/>
  <c r="ET54" i="54"/>
  <c r="P54" i="54"/>
  <c r="EU37" i="54"/>
  <c r="ET37" i="54"/>
  <c r="ES48" i="54"/>
  <c r="ER48" i="54"/>
  <c r="P13" i="54"/>
  <c r="FA13" i="54" s="1"/>
  <c r="JH42" i="54"/>
  <c r="JI42" i="54" s="1"/>
  <c r="DN42" i="54"/>
  <c r="DC42" i="54"/>
  <c r="I42" i="54" s="1"/>
  <c r="DD42" i="54" s="1"/>
  <c r="GI42" i="54"/>
  <c r="DI42" i="54"/>
  <c r="H42" i="54" s="1"/>
  <c r="DJ42" i="54" s="1"/>
  <c r="CO42" i="54"/>
  <c r="CP42" i="54" s="1"/>
  <c r="Y42" i="54" s="1"/>
  <c r="CD42" i="54"/>
  <c r="BP42" i="54"/>
  <c r="GA42" i="54"/>
  <c r="BY42" i="54" s="1"/>
  <c r="DB42" i="54"/>
  <c r="FF42" i="54"/>
  <c r="AB42" i="54" s="1"/>
  <c r="FG42" i="54" s="1"/>
  <c r="CA42" i="54"/>
  <c r="BI42" i="54" a="1"/>
  <c r="BI42" i="54" s="1"/>
  <c r="C42" i="54" s="1"/>
  <c r="BJ42" i="54" s="1"/>
  <c r="BO42" i="54"/>
  <c r="BT42" i="54"/>
  <c r="FF26" i="54"/>
  <c r="JH26" i="54"/>
  <c r="JI26" i="54" s="1"/>
  <c r="DC26" i="54"/>
  <c r="I26" i="54" s="1"/>
  <c r="DD26" i="54" s="1"/>
  <c r="DN26" i="54"/>
  <c r="DI26" i="54"/>
  <c r="H26" i="54" s="1"/>
  <c r="DJ26" i="54" s="1"/>
  <c r="CD26" i="54"/>
  <c r="BP26" i="54"/>
  <c r="FI26" i="54" s="1"/>
  <c r="CO26" i="54"/>
  <c r="CP26" i="54" s="1"/>
  <c r="Y26" i="54" s="1"/>
  <c r="GI26" i="54"/>
  <c r="GA26" i="54"/>
  <c r="BY26" i="54" s="1"/>
  <c r="P26" i="54"/>
  <c r="FA26" i="54" s="1"/>
  <c r="CQ26" i="54"/>
  <c r="BT26" i="54"/>
  <c r="JH10" i="54"/>
  <c r="JI10" i="54" s="1"/>
  <c r="GI10" i="54"/>
  <c r="FF10" i="54"/>
  <c r="AB10" i="54" s="1"/>
  <c r="DC10" i="54"/>
  <c r="I10" i="54" s="1"/>
  <c r="DD10" i="54" s="1"/>
  <c r="DI10" i="54"/>
  <c r="H10" i="54" s="1"/>
  <c r="DJ10" i="54" s="1"/>
  <c r="DN10" i="54"/>
  <c r="CQ10" i="54"/>
  <c r="CD10" i="54"/>
  <c r="BP10" i="54"/>
  <c r="BY10" i="54"/>
  <c r="BO10" i="54"/>
  <c r="EL10" i="54"/>
  <c r="CO10" i="54"/>
  <c r="CP10" i="54" s="1"/>
  <c r="Y10" i="54" s="1"/>
  <c r="DB10" i="54"/>
  <c r="CC10" i="54"/>
  <c r="BP30" i="54"/>
  <c r="BQ30" i="54" s="1"/>
  <c r="BT28" i="54"/>
  <c r="HY40" i="54"/>
  <c r="HX40" i="54"/>
  <c r="EL40" i="54"/>
  <c r="EB53" i="54"/>
  <c r="DZ53" i="54"/>
  <c r="EB20" i="54"/>
  <c r="DZ20" i="54"/>
  <c r="DZ4" i="54"/>
  <c r="EB4" i="54"/>
  <c r="FX32" i="54" a="1"/>
  <c r="FX32" i="54" s="1"/>
  <c r="FY32" i="54"/>
  <c r="IC46" i="54"/>
  <c r="JW46" i="54"/>
  <c r="DS46" i="54"/>
  <c r="DX46" i="54"/>
  <c r="DF39" i="54" a="1"/>
  <c r="DF39" i="54" s="1"/>
  <c r="DG39" i="54" a="1"/>
  <c r="DG39" i="54" s="1"/>
  <c r="DH39" i="54"/>
  <c r="JN34" i="54"/>
  <c r="JG34" i="54"/>
  <c r="JK32" i="54"/>
  <c r="DR32" i="54" a="1"/>
  <c r="DR32" i="54" s="1"/>
  <c r="DZ12" i="54"/>
  <c r="GB46" i="54"/>
  <c r="GC46" i="54" s="1"/>
  <c r="HB17" i="54"/>
  <c r="HC17" i="54" s="1"/>
  <c r="IK45" i="54"/>
  <c r="GO45" i="54"/>
  <c r="IK27" i="54"/>
  <c r="GO27" i="54"/>
  <c r="BM27" i="54"/>
  <c r="GG13" i="54"/>
  <c r="GD13" i="54"/>
  <c r="HY50" i="54"/>
  <c r="EC54" i="54"/>
  <c r="EX54" i="54"/>
  <c r="EX21" i="54"/>
  <c r="EC21" i="54"/>
  <c r="EX5" i="54"/>
  <c r="EC5" i="54"/>
  <c r="DH18" i="54"/>
  <c r="DF18" i="54" a="1"/>
  <c r="DF18" i="54" s="1"/>
  <c r="DG18" i="54" a="1"/>
  <c r="DG18" i="54" s="1"/>
  <c r="DE18" i="54" a="1"/>
  <c r="DE18" i="54" s="1"/>
  <c r="GQ14" i="54"/>
  <c r="GJ14" i="54"/>
  <c r="S14" i="54"/>
  <c r="BN14" i="54"/>
  <c r="GP14" i="54" s="1"/>
  <c r="GT14" i="54" s="1"/>
  <c r="HY33" i="54"/>
  <c r="HX33" i="54"/>
  <c r="HX56" i="54"/>
  <c r="HY56" i="54"/>
  <c r="GN13" i="54"/>
  <c r="DZ13" i="54"/>
  <c r="GX6" i="54"/>
  <c r="GY6" i="54"/>
  <c r="ID17" i="54" a="1"/>
  <c r="ID17" i="54" s="1"/>
  <c r="IE17" i="54" a="1"/>
  <c r="IE17" i="54" s="1"/>
  <c r="IK44" i="54"/>
  <c r="HY48" i="54"/>
  <c r="EL48" i="54"/>
  <c r="HX55" i="54"/>
  <c r="HY55" i="54"/>
  <c r="EL55" i="54"/>
  <c r="EX52" i="54"/>
  <c r="EC52" i="54"/>
  <c r="IK52" i="54"/>
  <c r="HY31" i="54"/>
  <c r="HX31" i="54"/>
  <c r="HY24" i="54"/>
  <c r="HX24" i="54"/>
  <c r="EL24" i="54"/>
  <c r="GN27" i="54"/>
  <c r="EJ27" i="54"/>
  <c r="CA57" i="54"/>
  <c r="HZ51" i="54"/>
  <c r="IB51" i="54"/>
  <c r="CM51" i="54"/>
  <c r="IA51" i="54"/>
  <c r="HW51" i="54"/>
  <c r="CG52" i="54"/>
  <c r="CK51" i="54"/>
  <c r="CL51" i="54"/>
  <c r="DL51" i="54" s="1"/>
  <c r="CN51" i="54"/>
  <c r="EJ42" i="54"/>
  <c r="GN42" i="54"/>
  <c r="DL42" i="54"/>
  <c r="GN26" i="54"/>
  <c r="EJ26" i="54"/>
  <c r="DZ26" i="54"/>
  <c r="EC50" i="54"/>
  <c r="EX50" i="54"/>
  <c r="GY3" i="54"/>
  <c r="GX3" i="54"/>
  <c r="BI54" i="54" a="1"/>
  <c r="BI54" i="54" s="1"/>
  <c r="C54" i="54" s="1"/>
  <c r="BJ54" i="54" s="1"/>
  <c r="FG54" i="54"/>
  <c r="HX46" i="54"/>
  <c r="HY46" i="54"/>
  <c r="GN41" i="54"/>
  <c r="EJ41" i="54"/>
  <c r="DL41" i="54"/>
  <c r="GN25" i="54"/>
  <c r="EJ25" i="54"/>
  <c r="GN9" i="54"/>
  <c r="EJ9" i="54"/>
  <c r="DZ25" i="54"/>
  <c r="EB26" i="54"/>
  <c r="IK14" i="54"/>
  <c r="GO14" i="54"/>
  <c r="JH46" i="54"/>
  <c r="JI46" i="54" s="1"/>
  <c r="GI46" i="54"/>
  <c r="GA46" i="54"/>
  <c r="BY46" i="54" s="1"/>
  <c r="FF46" i="54"/>
  <c r="AB46" i="54" s="1"/>
  <c r="FG46" i="54" s="1"/>
  <c r="P46" i="54"/>
  <c r="CQ46" i="54"/>
  <c r="BP46" i="54"/>
  <c r="DB46" i="54"/>
  <c r="DN46" i="54"/>
  <c r="BW46" i="54"/>
  <c r="CA46" i="54"/>
  <c r="CD46" i="54"/>
  <c r="GI14" i="54"/>
  <c r="GA14" i="54"/>
  <c r="BY14" i="54" s="1"/>
  <c r="JH14" i="54"/>
  <c r="JI14" i="54" s="1"/>
  <c r="FF14" i="54"/>
  <c r="AB14" i="54" s="1"/>
  <c r="FG14" i="54" s="1"/>
  <c r="DB14" i="54"/>
  <c r="P14" i="54"/>
  <c r="EL14" i="54" s="1"/>
  <c r="DI14" i="54"/>
  <c r="H14" i="54" s="1"/>
  <c r="DJ14" i="54" s="1"/>
  <c r="DC14" i="54"/>
  <c r="I14" i="54" s="1"/>
  <c r="DD14" i="54" s="1"/>
  <c r="DN14" i="54"/>
  <c r="CQ14" i="54"/>
  <c r="CD14" i="54"/>
  <c r="CA14" i="54"/>
  <c r="CC14" i="54"/>
  <c r="BO14" i="54"/>
  <c r="BI21" i="54" a="1"/>
  <c r="BI21" i="54" s="1"/>
  <c r="BW21" i="54"/>
  <c r="HX45" i="54"/>
  <c r="HY45" i="54"/>
  <c r="EJ8" i="54"/>
  <c r="DL8" i="54"/>
  <c r="JH44" i="54"/>
  <c r="JI44" i="54" s="1"/>
  <c r="GI44" i="54"/>
  <c r="GA44" i="54"/>
  <c r="BY44" i="54" s="1"/>
  <c r="AN44" i="54" s="1"/>
  <c r="BZ44" i="54" s="1"/>
  <c r="CA44" i="54" s="1"/>
  <c r="AO44" i="54" s="1"/>
  <c r="CB44" i="54" s="1"/>
  <c r="FF44" i="54"/>
  <c r="CO44" i="54"/>
  <c r="CP44" i="54" s="1"/>
  <c r="Y44" i="54" s="1"/>
  <c r="CD44" i="54"/>
  <c r="BP44" i="54"/>
  <c r="DN44" i="54"/>
  <c r="DC44" i="54"/>
  <c r="BT44" i="54"/>
  <c r="DB44" i="54"/>
  <c r="GI12" i="54"/>
  <c r="JH12" i="54"/>
  <c r="JI12" i="54" s="1"/>
  <c r="FF12" i="54"/>
  <c r="GA12" i="54"/>
  <c r="DN12" i="54"/>
  <c r="CQ12" i="54"/>
  <c r="DC12" i="54"/>
  <c r="I12" i="54" s="1"/>
  <c r="DD12" i="54" s="1"/>
  <c r="CD12" i="54"/>
  <c r="DI12" i="54"/>
  <c r="H12" i="54" s="1"/>
  <c r="DJ12" i="54" s="1"/>
  <c r="CA12" i="54"/>
  <c r="CC12" i="54"/>
  <c r="BO12" i="54"/>
  <c r="BQ12" i="54" s="1"/>
  <c r="DB12" i="54"/>
  <c r="BY12" i="54"/>
  <c r="BE3" i="54"/>
  <c r="P3" i="54" s="1"/>
  <c r="BF3" i="54"/>
  <c r="BG3" i="54" s="1"/>
  <c r="BI3" i="54" s="1" a="1"/>
  <c r="BI3" i="54" s="1"/>
  <c r="BF53" i="54"/>
  <c r="BG53" i="54" s="1"/>
  <c r="BT30" i="54"/>
  <c r="DZ6" i="54"/>
  <c r="EB6" i="54"/>
  <c r="IC48" i="54"/>
  <c r="JW48" i="54"/>
  <c r="CR48" i="54" a="1"/>
  <c r="CR48" i="54" s="1"/>
  <c r="DS48" i="54"/>
  <c r="GB48" i="54"/>
  <c r="GC48" i="54" s="1"/>
  <c r="CS48" i="54"/>
  <c r="V48" i="54"/>
  <c r="U48" i="54"/>
  <c r="T48" i="54"/>
  <c r="DN28" i="54"/>
  <c r="GO52" i="54"/>
  <c r="GO39" i="54"/>
  <c r="IK39" i="54"/>
  <c r="GD57" i="54"/>
  <c r="BQ37" i="54"/>
  <c r="BT27" i="54"/>
  <c r="HY39" i="54"/>
  <c r="EL39" i="54"/>
  <c r="HX39" i="54"/>
  <c r="DG38" i="54" a="1"/>
  <c r="DG38" i="54" s="1"/>
  <c r="DF38" i="54" a="1"/>
  <c r="DF38" i="54" s="1"/>
  <c r="DE38" i="54" a="1"/>
  <c r="DE38" i="54" s="1"/>
  <c r="DH38" i="54"/>
  <c r="GY32" i="54"/>
  <c r="GX32" i="54"/>
  <c r="EC36" i="54"/>
  <c r="EZ38" i="54"/>
  <c r="HL38" i="54" s="1"/>
  <c r="R38" i="54"/>
  <c r="GO35" i="54"/>
  <c r="HX49" i="54"/>
  <c r="GJ55" i="54"/>
  <c r="GD51" i="54"/>
  <c r="GG51" i="54"/>
  <c r="HY43" i="54"/>
  <c r="EL22" i="54"/>
  <c r="EJ54" i="54"/>
  <c r="GN54" i="54"/>
  <c r="DL54" i="54"/>
  <c r="FY49" i="54"/>
  <c r="FX49" i="54" a="1"/>
  <c r="FX49" i="54" s="1"/>
  <c r="IB11" i="54"/>
  <c r="V11" i="54" s="1"/>
  <c r="HW11" i="54"/>
  <c r="HZ11" i="54"/>
  <c r="CL11" i="54"/>
  <c r="DL11" i="54" s="1"/>
  <c r="CM11" i="54"/>
  <c r="FG19" i="54"/>
  <c r="IK51" i="54"/>
  <c r="GO51" i="54"/>
  <c r="HV34" i="54"/>
  <c r="S54" i="54"/>
  <c r="EB34" i="54"/>
  <c r="DZ34" i="54"/>
  <c r="FX20" i="54" a="1"/>
  <c r="FX20" i="54" s="1"/>
  <c r="FY20" i="54"/>
  <c r="IA42" i="54"/>
  <c r="IB42" i="54"/>
  <c r="HW42" i="54"/>
  <c r="CN42" i="54"/>
  <c r="CJ42" i="54"/>
  <c r="CK42" i="54"/>
  <c r="GB16" i="54"/>
  <c r="GC16" i="54" s="1"/>
  <c r="CR16" i="54" a="1"/>
  <c r="CR16" i="54" s="1"/>
  <c r="IC16" i="54"/>
  <c r="DH3" i="54"/>
  <c r="DX3" i="54" s="1"/>
  <c r="DE3" i="54" a="1"/>
  <c r="DE3" i="54" s="1"/>
  <c r="CA4" i="54"/>
  <c r="BQ33" i="54"/>
  <c r="IL48" i="54"/>
  <c r="IM48" i="54" s="1"/>
  <c r="GP48" i="54"/>
  <c r="GQ48" i="54" s="1"/>
  <c r="HY41" i="54"/>
  <c r="HX41" i="54"/>
  <c r="GN36" i="54"/>
  <c r="EJ36" i="54"/>
  <c r="HW41" i="54"/>
  <c r="IA41" i="54"/>
  <c r="IB41" i="54"/>
  <c r="HZ41" i="54"/>
  <c r="CJ41" i="54"/>
  <c r="CK41" i="54"/>
  <c r="IB9" i="54"/>
  <c r="HW9" i="54"/>
  <c r="HZ9" i="54"/>
  <c r="IA9" i="54"/>
  <c r="CM9" i="54"/>
  <c r="CN9" i="54"/>
  <c r="CG43" i="54"/>
  <c r="IK16" i="54"/>
  <c r="GO16" i="54"/>
  <c r="JH51" i="54"/>
  <c r="JI51" i="54" s="1"/>
  <c r="FF51" i="54"/>
  <c r="AB51" i="54" s="1"/>
  <c r="FG51" i="54" s="1"/>
  <c r="GA51" i="54"/>
  <c r="BY51" i="54" s="1"/>
  <c r="DB51" i="54"/>
  <c r="CO51" i="54"/>
  <c r="CP51" i="54" s="1"/>
  <c r="Y51" i="54" s="1"/>
  <c r="CA51" i="54"/>
  <c r="BT51" i="54"/>
  <c r="BO51" i="54"/>
  <c r="BQ51" i="54" s="1"/>
  <c r="DC51" i="54"/>
  <c r="I51" i="54" s="1"/>
  <c r="DD51" i="54" s="1"/>
  <c r="CC51" i="54"/>
  <c r="GA19" i="54"/>
  <c r="BY19" i="54" s="1"/>
  <c r="JH19" i="54"/>
  <c r="JI19" i="54" s="1"/>
  <c r="DB19" i="54"/>
  <c r="CO19" i="54"/>
  <c r="CP19" i="54" s="1"/>
  <c r="Y19" i="54" s="1"/>
  <c r="FF19" i="54"/>
  <c r="AB19" i="54" s="1"/>
  <c r="CA19" i="54"/>
  <c r="GI19" i="54"/>
  <c r="CQ19" i="54"/>
  <c r="BT19" i="54"/>
  <c r="CC19" i="54"/>
  <c r="BO19" i="54"/>
  <c r="P19" i="54"/>
  <c r="DI19" i="54"/>
  <c r="H19" i="54" s="1"/>
  <c r="DJ19" i="54" s="1"/>
  <c r="JH3" i="54"/>
  <c r="JI3" i="54" s="1"/>
  <c r="GA3" i="54"/>
  <c r="BY3" i="54" s="1"/>
  <c r="DB3" i="54"/>
  <c r="CO3" i="54"/>
  <c r="CP3" i="54" s="1"/>
  <c r="Y3" i="54" s="1"/>
  <c r="GI3" i="54"/>
  <c r="CA3" i="54"/>
  <c r="BO3" i="54"/>
  <c r="BT3" i="54"/>
  <c r="CC3" i="54"/>
  <c r="BS32" i="54"/>
  <c r="GD20" i="54"/>
  <c r="GG20" i="54"/>
  <c r="HX13" i="54"/>
  <c r="HY13" i="54"/>
  <c r="EL13" i="54"/>
  <c r="DZ32" i="54"/>
  <c r="EB32" i="54"/>
  <c r="HW24" i="54"/>
  <c r="IA24" i="54"/>
  <c r="IB24" i="54"/>
  <c r="HZ24" i="54"/>
  <c r="CK24" i="54"/>
  <c r="CN24" i="54"/>
  <c r="CJ24" i="54"/>
  <c r="CG25" i="54"/>
  <c r="GG38" i="54"/>
  <c r="EJ22" i="54"/>
  <c r="GN22" i="54"/>
  <c r="GN6" i="54"/>
  <c r="EJ6" i="54"/>
  <c r="EB52" i="54"/>
  <c r="DZ52" i="54"/>
  <c r="EB35" i="54"/>
  <c r="DZ35" i="54"/>
  <c r="IB27" i="54"/>
  <c r="V27" i="54" s="1"/>
  <c r="HZ27" i="54"/>
  <c r="HW27" i="54"/>
  <c r="IA27" i="54"/>
  <c r="CN27" i="54"/>
  <c r="JW17" i="54"/>
  <c r="GB17" i="54"/>
  <c r="GC17" i="54" s="1"/>
  <c r="CR17" i="54" a="1"/>
  <c r="CR17" i="54" s="1"/>
  <c r="DF4" i="54" a="1"/>
  <c r="DF4" i="54" s="1"/>
  <c r="DH4" i="54"/>
  <c r="DE4" i="54" a="1"/>
  <c r="DE4" i="54" s="1"/>
  <c r="CA5" i="54"/>
  <c r="FG18" i="54"/>
  <c r="GN37" i="54"/>
  <c r="EJ37" i="54"/>
  <c r="GN5" i="54"/>
  <c r="EJ5" i="54"/>
  <c r="IA26" i="54"/>
  <c r="IB26" i="54"/>
  <c r="HW26" i="54"/>
  <c r="CN26" i="54"/>
  <c r="CJ26" i="54"/>
  <c r="HZ26" i="54"/>
  <c r="ER36" i="54"/>
  <c r="ES36" i="54"/>
  <c r="BI19" i="54" a="1"/>
  <c r="BI19" i="54" s="1"/>
  <c r="IL26" i="54"/>
  <c r="IM26" i="54" s="1"/>
  <c r="GJ26" i="54"/>
  <c r="BN26" i="54"/>
  <c r="HY14" i="54"/>
  <c r="HX14" i="54"/>
  <c r="EJ52" i="54"/>
  <c r="GN4" i="54"/>
  <c r="EJ4" i="54"/>
  <c r="EX43" i="54"/>
  <c r="EC43" i="54"/>
  <c r="EJ20" i="54"/>
  <c r="GI35" i="54"/>
  <c r="DB35" i="54"/>
  <c r="CM34" i="54" s="1"/>
  <c r="CM33" i="54" s="1"/>
  <c r="CO35" i="54"/>
  <c r="CP35" i="54" s="1"/>
  <c r="Y35" i="54" s="1"/>
  <c r="CA35" i="54"/>
  <c r="P35" i="54"/>
  <c r="BT35" i="54"/>
  <c r="DI35" i="54"/>
  <c r="H35" i="54" s="1"/>
  <c r="DJ35" i="54" s="1"/>
  <c r="CQ35" i="54"/>
  <c r="CC35" i="54"/>
  <c r="JH35" i="54"/>
  <c r="JI35" i="54" s="1"/>
  <c r="DN35" i="54"/>
  <c r="BO35" i="54"/>
  <c r="BQ35" i="54" s="1"/>
  <c r="DC35" i="54"/>
  <c r="I35" i="54" s="1"/>
  <c r="DD35" i="54" s="1"/>
  <c r="HV48" i="54"/>
  <c r="FG48" i="54"/>
  <c r="FG16" i="54"/>
  <c r="GD48" i="54"/>
  <c r="EX42" i="54"/>
  <c r="EX26" i="54"/>
  <c r="EC26" i="54"/>
  <c r="EX10" i="54"/>
  <c r="EC10" i="54"/>
  <c r="DZ49" i="54"/>
  <c r="EB49" i="54"/>
  <c r="DZ16" i="54"/>
  <c r="EB16" i="54"/>
  <c r="FY18" i="54"/>
  <c r="FX18" i="54" a="1"/>
  <c r="FX18" i="54" s="1"/>
  <c r="FZ18" i="54" s="1"/>
  <c r="IA56" i="54"/>
  <c r="HZ56" i="54"/>
  <c r="HW56" i="54"/>
  <c r="CK56" i="54"/>
  <c r="CL56" i="54"/>
  <c r="DL56" i="54" s="1"/>
  <c r="CG57" i="54"/>
  <c r="HW40" i="54"/>
  <c r="IA40" i="54"/>
  <c r="HZ40" i="54"/>
  <c r="IB40" i="54"/>
  <c r="CK40" i="54"/>
  <c r="CJ40" i="54"/>
  <c r="CG41" i="54"/>
  <c r="IB8" i="54"/>
  <c r="HW8" i="54"/>
  <c r="HZ8" i="54"/>
  <c r="CK8" i="54"/>
  <c r="CN8" i="54"/>
  <c r="CG9" i="54"/>
  <c r="CG42" i="54"/>
  <c r="IC14" i="54"/>
  <c r="DS14" i="54"/>
  <c r="GB14" i="54"/>
  <c r="GC14" i="54" s="1"/>
  <c r="CJ56" i="54"/>
  <c r="DI51" i="54"/>
  <c r="H51" i="54" s="1"/>
  <c r="DJ51" i="54" s="1"/>
  <c r="DL6" i="54"/>
  <c r="DN3" i="54"/>
  <c r="DS17" i="54"/>
  <c r="DZ19" i="54"/>
  <c r="IK24" i="54"/>
  <c r="GO24" i="54"/>
  <c r="JH50" i="54"/>
  <c r="JI50" i="54" s="1"/>
  <c r="GA50" i="54"/>
  <c r="BY50" i="54" s="1"/>
  <c r="DB50" i="54"/>
  <c r="CQ50" i="54"/>
  <c r="FF50" i="54"/>
  <c r="AB50" i="54" s="1"/>
  <c r="FG50" i="54" s="1"/>
  <c r="BT50" i="54"/>
  <c r="DC50" i="54"/>
  <c r="I50" i="54" s="1"/>
  <c r="DD50" i="54" s="1"/>
  <c r="CC50" i="54"/>
  <c r="P50" i="54"/>
  <c r="BO50" i="54"/>
  <c r="BQ50" i="54" s="1"/>
  <c r="CQ34" i="54"/>
  <c r="CC34" i="54"/>
  <c r="DN34" i="54"/>
  <c r="BO34" i="54"/>
  <c r="JH18" i="54"/>
  <c r="JI18" i="54" s="1"/>
  <c r="GA18" i="54"/>
  <c r="BY18" i="54" s="1"/>
  <c r="DB18" i="54"/>
  <c r="CQ18" i="54"/>
  <c r="BT18" i="54"/>
  <c r="CC18" i="54"/>
  <c r="GI18" i="54"/>
  <c r="BO18" i="54"/>
  <c r="BQ18" i="54" s="1"/>
  <c r="P18" i="54"/>
  <c r="DI18" i="54"/>
  <c r="H18" i="54" s="1"/>
  <c r="DJ18" i="54" s="1"/>
  <c r="BE42" i="54"/>
  <c r="P42" i="54" s="1"/>
  <c r="BF6" i="54"/>
  <c r="BG6" i="54" s="1"/>
  <c r="BI6" i="54" s="1" a="1"/>
  <c r="BI6" i="54" s="1"/>
  <c r="BS47" i="54"/>
  <c r="GL47" i="54" s="1"/>
  <c r="BS31" i="54"/>
  <c r="FG15" i="54"/>
  <c r="BI32" i="54" a="1"/>
  <c r="BI32" i="54" s="1"/>
  <c r="C32" i="54" s="1"/>
  <c r="BJ32" i="54" s="1"/>
  <c r="BI18" i="54" a="1"/>
  <c r="BI18" i="54" s="1"/>
  <c r="BM24" i="54"/>
  <c r="BN55" i="54"/>
  <c r="BP19" i="54"/>
  <c r="HY12" i="54"/>
  <c r="HX12" i="54"/>
  <c r="BW17" i="54"/>
  <c r="EX25" i="54"/>
  <c r="EC25" i="54"/>
  <c r="EX9" i="54"/>
  <c r="EC9" i="54"/>
  <c r="CA15" i="54"/>
  <c r="DZ48" i="54"/>
  <c r="EB48" i="54"/>
  <c r="IA55" i="54"/>
  <c r="HZ55" i="54"/>
  <c r="CK55" i="54"/>
  <c r="HW55" i="54"/>
  <c r="IB55" i="54"/>
  <c r="CG56" i="54"/>
  <c r="CL55" i="54"/>
  <c r="CM55" i="54"/>
  <c r="IA39" i="54"/>
  <c r="HZ39" i="54"/>
  <c r="HW39" i="54"/>
  <c r="IB39" i="54"/>
  <c r="CK39" i="54"/>
  <c r="CG40" i="54"/>
  <c r="HW23" i="54"/>
  <c r="IA23" i="54"/>
  <c r="IB23" i="54"/>
  <c r="HZ23" i="54"/>
  <c r="CK23" i="54"/>
  <c r="CN23" i="54"/>
  <c r="CJ23" i="54"/>
  <c r="CG24" i="54"/>
  <c r="HW7" i="54"/>
  <c r="IA7" i="54"/>
  <c r="HZ7" i="54"/>
  <c r="CK7" i="54"/>
  <c r="CG8" i="54"/>
  <c r="CJ7" i="54"/>
  <c r="IB7" i="54"/>
  <c r="CN7" i="54"/>
  <c r="DS13" i="54"/>
  <c r="GB13" i="54"/>
  <c r="GC13" i="54" s="1"/>
  <c r="V13" i="54"/>
  <c r="CJ55" i="54"/>
  <c r="CO32" i="54"/>
  <c r="CP32" i="54" s="1"/>
  <c r="Y32" i="54" s="1"/>
  <c r="DF55" i="54" a="1"/>
  <c r="DF55" i="54" s="1"/>
  <c r="DG55" i="54" a="1"/>
  <c r="DG55" i="54" s="1"/>
  <c r="DE55" i="54" a="1"/>
  <c r="DE55" i="54" s="1"/>
  <c r="DI50" i="54"/>
  <c r="H50" i="54" s="1"/>
  <c r="DJ50" i="54" s="1"/>
  <c r="DL5" i="54"/>
  <c r="DZ18" i="54"/>
  <c r="EB3" i="54"/>
  <c r="GS3" i="54" s="1"/>
  <c r="HZ42" i="54"/>
  <c r="IK43" i="54"/>
  <c r="GO43" i="54"/>
  <c r="CA54" i="54"/>
  <c r="FG35" i="54"/>
  <c r="AI16" i="53"/>
  <c r="AI17" i="53"/>
  <c r="AI18" i="53"/>
  <c r="AI14" i="53"/>
  <c r="AI15" i="53"/>
  <c r="AI19" i="53"/>
  <c r="FG3" i="54"/>
  <c r="GO8" i="54"/>
  <c r="IK8" i="54"/>
  <c r="BI33" i="54" a="1"/>
  <c r="BI33" i="54" s="1"/>
  <c r="C33" i="54" s="1"/>
  <c r="BJ33" i="54" s="1"/>
  <c r="GG21" i="54"/>
  <c r="GD21" i="54"/>
  <c r="EX27" i="54"/>
  <c r="EC27" i="54"/>
  <c r="DZ33" i="54"/>
  <c r="EB33" i="54"/>
  <c r="U45" i="54"/>
  <c r="GO32" i="54"/>
  <c r="IK32" i="54"/>
  <c r="IK23" i="54"/>
  <c r="GO23" i="54"/>
  <c r="JH49" i="54"/>
  <c r="JI49" i="54" s="1"/>
  <c r="GI49" i="54"/>
  <c r="DB49" i="54"/>
  <c r="CO49" i="54"/>
  <c r="CP49" i="54" s="1"/>
  <c r="Y49" i="54" s="1"/>
  <c r="CQ49" i="54"/>
  <c r="DC49" i="54"/>
  <c r="I49" i="54" s="1"/>
  <c r="DD49" i="54" s="1"/>
  <c r="IC49" i="54" s="1"/>
  <c r="CC49" i="54"/>
  <c r="BO49" i="54"/>
  <c r="P49" i="54"/>
  <c r="EL49" i="54" s="1"/>
  <c r="GA49" i="54"/>
  <c r="JH17" i="54"/>
  <c r="JI17" i="54" s="1"/>
  <c r="DB17" i="54"/>
  <c r="CO17" i="54"/>
  <c r="CP17" i="54" s="1"/>
  <c r="Y17" i="54" s="1"/>
  <c r="CQ17" i="54"/>
  <c r="FF17" i="54"/>
  <c r="AB17" i="54" s="1"/>
  <c r="FG17" i="54" s="1"/>
  <c r="CC17" i="54"/>
  <c r="DI17" i="54"/>
  <c r="H17" i="54" s="1"/>
  <c r="DJ17" i="54" s="1"/>
  <c r="BO17" i="54"/>
  <c r="GI17" i="54"/>
  <c r="P17" i="54"/>
  <c r="BI30" i="54" a="1"/>
  <c r="BI30" i="54" s="1"/>
  <c r="BS30" i="54"/>
  <c r="GL30" i="54" s="1"/>
  <c r="GD18" i="54"/>
  <c r="GG18" i="54"/>
  <c r="BS33" i="54"/>
  <c r="BT17" i="54"/>
  <c r="HX37" i="54"/>
  <c r="HY37" i="54"/>
  <c r="HX5" i="54"/>
  <c r="EL5" i="54"/>
  <c r="HY5" i="54"/>
  <c r="HX11" i="54"/>
  <c r="HY11" i="54"/>
  <c r="BW16" i="54"/>
  <c r="EX57" i="54"/>
  <c r="EX40" i="54"/>
  <c r="CA40" i="54"/>
  <c r="EX8" i="54"/>
  <c r="EC8" i="54"/>
  <c r="CA8" i="54"/>
  <c r="FY16" i="54"/>
  <c r="FX16" i="54" a="1"/>
  <c r="FX16" i="54" s="1"/>
  <c r="HZ54" i="54"/>
  <c r="IA54" i="54"/>
  <c r="HW54" i="54"/>
  <c r="CM54" i="54"/>
  <c r="CL54" i="54"/>
  <c r="CG55" i="54"/>
  <c r="IB54" i="54"/>
  <c r="IA22" i="54"/>
  <c r="HW22" i="54"/>
  <c r="IB22" i="54"/>
  <c r="IB21" i="54" s="1"/>
  <c r="CM22" i="54"/>
  <c r="HZ22" i="54"/>
  <c r="CJ22" i="54"/>
  <c r="CK22" i="54"/>
  <c r="CG23" i="54"/>
  <c r="JY34" i="54"/>
  <c r="JX34" i="54"/>
  <c r="JW34" i="54"/>
  <c r="IC34" i="54"/>
  <c r="FS34" i="54"/>
  <c r="DQ34" i="54"/>
  <c r="II34" i="54" s="1"/>
  <c r="IJ34" i="54" s="1"/>
  <c r="CR34" i="54" a="1"/>
  <c r="CR34" i="54" s="1"/>
  <c r="CJ54" i="54"/>
  <c r="CM42" i="54"/>
  <c r="CN11" i="54"/>
  <c r="JF44" i="54"/>
  <c r="JM44" i="54"/>
  <c r="DI49" i="54"/>
  <c r="H49" i="54" s="1"/>
  <c r="DJ49" i="54" s="1"/>
  <c r="GX38" i="54"/>
  <c r="GY38" i="54"/>
  <c r="DL4" i="54"/>
  <c r="FB23" i="54"/>
  <c r="ER23" i="54"/>
  <c r="IK40" i="54"/>
  <c r="GO40" i="54"/>
  <c r="JH48" i="54"/>
  <c r="JI48" i="54" s="1"/>
  <c r="FF48" i="54"/>
  <c r="GA48" i="54"/>
  <c r="BY48" i="54" s="1"/>
  <c r="BO48" i="54"/>
  <c r="P48" i="54"/>
  <c r="JH32" i="54"/>
  <c r="JI32" i="54" s="1"/>
  <c r="FF32" i="54"/>
  <c r="AB32" i="54" s="1"/>
  <c r="FG32" i="54" s="1"/>
  <c r="GI32" i="54"/>
  <c r="DN32" i="54"/>
  <c r="CQ32" i="54"/>
  <c r="BO32" i="54"/>
  <c r="BQ32" i="54" s="1"/>
  <c r="P32" i="54"/>
  <c r="DC32" i="54"/>
  <c r="I32" i="54" s="1"/>
  <c r="DD32" i="54" s="1"/>
  <c r="JH16" i="54"/>
  <c r="JI16" i="54" s="1"/>
  <c r="FF16" i="54"/>
  <c r="GA16" i="54"/>
  <c r="BY16" i="54" s="1"/>
  <c r="CQ16" i="54"/>
  <c r="BO16" i="54"/>
  <c r="GI16" i="54"/>
  <c r="DB16" i="54"/>
  <c r="P16" i="54"/>
  <c r="FA16" i="54" s="1"/>
  <c r="DI16" i="54"/>
  <c r="H16" i="54" s="1"/>
  <c r="DJ16" i="54" s="1"/>
  <c r="DN16" i="54"/>
  <c r="BF23" i="54"/>
  <c r="BG23" i="54" s="1"/>
  <c r="BI23" i="54" s="1" a="1"/>
  <c r="BI23" i="54" s="1"/>
  <c r="C23" i="54" s="1"/>
  <c r="BJ23" i="54" s="1"/>
  <c r="BQ45" i="54"/>
  <c r="BS45" i="54"/>
  <c r="BI45" i="54" a="1"/>
  <c r="BI45" i="54" s="1"/>
  <c r="C45" i="54" s="1"/>
  <c r="BJ45" i="54" s="1"/>
  <c r="BS29" i="54"/>
  <c r="BI29" i="54" a="1"/>
  <c r="BI29" i="54" s="1"/>
  <c r="C29" i="54" s="1"/>
  <c r="BJ29" i="54" s="1"/>
  <c r="FG13" i="54"/>
  <c r="BS13" i="54"/>
  <c r="GL13" i="54" s="1"/>
  <c r="BI13" i="54" a="1"/>
  <c r="BI13" i="54" s="1"/>
  <c r="C13" i="54" s="1"/>
  <c r="BJ13" i="54" s="1"/>
  <c r="BI31" i="54" a="1"/>
  <c r="BI31" i="54" s="1"/>
  <c r="C31" i="54" s="1"/>
  <c r="BJ31" i="54" s="1"/>
  <c r="BI17" i="54" a="1"/>
  <c r="BI17" i="54" s="1"/>
  <c r="IL16" i="54"/>
  <c r="IM16" i="54" s="1"/>
  <c r="GP16" i="54"/>
  <c r="BP17" i="54"/>
  <c r="BT16" i="54"/>
  <c r="HY52" i="54"/>
  <c r="HX52" i="54"/>
  <c r="HX36" i="54"/>
  <c r="HY36" i="54"/>
  <c r="EL20" i="54"/>
  <c r="HY4" i="54"/>
  <c r="HX4" i="54"/>
  <c r="HX10" i="54"/>
  <c r="HY10" i="54"/>
  <c r="BW15" i="54"/>
  <c r="EX56" i="54"/>
  <c r="CA56" i="54"/>
  <c r="EC56" i="54"/>
  <c r="EC39" i="54"/>
  <c r="CA39" i="54"/>
  <c r="EC23" i="54"/>
  <c r="EX23" i="54"/>
  <c r="CA23" i="54"/>
  <c r="EX7" i="54"/>
  <c r="EC7" i="54"/>
  <c r="CA7" i="54"/>
  <c r="CC48" i="54"/>
  <c r="FX37" i="54" a="1"/>
  <c r="FX37" i="54" s="1"/>
  <c r="FY37" i="54"/>
  <c r="HZ53" i="54"/>
  <c r="HW53" i="54"/>
  <c r="CK53" i="54"/>
  <c r="CM53" i="54"/>
  <c r="IB53" i="54"/>
  <c r="IA53" i="54"/>
  <c r="CL53" i="54"/>
  <c r="DL53" i="54" s="1"/>
  <c r="CG54" i="54"/>
  <c r="CG38" i="54"/>
  <c r="CG22" i="54"/>
  <c r="IA5" i="54"/>
  <c r="IB5" i="54"/>
  <c r="HW5" i="54"/>
  <c r="HZ5" i="54"/>
  <c r="CK5" i="54"/>
  <c r="CM5" i="54"/>
  <c r="CN5" i="54"/>
  <c r="CG6" i="54"/>
  <c r="CJ5" i="54"/>
  <c r="JX33" i="54"/>
  <c r="JW33" i="54"/>
  <c r="IC33" i="54"/>
  <c r="II33" i="54"/>
  <c r="IJ33" i="54" s="1"/>
  <c r="JY33" i="54"/>
  <c r="CR33" i="54" a="1"/>
  <c r="CR33" i="54" s="1"/>
  <c r="CJ53" i="54"/>
  <c r="CK26" i="54"/>
  <c r="CM41" i="54"/>
  <c r="CQ48" i="54"/>
  <c r="CS17" i="54"/>
  <c r="DB32" i="54"/>
  <c r="JE44" i="54"/>
  <c r="DI48" i="54"/>
  <c r="H48" i="54" s="1"/>
  <c r="DJ48" i="54" s="1"/>
  <c r="EC42" i="54"/>
  <c r="BY35" i="54"/>
  <c r="FY21" i="54"/>
  <c r="FX21" i="54" a="1"/>
  <c r="FX21" i="54" s="1"/>
  <c r="FZ21" i="54" s="1"/>
  <c r="IB43" i="54"/>
  <c r="HW43" i="54"/>
  <c r="IA43" i="54"/>
  <c r="HZ43" i="54"/>
  <c r="CN43" i="54"/>
  <c r="CK43" i="54"/>
  <c r="CJ43" i="54"/>
  <c r="JW45" i="54"/>
  <c r="GB45" i="54"/>
  <c r="GC45" i="54" s="1"/>
  <c r="DS45" i="54"/>
  <c r="CA37" i="54"/>
  <c r="GD50" i="54"/>
  <c r="GG50" i="54"/>
  <c r="HY42" i="54"/>
  <c r="HX42" i="54"/>
  <c r="EJ21" i="54"/>
  <c r="GN21" i="54"/>
  <c r="EB51" i="54"/>
  <c r="DZ51" i="54"/>
  <c r="IA10" i="54"/>
  <c r="IB10" i="54"/>
  <c r="HZ10" i="54"/>
  <c r="HW10" i="54"/>
  <c r="CN10" i="54"/>
  <c r="CM10" i="54"/>
  <c r="CG44" i="54"/>
  <c r="CA36" i="54"/>
  <c r="BQ49" i="54"/>
  <c r="FG49" i="54"/>
  <c r="BW19" i="54"/>
  <c r="EX11" i="54"/>
  <c r="EC11" i="54"/>
  <c r="FY19" i="54"/>
  <c r="IB25" i="54"/>
  <c r="HW25" i="54"/>
  <c r="IA25" i="54"/>
  <c r="HZ25" i="54"/>
  <c r="CJ25" i="54"/>
  <c r="CN25" i="54"/>
  <c r="IK6" i="54"/>
  <c r="GO6" i="54"/>
  <c r="JH33" i="54"/>
  <c r="JI33" i="54" s="1"/>
  <c r="GI33" i="54"/>
  <c r="GA33" i="54"/>
  <c r="BY33" i="54" s="1"/>
  <c r="FF33" i="54"/>
  <c r="AB33" i="54" s="1"/>
  <c r="FG33" i="54" s="1"/>
  <c r="DB33" i="54"/>
  <c r="CO33" i="54"/>
  <c r="CP33" i="54" s="1"/>
  <c r="Y33" i="54" s="1"/>
  <c r="CQ33" i="54"/>
  <c r="DI33" i="54"/>
  <c r="H33" i="54" s="1"/>
  <c r="DJ33" i="54" s="1"/>
  <c r="CC33" i="54"/>
  <c r="DN33" i="54"/>
  <c r="BO33" i="54"/>
  <c r="DC33" i="54"/>
  <c r="I33" i="54" s="1"/>
  <c r="DD33" i="54" s="1"/>
  <c r="P33" i="54"/>
  <c r="BQ46" i="54"/>
  <c r="BS46" i="54"/>
  <c r="GL46" i="54" s="1"/>
  <c r="BI46" i="54" a="1"/>
  <c r="BI46" i="54" s="1"/>
  <c r="C46" i="54" s="1"/>
  <c r="BJ46" i="54" s="1"/>
  <c r="BI14" i="54" a="1"/>
  <c r="BI14" i="54" s="1"/>
  <c r="C14" i="54" s="1"/>
  <c r="BJ14" i="54" s="1"/>
  <c r="BQ14" i="54"/>
  <c r="CE14" i="54" a="1"/>
  <c r="CE14" i="54" s="1"/>
  <c r="EK14" i="54" s="1"/>
  <c r="BS14" i="54"/>
  <c r="GL14" i="54" s="1"/>
  <c r="IL23" i="54"/>
  <c r="IM23" i="54" s="1"/>
  <c r="GJ23" i="54"/>
  <c r="GP23" i="54"/>
  <c r="HX53" i="54"/>
  <c r="HY53" i="54"/>
  <c r="EL53" i="54"/>
  <c r="EL21" i="54"/>
  <c r="HX38" i="54"/>
  <c r="HY38" i="54"/>
  <c r="FC38" i="54"/>
  <c r="FD38" i="54" s="1"/>
  <c r="HS38" i="54" s="1"/>
  <c r="HU38" i="54" s="1"/>
  <c r="EX24" i="54"/>
  <c r="EC24" i="54"/>
  <c r="CA24" i="54"/>
  <c r="CA41" i="54"/>
  <c r="IA38" i="54"/>
  <c r="IA37" i="54" s="1"/>
  <c r="HZ38" i="54"/>
  <c r="HZ37" i="54" s="1"/>
  <c r="IB38" i="54"/>
  <c r="IB37" i="54" s="1"/>
  <c r="HW38" i="54"/>
  <c r="HW37" i="54" s="1"/>
  <c r="CM38" i="54"/>
  <c r="CM37" i="54" s="1"/>
  <c r="CL38" i="54"/>
  <c r="CL37" i="54" s="1"/>
  <c r="DL37" i="54" s="1"/>
  <c r="CK38" i="54"/>
  <c r="CK37" i="54" s="1"/>
  <c r="CG39" i="54"/>
  <c r="HW6" i="54"/>
  <c r="IA6" i="54"/>
  <c r="HZ6" i="54"/>
  <c r="CM6" i="54"/>
  <c r="IB6" i="54"/>
  <c r="CN6" i="54"/>
  <c r="CG7" i="54"/>
  <c r="CJ6" i="54"/>
  <c r="CG12" i="54"/>
  <c r="CK27" i="54"/>
  <c r="CL21" i="54"/>
  <c r="DL21" i="54" s="1"/>
  <c r="CQ51" i="54"/>
  <c r="EC57" i="54"/>
  <c r="T16" i="54"/>
  <c r="U15" i="54"/>
  <c r="IK48" i="54"/>
  <c r="GO48" i="54"/>
  <c r="JH47" i="54"/>
  <c r="JI47" i="54" s="1"/>
  <c r="GA47" i="54"/>
  <c r="BY47" i="54" s="1"/>
  <c r="GI47" i="54"/>
  <c r="FF47" i="54"/>
  <c r="AB47" i="54" s="1"/>
  <c r="FG47" i="54" s="1"/>
  <c r="CQ47" i="54"/>
  <c r="BO47" i="54"/>
  <c r="P47" i="54"/>
  <c r="JH31" i="54"/>
  <c r="JI31" i="54" s="1"/>
  <c r="GA31" i="54"/>
  <c r="BY31" i="54" s="1"/>
  <c r="GI31" i="54"/>
  <c r="CQ31" i="54"/>
  <c r="DN31" i="54"/>
  <c r="BO31" i="54"/>
  <c r="BQ31" i="54" s="1"/>
  <c r="P31" i="54"/>
  <c r="DC31" i="54"/>
  <c r="I31" i="54" s="1"/>
  <c r="DD31" i="54" s="1"/>
  <c r="JH15" i="54"/>
  <c r="JI15" i="54" s="1"/>
  <c r="GA15" i="54"/>
  <c r="BY15" i="54" s="1"/>
  <c r="GI15" i="54"/>
  <c r="CQ15" i="54"/>
  <c r="FF15" i="54"/>
  <c r="AB15" i="54" s="1"/>
  <c r="BO15" i="54"/>
  <c r="DB15" i="54"/>
  <c r="P15" i="54"/>
  <c r="EL15" i="54" s="1"/>
  <c r="DN15" i="54"/>
  <c r="DI15" i="54"/>
  <c r="H15" i="54" s="1"/>
  <c r="DJ15" i="54" s="1"/>
  <c r="DC15" i="54"/>
  <c r="I15" i="54" s="1"/>
  <c r="DD15" i="54" s="1"/>
  <c r="BF22" i="54"/>
  <c r="BG22" i="54" s="1"/>
  <c r="BI22" i="54" s="1" a="1"/>
  <c r="BI22" i="54" s="1"/>
  <c r="FO44" i="54"/>
  <c r="FQ44" i="54"/>
  <c r="FJ44" i="54"/>
  <c r="FR44" i="54"/>
  <c r="FH44" i="54"/>
  <c r="FN44" i="54"/>
  <c r="FM44" i="54"/>
  <c r="BW28" i="54"/>
  <c r="BP16" i="54"/>
  <c r="BT15" i="54"/>
  <c r="HY51" i="54"/>
  <c r="HX35" i="54"/>
  <c r="HY35" i="54"/>
  <c r="HZ34" i="54" s="1"/>
  <c r="HZ33" i="54" s="1"/>
  <c r="EL19" i="54"/>
  <c r="HX3" i="54"/>
  <c r="HX9" i="54"/>
  <c r="BW14" i="54"/>
  <c r="BY49" i="54"/>
  <c r="EC55" i="54"/>
  <c r="CA55" i="54"/>
  <c r="EX55" i="54"/>
  <c r="EC38" i="54"/>
  <c r="EY38" i="54" s="1"/>
  <c r="EO38" i="54" a="1"/>
  <c r="EO38" i="54" s="1"/>
  <c r="EQ38" i="54" s="1"/>
  <c r="EC22" i="54"/>
  <c r="EX22" i="54"/>
  <c r="EC6" i="54"/>
  <c r="DZ28" i="54"/>
  <c r="CC47" i="54"/>
  <c r="FY36" i="54"/>
  <c r="FX36" i="54" a="1"/>
  <c r="FX36" i="54" s="1"/>
  <c r="HZ52" i="54"/>
  <c r="IB52" i="54"/>
  <c r="HW52" i="54"/>
  <c r="IA52" i="54"/>
  <c r="CL52" i="54"/>
  <c r="DL52" i="54" s="1"/>
  <c r="CG53" i="54"/>
  <c r="CM52" i="54"/>
  <c r="HZ36" i="54"/>
  <c r="IA36" i="54"/>
  <c r="IB36" i="54"/>
  <c r="CK36" i="54"/>
  <c r="CG37" i="54"/>
  <c r="HW36" i="54"/>
  <c r="CL36" i="54"/>
  <c r="DL36" i="54" s="1"/>
  <c r="HZ20" i="54"/>
  <c r="HW20" i="54"/>
  <c r="IA20" i="54"/>
  <c r="IB20" i="54"/>
  <c r="IB19" i="54" s="1"/>
  <c r="IB18" i="54" s="1"/>
  <c r="IB17" i="54" s="1"/>
  <c r="CK20" i="54"/>
  <c r="CG21" i="54"/>
  <c r="IB4" i="54"/>
  <c r="IA4" i="54"/>
  <c r="HZ4" i="54"/>
  <c r="CN4" i="54"/>
  <c r="CG5" i="54"/>
  <c r="CJ4" i="54"/>
  <c r="JY32" i="54"/>
  <c r="JW32" i="54"/>
  <c r="II32" i="54"/>
  <c r="IJ32" i="54" s="1"/>
  <c r="JX32" i="54"/>
  <c r="FS32" i="54"/>
  <c r="IC32" i="54"/>
  <c r="CR32" i="54" a="1"/>
  <c r="CR32" i="54" s="1"/>
  <c r="DS32" i="54"/>
  <c r="DA32" i="54"/>
  <c r="CG10" i="54"/>
  <c r="CJ52" i="54"/>
  <c r="CK25" i="54"/>
  <c r="CL10" i="54"/>
  <c r="DL10" i="54" s="1"/>
  <c r="CM40" i="54"/>
  <c r="CM8" i="54"/>
  <c r="DB31" i="54"/>
  <c r="DI47" i="54"/>
  <c r="H47" i="54" s="1"/>
  <c r="DJ47" i="54" s="1"/>
  <c r="DZ50" i="54"/>
  <c r="EC41" i="54"/>
  <c r="EU34" i="54"/>
  <c r="ET34" i="54"/>
  <c r="FB16" i="54"/>
  <c r="ET23" i="54"/>
  <c r="EX41" i="54"/>
  <c r="FL44" i="54"/>
  <c r="FS33" i="54"/>
  <c r="GA17" i="54"/>
  <c r="BY17" i="54" s="1"/>
  <c r="HX51" i="54"/>
  <c r="GX34" i="54"/>
  <c r="GY34" i="54"/>
  <c r="GO50" i="54"/>
  <c r="IK50" i="54"/>
  <c r="GO26" i="54"/>
  <c r="IK26" i="54"/>
  <c r="IK10" i="54"/>
  <c r="GO10" i="54"/>
  <c r="FG12" i="54"/>
  <c r="GN3" i="54"/>
  <c r="EJ3" i="54"/>
  <c r="EX17" i="54"/>
  <c r="JH8" i="54"/>
  <c r="JI8" i="54" s="1"/>
  <c r="GI8" i="54"/>
  <c r="FF8" i="54"/>
  <c r="AB8" i="54" s="1"/>
  <c r="DC8" i="54"/>
  <c r="I8" i="54" s="1"/>
  <c r="DD8" i="54" s="1"/>
  <c r="DI8" i="54"/>
  <c r="H8" i="54" s="1"/>
  <c r="DJ8" i="54" s="1"/>
  <c r="DN8" i="54"/>
  <c r="IA16" i="54"/>
  <c r="HZ16" i="54"/>
  <c r="HW16" i="54"/>
  <c r="CJ16" i="54"/>
  <c r="CN49" i="54"/>
  <c r="CO25" i="54"/>
  <c r="CP25" i="54" s="1"/>
  <c r="Y25" i="54" s="1"/>
  <c r="FB55" i="54"/>
  <c r="ES55" i="54"/>
  <c r="ER55" i="54"/>
  <c r="EU30" i="54"/>
  <c r="GI57" i="54"/>
  <c r="IK57" i="54"/>
  <c r="GO49" i="54"/>
  <c r="IK49" i="54"/>
  <c r="IK41" i="54"/>
  <c r="GO41" i="54"/>
  <c r="GO33" i="54"/>
  <c r="IK33" i="54"/>
  <c r="GO25" i="54"/>
  <c r="IK25" i="54"/>
  <c r="IK17" i="54"/>
  <c r="GO17" i="54"/>
  <c r="IK9" i="54"/>
  <c r="GO9" i="54"/>
  <c r="GA55" i="54"/>
  <c r="BY55" i="54" s="1"/>
  <c r="GI55" i="54"/>
  <c r="JH55" i="54"/>
  <c r="JI55" i="54" s="1"/>
  <c r="DI55" i="54"/>
  <c r="H55" i="54" s="1"/>
  <c r="DJ55" i="54" s="1"/>
  <c r="JH39" i="54"/>
  <c r="JI39" i="54" s="1"/>
  <c r="GI39" i="54"/>
  <c r="DI39" i="54"/>
  <c r="H39" i="54" s="1"/>
  <c r="DJ39" i="54" s="1"/>
  <c r="JH23" i="54"/>
  <c r="JI23" i="54" s="1"/>
  <c r="GA23" i="54"/>
  <c r="DN23" i="54"/>
  <c r="DI23" i="54"/>
  <c r="H23" i="54" s="1"/>
  <c r="DJ23" i="54" s="1"/>
  <c r="JH7" i="54"/>
  <c r="JI7" i="54" s="1"/>
  <c r="GI7" i="54"/>
  <c r="FF7" i="54"/>
  <c r="AB7" i="54" s="1"/>
  <c r="DI7" i="54"/>
  <c r="H7" i="54" s="1"/>
  <c r="DJ7" i="54" s="1"/>
  <c r="DN7" i="54"/>
  <c r="HV26" i="54"/>
  <c r="GJ4" i="54"/>
  <c r="GP4" i="54"/>
  <c r="GQ4" i="54" s="1"/>
  <c r="GR4" i="54" s="1"/>
  <c r="BP41" i="54"/>
  <c r="BT53" i="54"/>
  <c r="BT37" i="54"/>
  <c r="BT21" i="54"/>
  <c r="BT5" i="54"/>
  <c r="BW42" i="54"/>
  <c r="BW26" i="54"/>
  <c r="BW10" i="54"/>
  <c r="GN49" i="54"/>
  <c r="EJ49" i="54"/>
  <c r="BY56" i="54"/>
  <c r="BY40" i="54"/>
  <c r="BY8" i="54"/>
  <c r="EC47" i="54"/>
  <c r="EX47" i="54"/>
  <c r="EX31" i="54"/>
  <c r="EX15" i="54"/>
  <c r="CA22" i="54"/>
  <c r="EB29" i="54"/>
  <c r="EB13" i="54"/>
  <c r="CC52" i="54"/>
  <c r="CC36" i="54"/>
  <c r="CC20" i="54"/>
  <c r="CC4" i="54"/>
  <c r="HW47" i="54"/>
  <c r="IA47" i="54"/>
  <c r="IB47" i="54"/>
  <c r="HZ47" i="54"/>
  <c r="CL47" i="54"/>
  <c r="DL47" i="54" s="1"/>
  <c r="IA15" i="54"/>
  <c r="IB15" i="54"/>
  <c r="V15" i="54" s="1"/>
  <c r="HW15" i="54"/>
  <c r="CL15" i="54"/>
  <c r="DL15" i="54" s="1"/>
  <c r="CM12" i="54"/>
  <c r="CN48" i="54"/>
  <c r="CO24" i="54"/>
  <c r="CP24" i="54" s="1"/>
  <c r="Y24" i="54" s="1"/>
  <c r="CO5" i="54"/>
  <c r="CP5" i="54" s="1"/>
  <c r="Y5" i="54" s="1"/>
  <c r="CQ55" i="54"/>
  <c r="CQ36" i="54"/>
  <c r="DB40" i="54"/>
  <c r="DB21" i="54"/>
  <c r="DC52" i="54"/>
  <c r="I52" i="54" s="1"/>
  <c r="DD52" i="54" s="1"/>
  <c r="DI36" i="54"/>
  <c r="H36" i="54" s="1"/>
  <c r="DJ36" i="54" s="1"/>
  <c r="DN56" i="54"/>
  <c r="DZ30" i="54"/>
  <c r="FF55" i="54"/>
  <c r="FG43" i="54"/>
  <c r="IB16" i="54"/>
  <c r="JO54" i="54"/>
  <c r="JP54" i="54" s="1"/>
  <c r="JV54" i="54"/>
  <c r="HM54" i="54"/>
  <c r="M54" i="54" s="1"/>
  <c r="HN54" i="54" s="1"/>
  <c r="IL54" i="54" s="1"/>
  <c r="IM54" i="54" s="1"/>
  <c r="JU54" i="54"/>
  <c r="JH57" i="54"/>
  <c r="JI57" i="54" s="1"/>
  <c r="FF57" i="54"/>
  <c r="AB57" i="54" s="1"/>
  <c r="FG57" i="54" s="1"/>
  <c r="DN57" i="54"/>
  <c r="DC57" i="54"/>
  <c r="I57" i="54" s="1"/>
  <c r="DD57" i="54" s="1"/>
  <c r="DI57" i="54"/>
  <c r="H57" i="54" s="1"/>
  <c r="DJ57" i="54" s="1"/>
  <c r="JH25" i="54"/>
  <c r="JI25" i="54" s="1"/>
  <c r="GI25" i="54"/>
  <c r="GA25" i="54"/>
  <c r="BY25" i="54" s="1"/>
  <c r="FF25" i="54"/>
  <c r="AB25" i="54" s="1"/>
  <c r="FG25" i="54" s="1"/>
  <c r="DC25" i="54"/>
  <c r="I25" i="54" s="1"/>
  <c r="DD25" i="54" s="1"/>
  <c r="DN25" i="54"/>
  <c r="DI25" i="54"/>
  <c r="H25" i="54" s="1"/>
  <c r="DJ25" i="54" s="1"/>
  <c r="CQ57" i="54"/>
  <c r="JH56" i="54"/>
  <c r="JI56" i="54" s="1"/>
  <c r="DC56" i="54"/>
  <c r="I56" i="54" s="1"/>
  <c r="DD56" i="54" s="1"/>
  <c r="DI56" i="54"/>
  <c r="H56" i="54" s="1"/>
  <c r="DJ56" i="54" s="1"/>
  <c r="FG11" i="54"/>
  <c r="GJ5" i="54"/>
  <c r="GP5" i="54"/>
  <c r="ER4" i="54"/>
  <c r="HI21" i="54"/>
  <c r="JR21" i="54" s="1"/>
  <c r="HJ21" i="54"/>
  <c r="X235" i="19"/>
  <c r="W235" i="19"/>
  <c r="S5" i="54"/>
  <c r="JH54" i="54"/>
  <c r="JI54" i="54" s="1"/>
  <c r="GA54" i="54"/>
  <c r="BY54" i="54" s="1"/>
  <c r="FF54" i="54"/>
  <c r="JH22" i="54"/>
  <c r="JI22" i="54" s="1"/>
  <c r="GA22" i="54"/>
  <c r="BY22" i="54" s="1"/>
  <c r="GI6" i="54"/>
  <c r="JH6" i="54"/>
  <c r="JI6" i="54" s="1"/>
  <c r="GA6" i="54"/>
  <c r="BY6" i="54" s="1"/>
  <c r="DN6" i="54"/>
  <c r="FG9" i="54"/>
  <c r="GJ3" i="54"/>
  <c r="IL3" i="54"/>
  <c r="IM3" i="54" s="1"/>
  <c r="BP56" i="54"/>
  <c r="BP8" i="54"/>
  <c r="BT52" i="54"/>
  <c r="BT36" i="54"/>
  <c r="BT20" i="54"/>
  <c r="BT4" i="54"/>
  <c r="HY34" i="54"/>
  <c r="HX34" i="54"/>
  <c r="BW57" i="54"/>
  <c r="BW41" i="54"/>
  <c r="BW25" i="54"/>
  <c r="BW9" i="54"/>
  <c r="GN48" i="54"/>
  <c r="EJ48" i="54"/>
  <c r="GN32" i="54"/>
  <c r="EJ32" i="54"/>
  <c r="BY39" i="54"/>
  <c r="BY23" i="54"/>
  <c r="BY7" i="54"/>
  <c r="EX46" i="54"/>
  <c r="EC46" i="54"/>
  <c r="EC30" i="54"/>
  <c r="CA53" i="54"/>
  <c r="CA21" i="54"/>
  <c r="EB12" i="54"/>
  <c r="HW46" i="54"/>
  <c r="HZ46" i="54"/>
  <c r="IB46" i="54"/>
  <c r="U46" i="54" s="1"/>
  <c r="CJ46" i="54"/>
  <c r="CL46" i="54"/>
  <c r="DL46" i="54" s="1"/>
  <c r="HW30" i="54"/>
  <c r="IB30" i="54"/>
  <c r="HZ30" i="54"/>
  <c r="IA30" i="54"/>
  <c r="CJ30" i="54"/>
  <c r="CL30" i="54"/>
  <c r="DL30" i="54" s="1"/>
  <c r="HW14" i="54"/>
  <c r="IB14" i="54"/>
  <c r="HZ14" i="54"/>
  <c r="CJ14" i="54"/>
  <c r="CL14" i="54"/>
  <c r="DL14" i="54" s="1"/>
  <c r="CL16" i="54"/>
  <c r="CM30" i="54"/>
  <c r="CN47" i="54"/>
  <c r="CO23" i="54"/>
  <c r="CP23" i="54" s="1"/>
  <c r="Y23" i="54" s="1"/>
  <c r="CQ54" i="54"/>
  <c r="DB39" i="54"/>
  <c r="DC7" i="54"/>
  <c r="I7" i="54" s="1"/>
  <c r="DD7" i="54" s="1"/>
  <c r="DN55" i="54"/>
  <c r="DZ29" i="54"/>
  <c r="EU26" i="54"/>
  <c r="ET26" i="54"/>
  <c r="ET9" i="54"/>
  <c r="EU9" i="54"/>
  <c r="EJ35" i="54"/>
  <c r="FF21" i="54"/>
  <c r="AB21" i="54" s="1"/>
  <c r="FG21" i="54" s="1"/>
  <c r="GA41" i="54"/>
  <c r="BY41" i="54" s="1"/>
  <c r="GI54" i="54"/>
  <c r="IK42" i="54"/>
  <c r="GO42" i="54"/>
  <c r="IK18" i="54"/>
  <c r="GO18" i="54"/>
  <c r="JH9" i="54"/>
  <c r="JI9" i="54" s="1"/>
  <c r="FF9" i="54"/>
  <c r="AB9" i="54" s="1"/>
  <c r="GA9" i="54"/>
  <c r="BY9" i="54" s="1"/>
  <c r="DC9" i="54"/>
  <c r="I9" i="54" s="1"/>
  <c r="DD9" i="54" s="1"/>
  <c r="DI9" i="54"/>
  <c r="H9" i="54" s="1"/>
  <c r="DJ9" i="54" s="1"/>
  <c r="DN9" i="54"/>
  <c r="FG28" i="54"/>
  <c r="JH40" i="54"/>
  <c r="JI40" i="54" s="1"/>
  <c r="GA40" i="54"/>
  <c r="GI40" i="54"/>
  <c r="DN40" i="54"/>
  <c r="DC40" i="54"/>
  <c r="I40" i="54" s="1"/>
  <c r="DD40" i="54" s="1"/>
  <c r="DI40" i="54"/>
  <c r="H40" i="54" s="1"/>
  <c r="DJ40" i="54" s="1"/>
  <c r="FF40" i="54"/>
  <c r="AB40" i="54" s="1"/>
  <c r="FG40" i="54" s="1"/>
  <c r="BW43" i="54"/>
  <c r="GN50" i="54"/>
  <c r="EJ50" i="54"/>
  <c r="BY57" i="54"/>
  <c r="CQ56" i="54"/>
  <c r="DB41" i="54"/>
  <c r="DZ31" i="54"/>
  <c r="ET28" i="54"/>
  <c r="HA32" i="54"/>
  <c r="HA33" i="54" s="1"/>
  <c r="HA34" i="54" s="1"/>
  <c r="JH53" i="54"/>
  <c r="JI53" i="54" s="1"/>
  <c r="DN53" i="54"/>
  <c r="GA53" i="54"/>
  <c r="BY53" i="54" s="1"/>
  <c r="GA37" i="54"/>
  <c r="BY37" i="54" s="1"/>
  <c r="DN37" i="54"/>
  <c r="GI37" i="54"/>
  <c r="JH37" i="54"/>
  <c r="JI37" i="54" s="1"/>
  <c r="GI5" i="54"/>
  <c r="JH5" i="54"/>
  <c r="JI5" i="54" s="1"/>
  <c r="DN5" i="54"/>
  <c r="FF5" i="54"/>
  <c r="AB5" i="54" s="1"/>
  <c r="FG5" i="54" s="1"/>
  <c r="BP55" i="54"/>
  <c r="HV55" i="54" s="1"/>
  <c r="BP39" i="54"/>
  <c r="BP23" i="54"/>
  <c r="HV23" i="54" s="1"/>
  <c r="BP7" i="54"/>
  <c r="BS44" i="54"/>
  <c r="GL44" i="54" s="1"/>
  <c r="BS28" i="54"/>
  <c r="GL28" i="54" s="1"/>
  <c r="BS12" i="54"/>
  <c r="GL12" i="54" s="1"/>
  <c r="BW56" i="54"/>
  <c r="BW40" i="54"/>
  <c r="BW24" i="54"/>
  <c r="BW8" i="54"/>
  <c r="GN47" i="54"/>
  <c r="GN31" i="54"/>
  <c r="GN15" i="54"/>
  <c r="EX45" i="54"/>
  <c r="EC29" i="54"/>
  <c r="CA52" i="54"/>
  <c r="CA20" i="54"/>
  <c r="DZ43" i="54"/>
  <c r="EB11" i="54"/>
  <c r="CD57" i="54"/>
  <c r="CD41" i="54"/>
  <c r="CD25" i="54"/>
  <c r="CD9" i="54"/>
  <c r="IB45" i="54"/>
  <c r="V45" i="54" s="1"/>
  <c r="HW45" i="54"/>
  <c r="HZ45" i="54"/>
  <c r="IA45" i="54"/>
  <c r="CN45" i="54"/>
  <c r="IB29" i="54"/>
  <c r="U29" i="54" s="1"/>
  <c r="HZ29" i="54"/>
  <c r="IA29" i="54"/>
  <c r="HW29" i="54"/>
  <c r="CN29" i="54"/>
  <c r="IA13" i="54"/>
  <c r="HZ13" i="54"/>
  <c r="IB13" i="54"/>
  <c r="U13" i="54" s="1"/>
  <c r="HW13" i="54"/>
  <c r="CN13" i="54"/>
  <c r="CL13" i="54"/>
  <c r="DL13" i="54" s="1"/>
  <c r="CM29" i="54"/>
  <c r="CM28" i="54" s="1"/>
  <c r="CN46" i="54"/>
  <c r="CO22" i="54"/>
  <c r="CP22" i="54" s="1"/>
  <c r="Y22" i="54" s="1"/>
  <c r="CQ53" i="54"/>
  <c r="DC6" i="54"/>
  <c r="I6" i="54" s="1"/>
  <c r="DD6" i="54" s="1"/>
  <c r="DI54" i="54"/>
  <c r="H54" i="54" s="1"/>
  <c r="DJ54" i="54" s="1"/>
  <c r="DN54" i="54"/>
  <c r="ET8" i="54"/>
  <c r="EU8" i="54"/>
  <c r="EJ33" i="54"/>
  <c r="ES4" i="54"/>
  <c r="EU25" i="54"/>
  <c r="FE34" i="54"/>
  <c r="GA39" i="54"/>
  <c r="GI53" i="54"/>
  <c r="GI9" i="54"/>
  <c r="GO34" i="54"/>
  <c r="IK34" i="54"/>
  <c r="JH41" i="54"/>
  <c r="JI41" i="54" s="1"/>
  <c r="GI41" i="54"/>
  <c r="DN41" i="54"/>
  <c r="DC41" i="54"/>
  <c r="I41" i="54" s="1"/>
  <c r="DD41" i="54" s="1"/>
  <c r="DI41" i="54"/>
  <c r="H41" i="54" s="1"/>
  <c r="DJ41" i="54" s="1"/>
  <c r="FF41" i="54"/>
  <c r="AB41" i="54" s="1"/>
  <c r="FG41" i="54" s="1"/>
  <c r="GP54" i="54"/>
  <c r="GJ54" i="54"/>
  <c r="GJ6" i="54"/>
  <c r="BW44" i="54"/>
  <c r="BW12" i="54"/>
  <c r="IB49" i="54"/>
  <c r="HZ49" i="54"/>
  <c r="HW49" i="54"/>
  <c r="IA49" i="54"/>
  <c r="JH24" i="54"/>
  <c r="JI24" i="54" s="1"/>
  <c r="GI24" i="54"/>
  <c r="GA24" i="54"/>
  <c r="BY24" i="54" s="1"/>
  <c r="DC24" i="54"/>
  <c r="I24" i="54" s="1"/>
  <c r="DD24" i="54" s="1"/>
  <c r="DN24" i="54"/>
  <c r="DI24" i="54"/>
  <c r="H24" i="54" s="1"/>
  <c r="DJ24" i="54" s="1"/>
  <c r="BW11" i="54"/>
  <c r="EC48" i="54"/>
  <c r="EX48" i="54"/>
  <c r="IB48" i="54"/>
  <c r="HZ48" i="54"/>
  <c r="HW48" i="54"/>
  <c r="DL35" i="54"/>
  <c r="FF56" i="54"/>
  <c r="AB56" i="54" s="1"/>
  <c r="FG56" i="54" s="1"/>
  <c r="JH52" i="54"/>
  <c r="JI52" i="54" s="1"/>
  <c r="GA52" i="54"/>
  <c r="BY52" i="54" s="1"/>
  <c r="DB52" i="54"/>
  <c r="CO52" i="54"/>
  <c r="CP52" i="54" s="1"/>
  <c r="Y52" i="54" s="1"/>
  <c r="GA36" i="54"/>
  <c r="BY36" i="54" s="1"/>
  <c r="GI36" i="54"/>
  <c r="FF36" i="54"/>
  <c r="AB36" i="54" s="1"/>
  <c r="FG36" i="54" s="1"/>
  <c r="JH36" i="54"/>
  <c r="JI36" i="54" s="1"/>
  <c r="DB36" i="54"/>
  <c r="CO36" i="54"/>
  <c r="CP36" i="54" s="1"/>
  <c r="Y36" i="54" s="1"/>
  <c r="GA20" i="54"/>
  <c r="BY20" i="54" s="1"/>
  <c r="JH20" i="54"/>
  <c r="JI20" i="54" s="1"/>
  <c r="DB20" i="54"/>
  <c r="CM19" i="54" s="1"/>
  <c r="CO20" i="54"/>
  <c r="CP20" i="54" s="1"/>
  <c r="Y20" i="54" s="1"/>
  <c r="JH4" i="54"/>
  <c r="JI4" i="54" s="1"/>
  <c r="GA4" i="54"/>
  <c r="BY4" i="54" s="1"/>
  <c r="FF4" i="54"/>
  <c r="GI4" i="54"/>
  <c r="DB4" i="54"/>
  <c r="CO4" i="54"/>
  <c r="CP4" i="54" s="1"/>
  <c r="Y4" i="54" s="1"/>
  <c r="FG55" i="54"/>
  <c r="FG39" i="54"/>
  <c r="FG23" i="54"/>
  <c r="FG7" i="54"/>
  <c r="BI44" i="54" a="1"/>
  <c r="BI44" i="54" s="1"/>
  <c r="BI28" i="54" a="1"/>
  <c r="BI28" i="54" s="1"/>
  <c r="C28" i="54" s="1"/>
  <c r="BJ28" i="54" s="1"/>
  <c r="BM49" i="54"/>
  <c r="BM17" i="54"/>
  <c r="BP54" i="54"/>
  <c r="BP22" i="54"/>
  <c r="BQ22" i="54" s="1"/>
  <c r="BP6" i="54"/>
  <c r="BQ6" i="54" s="1"/>
  <c r="BS43" i="54"/>
  <c r="GL43" i="54" s="1"/>
  <c r="BS27" i="54"/>
  <c r="GL27" i="54" s="1"/>
  <c r="BW55" i="54"/>
  <c r="BW39" i="54"/>
  <c r="BW23" i="54"/>
  <c r="BW7" i="54"/>
  <c r="GN30" i="54"/>
  <c r="EJ14" i="54"/>
  <c r="GN14" i="54"/>
  <c r="BY5" i="54"/>
  <c r="EX28" i="54"/>
  <c r="EC28" i="54"/>
  <c r="DZ42" i="54"/>
  <c r="EB10" i="54"/>
  <c r="CD56" i="54"/>
  <c r="CD40" i="54"/>
  <c r="CD24" i="54"/>
  <c r="CD8" i="54"/>
  <c r="IB44" i="54"/>
  <c r="IA44" i="54"/>
  <c r="HW44" i="54"/>
  <c r="CL44" i="54"/>
  <c r="DL44" i="54" s="1"/>
  <c r="CN44" i="54"/>
  <c r="CL28" i="54"/>
  <c r="DL28" i="54" s="1"/>
  <c r="IB12" i="54"/>
  <c r="HW12" i="54"/>
  <c r="CL12" i="54"/>
  <c r="DL12" i="54" s="1"/>
  <c r="CN12" i="54"/>
  <c r="CK16" i="54"/>
  <c r="CL33" i="54"/>
  <c r="CL32" i="54" s="1"/>
  <c r="CM47" i="54"/>
  <c r="CO40" i="54"/>
  <c r="CP40" i="54" s="1"/>
  <c r="Y40" i="54" s="1"/>
  <c r="CO21" i="54"/>
  <c r="CP21" i="54" s="1"/>
  <c r="Y21" i="54" s="1"/>
  <c r="CQ52" i="54"/>
  <c r="DB57" i="54"/>
  <c r="DB37" i="54"/>
  <c r="DC5" i="54"/>
  <c r="I5" i="54" s="1"/>
  <c r="DD5" i="54" s="1"/>
  <c r="DI53" i="54"/>
  <c r="H53" i="54" s="1"/>
  <c r="DJ53" i="54" s="1"/>
  <c r="DN52" i="54"/>
  <c r="EC17" i="54"/>
  <c r="EJ31" i="54"/>
  <c r="ES34" i="54"/>
  <c r="ES3" i="54"/>
  <c r="EX14" i="54"/>
  <c r="FC34" i="54"/>
  <c r="FD34" i="54" s="1"/>
  <c r="HS34" i="54" s="1"/>
  <c r="HU34" i="54" s="1"/>
  <c r="GI52" i="54"/>
  <c r="IA48" i="54"/>
  <c r="JH21" i="54"/>
  <c r="JI21" i="54" s="1"/>
  <c r="ER16" i="54"/>
  <c r="X228" i="19"/>
  <c r="W228" i="19"/>
  <c r="FE38" i="54"/>
  <c r="FB38" i="54"/>
  <c r="ER38" i="54"/>
  <c r="EV38" i="54" s="1"/>
  <c r="EW38" i="54" s="1"/>
  <c r="Q38" i="54" s="1"/>
  <c r="HB21" i="54"/>
  <c r="HC21" i="54" s="1"/>
  <c r="X197" i="19"/>
  <c r="W197" i="19"/>
  <c r="EU52" i="54"/>
  <c r="ET52" i="54"/>
  <c r="ET19" i="54"/>
  <c r="EU50" i="54"/>
  <c r="FP38" i="54"/>
  <c r="FN38" i="54"/>
  <c r="FH38" i="54"/>
  <c r="FM38" i="54"/>
  <c r="HF17" i="54"/>
  <c r="FI34" i="54"/>
  <c r="FR34" i="54"/>
  <c r="FL34" i="54"/>
  <c r="FR38" i="54"/>
  <c r="X262" i="19"/>
  <c r="W262" i="19"/>
  <c r="X255" i="19"/>
  <c r="W255" i="19"/>
  <c r="ET32" i="54"/>
  <c r="W170" i="19"/>
  <c r="ES26" i="54"/>
  <c r="JU41" i="54"/>
  <c r="JV41" i="54"/>
  <c r="JO41" i="54"/>
  <c r="JP41" i="54" s="1"/>
  <c r="HM41" i="54"/>
  <c r="M41" i="54" s="1"/>
  <c r="HN41" i="54" s="1"/>
  <c r="X213" i="19"/>
  <c r="W213" i="19"/>
  <c r="X222" i="19"/>
  <c r="W222" i="19"/>
  <c r="X239" i="19"/>
  <c r="W239" i="19"/>
  <c r="JU48" i="54"/>
  <c r="JO48" i="54"/>
  <c r="JP48" i="54" s="1"/>
  <c r="X224" i="19"/>
  <c r="W224" i="19"/>
  <c r="JV26" i="54"/>
  <c r="JO26" i="54"/>
  <c r="JP26" i="54" s="1"/>
  <c r="JV4" i="54"/>
  <c r="HM4" i="54"/>
  <c r="M4" i="54" s="1"/>
  <c r="HN4" i="54" s="1"/>
  <c r="IL4" i="54" s="1"/>
  <c r="IM4" i="54" s="1"/>
  <c r="JU4" i="54"/>
  <c r="X180" i="19"/>
  <c r="W180" i="19"/>
  <c r="X265" i="19"/>
  <c r="W265" i="19"/>
  <c r="JO16" i="54"/>
  <c r="JP16" i="54" s="1"/>
  <c r="JU16" i="54"/>
  <c r="JV16" i="54"/>
  <c r="W203" i="19"/>
  <c r="W217" i="19"/>
  <c r="X182" i="19"/>
  <c r="W182" i="19"/>
  <c r="X190" i="19"/>
  <c r="W190" i="19"/>
  <c r="W187" i="19"/>
  <c r="W201" i="19"/>
  <c r="X245" i="19"/>
  <c r="W245" i="19"/>
  <c r="W248" i="19"/>
  <c r="X249" i="19"/>
  <c r="W249" i="19"/>
  <c r="W253" i="19"/>
  <c r="X219" i="19"/>
  <c r="W219" i="19"/>
  <c r="X246" i="19"/>
  <c r="W246" i="19"/>
  <c r="X198" i="19"/>
  <c r="W198" i="19"/>
  <c r="X230" i="19"/>
  <c r="W230" i="19"/>
  <c r="X243" i="19"/>
  <c r="W243" i="19"/>
  <c r="W184" i="19"/>
  <c r="W208" i="19"/>
  <c r="W238" i="19"/>
  <c r="W261" i="19"/>
  <c r="W267" i="19"/>
  <c r="X214" i="19"/>
  <c r="W214" i="19"/>
  <c r="W172" i="19"/>
  <c r="W188" i="19"/>
  <c r="W204" i="19"/>
  <c r="W220" i="19"/>
  <c r="W236" i="19"/>
  <c r="W252" i="19"/>
  <c r="W268" i="19"/>
  <c r="X418" i="19"/>
  <c r="X319" i="19"/>
  <c r="W457" i="19"/>
  <c r="X10" i="19"/>
  <c r="X30" i="19"/>
  <c r="X85" i="19"/>
  <c r="X306" i="19"/>
  <c r="X126" i="19"/>
  <c r="X323" i="19"/>
  <c r="W402" i="19"/>
  <c r="X450" i="19"/>
  <c r="W406" i="19"/>
  <c r="X449" i="19"/>
  <c r="W449" i="19"/>
  <c r="X37" i="19"/>
  <c r="W37" i="19"/>
  <c r="X101" i="19"/>
  <c r="X116" i="19"/>
  <c r="X466" i="19"/>
  <c r="W109" i="19"/>
  <c r="W366" i="19"/>
  <c r="W424" i="19"/>
  <c r="W426" i="19"/>
  <c r="X426" i="19"/>
  <c r="X401" i="19"/>
  <c r="X414" i="19"/>
  <c r="W414" i="19"/>
  <c r="W297" i="19"/>
  <c r="X297" i="19"/>
  <c r="X358" i="19"/>
  <c r="W358" i="19"/>
  <c r="W313" i="19"/>
  <c r="X500" i="19"/>
  <c r="X103" i="19"/>
  <c r="W314" i="19"/>
  <c r="X314" i="19"/>
  <c r="X13" i="19"/>
  <c r="W133" i="19"/>
  <c r="X28" i="19"/>
  <c r="W476" i="19"/>
  <c r="X490" i="19"/>
  <c r="X436" i="19"/>
  <c r="X463" i="19"/>
  <c r="X31" i="19"/>
  <c r="X54" i="19"/>
  <c r="X77" i="19"/>
  <c r="X135" i="19"/>
  <c r="W345" i="19"/>
  <c r="W389" i="19"/>
  <c r="X415" i="19"/>
  <c r="X482" i="19"/>
  <c r="X495" i="19"/>
  <c r="X63" i="19"/>
  <c r="X471" i="19"/>
  <c r="BF16" i="10"/>
  <c r="W273" i="42"/>
  <c r="W68" i="42"/>
  <c r="W188" i="42"/>
  <c r="W486" i="19"/>
  <c r="X486" i="19"/>
  <c r="W9" i="19"/>
  <c r="X94" i="19"/>
  <c r="W94" i="19"/>
  <c r="W407" i="19"/>
  <c r="X407" i="19"/>
  <c r="W157" i="19"/>
  <c r="X157" i="19"/>
  <c r="X120" i="19"/>
  <c r="W150" i="19"/>
  <c r="X150" i="19"/>
  <c r="W106" i="19"/>
  <c r="X106" i="19"/>
  <c r="W372" i="19"/>
  <c r="X372" i="19"/>
  <c r="W441" i="19"/>
  <c r="X441" i="19"/>
  <c r="W129" i="19"/>
  <c r="X129" i="19"/>
  <c r="X329" i="19"/>
  <c r="W329" i="19"/>
  <c r="X409" i="19"/>
  <c r="W409" i="19"/>
  <c r="X74" i="19"/>
  <c r="X87" i="19"/>
  <c r="W102" i="19"/>
  <c r="X102" i="19"/>
  <c r="W52" i="19"/>
  <c r="X52" i="19"/>
  <c r="W431" i="19"/>
  <c r="X431" i="19"/>
  <c r="W474" i="19"/>
  <c r="X474" i="19"/>
  <c r="W16" i="19"/>
  <c r="X16" i="19"/>
  <c r="W278" i="19"/>
  <c r="W148" i="19"/>
  <c r="X148" i="19"/>
  <c r="X444" i="19"/>
  <c r="W444" i="19"/>
  <c r="X430" i="19"/>
  <c r="X478" i="19"/>
  <c r="W478" i="19"/>
  <c r="X24" i="19"/>
  <c r="W46" i="19"/>
  <c r="W387" i="19"/>
  <c r="X387" i="19"/>
  <c r="X14" i="19"/>
  <c r="X33" i="19"/>
  <c r="X69" i="19"/>
  <c r="W273" i="19"/>
  <c r="X285" i="19"/>
  <c r="X310" i="19"/>
  <c r="X346" i="19"/>
  <c r="W422" i="19"/>
  <c r="X503" i="19"/>
  <c r="X55" i="19"/>
  <c r="X97" i="19"/>
  <c r="X117" i="19"/>
  <c r="W337" i="19"/>
  <c r="X470" i="19"/>
  <c r="W492" i="19"/>
  <c r="X11" i="19"/>
  <c r="W22" i="19"/>
  <c r="X71" i="19"/>
  <c r="X326" i="19"/>
  <c r="W338" i="19"/>
  <c r="W200" i="42"/>
  <c r="W363" i="42"/>
  <c r="W292" i="42"/>
  <c r="W229" i="42"/>
  <c r="V229" i="42"/>
  <c r="W220" i="42"/>
  <c r="W321" i="42"/>
  <c r="W49" i="42"/>
  <c r="W52" i="42"/>
  <c r="W65" i="42"/>
  <c r="V65" i="42"/>
  <c r="W148" i="42"/>
  <c r="W43" i="42"/>
  <c r="W25" i="42"/>
  <c r="W133" i="42"/>
  <c r="V133" i="42"/>
  <c r="W197" i="42"/>
  <c r="W413" i="42"/>
  <c r="W451" i="42"/>
  <c r="W463" i="42"/>
  <c r="W469" i="42"/>
  <c r="W493" i="42"/>
  <c r="W136" i="42"/>
  <c r="W279" i="42"/>
  <c r="W40" i="42"/>
  <c r="W124" i="42"/>
  <c r="W212" i="42"/>
  <c r="W253" i="42"/>
  <c r="W425" i="42"/>
  <c r="W88" i="42"/>
  <c r="W152" i="42"/>
  <c r="W355" i="42"/>
  <c r="W411" i="42"/>
  <c r="W449" i="42"/>
  <c r="W84" i="42"/>
  <c r="W173" i="42"/>
  <c r="W387" i="42"/>
  <c r="W72" i="42"/>
  <c r="V173" i="42"/>
  <c r="V387" i="42"/>
  <c r="W399" i="42"/>
  <c r="W53" i="42"/>
  <c r="W164" i="42"/>
  <c r="W361" i="42"/>
  <c r="W204" i="42"/>
  <c r="W14" i="42"/>
  <c r="W140" i="42"/>
  <c r="W236" i="42"/>
  <c r="W283" i="42"/>
  <c r="W276" i="42"/>
  <c r="W13" i="42"/>
  <c r="W176" i="42"/>
  <c r="W315" i="42"/>
  <c r="W375" i="42"/>
  <c r="W37" i="42"/>
  <c r="W100" i="42"/>
  <c r="W112" i="42"/>
  <c r="W30" i="42"/>
  <c r="W149" i="42"/>
  <c r="W189" i="42"/>
  <c r="V189" i="42"/>
  <c r="V149" i="42"/>
  <c r="W245" i="42"/>
  <c r="W304" i="42"/>
  <c r="W41" i="42"/>
  <c r="W60" i="42"/>
  <c r="W373" i="42"/>
  <c r="W109" i="42"/>
  <c r="V253" i="42"/>
  <c r="W268" i="42"/>
  <c r="W381" i="42"/>
  <c r="V268" i="42"/>
  <c r="V425" i="42"/>
  <c r="W437" i="42"/>
  <c r="W44" i="42"/>
  <c r="W85" i="42"/>
  <c r="W307" i="42"/>
  <c r="W57" i="42"/>
  <c r="W128" i="42"/>
  <c r="W213" i="42"/>
  <c r="W125" i="42"/>
  <c r="V245" i="42"/>
  <c r="W343" i="42"/>
  <c r="W19" i="42"/>
  <c r="W48" i="42"/>
  <c r="W196" i="42"/>
  <c r="W205" i="42"/>
  <c r="W272" i="42"/>
  <c r="W444" i="42"/>
  <c r="W477" i="42"/>
  <c r="W313" i="42"/>
  <c r="W337" i="42"/>
  <c r="V213" i="42"/>
  <c r="W216" i="42"/>
  <c r="W269" i="42"/>
  <c r="W64" i="42"/>
  <c r="W181" i="42"/>
  <c r="W208" i="42"/>
  <c r="W228" i="42"/>
  <c r="W237" i="42"/>
  <c r="W281" i="42"/>
  <c r="W471" i="42"/>
  <c r="W23" i="42"/>
  <c r="W76" i="42"/>
  <c r="W101" i="42"/>
  <c r="W35" i="42"/>
  <c r="W92" i="42"/>
  <c r="W260" i="42"/>
  <c r="W24" i="42"/>
  <c r="V181" i="42"/>
  <c r="V237" i="42"/>
  <c r="W311" i="42"/>
  <c r="W317" i="42"/>
  <c r="W341" i="42"/>
  <c r="W465" i="42"/>
  <c r="W433" i="42"/>
  <c r="W301" i="42"/>
  <c r="V307" i="42"/>
  <c r="W316" i="42"/>
  <c r="W38" i="42"/>
  <c r="V57" i="42"/>
  <c r="W116" i="42"/>
  <c r="V125" i="42"/>
  <c r="W172" i="42"/>
  <c r="W252" i="42"/>
  <c r="W335" i="42"/>
  <c r="W380" i="42"/>
  <c r="W389" i="42"/>
  <c r="W36" i="42"/>
  <c r="W93" i="42"/>
  <c r="W108" i="42"/>
  <c r="W157" i="42"/>
  <c r="W261" i="42"/>
  <c r="V261" i="42"/>
  <c r="V380" i="42"/>
  <c r="V389" i="42"/>
  <c r="W395" i="42"/>
  <c r="W404" i="42"/>
  <c r="W427" i="42"/>
  <c r="W20" i="42"/>
  <c r="W42" i="42"/>
  <c r="W80" i="42"/>
  <c r="W156" i="42"/>
  <c r="W165" i="42"/>
  <c r="W180" i="42"/>
  <c r="W284" i="42"/>
  <c r="W296" i="42"/>
  <c r="W323" i="42"/>
  <c r="W388" i="42"/>
  <c r="W403" i="42"/>
  <c r="W420" i="42"/>
  <c r="W467" i="42"/>
  <c r="W16" i="42"/>
  <c r="W39" i="42"/>
  <c r="W77" i="42"/>
  <c r="W96" i="42"/>
  <c r="W117" i="42"/>
  <c r="W132" i="42"/>
  <c r="W141" i="42"/>
  <c r="W144" i="42"/>
  <c r="V165" i="42"/>
  <c r="W221" i="42"/>
  <c r="W244" i="42"/>
  <c r="W287" i="42"/>
  <c r="W290" i="42"/>
  <c r="V296" i="42"/>
  <c r="W359" i="42"/>
  <c r="W397" i="42"/>
  <c r="W485" i="42"/>
  <c r="X165" i="19"/>
  <c r="W165" i="19"/>
  <c r="X380" i="19"/>
  <c r="W380" i="19"/>
  <c r="W342" i="19"/>
  <c r="W354" i="19"/>
  <c r="X142" i="19"/>
  <c r="W142" i="19"/>
  <c r="X281" i="19"/>
  <c r="W281" i="19"/>
  <c r="W61" i="19"/>
  <c r="X61" i="19"/>
  <c r="X158" i="19"/>
  <c r="W158" i="19"/>
  <c r="W308" i="19"/>
  <c r="X308" i="19"/>
  <c r="X320" i="19"/>
  <c r="W320" i="19"/>
  <c r="W151" i="19"/>
  <c r="X151" i="19"/>
  <c r="W20" i="19"/>
  <c r="X20" i="19"/>
  <c r="X62" i="19"/>
  <c r="W62" i="19"/>
  <c r="W76" i="19"/>
  <c r="X76" i="19"/>
  <c r="X399" i="19"/>
  <c r="W399" i="19"/>
  <c r="X161" i="19"/>
  <c r="W161" i="19"/>
  <c r="X501" i="19"/>
  <c r="W501" i="19"/>
  <c r="W410" i="19"/>
  <c r="X410" i="19"/>
  <c r="W467" i="19"/>
  <c r="X467" i="19"/>
  <c r="X274" i="19"/>
  <c r="W274" i="19"/>
  <c r="X118" i="19"/>
  <c r="W118" i="19"/>
  <c r="W23" i="19"/>
  <c r="X23" i="19"/>
  <c r="X373" i="19"/>
  <c r="W373" i="19"/>
  <c r="X384" i="19"/>
  <c r="W384" i="19"/>
  <c r="X453" i="19"/>
  <c r="W453" i="19"/>
  <c r="W124" i="19"/>
  <c r="X124" i="19"/>
  <c r="X321" i="19"/>
  <c r="W321" i="19"/>
  <c r="X7" i="19"/>
  <c r="W7" i="19"/>
  <c r="W42" i="19"/>
  <c r="X42" i="19"/>
  <c r="W84" i="19"/>
  <c r="X84" i="19"/>
  <c r="X286" i="19"/>
  <c r="W286" i="19"/>
  <c r="X488" i="19"/>
  <c r="W488" i="19"/>
  <c r="X479" i="19"/>
  <c r="W479" i="19"/>
  <c r="X290" i="19"/>
  <c r="W290" i="19"/>
  <c r="W349" i="19"/>
  <c r="X349" i="19"/>
  <c r="X86" i="19"/>
  <c r="W86" i="19"/>
  <c r="W127" i="19"/>
  <c r="X127" i="19"/>
  <c r="X149" i="19"/>
  <c r="W149" i="19"/>
  <c r="X364" i="19"/>
  <c r="W364" i="19"/>
  <c r="X377" i="19"/>
  <c r="W377" i="19"/>
  <c r="W298" i="19"/>
  <c r="X298" i="19"/>
  <c r="X355" i="19"/>
  <c r="W355" i="19"/>
  <c r="X502" i="19"/>
  <c r="W502" i="19"/>
  <c r="X4" i="19"/>
  <c r="X44" i="19"/>
  <c r="W65" i="19"/>
  <c r="X65" i="19"/>
  <c r="W92" i="19"/>
  <c r="X92" i="19"/>
  <c r="X287" i="19"/>
  <c r="W287" i="19"/>
  <c r="X393" i="19"/>
  <c r="W393" i="19"/>
  <c r="X53" i="19"/>
  <c r="W53" i="19"/>
  <c r="W279" i="19"/>
  <c r="X279" i="19"/>
  <c r="X385" i="19"/>
  <c r="W385" i="19"/>
  <c r="W95" i="19"/>
  <c r="X95" i="19"/>
  <c r="X316" i="19"/>
  <c r="W316" i="19"/>
  <c r="X442" i="19"/>
  <c r="W442" i="19"/>
  <c r="W271" i="19"/>
  <c r="X350" i="19"/>
  <c r="W350" i="19"/>
  <c r="X362" i="19"/>
  <c r="X419" i="19"/>
  <c r="W419" i="19"/>
  <c r="W21" i="19"/>
  <c r="W45" i="19"/>
  <c r="X56" i="19"/>
  <c r="W110" i="19"/>
  <c r="W141" i="19"/>
  <c r="X152" i="19"/>
  <c r="W167" i="19"/>
  <c r="W296" i="19"/>
  <c r="W322" i="19"/>
  <c r="X339" i="19"/>
  <c r="W374" i="19"/>
  <c r="W383" i="19"/>
  <c r="W390" i="19"/>
  <c r="W408" i="19"/>
  <c r="W434" i="19"/>
  <c r="X451" i="19"/>
  <c r="X477" i="19"/>
  <c r="W494" i="19"/>
  <c r="X5" i="19"/>
  <c r="X39" i="19"/>
  <c r="W280" i="19"/>
  <c r="W348" i="19"/>
  <c r="X425" i="19"/>
  <c r="X88" i="19"/>
  <c r="X282" i="19"/>
  <c r="W325" i="19"/>
  <c r="W335" i="19"/>
  <c r="W428" i="19"/>
  <c r="W437" i="19"/>
  <c r="W454" i="19"/>
  <c r="W472" i="19"/>
  <c r="W162" i="19"/>
  <c r="W291" i="19"/>
  <c r="W309" i="19"/>
  <c r="X343" i="19"/>
  <c r="W351" i="19"/>
  <c r="W386" i="19"/>
  <c r="X403" i="19"/>
  <c r="X447" i="19"/>
  <c r="W465" i="19"/>
  <c r="W498" i="19"/>
  <c r="X275" i="19"/>
  <c r="W300" i="19"/>
  <c r="W360" i="19"/>
  <c r="W370" i="19"/>
  <c r="W378" i="19"/>
  <c r="W438" i="19"/>
  <c r="W473" i="19"/>
  <c r="X489" i="19"/>
  <c r="X60" i="19"/>
  <c r="X108" i="19"/>
  <c r="X119" i="19"/>
  <c r="X138" i="19"/>
  <c r="X156" i="19"/>
  <c r="W284" i="19"/>
  <c r="W344" i="19"/>
  <c r="X413" i="19"/>
  <c r="W448" i="19"/>
  <c r="V53" i="42"/>
  <c r="V77" i="42"/>
  <c r="V85" i="42"/>
  <c r="V93" i="42"/>
  <c r="W320" i="42"/>
  <c r="W327" i="42"/>
  <c r="W358" i="42"/>
  <c r="W365" i="42"/>
  <c r="W372" i="42"/>
  <c r="W379" i="42"/>
  <c r="W410" i="42"/>
  <c r="W417" i="42"/>
  <c r="W448" i="42"/>
  <c r="W455" i="42"/>
  <c r="V24" i="42"/>
  <c r="W17" i="42"/>
  <c r="W97" i="42"/>
  <c r="AC12" i="42"/>
  <c r="W33" i="42"/>
  <c r="V35" i="42"/>
  <c r="W285" i="42"/>
  <c r="V36" i="42"/>
  <c r="W61" i="42"/>
  <c r="W69" i="42"/>
  <c r="V279" i="42"/>
  <c r="V290" i="42"/>
  <c r="V301" i="42"/>
  <c r="V311" i="42"/>
  <c r="V337" i="42"/>
  <c r="W344" i="42"/>
  <c r="W351" i="42"/>
  <c r="V375" i="42"/>
  <c r="W382" i="42"/>
  <c r="W396" i="42"/>
  <c r="V413" i="42"/>
  <c r="V420" i="42"/>
  <c r="V427" i="42"/>
  <c r="W434" i="42"/>
  <c r="W441" i="42"/>
  <c r="V465" i="42"/>
  <c r="W472" i="42"/>
  <c r="W479" i="42"/>
  <c r="V485" i="42"/>
  <c r="W488" i="42"/>
  <c r="V10" i="42"/>
  <c r="V23" i="42"/>
  <c r="W12" i="42"/>
  <c r="W15" i="42"/>
  <c r="W21" i="42"/>
  <c r="W22" i="42"/>
  <c r="W26" i="42"/>
  <c r="W46" i="42"/>
  <c r="W54" i="42"/>
  <c r="W62" i="42"/>
  <c r="W274" i="42"/>
  <c r="W45" i="42"/>
  <c r="V37" i="42"/>
  <c r="V38" i="42"/>
  <c r="V39" i="42"/>
  <c r="V40" i="42"/>
  <c r="V41" i="42"/>
  <c r="V42" i="42"/>
  <c r="V43" i="42"/>
  <c r="V44" i="42"/>
  <c r="V52" i="42"/>
  <c r="V60" i="42"/>
  <c r="V68" i="42"/>
  <c r="V76" i="42"/>
  <c r="V84" i="42"/>
  <c r="V92" i="42"/>
  <c r="V100" i="42"/>
  <c r="V108" i="42"/>
  <c r="V116" i="42"/>
  <c r="V124" i="42"/>
  <c r="V132" i="42"/>
  <c r="V140" i="42"/>
  <c r="V148" i="42"/>
  <c r="V156" i="42"/>
  <c r="V164" i="42"/>
  <c r="V172" i="42"/>
  <c r="V180" i="42"/>
  <c r="V188" i="42"/>
  <c r="V196" i="42"/>
  <c r="V204" i="42"/>
  <c r="V212" i="42"/>
  <c r="V220" i="42"/>
  <c r="V228" i="42"/>
  <c r="V236" i="42"/>
  <c r="V244" i="42"/>
  <c r="V252" i="42"/>
  <c r="V260" i="42"/>
  <c r="V273" i="42"/>
  <c r="V284" i="42"/>
  <c r="V315" i="42"/>
  <c r="V323" i="42"/>
  <c r="W330" i="42"/>
  <c r="W368" i="42"/>
  <c r="V399" i="42"/>
  <c r="W406" i="42"/>
  <c r="V437" i="42"/>
  <c r="V444" i="42"/>
  <c r="V451" i="42"/>
  <c r="W458" i="42"/>
  <c r="W482" i="42"/>
  <c r="V4" i="42"/>
  <c r="V6" i="42"/>
  <c r="V11" i="42"/>
  <c r="V14" i="42"/>
  <c r="V20" i="42"/>
  <c r="V25" i="42"/>
  <c r="W89" i="42"/>
  <c r="W78" i="42"/>
  <c r="W34" i="42"/>
  <c r="W354" i="42"/>
  <c r="W392" i="42"/>
  <c r="W430" i="42"/>
  <c r="V13" i="42"/>
  <c r="W70" i="42"/>
  <c r="AD4" i="42"/>
  <c r="W267" i="42"/>
  <c r="W278" i="42"/>
  <c r="W295" i="42"/>
  <c r="W306" i="42"/>
  <c r="W319" i="42"/>
  <c r="W326" i="42"/>
  <c r="W333" i="42"/>
  <c r="W340" i="42"/>
  <c r="W347" i="42"/>
  <c r="W378" i="42"/>
  <c r="W385" i="42"/>
  <c r="W416" i="42"/>
  <c r="W423" i="42"/>
  <c r="W454" i="42"/>
  <c r="W461" i="42"/>
  <c r="W468" i="42"/>
  <c r="W475" i="42"/>
  <c r="W59" i="42"/>
  <c r="W67" i="42"/>
  <c r="W83" i="42"/>
  <c r="W99" i="42"/>
  <c r="W115" i="42"/>
  <c r="W131" i="42"/>
  <c r="W147" i="42"/>
  <c r="W171" i="42"/>
  <c r="W179" i="42"/>
  <c r="W187" i="42"/>
  <c r="W195" i="42"/>
  <c r="W203" i="42"/>
  <c r="W211" i="42"/>
  <c r="W219" i="42"/>
  <c r="W227" i="42"/>
  <c r="W235" i="42"/>
  <c r="W243" i="42"/>
  <c r="W251" i="42"/>
  <c r="W259" i="42"/>
  <c r="V272" i="42"/>
  <c r="V283" i="42"/>
  <c r="W289" i="42"/>
  <c r="W300" i="42"/>
  <c r="W310" i="42"/>
  <c r="V343" i="42"/>
  <c r="W350" i="42"/>
  <c r="W357" i="42"/>
  <c r="W364" i="42"/>
  <c r="W371" i="42"/>
  <c r="V381" i="42"/>
  <c r="V388" i="42"/>
  <c r="V395" i="42"/>
  <c r="W402" i="42"/>
  <c r="W409" i="42"/>
  <c r="V433" i="42"/>
  <c r="W440" i="42"/>
  <c r="W447" i="42"/>
  <c r="V471" i="42"/>
  <c r="W478" i="42"/>
  <c r="W51" i="42"/>
  <c r="W75" i="42"/>
  <c r="W91" i="42"/>
  <c r="W107" i="42"/>
  <c r="W123" i="42"/>
  <c r="W139" i="42"/>
  <c r="W155" i="42"/>
  <c r="W163" i="42"/>
  <c r="W294" i="42"/>
  <c r="W336" i="42"/>
  <c r="W374" i="42"/>
  <c r="W426" i="42"/>
  <c r="W464" i="42"/>
  <c r="W484" i="42"/>
  <c r="W487" i="42"/>
  <c r="W490" i="42"/>
  <c r="W50" i="42"/>
  <c r="W58" i="42"/>
  <c r="W66" i="42"/>
  <c r="W74" i="42"/>
  <c r="W82" i="42"/>
  <c r="W90" i="42"/>
  <c r="W98" i="42"/>
  <c r="W106" i="42"/>
  <c r="W114" i="42"/>
  <c r="W122" i="42"/>
  <c r="W130" i="42"/>
  <c r="W138" i="42"/>
  <c r="W146" i="42"/>
  <c r="W154" i="42"/>
  <c r="W162" i="42"/>
  <c r="W170" i="42"/>
  <c r="W178" i="42"/>
  <c r="W186" i="42"/>
  <c r="W194" i="42"/>
  <c r="W202" i="42"/>
  <c r="W210" i="42"/>
  <c r="W218" i="42"/>
  <c r="W226" i="42"/>
  <c r="W234" i="42"/>
  <c r="W242" i="42"/>
  <c r="W250" i="42"/>
  <c r="W258" i="42"/>
  <c r="W266" i="42"/>
  <c r="W277" i="42"/>
  <c r="W305" i="42"/>
  <c r="W314" i="42"/>
  <c r="W318" i="42"/>
  <c r="W322" i="42"/>
  <c r="W329" i="42"/>
  <c r="W360" i="42"/>
  <c r="W367" i="42"/>
  <c r="W398" i="42"/>
  <c r="W405" i="42"/>
  <c r="W412" i="42"/>
  <c r="W419" i="42"/>
  <c r="W450" i="42"/>
  <c r="W457" i="42"/>
  <c r="W481" i="42"/>
  <c r="V487" i="42"/>
  <c r="W288" i="42"/>
  <c r="W299" i="42"/>
  <c r="W346" i="42"/>
  <c r="W353" i="42"/>
  <c r="W384" i="42"/>
  <c r="W391" i="42"/>
  <c r="W422" i="42"/>
  <c r="W429" i="42"/>
  <c r="W436" i="42"/>
  <c r="W443" i="42"/>
  <c r="W474" i="42"/>
  <c r="W498" i="42"/>
  <c r="W209" i="42"/>
  <c r="W271" i="42"/>
  <c r="V276" i="42"/>
  <c r="W293" i="42"/>
  <c r="V304" i="42"/>
  <c r="W309" i="42"/>
  <c r="W325" i="42"/>
  <c r="W332" i="42"/>
  <c r="W339" i="42"/>
  <c r="V363" i="42"/>
  <c r="W370" i="42"/>
  <c r="W377" i="42"/>
  <c r="W408" i="42"/>
  <c r="W415" i="42"/>
  <c r="W446" i="42"/>
  <c r="W453" i="42"/>
  <c r="W460" i="42"/>
  <c r="V477" i="42"/>
  <c r="W492" i="42"/>
  <c r="W495" i="42"/>
  <c r="W499" i="42"/>
  <c r="W491" i="42"/>
  <c r="W496" i="42"/>
  <c r="V16" i="42"/>
  <c r="W225" i="42"/>
  <c r="W233" i="42"/>
  <c r="W28" i="42"/>
  <c r="V72" i="42"/>
  <c r="V144" i="42"/>
  <c r="V216" i="42"/>
  <c r="V287" i="42"/>
  <c r="V335" i="42"/>
  <c r="W342" i="42"/>
  <c r="W356" i="42"/>
  <c r="V373" i="42"/>
  <c r="W394" i="42"/>
  <c r="W401" i="42"/>
  <c r="W432" i="42"/>
  <c r="W439" i="42"/>
  <c r="W470" i="42"/>
  <c r="W489" i="42"/>
  <c r="W4" i="42"/>
  <c r="W18" i="42"/>
  <c r="W137" i="42"/>
  <c r="W145" i="42"/>
  <c r="W153" i="42"/>
  <c r="W185" i="42"/>
  <c r="W193" i="42"/>
  <c r="W201" i="42"/>
  <c r="V48" i="42"/>
  <c r="V80" i="42"/>
  <c r="V88" i="42"/>
  <c r="V96" i="42"/>
  <c r="V112" i="42"/>
  <c r="V128" i="42"/>
  <c r="V136" i="42"/>
  <c r="V152" i="42"/>
  <c r="V176" i="42"/>
  <c r="V208" i="42"/>
  <c r="V313" i="42"/>
  <c r="V317" i="42"/>
  <c r="W168" i="42"/>
  <c r="W184" i="42"/>
  <c r="W224" i="42"/>
  <c r="W232" i="42"/>
  <c r="W240" i="42"/>
  <c r="W248" i="42"/>
  <c r="W256" i="42"/>
  <c r="W264" i="42"/>
  <c r="W270" i="42"/>
  <c r="V281" i="42"/>
  <c r="V292" i="42"/>
  <c r="W298" i="42"/>
  <c r="V321" i="42"/>
  <c r="W328" i="42"/>
  <c r="V359" i="42"/>
  <c r="W366" i="42"/>
  <c r="V397" i="42"/>
  <c r="V404" i="42"/>
  <c r="V411" i="42"/>
  <c r="W418" i="42"/>
  <c r="V449" i="42"/>
  <c r="W456" i="42"/>
  <c r="V489" i="42"/>
  <c r="W500" i="42"/>
  <c r="V7" i="42"/>
  <c r="W129" i="42"/>
  <c r="V64" i="42"/>
  <c r="V200" i="42"/>
  <c r="W349" i="42"/>
  <c r="Y12" i="42"/>
  <c r="W29" i="42"/>
  <c r="V30" i="42"/>
  <c r="W56" i="42"/>
  <c r="W104" i="42"/>
  <c r="W120" i="42"/>
  <c r="W160" i="42"/>
  <c r="W192" i="42"/>
  <c r="W352" i="42"/>
  <c r="W390" i="42"/>
  <c r="W442" i="42"/>
  <c r="W480" i="42"/>
  <c r="W486" i="42"/>
  <c r="W497" i="42"/>
  <c r="W27" i="42"/>
  <c r="W177" i="42"/>
  <c r="W217" i="42"/>
  <c r="W257" i="42"/>
  <c r="W265" i="42"/>
  <c r="AA22" i="42"/>
  <c r="W47" i="42"/>
  <c r="W55" i="42"/>
  <c r="W63" i="42"/>
  <c r="W79" i="42"/>
  <c r="W103" i="42"/>
  <c r="W119" i="42"/>
  <c r="W135" i="42"/>
  <c r="W151" i="42"/>
  <c r="W167" i="42"/>
  <c r="W183" i="42"/>
  <c r="W199" i="42"/>
  <c r="W215" i="42"/>
  <c r="W231" i="42"/>
  <c r="W247" i="42"/>
  <c r="W255" i="42"/>
  <c r="W263" i="42"/>
  <c r="W275" i="42"/>
  <c r="W286" i="42"/>
  <c r="W303" i="42"/>
  <c r="W308" i="42"/>
  <c r="W338" i="42"/>
  <c r="W345" i="42"/>
  <c r="W376" i="42"/>
  <c r="W383" i="42"/>
  <c r="W414" i="42"/>
  <c r="W421" i="42"/>
  <c r="W428" i="42"/>
  <c r="W435" i="42"/>
  <c r="W466" i="42"/>
  <c r="W473" i="42"/>
  <c r="V5" i="42"/>
  <c r="W105" i="42"/>
  <c r="W113" i="42"/>
  <c r="W161" i="42"/>
  <c r="W169" i="42"/>
  <c r="W241" i="42"/>
  <c r="W249" i="42"/>
  <c r="W282" i="42"/>
  <c r="W31" i="42"/>
  <c r="W71" i="42"/>
  <c r="W87" i="42"/>
  <c r="W95" i="42"/>
  <c r="W111" i="42"/>
  <c r="W127" i="42"/>
  <c r="W143" i="42"/>
  <c r="W159" i="42"/>
  <c r="W175" i="42"/>
  <c r="W191" i="42"/>
  <c r="W207" i="42"/>
  <c r="W223" i="42"/>
  <c r="W239" i="42"/>
  <c r="W32" i="42"/>
  <c r="W297" i="42"/>
  <c r="W312" i="42"/>
  <c r="V316" i="42"/>
  <c r="W324" i="42"/>
  <c r="W331" i="42"/>
  <c r="V341" i="42"/>
  <c r="V355" i="42"/>
  <c r="W362" i="42"/>
  <c r="W369" i="42"/>
  <c r="W400" i="42"/>
  <c r="W407" i="42"/>
  <c r="W438" i="42"/>
  <c r="W445" i="42"/>
  <c r="W452" i="42"/>
  <c r="W459" i="42"/>
  <c r="V469" i="42"/>
  <c r="W483" i="42"/>
  <c r="V19" i="42"/>
  <c r="W73" i="42"/>
  <c r="W81" i="42"/>
  <c r="W121" i="42"/>
  <c r="W86" i="42"/>
  <c r="W94" i="42"/>
  <c r="W102" i="42"/>
  <c r="W110" i="42"/>
  <c r="W118" i="42"/>
  <c r="W126" i="42"/>
  <c r="W134" i="42"/>
  <c r="W142" i="42"/>
  <c r="W150" i="42"/>
  <c r="W158" i="42"/>
  <c r="W166" i="42"/>
  <c r="W174" i="42"/>
  <c r="W182" i="42"/>
  <c r="W190" i="42"/>
  <c r="W198" i="42"/>
  <c r="W206" i="42"/>
  <c r="W214" i="42"/>
  <c r="W222" i="42"/>
  <c r="W230" i="42"/>
  <c r="W238" i="42"/>
  <c r="W246" i="42"/>
  <c r="W254" i="42"/>
  <c r="W262" i="42"/>
  <c r="W280" i="42"/>
  <c r="W291" i="42"/>
  <c r="W302" i="42"/>
  <c r="W334" i="42"/>
  <c r="W348" i="42"/>
  <c r="W386" i="42"/>
  <c r="W393" i="42"/>
  <c r="W424" i="42"/>
  <c r="W431" i="42"/>
  <c r="W462" i="42"/>
  <c r="W476" i="42"/>
  <c r="W494" i="42"/>
  <c r="W367" i="19"/>
  <c r="X367" i="19"/>
  <c r="X163" i="19"/>
  <c r="W163" i="19"/>
  <c r="X420" i="19"/>
  <c r="W420" i="19"/>
  <c r="W361" i="19"/>
  <c r="X361" i="19"/>
  <c r="W79" i="19"/>
  <c r="X79" i="19"/>
  <c r="X38" i="19"/>
  <c r="X121" i="19"/>
  <c r="W121" i="19"/>
  <c r="X98" i="19"/>
  <c r="W98" i="19"/>
  <c r="W75" i="19"/>
  <c r="X75" i="19"/>
  <c r="W139" i="19"/>
  <c r="X139" i="19"/>
  <c r="X292" i="19"/>
  <c r="W292" i="19"/>
  <c r="X57" i="19"/>
  <c r="W57" i="19"/>
  <c r="X34" i="19"/>
  <c r="W34" i="19"/>
  <c r="X93" i="19"/>
  <c r="X134" i="19"/>
  <c r="W379" i="19"/>
  <c r="X379" i="19"/>
  <c r="X397" i="19"/>
  <c r="W397" i="19"/>
  <c r="X303" i="19"/>
  <c r="X29" i="19"/>
  <c r="X70" i="19"/>
  <c r="W111" i="19"/>
  <c r="X111" i="19"/>
  <c r="X153" i="19"/>
  <c r="W153" i="19"/>
  <c r="W47" i="19"/>
  <c r="X47" i="19"/>
  <c r="X168" i="19"/>
  <c r="X484" i="19"/>
  <c r="W484" i="19"/>
  <c r="W107" i="19"/>
  <c r="X107" i="19"/>
  <c r="X130" i="19"/>
  <c r="W130" i="19"/>
  <c r="X356" i="19"/>
  <c r="W356" i="19"/>
  <c r="X89" i="19"/>
  <c r="W89" i="19"/>
  <c r="X332" i="19"/>
  <c r="W332" i="19"/>
  <c r="X461" i="19"/>
  <c r="W461" i="19"/>
  <c r="W43" i="19"/>
  <c r="X43" i="19"/>
  <c r="X66" i="19"/>
  <c r="W66" i="19"/>
  <c r="X125" i="19"/>
  <c r="W315" i="19"/>
  <c r="X315" i="19"/>
  <c r="X333" i="19"/>
  <c r="W333" i="19"/>
  <c r="W443" i="19"/>
  <c r="X443" i="19"/>
  <c r="X8" i="19"/>
  <c r="W8" i="19"/>
  <c r="X25" i="19"/>
  <c r="W25" i="19"/>
  <c r="W143" i="19"/>
  <c r="X143" i="19"/>
  <c r="W12" i="19"/>
  <c r="X36" i="19"/>
  <c r="X68" i="19"/>
  <c r="X100" i="19"/>
  <c r="X132" i="19"/>
  <c r="W160" i="19"/>
  <c r="W277" i="19"/>
  <c r="W289" i="19"/>
  <c r="W312" i="19"/>
  <c r="W318" i="19"/>
  <c r="W341" i="19"/>
  <c r="W353" i="19"/>
  <c r="W376" i="19"/>
  <c r="W382" i="19"/>
  <c r="W405" i="19"/>
  <c r="W417" i="19"/>
  <c r="W440" i="19"/>
  <c r="W446" i="19"/>
  <c r="W469" i="19"/>
  <c r="W481" i="19"/>
  <c r="W15" i="19"/>
  <c r="W18" i="19"/>
  <c r="X27" i="19"/>
  <c r="W41" i="19"/>
  <c r="W50" i="19"/>
  <c r="X59" i="19"/>
  <c r="W73" i="19"/>
  <c r="W82" i="19"/>
  <c r="X91" i="19"/>
  <c r="W105" i="19"/>
  <c r="W114" i="19"/>
  <c r="X123" i="19"/>
  <c r="W137" i="19"/>
  <c r="W146" i="19"/>
  <c r="X155" i="19"/>
  <c r="X283" i="19"/>
  <c r="W301" i="19"/>
  <c r="W324" i="19"/>
  <c r="X347" i="19"/>
  <c r="W365" i="19"/>
  <c r="W388" i="19"/>
  <c r="X411" i="19"/>
  <c r="W429" i="19"/>
  <c r="W452" i="19"/>
  <c r="X475" i="19"/>
  <c r="W493" i="19"/>
  <c r="X32" i="19"/>
  <c r="X64" i="19"/>
  <c r="X96" i="19"/>
  <c r="X128" i="19"/>
  <c r="X166" i="19"/>
  <c r="W272" i="19"/>
  <c r="X295" i="19"/>
  <c r="W307" i="19"/>
  <c r="W330" i="19"/>
  <c r="W336" i="19"/>
  <c r="X359" i="19"/>
  <c r="W371" i="19"/>
  <c r="W394" i="19"/>
  <c r="W400" i="19"/>
  <c r="X423" i="19"/>
  <c r="W435" i="19"/>
  <c r="W458" i="19"/>
  <c r="W464" i="19"/>
  <c r="X487" i="19"/>
  <c r="W499" i="19"/>
  <c r="W412" i="19"/>
  <c r="X19" i="19"/>
  <c r="X51" i="19"/>
  <c r="X83" i="19"/>
  <c r="X115" i="19"/>
  <c r="X147" i="19"/>
  <c r="X331" i="19"/>
  <c r="X395" i="19"/>
  <c r="X459" i="19"/>
  <c r="W396" i="19"/>
  <c r="W460" i="19"/>
  <c r="X48" i="19"/>
  <c r="X80" i="19"/>
  <c r="X112" i="19"/>
  <c r="X144" i="19"/>
  <c r="W304" i="19"/>
  <c r="X327" i="19"/>
  <c r="W368" i="19"/>
  <c r="X391" i="19"/>
  <c r="W432" i="19"/>
  <c r="X455" i="19"/>
  <c r="W496" i="19"/>
  <c r="X140" i="19"/>
  <c r="W164" i="19"/>
  <c r="W270" i="19"/>
  <c r="W293" i="19"/>
  <c r="W305" i="19"/>
  <c r="W328" i="19"/>
  <c r="W334" i="19"/>
  <c r="W357" i="19"/>
  <c r="W369" i="19"/>
  <c r="W392" i="19"/>
  <c r="W398" i="19"/>
  <c r="W421" i="19"/>
  <c r="W433" i="19"/>
  <c r="W456" i="19"/>
  <c r="W462" i="19"/>
  <c r="W485" i="19"/>
  <c r="W497" i="19"/>
  <c r="W6" i="19"/>
  <c r="W17" i="19"/>
  <c r="W26" i="19"/>
  <c r="X35" i="19"/>
  <c r="W49" i="19"/>
  <c r="W58" i="19"/>
  <c r="X67" i="19"/>
  <c r="W81" i="19"/>
  <c r="W90" i="19"/>
  <c r="X99" i="19"/>
  <c r="W113" i="19"/>
  <c r="W122" i="19"/>
  <c r="X131" i="19"/>
  <c r="W145" i="19"/>
  <c r="W154" i="19"/>
  <c r="W276" i="19"/>
  <c r="X299" i="19"/>
  <c r="W317" i="19"/>
  <c r="W340" i="19"/>
  <c r="X363" i="19"/>
  <c r="W381" i="19"/>
  <c r="W404" i="19"/>
  <c r="X427" i="19"/>
  <c r="W445" i="19"/>
  <c r="W468" i="19"/>
  <c r="X491" i="19"/>
  <c r="X40" i="19"/>
  <c r="X72" i="19"/>
  <c r="X104" i="19"/>
  <c r="X136" i="19"/>
  <c r="W159" i="19"/>
  <c r="W288" i="19"/>
  <c r="X311" i="19"/>
  <c r="W352" i="19"/>
  <c r="X375" i="19"/>
  <c r="W416" i="19"/>
  <c r="X439" i="19"/>
  <c r="W480" i="19"/>
  <c r="FO10" i="54" l="1"/>
  <c r="CK19" i="54"/>
  <c r="CK18" i="54" s="1"/>
  <c r="CK17" i="54" s="1"/>
  <c r="FI24" i="54"/>
  <c r="FN10" i="54"/>
  <c r="FP24" i="54"/>
  <c r="CE47" i="54" a="1"/>
  <c r="CE47" i="54" s="1"/>
  <c r="EK47" i="54" s="1"/>
  <c r="FZ19" i="54"/>
  <c r="FR10" i="54"/>
  <c r="CE31" i="54" a="1"/>
  <c r="CE31" i="54" s="1"/>
  <c r="O31" i="54" s="1" a="1"/>
  <c r="O31" i="54" s="1"/>
  <c r="FH10" i="54"/>
  <c r="FI10" i="54"/>
  <c r="CE52" i="54" a="1"/>
  <c r="CE52" i="54" s="1"/>
  <c r="EK52" i="54" s="1"/>
  <c r="O22" i="54" a="1"/>
  <c r="O22" i="54" s="1"/>
  <c r="GM22" i="54" s="1"/>
  <c r="CK21" i="54"/>
  <c r="CE46" i="54" a="1"/>
  <c r="CE46" i="54" s="1"/>
  <c r="EK46" i="54" s="1"/>
  <c r="FL24" i="54"/>
  <c r="FJ10" i="54"/>
  <c r="GP3" i="54"/>
  <c r="GQ3" i="54" s="1"/>
  <c r="GR3" i="54" s="1"/>
  <c r="FK10" i="54"/>
  <c r="O21" i="54" a="1"/>
  <c r="O21" i="54" s="1"/>
  <c r="GM21" i="54" s="1"/>
  <c r="FH24" i="54"/>
  <c r="FM10" i="54"/>
  <c r="FM24" i="54"/>
  <c r="CK34" i="54"/>
  <c r="CK33" i="54" s="1"/>
  <c r="CK32" i="54" s="1"/>
  <c r="CK31" i="54" s="1"/>
  <c r="FA36" i="54"/>
  <c r="FB36" i="54"/>
  <c r="CM32" i="54"/>
  <c r="CM31" i="54" s="1"/>
  <c r="EU27" i="54"/>
  <c r="EL27" i="54"/>
  <c r="GR48" i="54"/>
  <c r="GT48" i="54"/>
  <c r="JC48" i="54" s="1"/>
  <c r="FZ5" i="54"/>
  <c r="CE22" i="54" a="1"/>
  <c r="CE22" i="54" s="1"/>
  <c r="GS55" i="54"/>
  <c r="FZ17" i="54"/>
  <c r="CE12" i="54" a="1"/>
  <c r="CE12" i="54" s="1"/>
  <c r="EK12" i="54" s="1"/>
  <c r="IA28" i="54"/>
  <c r="DL33" i="54"/>
  <c r="DM33" i="54" s="1"/>
  <c r="GS54" i="54"/>
  <c r="GT3" i="54"/>
  <c r="GU3" i="54" s="1"/>
  <c r="HZ28" i="54"/>
  <c r="DH21" i="54"/>
  <c r="DX21" i="54" s="1"/>
  <c r="FL8" i="54"/>
  <c r="DH17" i="54"/>
  <c r="DX17" i="54" s="1"/>
  <c r="DX18" i="54" s="1"/>
  <c r="GG9" i="54"/>
  <c r="DS50" i="54"/>
  <c r="FY30" i="54"/>
  <c r="FZ30" i="54" s="1"/>
  <c r="BQ36" i="54"/>
  <c r="GD9" i="54"/>
  <c r="GB50" i="54"/>
  <c r="GC50" i="54" s="1"/>
  <c r="GE50" i="54" s="1" a="1"/>
  <c r="GE50" i="54" s="1"/>
  <c r="GF50" i="54" s="1"/>
  <c r="GE3" i="54" a="1"/>
  <c r="GE3" i="54" s="1"/>
  <c r="GF3" i="54" s="1"/>
  <c r="GG52" i="54"/>
  <c r="GX52" i="54"/>
  <c r="GY52" i="54"/>
  <c r="FI8" i="54"/>
  <c r="DG54" i="54" a="1"/>
  <c r="DG54" i="54" s="1"/>
  <c r="DE54" i="54" a="1"/>
  <c r="DE54" i="54" s="1"/>
  <c r="DF54" i="54" a="1"/>
  <c r="DF54" i="54" s="1"/>
  <c r="DH54" i="54"/>
  <c r="FM8" i="54"/>
  <c r="T15" i="54"/>
  <c r="CM21" i="54"/>
  <c r="GD47" i="54"/>
  <c r="GE47" i="54" s="1" a="1"/>
  <c r="GE47" i="54" s="1"/>
  <c r="GF47" i="54" s="1"/>
  <c r="IC26" i="54"/>
  <c r="IE26" i="54" s="1" a="1"/>
  <c r="IE26" i="54" s="1"/>
  <c r="JE34" i="54"/>
  <c r="EV34" i="54"/>
  <c r="EW34" i="54" s="1"/>
  <c r="Q34" i="54" s="1"/>
  <c r="FK8" i="54"/>
  <c r="IA34" i="54"/>
  <c r="IA33" i="54" s="1"/>
  <c r="IA32" i="54" s="1"/>
  <c r="IA31" i="54" s="1"/>
  <c r="DS15" i="54"/>
  <c r="FZ37" i="54"/>
  <c r="GS48" i="54"/>
  <c r="DH23" i="54"/>
  <c r="DX23" i="54" s="1"/>
  <c r="GD25" i="54"/>
  <c r="GG47" i="54"/>
  <c r="V50" i="54"/>
  <c r="JW50" i="54"/>
  <c r="IF21" i="54"/>
  <c r="IG21" i="54" s="1"/>
  <c r="CE51" i="54" a="1"/>
  <c r="CE51" i="54" s="1"/>
  <c r="EK51" i="54" s="1"/>
  <c r="HF36" i="54"/>
  <c r="HG36" i="54" s="1"/>
  <c r="JQ36" i="54" s="1"/>
  <c r="FQ8" i="54"/>
  <c r="JW15" i="54"/>
  <c r="S6" i="54"/>
  <c r="FX47" i="54" a="1"/>
  <c r="FX47" i="54" s="1"/>
  <c r="FZ47" i="54" s="1"/>
  <c r="DE23" i="54" a="1"/>
  <c r="DE23" i="54" s="1"/>
  <c r="JL23" i="54" s="1"/>
  <c r="GG25" i="54"/>
  <c r="O18" i="54" a="1"/>
  <c r="O18" i="54" s="1"/>
  <c r="GM18" i="54" s="1"/>
  <c r="FB13" i="54"/>
  <c r="FR8" i="54"/>
  <c r="FX51" i="54" a="1"/>
  <c r="FX51" i="54" s="1"/>
  <c r="FZ51" i="54" s="1"/>
  <c r="FH8" i="54"/>
  <c r="EU28" i="54"/>
  <c r="DG23" i="54" a="1"/>
  <c r="DG23" i="54" s="1"/>
  <c r="JG23" i="54" s="1"/>
  <c r="GD5" i="54"/>
  <c r="EL26" i="54"/>
  <c r="GD14" i="54"/>
  <c r="GE14" i="54" s="1" a="1"/>
  <c r="GE14" i="54" s="1"/>
  <c r="GF14" i="54" s="1"/>
  <c r="BQ21" i="54"/>
  <c r="FJ8" i="54"/>
  <c r="CS16" i="54"/>
  <c r="CZ16" i="54" s="1"/>
  <c r="DA16" i="54" s="1"/>
  <c r="DM16" i="54" s="1"/>
  <c r="GY37" i="54"/>
  <c r="U34" i="54"/>
  <c r="FB26" i="54"/>
  <c r="JW16" i="54"/>
  <c r="GG57" i="54"/>
  <c r="FX55" i="54" a="1"/>
  <c r="FX55" i="54" s="1"/>
  <c r="FZ55" i="54" s="1"/>
  <c r="GG5" i="54"/>
  <c r="FX7" i="54" a="1"/>
  <c r="FX7" i="54" s="1"/>
  <c r="FZ7" i="54" s="1"/>
  <c r="JM34" i="54"/>
  <c r="BQ40" i="54"/>
  <c r="IB28" i="54"/>
  <c r="U28" i="54" s="1"/>
  <c r="FN8" i="54"/>
  <c r="FL10" i="54"/>
  <c r="EM38" i="54" a="1"/>
  <c r="EM38" i="54" s="1"/>
  <c r="J38" i="54" s="1"/>
  <c r="CE29" i="54" a="1"/>
  <c r="CE29" i="54" s="1"/>
  <c r="EK29" i="54" s="1"/>
  <c r="FX31" i="54" a="1"/>
  <c r="FX31" i="54" s="1"/>
  <c r="DS28" i="54"/>
  <c r="JN4" i="54"/>
  <c r="JL39" i="54"/>
  <c r="FZ33" i="54"/>
  <c r="FC26" i="54"/>
  <c r="FD26" i="54" s="1"/>
  <c r="HS26" i="54" s="1"/>
  <c r="HU26" i="54" s="1"/>
  <c r="BQ13" i="54"/>
  <c r="GG40" i="54"/>
  <c r="CE57" i="54" a="1"/>
  <c r="CE57" i="54" s="1"/>
  <c r="EK57" i="54" s="1"/>
  <c r="FY38" i="54"/>
  <c r="BQ47" i="54"/>
  <c r="GB28" i="54"/>
  <c r="GC28" i="54" s="1"/>
  <c r="GE28" i="54" s="1" a="1"/>
  <c r="GE28" i="54" s="1"/>
  <c r="GF28" i="54" s="1"/>
  <c r="JN44" i="54"/>
  <c r="HV3" i="54"/>
  <c r="GD49" i="54"/>
  <c r="GE49" i="54" s="1" a="1"/>
  <c r="GE49" i="54" s="1"/>
  <c r="GF49" i="54" s="1"/>
  <c r="FX54" i="54" a="1"/>
  <c r="FX54" i="54" s="1"/>
  <c r="FZ54" i="54" s="1"/>
  <c r="IC28" i="54"/>
  <c r="ID28" i="54" s="1" a="1"/>
  <c r="ID28" i="54" s="1"/>
  <c r="FX15" i="54" a="1"/>
  <c r="FX15" i="54" s="1"/>
  <c r="GG36" i="54"/>
  <c r="FX52" i="54" a="1"/>
  <c r="FX52" i="54" s="1"/>
  <c r="FZ52" i="54" s="1"/>
  <c r="DE53" i="54" a="1"/>
  <c r="DE53" i="54" s="1"/>
  <c r="DG53" i="54" a="1"/>
  <c r="DG53" i="54" s="1"/>
  <c r="DH53" i="54"/>
  <c r="DF53" i="54" a="1"/>
  <c r="DF53" i="54" s="1"/>
  <c r="V16" i="54"/>
  <c r="IB33" i="54"/>
  <c r="FY48" i="54"/>
  <c r="FZ48" i="54" s="1"/>
  <c r="EL41" i="54"/>
  <c r="V29" i="54"/>
  <c r="FB41" i="54"/>
  <c r="FZ50" i="54"/>
  <c r="FY39" i="54"/>
  <c r="FX39" i="54" a="1"/>
  <c r="FX39" i="54" s="1"/>
  <c r="O20" i="54" a="1"/>
  <c r="O20" i="54" s="1"/>
  <c r="GM20" i="54" s="1"/>
  <c r="IE49" i="54" a="1"/>
  <c r="IE49" i="54" s="1"/>
  <c r="ID49" i="54" a="1"/>
  <c r="ID49" i="54" s="1"/>
  <c r="FA3" i="54"/>
  <c r="EL3" i="54"/>
  <c r="FB3" i="54"/>
  <c r="FC3" i="54"/>
  <c r="FD3" i="54" s="1"/>
  <c r="HS3" i="54" s="1"/>
  <c r="HU3" i="54" s="1"/>
  <c r="CW17" i="54"/>
  <c r="CV17" i="54"/>
  <c r="CY17" i="54"/>
  <c r="CX17" i="54"/>
  <c r="FP35" i="54"/>
  <c r="FK35" i="54"/>
  <c r="FI35" i="54"/>
  <c r="FM35" i="54"/>
  <c r="FJ35" i="54"/>
  <c r="FO35" i="54"/>
  <c r="FN35" i="54"/>
  <c r="FL35" i="54"/>
  <c r="FQ35" i="54"/>
  <c r="CE35" i="54" a="1"/>
  <c r="CE35" i="54" s="1"/>
  <c r="FR35" i="54" s="1"/>
  <c r="IE16" i="54" a="1"/>
  <c r="IE16" i="54" s="1"/>
  <c r="ID16" i="54" a="1"/>
  <c r="ID16" i="54" s="1"/>
  <c r="CW48" i="54"/>
  <c r="CX48" i="54"/>
  <c r="CV48" i="54"/>
  <c r="CY48" i="54"/>
  <c r="CZ48" i="54"/>
  <c r="DA48" i="54" s="1"/>
  <c r="FY25" i="54"/>
  <c r="FX25" i="54" a="1"/>
  <c r="FX25" i="54" s="1"/>
  <c r="FZ25" i="54" s="1"/>
  <c r="CE25" i="54" a="1"/>
  <c r="CE25" i="54" s="1"/>
  <c r="FR25" i="54" s="1"/>
  <c r="GD17" i="54"/>
  <c r="GE17" i="54" s="1" a="1"/>
  <c r="GE17" i="54" s="1"/>
  <c r="GF17" i="54" s="1"/>
  <c r="GG17" i="54"/>
  <c r="O17" i="54" a="1"/>
  <c r="O17" i="54" s="1"/>
  <c r="GM17" i="54" s="1"/>
  <c r="CE17" i="54" a="1"/>
  <c r="CE17" i="54" s="1"/>
  <c r="BQ17" i="54"/>
  <c r="U16" i="54"/>
  <c r="JX38" i="54"/>
  <c r="JY38" i="54"/>
  <c r="JW38" i="54"/>
  <c r="II38" i="54"/>
  <c r="IJ38" i="54" s="1"/>
  <c r="U38" i="54"/>
  <c r="T38" i="54"/>
  <c r="CR38" i="54" a="1"/>
  <c r="CR38" i="54" s="1"/>
  <c r="IC38" i="54"/>
  <c r="FS38" i="54"/>
  <c r="DY38" i="54"/>
  <c r="DQ38" i="54"/>
  <c r="DA38" i="54"/>
  <c r="V38" i="54"/>
  <c r="S26" i="54"/>
  <c r="GP26" i="54"/>
  <c r="FX28" i="54" a="1"/>
  <c r="FX28" i="54" s="1"/>
  <c r="FY28" i="54"/>
  <c r="HD4" i="54"/>
  <c r="HB4" i="54"/>
  <c r="HC4" i="54" s="1"/>
  <c r="HA5" i="54"/>
  <c r="HD20" i="54"/>
  <c r="HB20" i="54"/>
  <c r="HC20" i="54" s="1"/>
  <c r="FY40" i="54"/>
  <c r="FX40" i="54" a="1"/>
  <c r="FX40" i="54" s="1"/>
  <c r="FZ40" i="54" s="1"/>
  <c r="CE40" i="54" a="1"/>
  <c r="CE40" i="54" s="1"/>
  <c r="FZ16" i="54"/>
  <c r="IX54" i="54" a="1"/>
  <c r="IX54" i="54" s="1"/>
  <c r="IY54" i="54" s="1"/>
  <c r="IN54" i="54" a="1"/>
  <c r="IN54" i="54" s="1"/>
  <c r="IO54" i="54" s="1"/>
  <c r="IR54" i="54" a="1"/>
  <c r="IR54" i="54" s="1"/>
  <c r="IS54" i="54" s="1"/>
  <c r="IT54" i="54" a="1"/>
  <c r="IT54" i="54" s="1"/>
  <c r="IU54" i="54" s="1"/>
  <c r="IV54" i="54" a="1"/>
  <c r="IV54" i="54" s="1"/>
  <c r="IW54" i="54" s="1"/>
  <c r="IP54" i="54" a="1"/>
  <c r="IP54" i="54" s="1"/>
  <c r="IQ54" i="54" s="1"/>
  <c r="GY43" i="54"/>
  <c r="GX43" i="54"/>
  <c r="O29" i="54" a="1"/>
  <c r="O29" i="54" s="1"/>
  <c r="DH32" i="54"/>
  <c r="DE32" i="54" a="1"/>
  <c r="DE32" i="54" s="1"/>
  <c r="DF32" i="54" a="1"/>
  <c r="DF32" i="54" s="1"/>
  <c r="DG32" i="54" a="1"/>
  <c r="DG32" i="54" s="1"/>
  <c r="FR7" i="54"/>
  <c r="FQ7" i="54"/>
  <c r="FL7" i="54"/>
  <c r="FO7" i="54"/>
  <c r="FK7" i="54"/>
  <c r="FH7" i="54"/>
  <c r="FM7" i="54"/>
  <c r="FJ7" i="54"/>
  <c r="FN7" i="54"/>
  <c r="FI7" i="54"/>
  <c r="GX7" i="54"/>
  <c r="GY7" i="54"/>
  <c r="JW43" i="54"/>
  <c r="IC43" i="54"/>
  <c r="GB43" i="54"/>
  <c r="GC43" i="54" s="1"/>
  <c r="DS43" i="54"/>
  <c r="CR43" i="54" a="1"/>
  <c r="CR43" i="54" s="1"/>
  <c r="V43" i="54"/>
  <c r="U43" i="54"/>
  <c r="CS43" i="54"/>
  <c r="CZ43" i="54" s="1"/>
  <c r="DA43" i="54" s="1"/>
  <c r="FO28" i="54"/>
  <c r="FJ28" i="54"/>
  <c r="FP28" i="54"/>
  <c r="FN28" i="54"/>
  <c r="FL28" i="54"/>
  <c r="FQ28" i="54"/>
  <c r="FM28" i="54"/>
  <c r="FK28" i="54"/>
  <c r="FI28" i="54"/>
  <c r="GQ16" i="54"/>
  <c r="GR16" i="54" s="1"/>
  <c r="FX8" i="54" a="1"/>
  <c r="FX8" i="54" s="1"/>
  <c r="FY8" i="54"/>
  <c r="FX24" i="54" a="1"/>
  <c r="FX24" i="54" s="1"/>
  <c r="FY24" i="54"/>
  <c r="CE24" i="54" a="1"/>
  <c r="CE24" i="54" s="1"/>
  <c r="FQ41" i="54"/>
  <c r="FJ41" i="54"/>
  <c r="FL41" i="54"/>
  <c r="FP41" i="54"/>
  <c r="FR41" i="54"/>
  <c r="FK41" i="54"/>
  <c r="FM41" i="54"/>
  <c r="FI41" i="54"/>
  <c r="FH41" i="54"/>
  <c r="FN41" i="54"/>
  <c r="FO41" i="54"/>
  <c r="V47" i="54"/>
  <c r="U47" i="54"/>
  <c r="JW7" i="54"/>
  <c r="IC7" i="54"/>
  <c r="GB7" i="54"/>
  <c r="GC7" i="54" s="1"/>
  <c r="V7" i="54"/>
  <c r="T7" i="54"/>
  <c r="U7" i="54"/>
  <c r="CR7" i="54" a="1"/>
  <c r="CR7" i="54" s="1"/>
  <c r="CS7" i="54" s="1"/>
  <c r="DS7" i="54"/>
  <c r="EK31" i="54"/>
  <c r="FR31" i="54"/>
  <c r="CL31" i="54"/>
  <c r="DL31" i="54" s="1"/>
  <c r="DL32" i="54"/>
  <c r="DM32" i="54" s="1"/>
  <c r="FX56" i="54" a="1"/>
  <c r="FX56" i="54" s="1"/>
  <c r="FY56" i="54"/>
  <c r="DF31" i="54" a="1"/>
  <c r="DF31" i="54" s="1"/>
  <c r="DG31" i="54" a="1"/>
  <c r="DG31" i="54" s="1"/>
  <c r="DH31" i="54"/>
  <c r="DX31" i="54" s="1"/>
  <c r="DX32" i="54" s="1"/>
  <c r="DX33" i="54" s="1"/>
  <c r="DE31" i="54" a="1"/>
  <c r="DE31" i="54" s="1"/>
  <c r="IC31" i="54"/>
  <c r="CR31" i="54" a="1"/>
  <c r="CR31" i="54" s="1"/>
  <c r="IC23" i="54"/>
  <c r="JW23" i="54"/>
  <c r="DS23" i="54"/>
  <c r="GB23" i="54"/>
  <c r="GC23" i="54" s="1"/>
  <c r="U23" i="54"/>
  <c r="V23" i="54"/>
  <c r="CR23" i="54" a="1"/>
  <c r="CR23" i="54" s="1"/>
  <c r="CS23" i="54" s="1"/>
  <c r="CZ23" i="54" s="1"/>
  <c r="DA23" i="54" s="1"/>
  <c r="DM23" i="54" s="1"/>
  <c r="T23" i="54"/>
  <c r="GQ23" i="54"/>
  <c r="GR23" i="54" s="1"/>
  <c r="GY50" i="54"/>
  <c r="GX50" i="54"/>
  <c r="GS41" i="54"/>
  <c r="AJ17" i="53" a="1"/>
  <c r="AJ17" i="53" s="1"/>
  <c r="B17" i="53" s="1"/>
  <c r="AG17" i="53" s="1"/>
  <c r="V17" i="53" a="1"/>
  <c r="V17" i="53" s="1"/>
  <c r="BX17" i="53" a="1"/>
  <c r="BX17" i="53" s="1"/>
  <c r="FN5" i="54"/>
  <c r="FI5" i="54"/>
  <c r="FO5" i="54"/>
  <c r="FH5" i="54"/>
  <c r="FM5" i="54"/>
  <c r="FL5" i="54"/>
  <c r="FK5" i="54"/>
  <c r="FQ5" i="54"/>
  <c r="FJ5" i="54"/>
  <c r="FP5" i="54"/>
  <c r="CE5" i="54" a="1"/>
  <c r="CE5" i="54" s="1"/>
  <c r="EK5" i="54" s="1"/>
  <c r="O14" i="54" a="1"/>
  <c r="O14" i="54" s="1"/>
  <c r="BX16" i="53" a="1"/>
  <c r="BX16" i="53" s="1"/>
  <c r="V16" i="53" a="1"/>
  <c r="V16" i="53" s="1"/>
  <c r="AJ16" i="53" a="1"/>
  <c r="AJ16" i="53" s="1"/>
  <c r="B16" i="53" s="1"/>
  <c r="AG16" i="53" s="1"/>
  <c r="JW41" i="54"/>
  <c r="GB41" i="54"/>
  <c r="GC41" i="54" s="1"/>
  <c r="DX41" i="54"/>
  <c r="CR41" i="54" a="1"/>
  <c r="CR41" i="54" s="1"/>
  <c r="V41" i="54"/>
  <c r="DS41" i="54"/>
  <c r="IC41" i="54"/>
  <c r="U41" i="54"/>
  <c r="CS41" i="54"/>
  <c r="FY27" i="54"/>
  <c r="FX27" i="54" a="1"/>
  <c r="FX27" i="54" s="1"/>
  <c r="DF7" i="54" a="1"/>
  <c r="DF7" i="54" s="1"/>
  <c r="DG7" i="54" a="1"/>
  <c r="DG7" i="54" s="1"/>
  <c r="DH7" i="54"/>
  <c r="DX7" i="54" s="1"/>
  <c r="DE7" i="54" a="1"/>
  <c r="DE7" i="54" s="1"/>
  <c r="JE38" i="54"/>
  <c r="JL38" i="54"/>
  <c r="JF38" i="54"/>
  <c r="JM38" i="54"/>
  <c r="GX25" i="54"/>
  <c r="GY25" i="54"/>
  <c r="DH49" i="54"/>
  <c r="DX49" i="54" s="1"/>
  <c r="DE49" i="54" a="1"/>
  <c r="DE49" i="54" s="1"/>
  <c r="DG49" i="54" a="1"/>
  <c r="DG49" i="54" s="1"/>
  <c r="DF49" i="54" a="1"/>
  <c r="DF49" i="54" s="1"/>
  <c r="CR49" i="54" a="1"/>
  <c r="CR49" i="54" s="1"/>
  <c r="FL42" i="54"/>
  <c r="FJ42" i="54"/>
  <c r="FK42" i="54"/>
  <c r="FQ42" i="54"/>
  <c r="FM42" i="54"/>
  <c r="FP42" i="54"/>
  <c r="FI42" i="54"/>
  <c r="FO42" i="54"/>
  <c r="FN42" i="54"/>
  <c r="FA54" i="54"/>
  <c r="FC54" i="54"/>
  <c r="FD54" i="54" s="1"/>
  <c r="HS54" i="54" s="1"/>
  <c r="HU54" i="54" s="1"/>
  <c r="EL54" i="54"/>
  <c r="FB54" i="54"/>
  <c r="GL37" i="54"/>
  <c r="IP4" i="54" a="1"/>
  <c r="IP4" i="54" s="1"/>
  <c r="IQ4" i="54" s="1"/>
  <c r="IV4" i="54" a="1"/>
  <c r="IV4" i="54" s="1"/>
  <c r="IW4" i="54" s="1"/>
  <c r="IT4" i="54" a="1"/>
  <c r="IT4" i="54" s="1"/>
  <c r="IU4" i="54" s="1"/>
  <c r="IX4" i="54" a="1"/>
  <c r="IX4" i="54" s="1"/>
  <c r="IY4" i="54" s="1"/>
  <c r="IR4" i="54" a="1"/>
  <c r="IR4" i="54" s="1"/>
  <c r="IS4" i="54" s="1"/>
  <c r="IN4" i="54" a="1"/>
  <c r="IN4" i="54" s="1"/>
  <c r="IO4" i="54" s="1"/>
  <c r="CM18" i="54"/>
  <c r="IC12" i="54"/>
  <c r="DS12" i="54"/>
  <c r="V12" i="54"/>
  <c r="GB12" i="54"/>
  <c r="GC12" i="54" s="1"/>
  <c r="GE12" i="54" s="1" a="1"/>
  <c r="GE12" i="54" s="1"/>
  <c r="GF12" i="54" s="1"/>
  <c r="CR12" i="54" a="1"/>
  <c r="CR12" i="54" s="1"/>
  <c r="CS12" i="54"/>
  <c r="CZ12" i="54" s="1"/>
  <c r="DA12" i="54" s="1"/>
  <c r="U12" i="54"/>
  <c r="JW12" i="54"/>
  <c r="IE45" i="54" a="1"/>
  <c r="IE45" i="54" s="1"/>
  <c r="ID45" i="54" a="1"/>
  <c r="ID45" i="54" s="1"/>
  <c r="AY18" i="53"/>
  <c r="AZ18" i="53" s="1" a="1"/>
  <c r="AZ18" i="53" s="1"/>
  <c r="FH49" i="54" s="1"/>
  <c r="FL49" i="54" s="1"/>
  <c r="FQ48" i="54"/>
  <c r="FK48" i="54"/>
  <c r="FR48" i="54"/>
  <c r="FO48" i="54"/>
  <c r="FP48" i="54"/>
  <c r="FN48" i="54"/>
  <c r="FM48" i="54"/>
  <c r="FL48" i="54"/>
  <c r="FJ48" i="54"/>
  <c r="FH48" i="54"/>
  <c r="FI48" i="54"/>
  <c r="JR36" i="54"/>
  <c r="EL31" i="54"/>
  <c r="ET31" i="54"/>
  <c r="GX33" i="54"/>
  <c r="GY33" i="54"/>
  <c r="JW6" i="54"/>
  <c r="GB6" i="54"/>
  <c r="GC6" i="54" s="1"/>
  <c r="GE6" i="54" s="1" a="1"/>
  <c r="GE6" i="54" s="1"/>
  <c r="GF6" i="54" s="1"/>
  <c r="IC6" i="54"/>
  <c r="DS6" i="54"/>
  <c r="U6" i="54"/>
  <c r="CR6" i="54" a="1"/>
  <c r="CR6" i="54" s="1"/>
  <c r="CS6" i="54" s="1"/>
  <c r="V6" i="54"/>
  <c r="GQ6" i="54"/>
  <c r="GR6" i="54" s="1"/>
  <c r="FM14" i="54"/>
  <c r="FR14" i="54"/>
  <c r="FK14" i="54"/>
  <c r="FP14" i="54"/>
  <c r="FN14" i="54"/>
  <c r="FJ14" i="54"/>
  <c r="FL14" i="54"/>
  <c r="FI14" i="54"/>
  <c r="FQ14" i="54"/>
  <c r="FO14" i="54"/>
  <c r="JC14" i="54"/>
  <c r="GX8" i="54"/>
  <c r="GY8" i="54"/>
  <c r="DE8" i="54" a="1"/>
  <c r="DE8" i="54" s="1"/>
  <c r="DF8" i="54" a="1"/>
  <c r="DF8" i="54" s="1"/>
  <c r="DG8" i="54" a="1"/>
  <c r="DG8" i="54" s="1"/>
  <c r="DH8" i="54"/>
  <c r="DX8" i="54" s="1"/>
  <c r="JW37" i="54"/>
  <c r="GB37" i="54"/>
  <c r="GC37" i="54" s="1"/>
  <c r="GE37" i="54" s="1" a="1"/>
  <c r="GE37" i="54" s="1"/>
  <c r="GF37" i="54" s="1"/>
  <c r="IC37" i="54"/>
  <c r="DX37" i="54"/>
  <c r="U37" i="54"/>
  <c r="CR37" i="54" a="1"/>
  <c r="CR37" i="54" s="1"/>
  <c r="DS37" i="54"/>
  <c r="DS38" i="54" s="1"/>
  <c r="V37" i="54"/>
  <c r="U49" i="54"/>
  <c r="V49" i="54"/>
  <c r="U30" i="54"/>
  <c r="V30" i="54"/>
  <c r="HI36" i="54"/>
  <c r="HJ36" i="54"/>
  <c r="FN40" i="54"/>
  <c r="FL40" i="54"/>
  <c r="FI40" i="54"/>
  <c r="FK40" i="54"/>
  <c r="FQ40" i="54"/>
  <c r="FM40" i="54"/>
  <c r="FJ40" i="54"/>
  <c r="FP40" i="54"/>
  <c r="FO40" i="54"/>
  <c r="AJ18" i="53" a="1"/>
  <c r="AJ18" i="53" s="1"/>
  <c r="B18" i="53" s="1"/>
  <c r="AG18" i="53" s="1"/>
  <c r="V18" i="53" a="1"/>
  <c r="V18" i="53" s="1"/>
  <c r="BX18" i="53" a="1"/>
  <c r="BX18" i="53" s="1"/>
  <c r="JG55" i="54"/>
  <c r="JN55" i="54"/>
  <c r="CU17" i="54" a="1"/>
  <c r="CU17" i="54" s="1"/>
  <c r="CT17" i="54" a="1"/>
  <c r="CT17" i="54" s="1"/>
  <c r="EB44" i="54"/>
  <c r="DZ44" i="54"/>
  <c r="JK18" i="54"/>
  <c r="DR18" i="54" a="1"/>
  <c r="DR18" i="54" s="1"/>
  <c r="II18" i="54"/>
  <c r="IJ18" i="54" s="1"/>
  <c r="JW4" i="54"/>
  <c r="GB4" i="54"/>
  <c r="GC4" i="54" s="1"/>
  <c r="GE4" i="54" s="1" a="1"/>
  <c r="GE4" i="54" s="1"/>
  <c r="IC4" i="54"/>
  <c r="DX4" i="54"/>
  <c r="GT4" i="54"/>
  <c r="U4" i="54"/>
  <c r="DS4" i="54"/>
  <c r="V4" i="54"/>
  <c r="CR4" i="54" a="1"/>
  <c r="CR4" i="54" s="1"/>
  <c r="CS4" i="54" s="1"/>
  <c r="T4" i="54"/>
  <c r="CT48" i="54" a="1"/>
  <c r="CT48" i="54" s="1"/>
  <c r="CU48" i="54" a="1"/>
  <c r="CU48" i="54" s="1"/>
  <c r="FO52" i="54"/>
  <c r="FQ52" i="54"/>
  <c r="FH52" i="54"/>
  <c r="FR52" i="54"/>
  <c r="FM52" i="54"/>
  <c r="FP52" i="54"/>
  <c r="FJ52" i="54"/>
  <c r="FK52" i="54"/>
  <c r="FN52" i="54"/>
  <c r="FL52" i="54"/>
  <c r="FI52" i="54"/>
  <c r="GD43" i="54"/>
  <c r="BQ43" i="54"/>
  <c r="GG43" i="54"/>
  <c r="CE43" i="54" a="1"/>
  <c r="CE43" i="54" s="1"/>
  <c r="EK43" i="54" s="1"/>
  <c r="O43" i="54" a="1"/>
  <c r="O43" i="54" s="1"/>
  <c r="GY9" i="54"/>
  <c r="GX9" i="54"/>
  <c r="GG27" i="54"/>
  <c r="GD27" i="54"/>
  <c r="GE27" i="54" s="1" a="1"/>
  <c r="GE27" i="54" s="1"/>
  <c r="GF27" i="54" s="1"/>
  <c r="BQ27" i="54"/>
  <c r="CE27" i="54" a="1"/>
  <c r="CE27" i="54" s="1"/>
  <c r="EK27" i="54" s="1"/>
  <c r="CT3" i="54" a="1"/>
  <c r="CT3" i="54" s="1"/>
  <c r="CU3" i="54" a="1"/>
  <c r="CU3" i="54" s="1"/>
  <c r="HD38" i="54"/>
  <c r="HB38" i="54"/>
  <c r="HC38" i="54" s="1"/>
  <c r="JM55" i="54"/>
  <c r="JF55" i="54"/>
  <c r="GY42" i="54"/>
  <c r="GX42" i="54"/>
  <c r="DH43" i="54"/>
  <c r="DX43" i="54" s="1"/>
  <c r="DF43" i="54" a="1"/>
  <c r="DF43" i="54" s="1"/>
  <c r="DG43" i="54" a="1"/>
  <c r="DG43" i="54" s="1"/>
  <c r="DE43" i="54" a="1"/>
  <c r="DE43" i="54" s="1"/>
  <c r="EY48" i="54"/>
  <c r="R48" i="54" s="1"/>
  <c r="FQ27" i="54"/>
  <c r="FO27" i="54"/>
  <c r="FM27" i="54"/>
  <c r="FK27" i="54"/>
  <c r="FJ27" i="54"/>
  <c r="FI27" i="54"/>
  <c r="FP27" i="54"/>
  <c r="FL27" i="54"/>
  <c r="FN27" i="54"/>
  <c r="DE9" i="54" a="1"/>
  <c r="DE9" i="54" s="1"/>
  <c r="DG9" i="54" a="1"/>
  <c r="DG9" i="54" s="1"/>
  <c r="DF9" i="54" a="1"/>
  <c r="DF9" i="54" s="1"/>
  <c r="DH9" i="54"/>
  <c r="DX9" i="54" s="1"/>
  <c r="FN21" i="54"/>
  <c r="FI21" i="54"/>
  <c r="FQ21" i="54"/>
  <c r="FJ21" i="54"/>
  <c r="FM21" i="54"/>
  <c r="FP21" i="54"/>
  <c r="FK21" i="54"/>
  <c r="FL21" i="54"/>
  <c r="FO21" i="54"/>
  <c r="GG8" i="54"/>
  <c r="HV8" i="54"/>
  <c r="GD8" i="54"/>
  <c r="IX3" i="54" a="1"/>
  <c r="IX3" i="54" s="1"/>
  <c r="IY3" i="54" s="1"/>
  <c r="IP3" i="54" a="1"/>
  <c r="IP3" i="54" s="1"/>
  <c r="IQ3" i="54" s="1"/>
  <c r="IR3" i="54" a="1"/>
  <c r="IR3" i="54" s="1"/>
  <c r="IS3" i="54" s="1"/>
  <c r="IV3" i="54" a="1"/>
  <c r="IV3" i="54" s="1"/>
  <c r="IW3" i="54" s="1"/>
  <c r="IT3" i="54" a="1"/>
  <c r="IT3" i="54" s="1"/>
  <c r="IU3" i="54" s="1"/>
  <c r="IN3" i="54" a="1"/>
  <c r="IN3" i="54" s="1"/>
  <c r="DE25" i="54" a="1"/>
  <c r="DE25" i="54" s="1"/>
  <c r="DH25" i="54"/>
  <c r="DX25" i="54" s="1"/>
  <c r="DG25" i="54" a="1"/>
  <c r="DG25" i="54" s="1"/>
  <c r="DF25" i="54" a="1"/>
  <c r="DF25" i="54" s="1"/>
  <c r="FJ43" i="54"/>
  <c r="FN43" i="54"/>
  <c r="FQ43" i="54"/>
  <c r="FK43" i="54"/>
  <c r="FM43" i="54"/>
  <c r="FP43" i="54"/>
  <c r="FI43" i="54"/>
  <c r="FO43" i="54"/>
  <c r="FL43" i="54"/>
  <c r="HB33" i="54"/>
  <c r="HC33" i="54" s="1"/>
  <c r="HD33" i="54"/>
  <c r="JW5" i="54"/>
  <c r="GB5" i="54"/>
  <c r="GC5" i="54" s="1"/>
  <c r="IC5" i="54"/>
  <c r="U5" i="54"/>
  <c r="DS5" i="54"/>
  <c r="V5" i="54"/>
  <c r="CR5" i="54" a="1"/>
  <c r="CR5" i="54" s="1"/>
  <c r="GQ5" i="54"/>
  <c r="GR5" i="54" s="1"/>
  <c r="DF15" i="54" a="1"/>
  <c r="DF15" i="54" s="1"/>
  <c r="DG15" i="54" a="1"/>
  <c r="DG15" i="54" s="1"/>
  <c r="DE15" i="54" a="1"/>
  <c r="DE15" i="54" s="1"/>
  <c r="DH15" i="54"/>
  <c r="DX15" i="54" s="1"/>
  <c r="IC15" i="54"/>
  <c r="FM33" i="54"/>
  <c r="FK33" i="54"/>
  <c r="FO33" i="54"/>
  <c r="FI33" i="54"/>
  <c r="FN33" i="54"/>
  <c r="FL33" i="54"/>
  <c r="FP33" i="54"/>
  <c r="FQ33" i="54"/>
  <c r="FJ33" i="54"/>
  <c r="CE33" i="54" a="1"/>
  <c r="CE33" i="54" s="1"/>
  <c r="FR33" i="54" s="1"/>
  <c r="GL45" i="54"/>
  <c r="JW40" i="54"/>
  <c r="IC40" i="54"/>
  <c r="CR40" i="54" a="1"/>
  <c r="CR40" i="54" s="1"/>
  <c r="V40" i="54"/>
  <c r="GB40" i="54"/>
  <c r="GC40" i="54" s="1"/>
  <c r="GE40" i="54" s="1" a="1"/>
  <c r="GE40" i="54" s="1"/>
  <c r="GF40" i="54" s="1"/>
  <c r="DS40" i="54"/>
  <c r="CS40" i="54"/>
  <c r="U40" i="54"/>
  <c r="EY26" i="54"/>
  <c r="R26" i="54" s="1"/>
  <c r="DH51" i="54"/>
  <c r="DX51" i="54" s="1"/>
  <c r="DG51" i="54" a="1"/>
  <c r="DG51" i="54" s="1"/>
  <c r="DF51" i="54" a="1"/>
  <c r="DF51" i="54" s="1"/>
  <c r="DE51" i="54" a="1"/>
  <c r="DE51" i="54" s="1"/>
  <c r="V46" i="54"/>
  <c r="CE21" i="54" a="1"/>
  <c r="CE21" i="54" s="1"/>
  <c r="GJ27" i="54"/>
  <c r="BN27" i="54"/>
  <c r="GP27" i="54"/>
  <c r="S27" i="54"/>
  <c r="GX26" i="54"/>
  <c r="GY26" i="54"/>
  <c r="DG27" i="54" a="1"/>
  <c r="DG27" i="54" s="1"/>
  <c r="DH27" i="54"/>
  <c r="DX27" i="54" s="1"/>
  <c r="DF27" i="54" a="1"/>
  <c r="DF27" i="54" s="1"/>
  <c r="DE27" i="54" a="1"/>
  <c r="DE27" i="54" s="1"/>
  <c r="CR27" i="54" a="1"/>
  <c r="CR27" i="54" s="1"/>
  <c r="IC27" i="54"/>
  <c r="IN26" i="54" a="1"/>
  <c r="IN26" i="54" s="1"/>
  <c r="IO26" i="54" s="1"/>
  <c r="IT26" i="54" a="1"/>
  <c r="IT26" i="54" s="1"/>
  <c r="IU26" i="54" s="1"/>
  <c r="IP26" i="54" a="1"/>
  <c r="IP26" i="54" s="1"/>
  <c r="IQ26" i="54" s="1"/>
  <c r="IX26" i="54" a="1"/>
  <c r="IX26" i="54" s="1"/>
  <c r="IY26" i="54" s="1"/>
  <c r="IV26" i="54" a="1"/>
  <c r="IV26" i="54" s="1"/>
  <c r="IW26" i="54" s="1"/>
  <c r="IR26" i="54" a="1"/>
  <c r="IR26" i="54" s="1"/>
  <c r="IS26" i="54" s="1"/>
  <c r="JN38" i="54"/>
  <c r="JG38" i="54"/>
  <c r="IE18" i="54" a="1"/>
  <c r="IE18" i="54" s="1"/>
  <c r="ID18" i="54" a="1"/>
  <c r="ID18" i="54" s="1"/>
  <c r="ID30" i="54" a="1"/>
  <c r="ID30" i="54" s="1"/>
  <c r="IE30" i="54" a="1"/>
  <c r="IE30" i="54" s="1"/>
  <c r="FX10" i="54" a="1"/>
  <c r="FX10" i="54" s="1"/>
  <c r="FY10" i="54"/>
  <c r="FN37" i="54"/>
  <c r="FI37" i="54"/>
  <c r="FP37" i="54"/>
  <c r="FK37" i="54"/>
  <c r="FJ37" i="54"/>
  <c r="FQ37" i="54"/>
  <c r="FO37" i="54"/>
  <c r="FH37" i="54"/>
  <c r="FM37" i="54"/>
  <c r="FL37" i="54"/>
  <c r="CE37" i="54" a="1"/>
  <c r="CE37" i="54" s="1"/>
  <c r="EK37" i="54" s="1"/>
  <c r="FN39" i="54"/>
  <c r="FP39" i="54"/>
  <c r="FI39" i="54"/>
  <c r="FK39" i="54"/>
  <c r="FQ39" i="54"/>
  <c r="FO39" i="54"/>
  <c r="FM39" i="54"/>
  <c r="FJ39" i="54"/>
  <c r="FH39" i="54"/>
  <c r="FL39" i="54" s="1"/>
  <c r="GG56" i="54"/>
  <c r="GD56" i="54"/>
  <c r="BQ56" i="54"/>
  <c r="CE56" i="54" a="1"/>
  <c r="CE56" i="54" s="1"/>
  <c r="EK56" i="54" s="1"/>
  <c r="FJ25" i="54"/>
  <c r="FO25" i="54"/>
  <c r="FQ25" i="54"/>
  <c r="FI25" i="54"/>
  <c r="FP25" i="54"/>
  <c r="FL25" i="54"/>
  <c r="FM25" i="54"/>
  <c r="FN25" i="54"/>
  <c r="FK25" i="54"/>
  <c r="GX23" i="54"/>
  <c r="HA23" i="54" s="1"/>
  <c r="GY23" i="54"/>
  <c r="GY15" i="54"/>
  <c r="GX15" i="54"/>
  <c r="FI50" i="54"/>
  <c r="FQ50" i="54"/>
  <c r="FJ50" i="54"/>
  <c r="FO50" i="54"/>
  <c r="FN50" i="54"/>
  <c r="FK50" i="54"/>
  <c r="FP50" i="54"/>
  <c r="FM50" i="54"/>
  <c r="CE50" i="54" a="1"/>
  <c r="CE50" i="54" s="1"/>
  <c r="GY17" i="54"/>
  <c r="GX17" i="54"/>
  <c r="GD19" i="54"/>
  <c r="GG19" i="54"/>
  <c r="BQ19" i="54"/>
  <c r="O19" i="54" a="1"/>
  <c r="O19" i="54" s="1"/>
  <c r="CE19" i="54" a="1"/>
  <c r="CE19" i="54" s="1"/>
  <c r="FO47" i="54"/>
  <c r="FQ47" i="54"/>
  <c r="FP47" i="54"/>
  <c r="FN47" i="54"/>
  <c r="FM47" i="54"/>
  <c r="FL47" i="54"/>
  <c r="FJ47" i="54"/>
  <c r="FK47" i="54"/>
  <c r="FI47" i="54"/>
  <c r="FR47" i="54"/>
  <c r="GD44" i="54"/>
  <c r="GG44" i="54"/>
  <c r="BQ44" i="54"/>
  <c r="FI44" i="54"/>
  <c r="CE44" i="54" a="1"/>
  <c r="CE44" i="54" s="1"/>
  <c r="EK44" i="54" s="1"/>
  <c r="DS29" i="54"/>
  <c r="FX11" i="54" a="1"/>
  <c r="FX11" i="54" s="1"/>
  <c r="FY11" i="54"/>
  <c r="EY4" i="54"/>
  <c r="R4" i="54" s="1"/>
  <c r="FR4" i="54"/>
  <c r="FO4" i="54"/>
  <c r="FM4" i="54"/>
  <c r="FK4" i="54"/>
  <c r="FQ4" i="54"/>
  <c r="FH4" i="54"/>
  <c r="FN4" i="54"/>
  <c r="FJ4" i="54"/>
  <c r="FL4" i="54"/>
  <c r="FI4" i="54"/>
  <c r="FP4" i="54"/>
  <c r="JG20" i="54"/>
  <c r="JN20" i="54"/>
  <c r="IR55" i="54" a="1"/>
  <c r="IR55" i="54" s="1"/>
  <c r="IS55" i="54" s="1"/>
  <c r="IX55" i="54" a="1"/>
  <c r="IX55" i="54" s="1"/>
  <c r="IY55" i="54" s="1"/>
  <c r="IT55" i="54" a="1"/>
  <c r="IT55" i="54" s="1"/>
  <c r="IU55" i="54" s="1"/>
  <c r="IN55" i="54" a="1"/>
  <c r="IN55" i="54" s="1"/>
  <c r="IO55" i="54" s="1"/>
  <c r="IP55" i="54" a="1"/>
  <c r="IP55" i="54" s="1"/>
  <c r="IQ55" i="54" s="1"/>
  <c r="IV55" i="54" a="1"/>
  <c r="IV55" i="54" s="1"/>
  <c r="IW55" i="54" s="1"/>
  <c r="HB34" i="54"/>
  <c r="HC34" i="54" s="1"/>
  <c r="HD34" i="54"/>
  <c r="HA35" i="54"/>
  <c r="GS26" i="54"/>
  <c r="JF18" i="54"/>
  <c r="JM18" i="54"/>
  <c r="FY26" i="54"/>
  <c r="FX26" i="54" a="1"/>
  <c r="FX26" i="54" s="1"/>
  <c r="GX53" i="54"/>
  <c r="GY53" i="54"/>
  <c r="GY24" i="54"/>
  <c r="GX24" i="54"/>
  <c r="GS13" i="54"/>
  <c r="DS33" i="54"/>
  <c r="GB54" i="54"/>
  <c r="GC54" i="54" s="1"/>
  <c r="IC54" i="54"/>
  <c r="JW54" i="54"/>
  <c r="CS54" i="54"/>
  <c r="U54" i="54"/>
  <c r="CR54" i="54" a="1"/>
  <c r="CR54" i="54" s="1"/>
  <c r="DS54" i="54"/>
  <c r="V54" i="54"/>
  <c r="T54" i="54"/>
  <c r="DX54" i="54"/>
  <c r="GP55" i="54"/>
  <c r="GQ55" i="54" s="1"/>
  <c r="GR55" i="54" s="1"/>
  <c r="S55" i="54"/>
  <c r="JL46" i="54"/>
  <c r="JE46" i="54"/>
  <c r="AY17" i="53"/>
  <c r="AZ17" i="53" s="1" a="1"/>
  <c r="AZ17" i="53" s="1"/>
  <c r="JU34" i="54"/>
  <c r="HM34" i="54"/>
  <c r="M34" i="54" s="1"/>
  <c r="HN34" i="54" s="1"/>
  <c r="JO34" i="54"/>
  <c r="JP34" i="54" s="1"/>
  <c r="JV34" i="54"/>
  <c r="CS3" i="54"/>
  <c r="CZ3" i="54" s="1"/>
  <c r="DA3" i="54" s="1"/>
  <c r="FP36" i="54"/>
  <c r="FM36" i="54"/>
  <c r="FK36" i="54"/>
  <c r="FI36" i="54"/>
  <c r="FL36" i="54"/>
  <c r="FO36" i="54"/>
  <c r="FJ36" i="54"/>
  <c r="FQ36" i="54"/>
  <c r="FN36" i="54"/>
  <c r="CE36" i="54" a="1"/>
  <c r="CE36" i="54" s="1"/>
  <c r="EK36" i="54" s="1"/>
  <c r="GY40" i="54"/>
  <c r="GX40" i="54"/>
  <c r="CT33" i="54" a="1"/>
  <c r="CT33" i="54" s="1"/>
  <c r="CU33" i="54" a="1"/>
  <c r="CU33" i="54" s="1"/>
  <c r="JM23" i="54"/>
  <c r="JF23" i="54"/>
  <c r="FI18" i="54"/>
  <c r="FN18" i="54"/>
  <c r="FP18" i="54"/>
  <c r="FL18" i="54"/>
  <c r="FQ18" i="54"/>
  <c r="FJ18" i="54"/>
  <c r="FO18" i="54"/>
  <c r="FK18" i="54"/>
  <c r="CE18" i="54" a="1"/>
  <c r="CE18" i="54" s="1"/>
  <c r="FR18" i="54" s="1"/>
  <c r="FM18" i="54"/>
  <c r="JN39" i="54"/>
  <c r="JG39" i="54"/>
  <c r="JM48" i="54"/>
  <c r="JF48" i="54"/>
  <c r="JW20" i="54"/>
  <c r="JY20" i="54"/>
  <c r="FS20" i="54"/>
  <c r="IC20" i="54"/>
  <c r="JX20" i="54"/>
  <c r="DQ20" i="54"/>
  <c r="CR20" i="54" a="1"/>
  <c r="CR20" i="54" s="1"/>
  <c r="DY20" i="54"/>
  <c r="U20" i="54"/>
  <c r="V20" i="54"/>
  <c r="DA20" i="54"/>
  <c r="DM20" i="54" s="1"/>
  <c r="T20" i="54"/>
  <c r="V18" i="54"/>
  <c r="FA4" i="54"/>
  <c r="EL4" i="54"/>
  <c r="FC4" i="54"/>
  <c r="FD4" i="54" s="1"/>
  <c r="HS4" i="54" s="1"/>
  <c r="HU4" i="54" s="1"/>
  <c r="GD29" i="54"/>
  <c r="GG29" i="54"/>
  <c r="T29" i="54"/>
  <c r="EU45" i="54"/>
  <c r="EL45" i="54"/>
  <c r="O53" i="54" a="1"/>
  <c r="O53" i="54" s="1"/>
  <c r="GY47" i="54"/>
  <c r="GX47" i="54"/>
  <c r="FP51" i="54"/>
  <c r="FK51" i="54"/>
  <c r="FO51" i="54"/>
  <c r="FQ51" i="54"/>
  <c r="FJ51" i="54"/>
  <c r="FN51" i="54"/>
  <c r="FM51" i="54"/>
  <c r="FI51" i="54"/>
  <c r="IC8" i="54"/>
  <c r="JW8" i="54"/>
  <c r="GB8" i="54"/>
  <c r="GC8" i="54" s="1"/>
  <c r="CR8" i="54" a="1"/>
  <c r="CR8" i="54" s="1"/>
  <c r="V8" i="54"/>
  <c r="CS8" i="54"/>
  <c r="DS8" i="54"/>
  <c r="U8" i="54"/>
  <c r="T8" i="54"/>
  <c r="DE24" i="54" a="1"/>
  <c r="DE24" i="54" s="1"/>
  <c r="DF24" i="54" a="1"/>
  <c r="DF24" i="54" s="1"/>
  <c r="DH24" i="54"/>
  <c r="DX24" i="54" s="1"/>
  <c r="DG24" i="54" a="1"/>
  <c r="DG24" i="54" s="1"/>
  <c r="DG6" i="54" a="1"/>
  <c r="DG6" i="54" s="1"/>
  <c r="DH6" i="54"/>
  <c r="DX6" i="54" s="1"/>
  <c r="DF6" i="54" a="1"/>
  <c r="DF6" i="54" s="1"/>
  <c r="DE6" i="54" a="1"/>
  <c r="DE6" i="54" s="1"/>
  <c r="HB32" i="54"/>
  <c r="HC32" i="54" s="1"/>
  <c r="HD32" i="54"/>
  <c r="IB32" i="54"/>
  <c r="JW39" i="54"/>
  <c r="GB39" i="54"/>
  <c r="GC39" i="54" s="1"/>
  <c r="DX39" i="54"/>
  <c r="IC39" i="54"/>
  <c r="CR39" i="54" a="1"/>
  <c r="CR39" i="54" s="1"/>
  <c r="CS39" i="54" s="1"/>
  <c r="DS39" i="54"/>
  <c r="U39" i="54"/>
  <c r="V39" i="54"/>
  <c r="GX48" i="54"/>
  <c r="GY48" i="54"/>
  <c r="GY18" i="54"/>
  <c r="GX18" i="54"/>
  <c r="JW42" i="54"/>
  <c r="FW42" i="54"/>
  <c r="IC42" i="54"/>
  <c r="DS42" i="54"/>
  <c r="CR42" i="54" a="1"/>
  <c r="CR42" i="54" s="1"/>
  <c r="CS42" i="54" s="1"/>
  <c r="CZ42" i="54" s="1"/>
  <c r="DA42" i="54" s="1"/>
  <c r="V42" i="54"/>
  <c r="GB42" i="54"/>
  <c r="GC42" i="54" s="1"/>
  <c r="U42" i="54"/>
  <c r="GX35" i="54"/>
  <c r="GY35" i="54"/>
  <c r="IV48" i="54" a="1"/>
  <c r="IV48" i="54" s="1"/>
  <c r="IW48" i="54" s="1"/>
  <c r="IP48" i="54" a="1"/>
  <c r="IP48" i="54" s="1"/>
  <c r="IQ48" i="54" s="1"/>
  <c r="IN48" i="54" a="1"/>
  <c r="IN48" i="54" s="1"/>
  <c r="IO48" i="54" s="1"/>
  <c r="IT48" i="54" a="1"/>
  <c r="IT48" i="54" s="1"/>
  <c r="IU48" i="54" s="1"/>
  <c r="IR48" i="54" a="1"/>
  <c r="IR48" i="54" s="1"/>
  <c r="IS48" i="54" s="1"/>
  <c r="IX48" i="54" a="1"/>
  <c r="IX48" i="54" s="1"/>
  <c r="IY48" i="54" s="1"/>
  <c r="FY12" i="54"/>
  <c r="FX12" i="54" a="1"/>
  <c r="FX12" i="54" s="1"/>
  <c r="FZ12" i="54" s="1"/>
  <c r="GG30" i="54"/>
  <c r="GD30" i="54"/>
  <c r="GE30" i="54" s="1" a="1"/>
  <c r="GE30" i="54" s="1"/>
  <c r="GF30" i="54" s="1"/>
  <c r="JL48" i="54"/>
  <c r="JE48" i="54"/>
  <c r="GJ15" i="54"/>
  <c r="BN15" i="54"/>
  <c r="GP15" i="54" s="1"/>
  <c r="S15" i="54"/>
  <c r="JN36" i="54"/>
  <c r="JG36" i="54"/>
  <c r="EU29" i="54"/>
  <c r="FM49" i="54"/>
  <c r="FQ49" i="54"/>
  <c r="FO49" i="54"/>
  <c r="FJ49" i="54"/>
  <c r="FN49" i="54"/>
  <c r="FP49" i="54"/>
  <c r="FI49" i="54"/>
  <c r="CE49" i="54" a="1"/>
  <c r="CE49" i="54" s="1"/>
  <c r="FK49" i="54"/>
  <c r="FM45" i="54"/>
  <c r="FK45" i="54"/>
  <c r="FI45" i="54"/>
  <c r="FQ45" i="54"/>
  <c r="FL45" i="54"/>
  <c r="FN45" i="54"/>
  <c r="FJ45" i="54"/>
  <c r="FO45" i="54"/>
  <c r="FP45" i="54"/>
  <c r="JN48" i="54"/>
  <c r="JG48" i="54"/>
  <c r="GD11" i="54"/>
  <c r="GE11" i="54" s="1" a="1"/>
  <c r="GE11" i="54" s="1"/>
  <c r="GF11" i="54" s="1"/>
  <c r="GG11" i="54"/>
  <c r="CE11" i="54" a="1"/>
  <c r="CE11" i="54" s="1"/>
  <c r="EK11" i="54" s="1"/>
  <c r="BQ11" i="54"/>
  <c r="E11" i="54" s="1"/>
  <c r="BR11" i="54" s="1"/>
  <c r="BS11" i="54" s="1"/>
  <c r="GL11" i="54" s="1"/>
  <c r="FR55" i="54"/>
  <c r="FL55" i="54"/>
  <c r="FK55" i="54"/>
  <c r="FP55" i="54"/>
  <c r="FM55" i="54"/>
  <c r="FI55" i="54"/>
  <c r="FQ55" i="54"/>
  <c r="FJ55" i="54"/>
  <c r="FH55" i="54"/>
  <c r="FN55" i="54"/>
  <c r="FO55" i="54"/>
  <c r="GX54" i="54"/>
  <c r="GY54" i="54"/>
  <c r="JW53" i="54"/>
  <c r="IC53" i="54"/>
  <c r="U53" i="54"/>
  <c r="DS53" i="54"/>
  <c r="CR53" i="54" a="1"/>
  <c r="CR53" i="54" s="1"/>
  <c r="V53" i="54"/>
  <c r="DX53" i="54"/>
  <c r="FM17" i="54"/>
  <c r="FN17" i="54"/>
  <c r="FJ17" i="54"/>
  <c r="FO17" i="54"/>
  <c r="FK17" i="54"/>
  <c r="FI17" i="54"/>
  <c r="FR17" i="54"/>
  <c r="FP17" i="54"/>
  <c r="FL17" i="54"/>
  <c r="FQ17" i="54"/>
  <c r="BN24" i="54"/>
  <c r="GP24" i="54" s="1"/>
  <c r="BM25" i="54"/>
  <c r="GJ24" i="54"/>
  <c r="ID14" i="54" a="1"/>
  <c r="ID14" i="54" s="1"/>
  <c r="IE14" i="54" a="1"/>
  <c r="IE14" i="54" s="1"/>
  <c r="GG6" i="54"/>
  <c r="GD6" i="54"/>
  <c r="CE6" i="54" a="1"/>
  <c r="CE6" i="54" s="1"/>
  <c r="EK6" i="54" s="1"/>
  <c r="GQ54" i="54"/>
  <c r="GR54" i="54" s="1"/>
  <c r="GY57" i="54"/>
  <c r="GX57" i="54"/>
  <c r="GX39" i="54"/>
  <c r="HA39" i="54" s="1"/>
  <c r="GY39" i="54"/>
  <c r="JW21" i="54"/>
  <c r="GB21" i="54"/>
  <c r="GC21" i="54" s="1"/>
  <c r="GE21" i="54" s="1" a="1"/>
  <c r="GE21" i="54" s="1"/>
  <c r="GF21" i="54" s="1"/>
  <c r="DS21" i="54"/>
  <c r="CR21" i="54" a="1"/>
  <c r="CR21" i="54" s="1"/>
  <c r="IC21" i="54"/>
  <c r="JW22" i="54"/>
  <c r="JY22" i="54"/>
  <c r="IC22" i="54"/>
  <c r="FS22" i="54"/>
  <c r="DY22" i="54"/>
  <c r="JX22" i="54"/>
  <c r="DA22" i="54"/>
  <c r="DM22" i="54" s="1"/>
  <c r="DQ22" i="54"/>
  <c r="II22" i="54" s="1"/>
  <c r="IJ22" i="54" s="1"/>
  <c r="U22" i="54"/>
  <c r="CR22" i="54" a="1"/>
  <c r="CR22" i="54" s="1"/>
  <c r="V22" i="54"/>
  <c r="T22" i="54"/>
  <c r="GY16" i="54"/>
  <c r="GX16" i="54"/>
  <c r="IC55" i="54"/>
  <c r="GB55" i="54"/>
  <c r="GC55" i="54" s="1"/>
  <c r="JW55" i="54"/>
  <c r="DS55" i="54"/>
  <c r="CR55" i="54" a="1"/>
  <c r="CR55" i="54" s="1"/>
  <c r="CS55" i="54" s="1"/>
  <c r="V55" i="54"/>
  <c r="U55" i="54"/>
  <c r="T55" i="54"/>
  <c r="DX55" i="54"/>
  <c r="EP38" i="54" a="1"/>
  <c r="EP38" i="54" s="1"/>
  <c r="DH50" i="54"/>
  <c r="DX50" i="54" s="1"/>
  <c r="DF50" i="54" a="1"/>
  <c r="DF50" i="54" s="1"/>
  <c r="DG50" i="54" a="1"/>
  <c r="DG50" i="54" s="1"/>
  <c r="DE50" i="54" a="1"/>
  <c r="DE50" i="54" s="1"/>
  <c r="JW9" i="54"/>
  <c r="IC9" i="54"/>
  <c r="GB9" i="54"/>
  <c r="GC9" i="54" s="1"/>
  <c r="CR9" i="54" a="1"/>
  <c r="CR9" i="54" s="1"/>
  <c r="V9" i="54"/>
  <c r="CS9" i="54"/>
  <c r="DS9" i="54"/>
  <c r="U9" i="54"/>
  <c r="T9" i="54"/>
  <c r="DG12" i="54" a="1"/>
  <c r="DG12" i="54" s="1"/>
  <c r="DF12" i="54" a="1"/>
  <c r="DF12" i="54" s="1"/>
  <c r="DE12" i="54" a="1"/>
  <c r="DE12" i="54" s="1"/>
  <c r="DH12" i="54"/>
  <c r="DX12" i="54" s="1"/>
  <c r="EX44" i="54"/>
  <c r="AG5" i="57" s="1" a="1"/>
  <c r="AG5" i="57" s="1"/>
  <c r="EC44" i="54"/>
  <c r="EM44" i="54" a="1"/>
  <c r="EM44" i="54" s="1"/>
  <c r="J44" i="54" s="1"/>
  <c r="EN44" i="54" s="1"/>
  <c r="FZ32" i="54"/>
  <c r="JN46" i="54"/>
  <c r="JG46" i="54"/>
  <c r="FN20" i="54"/>
  <c r="FQ20" i="54"/>
  <c r="FJ20" i="54"/>
  <c r="FP20" i="54"/>
  <c r="FL20" i="54"/>
  <c r="FO20" i="54"/>
  <c r="FK20" i="54"/>
  <c r="FM20" i="54"/>
  <c r="FI20" i="54"/>
  <c r="CE20" i="54" a="1"/>
  <c r="CE20" i="54" s="1"/>
  <c r="FX45" i="54" a="1"/>
  <c r="FX45" i="54" s="1"/>
  <c r="FY45" i="54"/>
  <c r="CE45" i="54" a="1"/>
  <c r="CE45" i="54" s="1"/>
  <c r="EK45" i="54" s="1"/>
  <c r="IC50" i="54"/>
  <c r="GY30" i="54"/>
  <c r="GX30" i="54"/>
  <c r="DG5" i="54" a="1"/>
  <c r="DG5" i="54" s="1"/>
  <c r="DF5" i="54" a="1"/>
  <c r="DF5" i="54" s="1"/>
  <c r="DE5" i="54" a="1"/>
  <c r="DE5" i="54" s="1"/>
  <c r="JL21" i="54" s="1"/>
  <c r="DH5" i="54"/>
  <c r="DX5" i="54" s="1"/>
  <c r="DE40" i="54" a="1"/>
  <c r="DE40" i="54" s="1"/>
  <c r="DF40" i="54" a="1"/>
  <c r="DF40" i="54" s="1"/>
  <c r="DG40" i="54" a="1"/>
  <c r="DG40" i="54" s="1"/>
  <c r="DH40" i="54"/>
  <c r="DX40" i="54" s="1"/>
  <c r="CT32" i="54" a="1"/>
  <c r="CT32" i="54" s="1"/>
  <c r="CU32" i="54" a="1"/>
  <c r="CU32" i="54" s="1"/>
  <c r="ET47" i="54"/>
  <c r="HD37" i="54"/>
  <c r="HB37" i="54"/>
  <c r="HC37" i="54" s="1"/>
  <c r="R13" i="54"/>
  <c r="DG10" i="54" a="1"/>
  <c r="DG10" i="54" s="1"/>
  <c r="DF10" i="54" a="1"/>
  <c r="DF10" i="54" s="1"/>
  <c r="DE10" i="54" a="1"/>
  <c r="DE10" i="54" s="1"/>
  <c r="DH10" i="54"/>
  <c r="DX10" i="54" s="1"/>
  <c r="GG22" i="54"/>
  <c r="GD22" i="54"/>
  <c r="CX16" i="54"/>
  <c r="GD16" i="54"/>
  <c r="GE16" i="54" s="1" a="1"/>
  <c r="GE16" i="54" s="1"/>
  <c r="FM46" i="54"/>
  <c r="FQ46" i="54"/>
  <c r="FP46" i="54"/>
  <c r="FO46" i="54"/>
  <c r="FN46" i="54"/>
  <c r="FL46" i="54"/>
  <c r="FJ46" i="54"/>
  <c r="FK46" i="54"/>
  <c r="FI46" i="54"/>
  <c r="JW44" i="54"/>
  <c r="IC44" i="54"/>
  <c r="V44" i="54"/>
  <c r="CR44" i="54" a="1"/>
  <c r="CR44" i="54" s="1"/>
  <c r="DS44" i="54"/>
  <c r="DX44" i="54"/>
  <c r="U44" i="54"/>
  <c r="GB44" i="54"/>
  <c r="GC44" i="54" s="1"/>
  <c r="GE44" i="54" s="1" a="1"/>
  <c r="GE44" i="54" s="1"/>
  <c r="GF44" i="54" s="1"/>
  <c r="O13" i="54" a="1"/>
  <c r="O13" i="54" s="1"/>
  <c r="FA48" i="54"/>
  <c r="FC48" i="54"/>
  <c r="FD48" i="54" s="1"/>
  <c r="HS48" i="54" s="1"/>
  <c r="HU48" i="54" s="1"/>
  <c r="GX49" i="54"/>
  <c r="GY49" i="54"/>
  <c r="ID34" i="54" a="1"/>
  <c r="ID34" i="54" s="1"/>
  <c r="IE34" i="54" a="1"/>
  <c r="IE34" i="54" s="1"/>
  <c r="GL33" i="54"/>
  <c r="AY14" i="53"/>
  <c r="AZ14" i="53" s="1" a="1"/>
  <c r="AZ14" i="53" s="1"/>
  <c r="FP3" i="54"/>
  <c r="FK3" i="54"/>
  <c r="FR3" i="54"/>
  <c r="FJ3" i="54"/>
  <c r="FO3" i="54"/>
  <c r="FN3" i="54"/>
  <c r="FQ3" i="54"/>
  <c r="FH3" i="54"/>
  <c r="FL3" i="54"/>
  <c r="FM3" i="54"/>
  <c r="FI3" i="54"/>
  <c r="GE13" i="54" a="1"/>
  <c r="GE13" i="54" s="1"/>
  <c r="GF13" i="54" s="1"/>
  <c r="ET35" i="54"/>
  <c r="EL35" i="54"/>
  <c r="JE4" i="54"/>
  <c r="JL4" i="54"/>
  <c r="FP19" i="54"/>
  <c r="FK19" i="54"/>
  <c r="FL19" i="54"/>
  <c r="FN19" i="54"/>
  <c r="FJ19" i="54"/>
  <c r="FO19" i="54"/>
  <c r="FQ19" i="54"/>
  <c r="FM19" i="54"/>
  <c r="FI19" i="54"/>
  <c r="HZ32" i="54"/>
  <c r="HZ31" i="54" s="1"/>
  <c r="FB48" i="54"/>
  <c r="S7" i="54"/>
  <c r="GP7" i="54"/>
  <c r="GQ7" i="54" s="1"/>
  <c r="GR7" i="54" s="1"/>
  <c r="JN16" i="54"/>
  <c r="JG16" i="54"/>
  <c r="GD54" i="54"/>
  <c r="HV54" i="54"/>
  <c r="GG7" i="54"/>
  <c r="GD7" i="54"/>
  <c r="HV7" i="54"/>
  <c r="DH52" i="54"/>
  <c r="DX52" i="54" s="1"/>
  <c r="DG52" i="54" a="1"/>
  <c r="DG52" i="54" s="1"/>
  <c r="DE52" i="54" a="1"/>
  <c r="DE52" i="54" s="1"/>
  <c r="DF52" i="54" a="1"/>
  <c r="DF52" i="54" s="1"/>
  <c r="CR15" i="54" a="1"/>
  <c r="CR15" i="54" s="1"/>
  <c r="EL33" i="54"/>
  <c r="FI13" i="54"/>
  <c r="FR13" i="54"/>
  <c r="FJ13" i="54"/>
  <c r="FH13" i="54"/>
  <c r="FN13" i="54"/>
  <c r="FK13" i="54"/>
  <c r="FO13" i="54"/>
  <c r="FP13" i="54"/>
  <c r="FM13" i="54"/>
  <c r="FL13" i="54"/>
  <c r="FQ13" i="54"/>
  <c r="EU46" i="54"/>
  <c r="GD28" i="54"/>
  <c r="GG28" i="54"/>
  <c r="BQ28" i="54"/>
  <c r="CE28" i="54" a="1"/>
  <c r="CE28" i="54" s="1"/>
  <c r="EK28" i="54" s="1"/>
  <c r="DM29" i="54"/>
  <c r="EY3" i="54"/>
  <c r="R3" i="54" s="1"/>
  <c r="CS18" i="54"/>
  <c r="CS19" i="54" s="1"/>
  <c r="CU30" i="54" a="1"/>
  <c r="CU30" i="54" s="1"/>
  <c r="CT30" i="54" a="1"/>
  <c r="CT30" i="54" s="1"/>
  <c r="CS30" i="54"/>
  <c r="CZ30" i="54" s="1"/>
  <c r="DA30" i="54" s="1"/>
  <c r="HD19" i="54"/>
  <c r="HB19" i="54"/>
  <c r="HC19" i="54" s="1"/>
  <c r="JF16" i="54"/>
  <c r="JM16" i="54"/>
  <c r="GJ17" i="54"/>
  <c r="BN17" i="54"/>
  <c r="GP17" i="54" s="1"/>
  <c r="GQ17" i="54" s="1"/>
  <c r="GR17" i="54" s="1"/>
  <c r="BM18" i="54"/>
  <c r="GY41" i="54"/>
  <c r="GX41" i="54"/>
  <c r="GD23" i="54"/>
  <c r="FJ9" i="54"/>
  <c r="FO9" i="54"/>
  <c r="FM9" i="54"/>
  <c r="FL9" i="54"/>
  <c r="FK9" i="54"/>
  <c r="FI9" i="54"/>
  <c r="FH9" i="54"/>
  <c r="FQ9" i="54"/>
  <c r="FR9" i="54"/>
  <c r="FN9" i="54"/>
  <c r="FJ57" i="54"/>
  <c r="FI57" i="54"/>
  <c r="FP57" i="54"/>
  <c r="FM57" i="54"/>
  <c r="FO57" i="54"/>
  <c r="FN57" i="54"/>
  <c r="FK57" i="54"/>
  <c r="FQ57" i="54"/>
  <c r="GX55" i="54"/>
  <c r="GY55" i="54"/>
  <c r="ID32" i="54" a="1"/>
  <c r="ID32" i="54" s="1"/>
  <c r="IE32" i="54" a="1"/>
  <c r="IE32" i="54" s="1"/>
  <c r="AJ19" i="53" a="1"/>
  <c r="AJ19" i="53" s="1"/>
  <c r="B19" i="53" s="1"/>
  <c r="AG19" i="53" s="1"/>
  <c r="BX19" i="53" a="1"/>
  <c r="BX19" i="53" s="1"/>
  <c r="V19" i="53" a="1"/>
  <c r="V19" i="53" s="1"/>
  <c r="JW24" i="54"/>
  <c r="IC24" i="54"/>
  <c r="CR24" i="54" a="1"/>
  <c r="CR24" i="54" s="1"/>
  <c r="CS24" i="54" s="1"/>
  <c r="V24" i="54"/>
  <c r="DS24" i="54"/>
  <c r="U24" i="54"/>
  <c r="JW56" i="54"/>
  <c r="IC56" i="54"/>
  <c r="GB56" i="54"/>
  <c r="GC56" i="54" s="1"/>
  <c r="CR56" i="54" a="1"/>
  <c r="CR56" i="54" s="1"/>
  <c r="V56" i="54"/>
  <c r="CS56" i="54"/>
  <c r="U56" i="54"/>
  <c r="DS56" i="54"/>
  <c r="GX51" i="54"/>
  <c r="GY51" i="54"/>
  <c r="JM4" i="54"/>
  <c r="JF4" i="54"/>
  <c r="GS4" i="54"/>
  <c r="JN47" i="54"/>
  <c r="JG47" i="54"/>
  <c r="CR50" i="54" a="1"/>
  <c r="CR50" i="54" s="1"/>
  <c r="FM30" i="54"/>
  <c r="FP30" i="54"/>
  <c r="FO30" i="54"/>
  <c r="FN30" i="54"/>
  <c r="FL30" i="54"/>
  <c r="FJ30" i="54"/>
  <c r="FI30" i="54"/>
  <c r="FQ30" i="54"/>
  <c r="FK30" i="54"/>
  <c r="FC16" i="54"/>
  <c r="FD16" i="54" s="1"/>
  <c r="HS16" i="54" s="1"/>
  <c r="HU16" i="54" s="1"/>
  <c r="FZ53" i="54"/>
  <c r="JM37" i="54"/>
  <c r="JF37" i="54"/>
  <c r="JL16" i="54"/>
  <c r="JE16" i="54"/>
  <c r="ET33" i="54"/>
  <c r="FN56" i="54"/>
  <c r="FM56" i="54"/>
  <c r="FI56" i="54"/>
  <c r="FP56" i="54"/>
  <c r="FO56" i="54"/>
  <c r="FK56" i="54"/>
  <c r="FH56" i="54"/>
  <c r="FQ56" i="54"/>
  <c r="FL56" i="54"/>
  <c r="FJ56" i="54"/>
  <c r="DE41" i="54" a="1"/>
  <c r="DE41" i="54" s="1"/>
  <c r="DG41" i="54" a="1"/>
  <c r="DG41" i="54" s="1"/>
  <c r="DF41" i="54" a="1"/>
  <c r="DF41" i="54" s="1"/>
  <c r="DH41" i="54"/>
  <c r="GD39" i="54"/>
  <c r="CE39" i="54" a="1"/>
  <c r="CE39" i="54" s="1"/>
  <c r="EK39" i="54" s="1"/>
  <c r="GG39" i="54"/>
  <c r="BQ39" i="54"/>
  <c r="GY56" i="54"/>
  <c r="GX56" i="54"/>
  <c r="FO12" i="54"/>
  <c r="FJ12" i="54"/>
  <c r="FP12" i="54"/>
  <c r="FN12" i="54"/>
  <c r="FL12" i="54"/>
  <c r="FM12" i="54"/>
  <c r="FI12" i="54"/>
  <c r="FK12" i="54"/>
  <c r="FR12" i="54"/>
  <c r="FH12" i="54"/>
  <c r="FQ12" i="54"/>
  <c r="FZ36" i="54"/>
  <c r="ID33" i="54" a="1"/>
  <c r="ID33" i="54" s="1"/>
  <c r="IE33" i="54" a="1"/>
  <c r="IE33" i="54" s="1"/>
  <c r="BW15" i="53" a="1"/>
  <c r="BW15" i="53" s="1"/>
  <c r="BX15" i="53" a="1"/>
  <c r="BX15" i="53" s="1"/>
  <c r="V15" i="53" a="1"/>
  <c r="V15" i="53" s="1"/>
  <c r="AJ15" i="53" a="1"/>
  <c r="AJ15" i="53" s="1"/>
  <c r="B15" i="53" s="1"/>
  <c r="AG15" i="53" s="1"/>
  <c r="GL31" i="54"/>
  <c r="FK31" i="54"/>
  <c r="FP31" i="54"/>
  <c r="FQ31" i="54"/>
  <c r="AY15" i="53"/>
  <c r="AZ15" i="53" s="1" a="1"/>
  <c r="AZ15" i="53" s="1"/>
  <c r="FQ16" i="54"/>
  <c r="FK16" i="54"/>
  <c r="FP16" i="54"/>
  <c r="FI16" i="54"/>
  <c r="FN16" i="54"/>
  <c r="FJ16" i="54"/>
  <c r="FH16" i="54"/>
  <c r="FR16" i="54"/>
  <c r="FM16" i="54"/>
  <c r="FL16" i="54"/>
  <c r="FO16" i="54"/>
  <c r="FP22" i="54"/>
  <c r="FR22" i="54"/>
  <c r="FQ22" i="54"/>
  <c r="FL22" i="54"/>
  <c r="FM22" i="54"/>
  <c r="FI22" i="54"/>
  <c r="FO22" i="54"/>
  <c r="FN22" i="54"/>
  <c r="FK22" i="54"/>
  <c r="FJ22" i="54"/>
  <c r="HD22" i="54"/>
  <c r="HB22" i="54"/>
  <c r="HC22" i="54" s="1"/>
  <c r="U18" i="54"/>
  <c r="EL16" i="54"/>
  <c r="JF19" i="54"/>
  <c r="JM19" i="54"/>
  <c r="EL47" i="54"/>
  <c r="JE37" i="54"/>
  <c r="BM28" i="54"/>
  <c r="FJ31" i="54"/>
  <c r="JF22" i="54"/>
  <c r="JM22" i="54"/>
  <c r="GJ49" i="54"/>
  <c r="BN49" i="54"/>
  <c r="GP49" i="54" s="1"/>
  <c r="BM50" i="54"/>
  <c r="FX9" i="54" a="1"/>
  <c r="FX9" i="54" s="1"/>
  <c r="FY9" i="54"/>
  <c r="GD55" i="54"/>
  <c r="HR21" i="54"/>
  <c r="HP21" i="54"/>
  <c r="IZ21" i="54" s="1"/>
  <c r="HK21" i="54"/>
  <c r="DE56" i="54" a="1"/>
  <c r="DE56" i="54" s="1"/>
  <c r="DF56" i="54" a="1"/>
  <c r="DF56" i="54" s="1"/>
  <c r="DH56" i="54"/>
  <c r="DX56" i="54" s="1"/>
  <c r="DG56" i="54" a="1"/>
  <c r="DG56" i="54" s="1"/>
  <c r="GD41" i="54"/>
  <c r="GG41" i="54"/>
  <c r="CE41" i="54" a="1"/>
  <c r="CE41" i="54" s="1"/>
  <c r="BQ41" i="54"/>
  <c r="E41" i="54" s="1"/>
  <c r="BR41" i="54" s="1"/>
  <c r="BS41" i="54" s="1"/>
  <c r="GL41" i="54" s="1"/>
  <c r="GL29" i="54"/>
  <c r="CK28" i="54"/>
  <c r="CE30" i="54" a="1"/>
  <c r="CE30" i="54" s="1"/>
  <c r="EK30" i="54" s="1"/>
  <c r="BL14" i="53" a="1"/>
  <c r="BL14" i="53" s="1"/>
  <c r="BX14" i="53" a="1"/>
  <c r="BX14" i="53" s="1"/>
  <c r="BT14" i="53" a="1"/>
  <c r="BT14" i="53" s="1"/>
  <c r="BR14" i="53" a="1"/>
  <c r="BR14" i="53" s="1"/>
  <c r="AJ14" i="53" a="1"/>
  <c r="AJ14" i="53" s="1"/>
  <c r="B14" i="53" s="1"/>
  <c r="AG14" i="53" s="1"/>
  <c r="BF14" i="53" a="1"/>
  <c r="BF14" i="53" s="1"/>
  <c r="BW14" i="53" a="1"/>
  <c r="BW14" i="53" s="1"/>
  <c r="V14" i="53" a="1"/>
  <c r="V14" i="53" s="1"/>
  <c r="BP14" i="53" a="1"/>
  <c r="BP14" i="53" s="1"/>
  <c r="GS16" i="54"/>
  <c r="HV16" i="54"/>
  <c r="JL3" i="54"/>
  <c r="JE3" i="54"/>
  <c r="EL46" i="54"/>
  <c r="EY54" i="54"/>
  <c r="R54" i="54" s="1"/>
  <c r="JY35" i="54"/>
  <c r="JX35" i="54"/>
  <c r="JW35" i="54"/>
  <c r="IC35" i="54"/>
  <c r="FS35" i="54"/>
  <c r="DQ35" i="54"/>
  <c r="II35" i="54" s="1"/>
  <c r="IJ35" i="54" s="1"/>
  <c r="U35" i="54"/>
  <c r="CR35" i="54" a="1"/>
  <c r="CR35" i="54" s="1"/>
  <c r="V35" i="54"/>
  <c r="DY35" i="54"/>
  <c r="DA35" i="54"/>
  <c r="DM35" i="54" s="1"/>
  <c r="T35" i="54"/>
  <c r="GX27" i="54"/>
  <c r="GY27" i="54"/>
  <c r="DE13" i="54" a="1"/>
  <c r="DE13" i="54" s="1"/>
  <c r="DF13" i="54" a="1"/>
  <c r="DF13" i="54" s="1"/>
  <c r="DG13" i="54" a="1"/>
  <c r="DG13" i="54" s="1"/>
  <c r="CR13" i="54" a="1"/>
  <c r="CR13" i="54" s="1"/>
  <c r="DH13" i="54"/>
  <c r="DX13" i="54" s="1"/>
  <c r="IC13" i="54"/>
  <c r="JN37" i="54"/>
  <c r="JG37" i="54"/>
  <c r="FQ32" i="54"/>
  <c r="FK32" i="54"/>
  <c r="FO32" i="54"/>
  <c r="FL32" i="54"/>
  <c r="FP32" i="54"/>
  <c r="FI32" i="54"/>
  <c r="FJ32" i="54"/>
  <c r="FN32" i="54"/>
  <c r="FM32" i="54"/>
  <c r="JK34" i="54"/>
  <c r="DR34" i="54" a="1"/>
  <c r="DR34" i="54" s="1"/>
  <c r="CM17" i="54"/>
  <c r="GE48" i="54" a="1"/>
  <c r="GE48" i="54" s="1"/>
  <c r="GY14" i="54"/>
  <c r="GX14" i="54"/>
  <c r="GX10" i="54"/>
  <c r="GY10" i="54"/>
  <c r="DF26" i="54" a="1"/>
  <c r="DF26" i="54" s="1"/>
  <c r="DE26" i="54" a="1"/>
  <c r="DE26" i="54" s="1"/>
  <c r="DH26" i="54"/>
  <c r="DX26" i="54" s="1"/>
  <c r="DG26" i="54" a="1"/>
  <c r="DG26" i="54" s="1"/>
  <c r="CR26" i="54" a="1"/>
  <c r="CR26" i="54" s="1"/>
  <c r="DH42" i="54"/>
  <c r="DX42" i="54" s="1"/>
  <c r="DG42" i="54" a="1"/>
  <c r="DG42" i="54" s="1"/>
  <c r="DF42" i="54" a="1"/>
  <c r="DF42" i="54" s="1"/>
  <c r="DE42" i="54" a="1"/>
  <c r="DE42" i="54" s="1"/>
  <c r="FZ6" i="54"/>
  <c r="FZ15" i="54"/>
  <c r="GY29" i="54"/>
  <c r="GX29" i="54"/>
  <c r="GG45" i="54"/>
  <c r="GD45" i="54"/>
  <c r="GE45" i="54" s="1" a="1"/>
  <c r="GE45" i="54" s="1"/>
  <c r="GF45" i="54" s="1"/>
  <c r="FN53" i="54"/>
  <c r="FI53" i="54"/>
  <c r="FR53" i="54"/>
  <c r="FM53" i="54"/>
  <c r="FP53" i="54"/>
  <c r="FJ53" i="54"/>
  <c r="FK53" i="54"/>
  <c r="FQ53" i="54"/>
  <c r="FO53" i="54"/>
  <c r="CL18" i="54"/>
  <c r="FX44" i="54" a="1"/>
  <c r="FX44" i="54" s="1"/>
  <c r="FY44" i="54"/>
  <c r="FX46" i="54" a="1"/>
  <c r="FX46" i="54" s="1"/>
  <c r="FY46" i="54"/>
  <c r="AY19" i="53"/>
  <c r="AZ19" i="53" s="1" a="1"/>
  <c r="AZ19" i="53" s="1"/>
  <c r="FH57" i="54" s="1"/>
  <c r="FL57" i="54" s="1"/>
  <c r="FP54" i="54"/>
  <c r="FR54" i="54"/>
  <c r="FO54" i="54"/>
  <c r="FK54" i="54"/>
  <c r="FQ54" i="54"/>
  <c r="FM54" i="54"/>
  <c r="FI54" i="54"/>
  <c r="FH54" i="54"/>
  <c r="FN54" i="54"/>
  <c r="FJ54" i="54"/>
  <c r="FL54" i="54"/>
  <c r="IE29" i="54" a="1"/>
  <c r="IE29" i="54" s="1"/>
  <c r="ID29" i="54" a="1"/>
  <c r="ID29" i="54" s="1"/>
  <c r="FY13" i="54"/>
  <c r="FX13" i="54" a="1"/>
  <c r="FX13" i="54" s="1"/>
  <c r="FZ13" i="54" s="1"/>
  <c r="FY29" i="54"/>
  <c r="FX29" i="54" a="1"/>
  <c r="FX29" i="54" s="1"/>
  <c r="JE36" i="54"/>
  <c r="EY55" i="54"/>
  <c r="R55" i="54" s="1"/>
  <c r="EY23" i="54"/>
  <c r="R23" i="54" s="1"/>
  <c r="IT16" i="54" a="1"/>
  <c r="IT16" i="54" s="1"/>
  <c r="IU16" i="54" s="1"/>
  <c r="IX16" i="54" a="1"/>
  <c r="IX16" i="54" s="1"/>
  <c r="IY16" i="54" s="1"/>
  <c r="IV16" i="54" a="1"/>
  <c r="IV16" i="54" s="1"/>
  <c r="IW16" i="54" s="1"/>
  <c r="IR16" i="54" a="1"/>
  <c r="IR16" i="54" s="1"/>
  <c r="IS16" i="54" s="1"/>
  <c r="IN16" i="54" a="1"/>
  <c r="IN16" i="54" s="1"/>
  <c r="IO16" i="54" s="1"/>
  <c r="IP16" i="54" a="1"/>
  <c r="IP16" i="54" s="1"/>
  <c r="IQ16" i="54" s="1"/>
  <c r="FP29" i="54"/>
  <c r="FO29" i="54"/>
  <c r="FN29" i="54"/>
  <c r="FL29" i="54"/>
  <c r="FJ29" i="54"/>
  <c r="FQ29" i="54"/>
  <c r="FM29" i="54"/>
  <c r="FK29" i="54"/>
  <c r="FI29" i="54"/>
  <c r="JL55" i="54"/>
  <c r="JE55" i="54"/>
  <c r="IC25" i="54"/>
  <c r="JW25" i="54"/>
  <c r="CR25" i="54" a="1"/>
  <c r="CR25" i="54" s="1"/>
  <c r="DS25" i="54"/>
  <c r="V25" i="54"/>
  <c r="U25" i="54"/>
  <c r="GY19" i="54"/>
  <c r="GX19" i="54"/>
  <c r="IE48" i="54" a="1"/>
  <c r="IE48" i="54" s="1"/>
  <c r="ID48" i="54" a="1"/>
  <c r="ID48" i="54" s="1"/>
  <c r="GY12" i="54"/>
  <c r="GX12" i="54"/>
  <c r="DG29" i="54" a="1"/>
  <c r="DG29" i="54" s="1"/>
  <c r="DF29" i="54" a="1"/>
  <c r="DF29" i="54" s="1"/>
  <c r="DE29" i="54" a="1"/>
  <c r="DE29" i="54" s="1"/>
  <c r="DH29" i="54"/>
  <c r="JF20" i="54"/>
  <c r="JM20" i="54"/>
  <c r="BN8" i="54"/>
  <c r="S8" i="54" s="1"/>
  <c r="GJ8" i="54"/>
  <c r="BM9" i="54"/>
  <c r="JM36" i="54"/>
  <c r="JF36" i="54"/>
  <c r="GE31" i="54" a="1"/>
  <c r="GE31" i="54" s="1"/>
  <c r="GF31" i="54" s="1"/>
  <c r="GY28" i="54"/>
  <c r="GX28" i="54"/>
  <c r="DG11" i="54" a="1"/>
  <c r="DG11" i="54" s="1"/>
  <c r="DF11" i="54" a="1"/>
  <c r="DF11" i="54" s="1"/>
  <c r="DE11" i="54" a="1"/>
  <c r="DE11" i="54" s="1"/>
  <c r="DH11" i="54"/>
  <c r="DX11" i="54" s="1"/>
  <c r="HD3" i="54"/>
  <c r="HB3" i="54"/>
  <c r="HC3" i="54" s="1"/>
  <c r="FZ3" i="54"/>
  <c r="FA55" i="54"/>
  <c r="FC55" i="54"/>
  <c r="FD55" i="54" s="1"/>
  <c r="HS55" i="54" s="1"/>
  <c r="HU55" i="54" s="1"/>
  <c r="FZ4" i="54"/>
  <c r="CU18" i="54" a="1"/>
  <c r="CU18" i="54" s="1"/>
  <c r="CT18" i="54" a="1"/>
  <c r="CT18" i="54" s="1"/>
  <c r="JW36" i="54"/>
  <c r="GB36" i="54"/>
  <c r="GC36" i="54" s="1"/>
  <c r="GE36" i="54" s="1" a="1"/>
  <c r="GE36" i="54" s="1"/>
  <c r="GF36" i="54" s="1"/>
  <c r="IC36" i="54"/>
  <c r="U36" i="54"/>
  <c r="CR36" i="54" a="1"/>
  <c r="CR36" i="54" s="1"/>
  <c r="DX36" i="54"/>
  <c r="V36" i="54"/>
  <c r="DS36" i="54"/>
  <c r="JL20" i="54"/>
  <c r="JE20" i="54"/>
  <c r="FZ22" i="54"/>
  <c r="JE22" i="54"/>
  <c r="JL22" i="54"/>
  <c r="GJ56" i="54"/>
  <c r="BN56" i="54"/>
  <c r="GP56" i="54" s="1"/>
  <c r="BM57" i="54"/>
  <c r="FY41" i="54"/>
  <c r="FX41" i="54" a="1"/>
  <c r="FX41" i="54" s="1"/>
  <c r="FZ41" i="54" s="1"/>
  <c r="U14" i="54"/>
  <c r="V14" i="54"/>
  <c r="DE57" i="54" a="1"/>
  <c r="DE57" i="54" s="1"/>
  <c r="DH57" i="54"/>
  <c r="DX57" i="54" s="1"/>
  <c r="DF57" i="54" a="1"/>
  <c r="DF57" i="54" s="1"/>
  <c r="DG57" i="54" a="1"/>
  <c r="DG57" i="54" s="1"/>
  <c r="GX36" i="54"/>
  <c r="GY36" i="54"/>
  <c r="JW10" i="54"/>
  <c r="IC10" i="54"/>
  <c r="T10" i="54"/>
  <c r="CR10" i="54" a="1"/>
  <c r="CR10" i="54" s="1"/>
  <c r="V10" i="54"/>
  <c r="GB10" i="54"/>
  <c r="GC10" i="54" s="1"/>
  <c r="DS10" i="54"/>
  <c r="U10" i="54"/>
  <c r="DH33" i="54"/>
  <c r="DE33" i="54" a="1"/>
  <c r="DE33" i="54" s="1"/>
  <c r="DG33" i="54" a="1"/>
  <c r="DG33" i="54" s="1"/>
  <c r="DF33" i="54" a="1"/>
  <c r="DF33" i="54" s="1"/>
  <c r="EL36" i="54"/>
  <c r="CZ17" i="54"/>
  <c r="IC57" i="54"/>
  <c r="GB57" i="54"/>
  <c r="GC57" i="54" s="1"/>
  <c r="GE57" i="54" s="1" a="1"/>
  <c r="GE57" i="54" s="1"/>
  <c r="GF57" i="54" s="1"/>
  <c r="JW57" i="54"/>
  <c r="CR57" i="54" a="1"/>
  <c r="CR57" i="54" s="1"/>
  <c r="V57" i="54"/>
  <c r="DS57" i="54"/>
  <c r="U57" i="54"/>
  <c r="DH35" i="54"/>
  <c r="DE35" i="54" a="1"/>
  <c r="DE35" i="54" s="1"/>
  <c r="DG35" i="54" a="1"/>
  <c r="DG35" i="54" s="1"/>
  <c r="DF35" i="54" a="1"/>
  <c r="DF35" i="54" s="1"/>
  <c r="JO38" i="54"/>
  <c r="JU38" i="54"/>
  <c r="JL18" i="54"/>
  <c r="JE18" i="54"/>
  <c r="EL50" i="54"/>
  <c r="JF39" i="54"/>
  <c r="JM39" i="54"/>
  <c r="GG42" i="54"/>
  <c r="GD42" i="54"/>
  <c r="CE42" i="54" a="1"/>
  <c r="CE42" i="54" s="1"/>
  <c r="EK42" i="54" s="1"/>
  <c r="BQ42" i="54"/>
  <c r="CE32" i="54" a="1"/>
  <c r="CE32" i="54" s="1"/>
  <c r="EK32" i="54" s="1"/>
  <c r="FZ35" i="54"/>
  <c r="GY13" i="54"/>
  <c r="GX13" i="54"/>
  <c r="DG30" i="54" a="1"/>
  <c r="DG30" i="54" s="1"/>
  <c r="DH30" i="54"/>
  <c r="DX30" i="54" s="1"/>
  <c r="DE30" i="54" a="1"/>
  <c r="DE30" i="54" s="1"/>
  <c r="DF30" i="54" a="1"/>
  <c r="DF30" i="54" s="1"/>
  <c r="JG19" i="54"/>
  <c r="JN19" i="54"/>
  <c r="AY16" i="53"/>
  <c r="AZ16" i="53" s="1" a="1"/>
  <c r="AZ16" i="53" s="1"/>
  <c r="FR23" i="54"/>
  <c r="FL23" i="54"/>
  <c r="FH23" i="54"/>
  <c r="FI23" i="54"/>
  <c r="FP23" i="54"/>
  <c r="FM23" i="54"/>
  <c r="AN16" i="53" s="1"/>
  <c r="FO23" i="54"/>
  <c r="FN23" i="54"/>
  <c r="FK23" i="54"/>
  <c r="FQ23" i="54"/>
  <c r="FJ23" i="54"/>
  <c r="FY57" i="54"/>
  <c r="FX57" i="54" a="1"/>
  <c r="FX57" i="54" s="1"/>
  <c r="FR11" i="54"/>
  <c r="FH11" i="54"/>
  <c r="FP11" i="54"/>
  <c r="FN11" i="54"/>
  <c r="FL11" i="54"/>
  <c r="FO11" i="54"/>
  <c r="FM11" i="54"/>
  <c r="FK11" i="54"/>
  <c r="FJ11" i="54"/>
  <c r="FI11" i="54"/>
  <c r="FQ11" i="54"/>
  <c r="EY41" i="54"/>
  <c r="R41" i="54" s="1"/>
  <c r="IR23" i="54" a="1"/>
  <c r="IR23" i="54" s="1"/>
  <c r="IS23" i="54" s="1"/>
  <c r="IX23" i="54" a="1"/>
  <c r="IX23" i="54" s="1"/>
  <c r="IY23" i="54" s="1"/>
  <c r="IN23" i="54" a="1"/>
  <c r="IN23" i="54" s="1"/>
  <c r="IO23" i="54" s="1"/>
  <c r="IP23" i="54" a="1"/>
  <c r="IP23" i="54" s="1"/>
  <c r="IQ23" i="54" s="1"/>
  <c r="IT23" i="54" a="1"/>
  <c r="IT23" i="54" s="1"/>
  <c r="IU23" i="54" s="1"/>
  <c r="IV23" i="54" a="1"/>
  <c r="IV23" i="54" s="1"/>
  <c r="IW23" i="54" s="1"/>
  <c r="EL42" i="54"/>
  <c r="CU34" i="54" a="1"/>
  <c r="CU34" i="54" s="1"/>
  <c r="CT34" i="54" a="1"/>
  <c r="CT34" i="54" s="1"/>
  <c r="FO15" i="54"/>
  <c r="FQ15" i="54"/>
  <c r="FN15" i="54"/>
  <c r="FK15" i="54"/>
  <c r="FI15" i="54"/>
  <c r="FJ15" i="54"/>
  <c r="FR15" i="54"/>
  <c r="FL15" i="54"/>
  <c r="FM15" i="54"/>
  <c r="FH15" i="54"/>
  <c r="GL32" i="54"/>
  <c r="CT16" i="54" a="1"/>
  <c r="CT16" i="54" s="1"/>
  <c r="CU16" i="54" a="1"/>
  <c r="CU16" i="54" s="1"/>
  <c r="FZ20" i="54"/>
  <c r="FZ49" i="54"/>
  <c r="FY14" i="54"/>
  <c r="FX14" i="54" a="1"/>
  <c r="FX14" i="54" s="1"/>
  <c r="FZ14" i="54" s="1"/>
  <c r="GG46" i="54"/>
  <c r="GD46" i="54"/>
  <c r="GE46" i="54" s="1" a="1"/>
  <c r="GE46" i="54" s="1"/>
  <c r="GF46" i="54" s="1"/>
  <c r="JG18" i="54"/>
  <c r="JN18" i="54"/>
  <c r="GD10" i="54"/>
  <c r="GG10" i="54"/>
  <c r="HV10" i="54"/>
  <c r="GD26" i="54"/>
  <c r="GE26" i="54" s="1" a="1"/>
  <c r="GE26" i="54" s="1"/>
  <c r="FX42" i="54" a="1"/>
  <c r="FX42" i="54" s="1"/>
  <c r="FY42" i="54"/>
  <c r="DG28" i="54" a="1"/>
  <c r="DG28" i="54" s="1"/>
  <c r="DF28" i="54" a="1"/>
  <c r="DF28" i="54" s="1"/>
  <c r="DE28" i="54" a="1"/>
  <c r="DE28" i="54" s="1"/>
  <c r="DH28" i="54"/>
  <c r="DX28" i="54" s="1"/>
  <c r="DX29" i="54" s="1"/>
  <c r="CR28" i="54" a="1"/>
  <c r="CR28" i="54" s="1"/>
  <c r="JW51" i="54"/>
  <c r="IC51" i="54"/>
  <c r="U51" i="54"/>
  <c r="DS51" i="54"/>
  <c r="CR51" i="54" a="1"/>
  <c r="CR51" i="54" s="1"/>
  <c r="V51" i="54"/>
  <c r="JL47" i="54"/>
  <c r="JE47" i="54"/>
  <c r="AK18" i="54"/>
  <c r="HE18" i="54"/>
  <c r="IE47" i="54" a="1"/>
  <c r="IE47" i="54" s="1"/>
  <c r="ID47" i="54" a="1"/>
  <c r="ID47" i="54" s="1"/>
  <c r="JM46" i="54"/>
  <c r="JF46" i="54"/>
  <c r="EQ34" i="54"/>
  <c r="EP34" i="54" a="1"/>
  <c r="EP34" i="54" s="1"/>
  <c r="CR11" i="54" a="1"/>
  <c r="CR11" i="54" s="1"/>
  <c r="IC11" i="54"/>
  <c r="EL30" i="54"/>
  <c r="JG22" i="54"/>
  <c r="JN22" i="54"/>
  <c r="ID3" i="54" a="1"/>
  <c r="ID3" i="54" s="1"/>
  <c r="IE3" i="54" a="1"/>
  <c r="IE3" i="54" s="1"/>
  <c r="FZ23" i="54"/>
  <c r="EY36" i="54"/>
  <c r="FZ31" i="54"/>
  <c r="DG14" i="54" a="1"/>
  <c r="DG14" i="54" s="1"/>
  <c r="DF14" i="54" a="1"/>
  <c r="DF14" i="54" s="1"/>
  <c r="DE14" i="54" a="1"/>
  <c r="DE14" i="54" s="1"/>
  <c r="CR14" i="54" a="1"/>
  <c r="CR14" i="54" s="1"/>
  <c r="DH14" i="54"/>
  <c r="DX14" i="54" s="1"/>
  <c r="GB52" i="54"/>
  <c r="GC52" i="54" s="1"/>
  <c r="GE52" i="54" s="1" a="1"/>
  <c r="GE52" i="54" s="1"/>
  <c r="GF52" i="54" s="1"/>
  <c r="JW52" i="54"/>
  <c r="CR52" i="54" a="1"/>
  <c r="CR52" i="54" s="1"/>
  <c r="CS52" i="54" s="1"/>
  <c r="U52" i="54"/>
  <c r="DS52" i="54"/>
  <c r="IC52" i="54"/>
  <c r="V52" i="54"/>
  <c r="ID46" i="54" a="1"/>
  <c r="ID46" i="54" s="1"/>
  <c r="IE46" i="54" a="1"/>
  <c r="IE46" i="54" s="1"/>
  <c r="JM47" i="54"/>
  <c r="JF47" i="54"/>
  <c r="FX43" i="54" a="1"/>
  <c r="FX43" i="54" s="1"/>
  <c r="FY43" i="54"/>
  <c r="JX19" i="54"/>
  <c r="JY19" i="54"/>
  <c r="JW19" i="54"/>
  <c r="DX19" i="54"/>
  <c r="IC19" i="54"/>
  <c r="DQ19" i="54"/>
  <c r="II19" i="54" s="1"/>
  <c r="IJ19" i="54" s="1"/>
  <c r="DY19" i="54"/>
  <c r="FS19" i="54"/>
  <c r="U19" i="54"/>
  <c r="DA19" i="54"/>
  <c r="DM19" i="54" s="1"/>
  <c r="T19" i="54"/>
  <c r="CR19" i="54" a="1"/>
  <c r="CR19" i="54" s="1"/>
  <c r="DS19" i="54"/>
  <c r="V19" i="54"/>
  <c r="FP6" i="54"/>
  <c r="FQ6" i="54"/>
  <c r="FM6" i="54"/>
  <c r="FJ6" i="54"/>
  <c r="FI6" i="54"/>
  <c r="FN6" i="54"/>
  <c r="FK6" i="54"/>
  <c r="FO6" i="54"/>
  <c r="FL6" i="54"/>
  <c r="GS23" i="54"/>
  <c r="DE45" i="54" a="1"/>
  <c r="DE45" i="54" s="1"/>
  <c r="DH45" i="54"/>
  <c r="DX45" i="54" s="1"/>
  <c r="DG45" i="54" a="1"/>
  <c r="DG45" i="54" s="1"/>
  <c r="DF45" i="54" a="1"/>
  <c r="DF45" i="54" s="1"/>
  <c r="CR45" i="54" a="1"/>
  <c r="CR45" i="54" s="1"/>
  <c r="AC17" i="42"/>
  <c r="AC21" i="42" s="1"/>
  <c r="Y13" i="42"/>
  <c r="Z5" i="42" s="1"/>
  <c r="Z4" i="42"/>
  <c r="AB4" i="42"/>
  <c r="AA23" i="42"/>
  <c r="AB5" i="42" s="1"/>
  <c r="AD5" i="42"/>
  <c r="X4" i="42"/>
  <c r="W5" i="42"/>
  <c r="Y14" i="42"/>
  <c r="FZ10" i="54" l="1"/>
  <c r="O57" i="54" a="1"/>
  <c r="O57" i="54" s="1"/>
  <c r="O46" i="54" a="1"/>
  <c r="O46" i="54" s="1"/>
  <c r="O45" i="54" a="1"/>
  <c r="O45" i="54" s="1"/>
  <c r="O52" i="54" a="1"/>
  <c r="O52" i="54" s="1"/>
  <c r="GM52" i="54" s="1"/>
  <c r="FR46" i="54"/>
  <c r="S24" i="54"/>
  <c r="FZ27" i="54"/>
  <c r="FR57" i="54"/>
  <c r="GV3" i="54"/>
  <c r="GW3" i="54" s="1"/>
  <c r="O47" i="54" a="1"/>
  <c r="O47" i="54" s="1"/>
  <c r="FZ29" i="54"/>
  <c r="O44" i="54" a="1"/>
  <c r="O44" i="54" s="1"/>
  <c r="CI44" i="54" s="1"/>
  <c r="HV44" i="54" s="1"/>
  <c r="FZ39" i="54"/>
  <c r="FZ45" i="54"/>
  <c r="AO15" i="53"/>
  <c r="JC3" i="54"/>
  <c r="AL16" i="53"/>
  <c r="FZ26" i="54"/>
  <c r="AQ16" i="53"/>
  <c r="O27" i="54" a="1"/>
  <c r="O27" i="54" s="1"/>
  <c r="JY42" i="54"/>
  <c r="JX42" i="54"/>
  <c r="DM42" i="54"/>
  <c r="DV42" i="54"/>
  <c r="FZ46" i="54"/>
  <c r="AM17" i="53"/>
  <c r="AQ17" i="53"/>
  <c r="EK22" i="54"/>
  <c r="CI22" i="54"/>
  <c r="AO16" i="53"/>
  <c r="JE23" i="54"/>
  <c r="S17" i="54"/>
  <c r="JY16" i="54"/>
  <c r="IF36" i="54"/>
  <c r="IG36" i="54" s="1"/>
  <c r="JX16" i="54"/>
  <c r="AK17" i="53"/>
  <c r="FR29" i="54"/>
  <c r="O51" i="54" a="1"/>
  <c r="O51" i="54" s="1"/>
  <c r="GM51" i="54" s="1"/>
  <c r="AO19" i="53"/>
  <c r="V28" i="54"/>
  <c r="FR6" i="54"/>
  <c r="S56" i="54"/>
  <c r="AL19" i="53"/>
  <c r="GU48" i="54"/>
  <c r="GV48" i="54" s="1"/>
  <c r="GW48" i="54" s="1"/>
  <c r="FH51" i="54"/>
  <c r="FL51" i="54" s="1"/>
  <c r="GE41" i="54" a="1"/>
  <c r="GE41" i="54" s="1"/>
  <c r="GF41" i="54" s="1"/>
  <c r="JL53" i="54"/>
  <c r="JE53" i="54"/>
  <c r="JL54" i="54"/>
  <c r="JE54" i="54"/>
  <c r="GQ27" i="54"/>
  <c r="GR27" i="54" s="1"/>
  <c r="AK19" i="53"/>
  <c r="DV16" i="54"/>
  <c r="DW16" i="54" s="1"/>
  <c r="V33" i="54"/>
  <c r="U33" i="54"/>
  <c r="IE28" i="54" a="1"/>
  <c r="IE28" i="54" s="1"/>
  <c r="GT55" i="54"/>
  <c r="BV15" i="53"/>
  <c r="JM53" i="54"/>
  <c r="JF53" i="54"/>
  <c r="GE55" i="54" a="1"/>
  <c r="GE55" i="54" s="1"/>
  <c r="GF55" i="54" s="1"/>
  <c r="JG53" i="54"/>
  <c r="JN53" i="54"/>
  <c r="BV18" i="53"/>
  <c r="O42" i="54" a="1"/>
  <c r="O42" i="54" s="1"/>
  <c r="GM42" i="54" s="1"/>
  <c r="FR45" i="54"/>
  <c r="R36" i="54"/>
  <c r="JN54" i="54"/>
  <c r="JG54" i="54"/>
  <c r="CV16" i="54"/>
  <c r="CY16" i="54"/>
  <c r="AK16" i="53"/>
  <c r="AR16" i="53"/>
  <c r="AK15" i="53"/>
  <c r="FR51" i="54"/>
  <c r="GE5" i="54" a="1"/>
  <c r="GE5" i="54" s="1"/>
  <c r="GF5" i="54" s="1"/>
  <c r="AN17" i="53"/>
  <c r="GT16" i="54"/>
  <c r="JC16" i="54" s="1"/>
  <c r="FZ28" i="54"/>
  <c r="BV17" i="53" s="1"/>
  <c r="CW16" i="54"/>
  <c r="O12" i="54" a="1"/>
  <c r="O12" i="54" s="1"/>
  <c r="ID26" i="54" a="1"/>
  <c r="ID26" i="54" s="1"/>
  <c r="AR17" i="53"/>
  <c r="AO17" i="53"/>
  <c r="GE9" i="54" a="1"/>
  <c r="GE9" i="54" s="1"/>
  <c r="GF9" i="54" s="1"/>
  <c r="BW16" i="53" s="1" a="1"/>
  <c r="BW16" i="53" s="1"/>
  <c r="JM54" i="54"/>
  <c r="JF54" i="54"/>
  <c r="JN23" i="54"/>
  <c r="O36" i="54" a="1"/>
  <c r="O36" i="54" s="1"/>
  <c r="EV36" i="54" s="1"/>
  <c r="EW36" i="54" s="1"/>
  <c r="EZ36" i="54" s="1"/>
  <c r="FH50" i="54"/>
  <c r="FL50" i="54" s="1"/>
  <c r="AR18" i="53"/>
  <c r="GF26" i="54"/>
  <c r="CV24" i="54"/>
  <c r="CX24" i="54"/>
  <c r="CY24" i="54"/>
  <c r="CW24" i="54"/>
  <c r="CZ24" i="54"/>
  <c r="DA24" i="54" s="1"/>
  <c r="GQ24" i="54"/>
  <c r="GR24" i="54" s="1"/>
  <c r="GT24" i="54"/>
  <c r="GF16" i="54"/>
  <c r="DM12" i="54"/>
  <c r="JX12" i="54"/>
  <c r="JY12" i="54"/>
  <c r="DV12" i="54"/>
  <c r="DW12" i="54" s="1"/>
  <c r="HD23" i="54"/>
  <c r="HB23" i="54"/>
  <c r="HC23" i="54" s="1"/>
  <c r="HA24" i="54"/>
  <c r="CY19" i="54"/>
  <c r="CW19" i="54"/>
  <c r="CV19" i="54"/>
  <c r="CX19" i="54"/>
  <c r="CZ19" i="54"/>
  <c r="HD39" i="54"/>
  <c r="HB39" i="54"/>
  <c r="HC39" i="54" s="1"/>
  <c r="HA40" i="54"/>
  <c r="GQ56" i="54"/>
  <c r="GR56" i="54" s="1"/>
  <c r="JY30" i="54"/>
  <c r="DV30" i="54"/>
  <c r="JX30" i="54"/>
  <c r="DM30" i="54"/>
  <c r="DM43" i="54"/>
  <c r="JY43" i="54"/>
  <c r="DV43" i="54"/>
  <c r="DW43" i="54" s="1"/>
  <c r="JX43" i="54"/>
  <c r="CV55" i="54"/>
  <c r="CX55" i="54"/>
  <c r="CY55" i="54"/>
  <c r="CW55" i="54"/>
  <c r="CZ55" i="54"/>
  <c r="DA55" i="54" s="1"/>
  <c r="CX52" i="54"/>
  <c r="CY52" i="54"/>
  <c r="CW52" i="54"/>
  <c r="CV52" i="54"/>
  <c r="CZ52" i="54"/>
  <c r="DA52" i="54" s="1"/>
  <c r="GQ49" i="54"/>
  <c r="GR49" i="54" s="1"/>
  <c r="JX3" i="54"/>
  <c r="JY3" i="54"/>
  <c r="DV3" i="54"/>
  <c r="DM3" i="54"/>
  <c r="JE45" i="54"/>
  <c r="JL45" i="54"/>
  <c r="CU22" i="54" a="1"/>
  <c r="CU22" i="54" s="1"/>
  <c r="CT22" i="54" a="1"/>
  <c r="CT22" i="54" s="1"/>
  <c r="ID22" i="54" a="1"/>
  <c r="ID22" i="54" s="1"/>
  <c r="IE22" i="54" a="1"/>
  <c r="IE22" i="54" s="1"/>
  <c r="DS34" i="54"/>
  <c r="DX34" i="54"/>
  <c r="CT37" i="54" a="1"/>
  <c r="CT37" i="54" s="1"/>
  <c r="CU37" i="54" a="1"/>
  <c r="CU37" i="54" s="1"/>
  <c r="CV8" i="54"/>
  <c r="CX8" i="54"/>
  <c r="CW8" i="54"/>
  <c r="CY8" i="54"/>
  <c r="CZ8" i="54"/>
  <c r="DA8" i="54" s="1"/>
  <c r="CU26" i="54" a="1"/>
  <c r="CU26" i="54" s="1"/>
  <c r="CT26" i="54" a="1"/>
  <c r="CT26" i="54" s="1"/>
  <c r="CS26" i="54"/>
  <c r="JF56" i="54"/>
  <c r="JM56" i="54"/>
  <c r="AQ18" i="53"/>
  <c r="IE7" i="54" a="1"/>
  <c r="IE7" i="54" s="1"/>
  <c r="ID7" i="54" a="1"/>
  <c r="ID7" i="54" s="1"/>
  <c r="AM19" i="53"/>
  <c r="JL56" i="54"/>
  <c r="JE56" i="54"/>
  <c r="JL30" i="54"/>
  <c r="JE30" i="54"/>
  <c r="JG56" i="54"/>
  <c r="JN56" i="54"/>
  <c r="CU21" i="54" a="1"/>
  <c r="CU21" i="54" s="1"/>
  <c r="CT21" i="54" a="1"/>
  <c r="CT21" i="54" s="1"/>
  <c r="CU53" i="54" a="1"/>
  <c r="CU53" i="54" s="1"/>
  <c r="CT53" i="54" a="1"/>
  <c r="CT53" i="54" s="1"/>
  <c r="CV40" i="54"/>
  <c r="CX40" i="54"/>
  <c r="CY40" i="54"/>
  <c r="CW40" i="54"/>
  <c r="GF4" i="54"/>
  <c r="AK3" i="54"/>
  <c r="HE3" i="54"/>
  <c r="ID35" i="54" a="1"/>
  <c r="ID35" i="54" s="1"/>
  <c r="IE35" i="54" a="1"/>
  <c r="IE35" i="54" s="1"/>
  <c r="AQ15" i="53"/>
  <c r="JG40" i="54"/>
  <c r="JN40" i="54"/>
  <c r="AN18" i="53"/>
  <c r="CU57" i="54" a="1"/>
  <c r="CU57" i="54" s="1"/>
  <c r="CT57" i="54" a="1"/>
  <c r="CT57" i="54" s="1"/>
  <c r="JF40" i="54"/>
  <c r="JM40" i="54"/>
  <c r="CV23" i="54"/>
  <c r="CX23" i="54"/>
  <c r="CY23" i="54"/>
  <c r="CW23" i="54"/>
  <c r="EK40" i="54"/>
  <c r="O40" i="54" a="1"/>
  <c r="O40" i="54" s="1"/>
  <c r="JL11" i="54"/>
  <c r="JE11" i="54"/>
  <c r="IE25" i="54" a="1"/>
  <c r="IE25" i="54" s="1"/>
  <c r="ID25" i="54" a="1"/>
  <c r="ID25" i="54" s="1"/>
  <c r="JG26" i="54"/>
  <c r="JN26" i="54"/>
  <c r="CV56" i="54"/>
  <c r="CX56" i="54"/>
  <c r="CY56" i="54"/>
  <c r="CW56" i="54"/>
  <c r="CT25" i="54" a="1"/>
  <c r="CT25" i="54" s="1"/>
  <c r="CU25" i="54" a="1"/>
  <c r="CU25" i="54" s="1"/>
  <c r="BJ14" i="53"/>
  <c r="BK14" i="53" s="1"/>
  <c r="BN14" i="53"/>
  <c r="BO14" i="53" s="1"/>
  <c r="AE14" i="53" a="1"/>
  <c r="AE14" i="53" s="1"/>
  <c r="CX54" i="54"/>
  <c r="CV54" i="54"/>
  <c r="CY54" i="54"/>
  <c r="CW54" i="54"/>
  <c r="JL49" i="54"/>
  <c r="JE49" i="54"/>
  <c r="GQ26" i="54"/>
  <c r="GR26" i="54" s="1"/>
  <c r="GT26" i="54"/>
  <c r="CT51" i="54" a="1"/>
  <c r="CT51" i="54" s="1"/>
  <c r="CU51" i="54" a="1"/>
  <c r="CU51" i="54" s="1"/>
  <c r="EK20" i="54"/>
  <c r="CI20" i="54"/>
  <c r="IE39" i="54" a="1"/>
  <c r="IE39" i="54" s="1"/>
  <c r="ID39" i="54" a="1"/>
  <c r="ID39" i="54" s="1"/>
  <c r="JN6" i="54"/>
  <c r="JG6" i="54"/>
  <c r="JK20" i="54"/>
  <c r="DR20" i="54" a="1"/>
  <c r="DR20" i="54" s="1"/>
  <c r="FS17" i="54"/>
  <c r="JN30" i="54"/>
  <c r="JG30" i="54"/>
  <c r="JF35" i="54"/>
  <c r="JM35" i="54"/>
  <c r="JG24" i="54"/>
  <c r="JN24" i="54"/>
  <c r="EK21" i="54"/>
  <c r="CI21" i="54"/>
  <c r="HV21" i="54" s="1"/>
  <c r="JN31" i="54"/>
  <c r="JG31" i="54"/>
  <c r="CT19" i="54" a="1"/>
  <c r="CT19" i="54" s="1"/>
  <c r="CU19" i="54" a="1"/>
  <c r="CU19" i="54" s="1"/>
  <c r="JN35" i="54"/>
  <c r="JG35" i="54"/>
  <c r="IE13" i="54" a="1"/>
  <c r="IE13" i="54" s="1"/>
  <c r="ID13" i="54" a="1"/>
  <c r="ID13" i="54" s="1"/>
  <c r="JE40" i="54"/>
  <c r="JL40" i="54"/>
  <c r="CV41" i="54"/>
  <c r="CY41" i="54"/>
  <c r="CW41" i="54"/>
  <c r="CX41" i="54"/>
  <c r="CZ41" i="54"/>
  <c r="DA41" i="54" s="1"/>
  <c r="JM31" i="54"/>
  <c r="JF31" i="54"/>
  <c r="DM48" i="54"/>
  <c r="DV48" i="54"/>
  <c r="DW48" i="54" s="1"/>
  <c r="JX48" i="54"/>
  <c r="JY48" i="54"/>
  <c r="JL35" i="54"/>
  <c r="JE35" i="54"/>
  <c r="JM11" i="54"/>
  <c r="JF11" i="54"/>
  <c r="FB44" i="54"/>
  <c r="ES44" i="54"/>
  <c r="FE44" i="54"/>
  <c r="ER44" i="54"/>
  <c r="EV44" i="54" s="1"/>
  <c r="EW44" i="54" s="1"/>
  <c r="Q44" i="54" s="1"/>
  <c r="FC44" i="54"/>
  <c r="FD44" i="54" s="1"/>
  <c r="HS44" i="54" s="1"/>
  <c r="HU44" i="54" s="1"/>
  <c r="FA44" i="54"/>
  <c r="CS20" i="54"/>
  <c r="CU5" i="54" a="1"/>
  <c r="CU5" i="54" s="1"/>
  <c r="CT5" i="54" a="1"/>
  <c r="CT5" i="54" s="1"/>
  <c r="JG9" i="54"/>
  <c r="JN9" i="54"/>
  <c r="JL43" i="54"/>
  <c r="JE43" i="54"/>
  <c r="EK17" i="54"/>
  <c r="CI17" i="54"/>
  <c r="HV17" i="54" s="1"/>
  <c r="DL18" i="54"/>
  <c r="DM18" i="54" s="1"/>
  <c r="CL17" i="54"/>
  <c r="DL17" i="54" s="1"/>
  <c r="JL26" i="54"/>
  <c r="JE26" i="54"/>
  <c r="JG41" i="54"/>
  <c r="JN41" i="54"/>
  <c r="CZ40" i="54"/>
  <c r="DA40" i="54" s="1"/>
  <c r="EY44" i="54"/>
  <c r="JE24" i="54"/>
  <c r="JL24" i="54"/>
  <c r="JF51" i="54"/>
  <c r="JM51" i="54"/>
  <c r="JN10" i="54"/>
  <c r="JG10" i="54"/>
  <c r="AK34" i="54"/>
  <c r="HE34" i="54"/>
  <c r="EK19" i="54"/>
  <c r="CI19" i="54"/>
  <c r="JF43" i="54"/>
  <c r="JM43" i="54"/>
  <c r="JC4" i="54"/>
  <c r="GU4" i="54"/>
  <c r="GV4" i="54" s="1"/>
  <c r="GW4" i="54" s="1"/>
  <c r="JM8" i="54"/>
  <c r="JF8" i="54"/>
  <c r="DV23" i="54"/>
  <c r="DW23" i="54" s="1"/>
  <c r="FZ24" i="54"/>
  <c r="BV16" i="53" s="1"/>
  <c r="JL32" i="54"/>
  <c r="JE32" i="54"/>
  <c r="AK20" i="54"/>
  <c r="HE20" i="54"/>
  <c r="JK38" i="54"/>
  <c r="DR38" i="54" a="1"/>
  <c r="DR38" i="54" s="1"/>
  <c r="CT11" i="54" a="1"/>
  <c r="CT11" i="54" s="1"/>
  <c r="CU11" i="54" a="1"/>
  <c r="CU11" i="54" s="1"/>
  <c r="CS11" i="54"/>
  <c r="HF18" i="54"/>
  <c r="HG18" i="54" s="1"/>
  <c r="JL28" i="54"/>
  <c r="JE28" i="54"/>
  <c r="CS25" i="54"/>
  <c r="JM13" i="54"/>
  <c r="JF13" i="54"/>
  <c r="JG42" i="54"/>
  <c r="JN42" i="54"/>
  <c r="GJ28" i="54"/>
  <c r="BN28" i="54"/>
  <c r="GP28" i="54"/>
  <c r="GQ28" i="54" s="1"/>
  <c r="GR28" i="54" s="1"/>
  <c r="S28" i="54"/>
  <c r="BM29" i="54"/>
  <c r="JC55" i="54"/>
  <c r="GU55" i="54"/>
  <c r="GV55" i="54" s="1"/>
  <c r="GW55" i="54" s="1"/>
  <c r="AK38" i="54"/>
  <c r="HE38" i="54"/>
  <c r="JL31" i="54"/>
  <c r="JE31" i="54"/>
  <c r="FZ9" i="54"/>
  <c r="CW18" i="54"/>
  <c r="CV18" i="54"/>
  <c r="CY18" i="54"/>
  <c r="CX18" i="54"/>
  <c r="AL14" i="53"/>
  <c r="IE9" i="54" a="1"/>
  <c r="IE9" i="54" s="1"/>
  <c r="ID9" i="54" a="1"/>
  <c r="ID9" i="54" s="1"/>
  <c r="CU10" i="54" a="1"/>
  <c r="CU10" i="54" s="1"/>
  <c r="CT10" i="54" a="1"/>
  <c r="CT10" i="54" s="1"/>
  <c r="GP8" i="54"/>
  <c r="FZ44" i="54"/>
  <c r="IE27" i="54" a="1"/>
  <c r="IE27" i="54" s="1"/>
  <c r="ID27" i="54" a="1"/>
  <c r="ID27" i="54" s="1"/>
  <c r="GM43" i="54"/>
  <c r="CI43" i="54"/>
  <c r="HV43" i="54" s="1"/>
  <c r="T43" i="54" s="1"/>
  <c r="CS51" i="54"/>
  <c r="JL36" i="54"/>
  <c r="GJ50" i="54"/>
  <c r="BN50" i="54"/>
  <c r="S50" i="54" s="1"/>
  <c r="BM51" i="54"/>
  <c r="EK50" i="54"/>
  <c r="O50" i="54" a="1"/>
  <c r="O50" i="54" s="1"/>
  <c r="FR37" i="54"/>
  <c r="CT27" i="54" a="1"/>
  <c r="CT27" i="54" s="1"/>
  <c r="CU27" i="54" a="1"/>
  <c r="CU27" i="54" s="1"/>
  <c r="CS27" i="54"/>
  <c r="JM9" i="54"/>
  <c r="JF9" i="54"/>
  <c r="JM24" i="54"/>
  <c r="JF24" i="54"/>
  <c r="JL51" i="54"/>
  <c r="JE51" i="54"/>
  <c r="CZ54" i="54"/>
  <c r="DA54" i="54" s="1"/>
  <c r="GM14" i="54"/>
  <c r="CI14" i="54"/>
  <c r="HV14" i="54" s="1"/>
  <c r="EK24" i="54"/>
  <c r="O24" i="54" a="1"/>
  <c r="O24" i="54" s="1"/>
  <c r="FR24" i="54"/>
  <c r="AP16" i="53" s="1"/>
  <c r="JM10" i="54"/>
  <c r="JF10" i="54"/>
  <c r="CV9" i="54"/>
  <c r="CX9" i="54"/>
  <c r="CW9" i="54"/>
  <c r="CY9" i="54"/>
  <c r="CZ9" i="54"/>
  <c r="DA9" i="54" s="1"/>
  <c r="ID20" i="54" a="1"/>
  <c r="ID20" i="54" s="1"/>
  <c r="IE20" i="54" a="1"/>
  <c r="IE20" i="54" s="1"/>
  <c r="ID54" i="54" a="1"/>
  <c r="ID54" i="54" s="1"/>
  <c r="IE54" i="54" a="1"/>
  <c r="IE54" i="54" s="1"/>
  <c r="HD35" i="54"/>
  <c r="HB35" i="54"/>
  <c r="HC35" i="54" s="1"/>
  <c r="HD36" i="54"/>
  <c r="FR43" i="54"/>
  <c r="JG43" i="54"/>
  <c r="JN43" i="54"/>
  <c r="JG8" i="54"/>
  <c r="JN8" i="54"/>
  <c r="CX6" i="54"/>
  <c r="CV6" i="54"/>
  <c r="CW6" i="54"/>
  <c r="CY6" i="54"/>
  <c r="CZ6" i="54"/>
  <c r="DA6" i="54" s="1"/>
  <c r="ID12" i="54" a="1"/>
  <c r="ID12" i="54" s="1"/>
  <c r="IE12" i="54" a="1"/>
  <c r="IE12" i="54" s="1"/>
  <c r="FZ56" i="54"/>
  <c r="JM32" i="54"/>
  <c r="JF32" i="54"/>
  <c r="IE11" i="54" a="1"/>
  <c r="IE11" i="54" s="1"/>
  <c r="ID11" i="54" a="1"/>
  <c r="ID11" i="54" s="1"/>
  <c r="JM26" i="54"/>
  <c r="JF26" i="54"/>
  <c r="JN13" i="54"/>
  <c r="JG13" i="54"/>
  <c r="CU50" i="54" a="1"/>
  <c r="CU50" i="54" s="1"/>
  <c r="CT50" i="54" a="1"/>
  <c r="CT50" i="54" s="1"/>
  <c r="CS50" i="54"/>
  <c r="JF5" i="54"/>
  <c r="JM5" i="54"/>
  <c r="JN51" i="54"/>
  <c r="JG51" i="54"/>
  <c r="AL18" i="53"/>
  <c r="GM31" i="54"/>
  <c r="CI31" i="54"/>
  <c r="HV31" i="54" s="1"/>
  <c r="JN5" i="54"/>
  <c r="JG5" i="54"/>
  <c r="EZ44" i="54"/>
  <c r="R44" i="54"/>
  <c r="ID55" i="54" a="1"/>
  <c r="ID55" i="54" s="1"/>
  <c r="IE55" i="54" a="1"/>
  <c r="IE55" i="54" s="1"/>
  <c r="EK49" i="54"/>
  <c r="O49" i="54" a="1"/>
  <c r="O49" i="54" s="1"/>
  <c r="DS20" i="54"/>
  <c r="GM19" i="54"/>
  <c r="JN27" i="54"/>
  <c r="JG27" i="54"/>
  <c r="JE8" i="54"/>
  <c r="JL8" i="54"/>
  <c r="IE41" i="54" a="1"/>
  <c r="IE41" i="54" s="1"/>
  <c r="ID41" i="54" a="1"/>
  <c r="ID41" i="54" s="1"/>
  <c r="CV7" i="54"/>
  <c r="CX7" i="54"/>
  <c r="CW7" i="54"/>
  <c r="CY7" i="54"/>
  <c r="CZ7" i="54"/>
  <c r="DA7" i="54" s="1"/>
  <c r="FR28" i="54"/>
  <c r="AN19" i="53"/>
  <c r="FR20" i="54"/>
  <c r="CS53" i="54"/>
  <c r="O30" i="54" a="1"/>
  <c r="O30" i="54" s="1"/>
  <c r="CY12" i="54"/>
  <c r="CX12" i="54"/>
  <c r="CW12" i="54"/>
  <c r="CV12" i="54"/>
  <c r="II20" i="54"/>
  <c r="IJ20" i="54" s="1"/>
  <c r="FR50" i="54"/>
  <c r="IE57" i="54" a="1"/>
  <c r="IE57" i="54" s="1"/>
  <c r="ID57" i="54" a="1"/>
  <c r="ID57" i="54" s="1"/>
  <c r="JL29" i="54"/>
  <c r="JE29" i="54"/>
  <c r="AK19" i="54"/>
  <c r="HE19" i="54"/>
  <c r="JM12" i="54"/>
  <c r="JF12" i="54"/>
  <c r="JN50" i="54"/>
  <c r="JG50" i="54"/>
  <c r="FZ11" i="54"/>
  <c r="JE14" i="54"/>
  <c r="JL14" i="54"/>
  <c r="DX20" i="54"/>
  <c r="GT23" i="54"/>
  <c r="JN29" i="54"/>
  <c r="JG29" i="54"/>
  <c r="GF48" i="54"/>
  <c r="FR36" i="54"/>
  <c r="CU40" i="54" a="1"/>
  <c r="CU40" i="54" s="1"/>
  <c r="CT40" i="54" a="1"/>
  <c r="CT40" i="54" s="1"/>
  <c r="JM15" i="54"/>
  <c r="JF15" i="54"/>
  <c r="AL17" i="53"/>
  <c r="ID4" i="54" a="1"/>
  <c r="ID4" i="54" s="1"/>
  <c r="IE4" i="54" a="1"/>
  <c r="IE4" i="54" s="1"/>
  <c r="JE7" i="54"/>
  <c r="JL7" i="54"/>
  <c r="BN16" i="53"/>
  <c r="BO16" i="53" s="1"/>
  <c r="BH16" i="53"/>
  <c r="BJ16" i="53"/>
  <c r="BK16" i="53" s="1"/>
  <c r="AE16" i="53" a="1"/>
  <c r="AE16" i="53" s="1"/>
  <c r="ID23" i="54" a="1"/>
  <c r="ID23" i="54" s="1"/>
  <c r="IE23" i="54" a="1"/>
  <c r="IE23" i="54" s="1"/>
  <c r="GM57" i="54"/>
  <c r="CI57" i="54"/>
  <c r="HV57" i="54" s="1"/>
  <c r="JX23" i="54"/>
  <c r="JF33" i="54"/>
  <c r="JM33" i="54"/>
  <c r="IE36" i="54" a="1"/>
  <c r="IE36" i="54" s="1"/>
  <c r="ID36" i="54" a="1"/>
  <c r="ID36" i="54" s="1"/>
  <c r="AL15" i="53"/>
  <c r="JF41" i="54"/>
  <c r="JM41" i="54"/>
  <c r="DS22" i="54"/>
  <c r="JL9" i="54"/>
  <c r="JE9" i="54"/>
  <c r="ID52" i="54" a="1"/>
  <c r="ID52" i="54" s="1"/>
  <c r="IE52" i="54" a="1"/>
  <c r="IE52" i="54" s="1"/>
  <c r="CT36" i="54" a="1"/>
  <c r="CT36" i="54" s="1"/>
  <c r="CU36" i="54" a="1"/>
  <c r="CU36" i="54" s="1"/>
  <c r="S49" i="54"/>
  <c r="CT44" i="54" a="1"/>
  <c r="CT44" i="54" s="1"/>
  <c r="CU44" i="54" a="1"/>
  <c r="CU44" i="54" s="1"/>
  <c r="EO44" i="54" a="1"/>
  <c r="EO44" i="54" s="1"/>
  <c r="GJ25" i="54"/>
  <c r="BN25" i="54"/>
  <c r="S25" i="54" s="1"/>
  <c r="GP25" i="54"/>
  <c r="ID42" i="54" a="1"/>
  <c r="ID42" i="54" s="1"/>
  <c r="IE42" i="54" a="1"/>
  <c r="IE42" i="54" s="1"/>
  <c r="U32" i="54"/>
  <c r="V32" i="54"/>
  <c r="IB31" i="54"/>
  <c r="JG25" i="54"/>
  <c r="JN25" i="54"/>
  <c r="FU48" i="54"/>
  <c r="L48" i="54" s="1"/>
  <c r="FV48" i="54" s="1"/>
  <c r="O28" i="54" a="1"/>
  <c r="O28" i="54" s="1"/>
  <c r="CS22" i="54"/>
  <c r="FZ8" i="54"/>
  <c r="FH53" i="54"/>
  <c r="FL53" i="54" s="1"/>
  <c r="AM14" i="53"/>
  <c r="CU9" i="54" a="1"/>
  <c r="CU9" i="54" s="1"/>
  <c r="CT9" i="54" a="1"/>
  <c r="CT9" i="54" s="1"/>
  <c r="GE8" i="54" a="1"/>
  <c r="GE8" i="54" s="1"/>
  <c r="GF8" i="54" s="1"/>
  <c r="BW18" i="53" s="1" a="1"/>
  <c r="BW18" i="53" s="1"/>
  <c r="EK33" i="54"/>
  <c r="O33" i="54" a="1"/>
  <c r="O33" i="54" s="1"/>
  <c r="JE15" i="54"/>
  <c r="JL15" i="54"/>
  <c r="FR42" i="54"/>
  <c r="AR15" i="53"/>
  <c r="CW30" i="54"/>
  <c r="CY30" i="54"/>
  <c r="CX30" i="54"/>
  <c r="CV30" i="54"/>
  <c r="DW30" i="54"/>
  <c r="JF50" i="54"/>
  <c r="JM50" i="54"/>
  <c r="GE42" i="54" a="1"/>
  <c r="GE42" i="54" s="1"/>
  <c r="GF42" i="54" s="1"/>
  <c r="AK32" i="54"/>
  <c r="HE32" i="54"/>
  <c r="JG15" i="54"/>
  <c r="JN15" i="54"/>
  <c r="IO3" i="54"/>
  <c r="GE23" i="54" a="1"/>
  <c r="GE23" i="54" s="1"/>
  <c r="JK19" i="54"/>
  <c r="DR19" i="54" a="1"/>
  <c r="DR19" i="54" s="1"/>
  <c r="CS36" i="54"/>
  <c r="W6" i="42"/>
  <c r="JF45" i="54"/>
  <c r="JM45" i="54"/>
  <c r="JG14" i="54"/>
  <c r="JN14" i="54"/>
  <c r="FZ57" i="54"/>
  <c r="ID10" i="54" a="1"/>
  <c r="ID10" i="54" s="1"/>
  <c r="IE10" i="54" a="1"/>
  <c r="IE10" i="54" s="1"/>
  <c r="GJ9" i="54"/>
  <c r="BN9" i="54"/>
  <c r="GP9" i="54" s="1"/>
  <c r="S9" i="54"/>
  <c r="BM10" i="54"/>
  <c r="JK35" i="54"/>
  <c r="DR35" i="54" a="1"/>
  <c r="DR35" i="54" s="1"/>
  <c r="AN15" i="53"/>
  <c r="BN15" i="53"/>
  <c r="BO15" i="53" s="1"/>
  <c r="BH15" i="53"/>
  <c r="BJ15" i="53"/>
  <c r="BK15" i="53" s="1"/>
  <c r="AE15" i="53" a="1"/>
  <c r="AE15" i="53" s="1"/>
  <c r="GE56" i="54" a="1"/>
  <c r="GE56" i="54" s="1"/>
  <c r="GF56" i="54" s="1"/>
  <c r="GJ18" i="54"/>
  <c r="BN18" i="54"/>
  <c r="GP18" i="54" s="1"/>
  <c r="BM19" i="54"/>
  <c r="JM52" i="54"/>
  <c r="JF52" i="54"/>
  <c r="AQ14" i="53"/>
  <c r="CS44" i="54"/>
  <c r="IE50" i="54" a="1"/>
  <c r="IE50" i="54" s="1"/>
  <c r="ID50" i="54" a="1"/>
  <c r="ID50" i="54" s="1"/>
  <c r="DX22" i="54"/>
  <c r="IE21" i="54" a="1"/>
  <c r="IE21" i="54" s="1"/>
  <c r="ID21" i="54" a="1"/>
  <c r="ID21" i="54" s="1"/>
  <c r="O6" i="54" a="1"/>
  <c r="O6" i="54" s="1"/>
  <c r="CT6" i="54" a="1"/>
  <c r="CT6" i="54" s="1"/>
  <c r="CU6" i="54" a="1"/>
  <c r="CU6" i="54" s="1"/>
  <c r="CU49" i="54" a="1"/>
  <c r="CU49" i="54" s="1"/>
  <c r="CT49" i="54" a="1"/>
  <c r="CT49" i="54" s="1"/>
  <c r="CS49" i="54"/>
  <c r="JY23" i="54"/>
  <c r="CU7" i="54" a="1"/>
  <c r="CU7" i="54" s="1"/>
  <c r="CT7" i="54" a="1"/>
  <c r="CT7" i="54" s="1"/>
  <c r="CT43" i="54" a="1"/>
  <c r="CT43" i="54" s="1"/>
  <c r="CU43" i="54" a="1"/>
  <c r="CU43" i="54" s="1"/>
  <c r="DX38" i="54"/>
  <c r="BN18" i="53"/>
  <c r="BO18" i="53" s="1"/>
  <c r="BH18" i="53"/>
  <c r="BJ18" i="53"/>
  <c r="BK18" i="53" s="1"/>
  <c r="AE18" i="53" a="1"/>
  <c r="AE18" i="53" s="1"/>
  <c r="FR40" i="54"/>
  <c r="O37" i="54" a="1"/>
  <c r="O37" i="54" s="1"/>
  <c r="HD5" i="54"/>
  <c r="HB5" i="54"/>
  <c r="HC5" i="54" s="1"/>
  <c r="HA6" i="54"/>
  <c r="FZ43" i="54"/>
  <c r="JM28" i="54"/>
  <c r="JF28" i="54"/>
  <c r="JL57" i="54"/>
  <c r="JE57" i="54"/>
  <c r="ID24" i="54" a="1"/>
  <c r="ID24" i="54" s="1"/>
  <c r="IE24" i="54" a="1"/>
  <c r="IE24" i="54" s="1"/>
  <c r="AM16" i="53"/>
  <c r="CU56" i="54" a="1"/>
  <c r="CU56" i="54" s="1"/>
  <c r="CT56" i="54" a="1"/>
  <c r="CT56" i="54" s="1"/>
  <c r="JE50" i="54"/>
  <c r="JL50" i="54"/>
  <c r="DW42" i="54"/>
  <c r="CV42" i="54"/>
  <c r="CW42" i="54"/>
  <c r="CY42" i="54"/>
  <c r="CX42" i="54"/>
  <c r="GE54" i="54" a="1"/>
  <c r="GE54" i="54" s="1"/>
  <c r="AK4" i="54"/>
  <c r="HE4" i="54"/>
  <c r="ID38" i="54" a="1"/>
  <c r="ID38" i="54" s="1"/>
  <c r="IE38" i="54" a="1"/>
  <c r="IE38" i="54" s="1"/>
  <c r="CT14" i="54" a="1"/>
  <c r="CT14" i="54" s="1"/>
  <c r="CU14" i="54" a="1"/>
  <c r="CU14" i="54" s="1"/>
  <c r="CS14" i="54"/>
  <c r="JE25" i="54"/>
  <c r="JL25" i="54"/>
  <c r="O5" i="54" a="1"/>
  <c r="O5" i="54" s="1"/>
  <c r="FZ42" i="54"/>
  <c r="JM29" i="54"/>
  <c r="JF29" i="54"/>
  <c r="CZ18" i="54"/>
  <c r="EK41" i="54"/>
  <c r="EV41" i="54" s="1"/>
  <c r="EW41" i="54" s="1"/>
  <c r="AK22" i="54"/>
  <c r="HE22" i="54"/>
  <c r="CU54" i="54" a="1"/>
  <c r="CU54" i="54" s="1"/>
  <c r="CT54" i="54" a="1"/>
  <c r="CT54" i="54" s="1"/>
  <c r="CS5" i="54"/>
  <c r="FR21" i="54"/>
  <c r="CT12" i="54" a="1"/>
  <c r="CT12" i="54" s="1"/>
  <c r="CU12" i="54" a="1"/>
  <c r="CU12" i="54" s="1"/>
  <c r="EK25" i="54"/>
  <c r="O25" i="54" a="1"/>
  <c r="O25" i="54" s="1"/>
  <c r="FR32" i="54"/>
  <c r="GM13" i="54"/>
  <c r="CI13" i="54"/>
  <c r="HV13" i="54" s="1"/>
  <c r="EV13" i="54"/>
  <c r="EW13" i="54" s="1"/>
  <c r="JG45" i="54"/>
  <c r="JN45" i="54"/>
  <c r="CS57" i="54"/>
  <c r="CS10" i="54"/>
  <c r="GJ57" i="54"/>
  <c r="BN57" i="54"/>
  <c r="S57" i="54" s="1"/>
  <c r="JE42" i="54"/>
  <c r="JL42" i="54"/>
  <c r="FR30" i="54"/>
  <c r="JE52" i="54"/>
  <c r="JL52" i="54"/>
  <c r="AR14" i="53"/>
  <c r="CU39" i="54" a="1"/>
  <c r="CU39" i="54" s="1"/>
  <c r="CT39" i="54" a="1"/>
  <c r="CT39" i="54" s="1"/>
  <c r="JE6" i="54"/>
  <c r="JL6" i="54"/>
  <c r="IE8" i="54" a="1"/>
  <c r="IE8" i="54" s="1"/>
  <c r="ID8" i="54" a="1"/>
  <c r="ID8" i="54" s="1"/>
  <c r="GT54" i="54"/>
  <c r="GS44" i="54"/>
  <c r="HK36" i="54"/>
  <c r="HR36" i="54"/>
  <c r="HP36" i="54"/>
  <c r="IZ36" i="54" s="1"/>
  <c r="JF49" i="54"/>
  <c r="JM49" i="54"/>
  <c r="JN7" i="54"/>
  <c r="JG7" i="54"/>
  <c r="FR5" i="54"/>
  <c r="CU31" i="54" a="1"/>
  <c r="CU31" i="54" s="1"/>
  <c r="CT31" i="54" a="1"/>
  <c r="CT31" i="54" s="1"/>
  <c r="CS31" i="54"/>
  <c r="ID43" i="54" a="1"/>
  <c r="ID43" i="54" s="1"/>
  <c r="IE43" i="54" a="1"/>
  <c r="IE43" i="54" s="1"/>
  <c r="JL10" i="54"/>
  <c r="JE10" i="54"/>
  <c r="O11" i="54" a="1"/>
  <c r="O11" i="54" s="1"/>
  <c r="JE27" i="54"/>
  <c r="JL27" i="54"/>
  <c r="IE40" i="54" a="1"/>
  <c r="IE40" i="54" s="1"/>
  <c r="ID40" i="54" a="1"/>
  <c r="ID40" i="54" s="1"/>
  <c r="IE5" i="54" a="1"/>
  <c r="IE5" i="54" s="1"/>
  <c r="ID5" i="54" a="1"/>
  <c r="ID5" i="54" s="1"/>
  <c r="BN17" i="53"/>
  <c r="BO17" i="53" s="1"/>
  <c r="BH17" i="53"/>
  <c r="BJ17" i="53"/>
  <c r="BK17" i="53" s="1"/>
  <c r="AE17" i="53" a="1"/>
  <c r="AE17" i="53" s="1"/>
  <c r="JN32" i="54"/>
  <c r="JG32" i="54"/>
  <c r="CT28" i="54" a="1"/>
  <c r="CT28" i="54" s="1"/>
  <c r="CU28" i="54" a="1"/>
  <c r="CU28" i="54" s="1"/>
  <c r="CS28" i="54"/>
  <c r="JN33" i="54"/>
  <c r="JG33" i="54"/>
  <c r="JG57" i="54"/>
  <c r="JN57" i="54"/>
  <c r="JN11" i="54"/>
  <c r="JG11" i="54"/>
  <c r="AQ19" i="53"/>
  <c r="CT13" i="54" a="1"/>
  <c r="CT13" i="54" s="1"/>
  <c r="CS13" i="54"/>
  <c r="CU13" i="54" a="1"/>
  <c r="CU13" i="54" s="1"/>
  <c r="CU24" i="54" a="1"/>
  <c r="CU24" i="54" s="1"/>
  <c r="CT24" i="54" a="1"/>
  <c r="CT24" i="54" s="1"/>
  <c r="JE5" i="54"/>
  <c r="JL5" i="54"/>
  <c r="JM27" i="54"/>
  <c r="JF27" i="54"/>
  <c r="JL33" i="54"/>
  <c r="JE33" i="54"/>
  <c r="JF57" i="54"/>
  <c r="JM57" i="54"/>
  <c r="JL41" i="54"/>
  <c r="JE41" i="54"/>
  <c r="CU55" i="54" a="1"/>
  <c r="CU55" i="54" s="1"/>
  <c r="CT55" i="54" a="1"/>
  <c r="CT55" i="54" s="1"/>
  <c r="JK22" i="54"/>
  <c r="DR22" i="54" a="1"/>
  <c r="DR22" i="54" s="1"/>
  <c r="CS21" i="54"/>
  <c r="IE53" i="54" a="1"/>
  <c r="IE53" i="54" s="1"/>
  <c r="ID53" i="54" a="1"/>
  <c r="ID53" i="54" s="1"/>
  <c r="CU8" i="54" a="1"/>
  <c r="CU8" i="54" s="1"/>
  <c r="CT8" i="54" a="1"/>
  <c r="CT8" i="54" s="1"/>
  <c r="EK18" i="54"/>
  <c r="CI18" i="54"/>
  <c r="GM27" i="54"/>
  <c r="CI27" i="54"/>
  <c r="HV27" i="54" s="1"/>
  <c r="CS37" i="54"/>
  <c r="CV39" i="54"/>
  <c r="CX39" i="54"/>
  <c r="CY39" i="54"/>
  <c r="CW39" i="54"/>
  <c r="CZ39" i="54"/>
  <c r="DA39" i="54" s="1"/>
  <c r="GM53" i="54"/>
  <c r="CI53" i="54"/>
  <c r="HV53" i="54" s="1"/>
  <c r="DW3" i="54"/>
  <c r="CV3" i="54"/>
  <c r="CY3" i="54"/>
  <c r="CW3" i="54"/>
  <c r="CX3" i="54"/>
  <c r="GM45" i="54"/>
  <c r="CI45" i="54"/>
  <c r="HV45" i="54" s="1"/>
  <c r="JM25" i="54"/>
  <c r="JF25" i="54"/>
  <c r="FR27" i="54"/>
  <c r="CX4" i="54"/>
  <c r="CV4" i="54"/>
  <c r="CY4" i="54"/>
  <c r="CW4" i="54"/>
  <c r="AO18" i="53"/>
  <c r="JL13" i="54"/>
  <c r="JE13" i="54"/>
  <c r="CT15" i="54" a="1"/>
  <c r="CT15" i="54" s="1"/>
  <c r="CS15" i="54"/>
  <c r="CU15" i="54" a="1"/>
  <c r="CU15" i="54" s="1"/>
  <c r="ID15" i="54" a="1"/>
  <c r="ID15" i="54" s="1"/>
  <c r="IE15" i="54" a="1"/>
  <c r="IE15" i="54" s="1"/>
  <c r="IE37" i="54" a="1"/>
  <c r="IE37" i="54" s="1"/>
  <c r="ID37" i="54" a="1"/>
  <c r="ID37" i="54" s="1"/>
  <c r="CU23" i="54" a="1"/>
  <c r="CU23" i="54" s="1"/>
  <c r="CT23" i="54" a="1"/>
  <c r="CT23" i="54" s="1"/>
  <c r="CY43" i="54"/>
  <c r="CW43" i="54"/>
  <c r="CX43" i="54"/>
  <c r="CV43" i="54"/>
  <c r="JN28" i="54"/>
  <c r="JG28" i="54"/>
  <c r="CZ56" i="54"/>
  <c r="DA56" i="54" s="1"/>
  <c r="GT56" i="54" s="1"/>
  <c r="AN14" i="53"/>
  <c r="JL12" i="54"/>
  <c r="JE12" i="54"/>
  <c r="GM46" i="54"/>
  <c r="CI46" i="54"/>
  <c r="HV46" i="54" s="1"/>
  <c r="AK33" i="54"/>
  <c r="HE33" i="54"/>
  <c r="CT35" i="54" a="1"/>
  <c r="CT35" i="54" s="1"/>
  <c r="CU35" i="54" a="1"/>
  <c r="CU35" i="54" s="1"/>
  <c r="O41" i="54" a="1"/>
  <c r="O41" i="54" s="1"/>
  <c r="CZ4" i="54"/>
  <c r="DA4" i="54" s="1"/>
  <c r="GE43" i="54" a="1"/>
  <c r="GE43" i="54" s="1"/>
  <c r="GF43" i="54" s="1"/>
  <c r="CT38" i="54" a="1"/>
  <c r="CT38" i="54" s="1"/>
  <c r="CU38" i="54" a="1"/>
  <c r="CU38" i="54" s="1"/>
  <c r="CT52" i="54" a="1"/>
  <c r="CT52" i="54" s="1"/>
  <c r="CU52" i="54" a="1"/>
  <c r="CU52" i="54" s="1"/>
  <c r="AR19" i="53"/>
  <c r="FR19" i="54"/>
  <c r="AK37" i="54"/>
  <c r="HE37" i="54"/>
  <c r="JN12" i="54"/>
  <c r="JG12" i="54"/>
  <c r="FR49" i="54"/>
  <c r="GM29" i="54"/>
  <c r="CI29" i="54"/>
  <c r="CU45" i="54" a="1"/>
  <c r="CU45" i="54" s="1"/>
  <c r="CT45" i="54" a="1"/>
  <c r="CT45" i="54" s="1"/>
  <c r="JM14" i="54"/>
  <c r="JF14" i="54"/>
  <c r="ID51" i="54" a="1"/>
  <c r="ID51" i="54" s="1"/>
  <c r="IE51" i="54" a="1"/>
  <c r="IE51" i="54" s="1"/>
  <c r="AM15" i="53"/>
  <c r="FR56" i="54"/>
  <c r="AP19" i="53" s="1"/>
  <c r="AO14" i="53"/>
  <c r="IE19" i="54" a="1"/>
  <c r="IE19" i="54" s="1"/>
  <c r="ID19" i="54" a="1"/>
  <c r="ID19" i="54" s="1"/>
  <c r="JM30" i="54"/>
  <c r="JF30" i="54"/>
  <c r="JV38" i="54"/>
  <c r="GE10" i="54" a="1"/>
  <c r="GE10" i="54" s="1"/>
  <c r="GF10" i="54" s="1"/>
  <c r="BW19" i="53" s="1" a="1"/>
  <c r="BW19" i="53" s="1"/>
  <c r="JM42" i="54"/>
  <c r="JF42" i="54"/>
  <c r="O39" i="54" a="1"/>
  <c r="O39" i="54" s="1"/>
  <c r="ID56" i="54" a="1"/>
  <c r="ID56" i="54" s="1"/>
  <c r="IE56" i="54" a="1"/>
  <c r="IE56" i="54" s="1"/>
  <c r="AE19" i="53" a="1"/>
  <c r="AE19" i="53" s="1"/>
  <c r="BJ19" i="53"/>
  <c r="BK19" i="53" s="1"/>
  <c r="BN19" i="53"/>
  <c r="BO19" i="53" s="1"/>
  <c r="BH19" i="53"/>
  <c r="JG52" i="54"/>
  <c r="JN52" i="54"/>
  <c r="O32" i="54" a="1"/>
  <c r="O32" i="54" s="1"/>
  <c r="AK14" i="53"/>
  <c r="IE44" i="54" a="1"/>
  <c r="IE44" i="54" s="1"/>
  <c r="ID44" i="54" a="1"/>
  <c r="ID44" i="54" s="1"/>
  <c r="CU42" i="54" a="1"/>
  <c r="CU42" i="54" s="1"/>
  <c r="CT42" i="54" a="1"/>
  <c r="CT42" i="54" s="1"/>
  <c r="GE39" i="54" a="1"/>
  <c r="GE39" i="54" s="1"/>
  <c r="GF39" i="54" s="1"/>
  <c r="JF6" i="54"/>
  <c r="JM6" i="54"/>
  <c r="CT20" i="54" a="1"/>
  <c r="CT20" i="54" s="1"/>
  <c r="CU20" i="54" a="1"/>
  <c r="CU20" i="54" s="1"/>
  <c r="O56" i="54" a="1"/>
  <c r="O56" i="54" s="1"/>
  <c r="FR39" i="54"/>
  <c r="CT4" i="54" a="1"/>
  <c r="CT4" i="54" s="1"/>
  <c r="CU4" i="54" a="1"/>
  <c r="CU4" i="54" s="1"/>
  <c r="ID6" i="54" a="1"/>
  <c r="ID6" i="54" s="1"/>
  <c r="IE6" i="54" a="1"/>
  <c r="IE6" i="54" s="1"/>
  <c r="AK18" i="53"/>
  <c r="JN49" i="54"/>
  <c r="JG49" i="54"/>
  <c r="JM7" i="54"/>
  <c r="JF7" i="54"/>
  <c r="CU41" i="54" a="1"/>
  <c r="CU41" i="54" s="1"/>
  <c r="CT41" i="54" a="1"/>
  <c r="CT41" i="54" s="1"/>
  <c r="ID31" i="54" a="1"/>
  <c r="ID31" i="54" s="1"/>
  <c r="IE31" i="54" a="1"/>
  <c r="IE31" i="54" s="1"/>
  <c r="GE7" i="54" a="1"/>
  <c r="GE7" i="54" s="1"/>
  <c r="GF7" i="54" s="1"/>
  <c r="BW17" i="53" s="1" a="1"/>
  <c r="BW17" i="53" s="1"/>
  <c r="EK35" i="54"/>
  <c r="O35" i="54" a="1"/>
  <c r="O35" i="54" s="1"/>
  <c r="AD6" i="42"/>
  <c r="AD7" i="42"/>
  <c r="AC31" i="42"/>
  <c r="AD9" i="42" s="1"/>
  <c r="X5" i="42"/>
  <c r="AC33" i="42"/>
  <c r="AD8" i="42"/>
  <c r="Y15" i="42"/>
  <c r="AA24" i="42"/>
  <c r="Z6" i="42"/>
  <c r="GM44" i="54" l="1"/>
  <c r="CI36" i="54"/>
  <c r="HV36" i="54" s="1"/>
  <c r="CI52" i="54"/>
  <c r="HV52" i="54" s="1"/>
  <c r="T52" i="54" s="1"/>
  <c r="GM36" i="54"/>
  <c r="BV19" i="53"/>
  <c r="GM47" i="54"/>
  <c r="CI47" i="54"/>
  <c r="HV47" i="54" s="1"/>
  <c r="AP18" i="53"/>
  <c r="CI51" i="54"/>
  <c r="HV51" i="54" s="1"/>
  <c r="T51" i="54" s="1"/>
  <c r="GK36" i="54"/>
  <c r="HL36" i="54"/>
  <c r="CJ21" i="54"/>
  <c r="HV22" i="54"/>
  <c r="HW21" i="54" s="1"/>
  <c r="T21" i="54" s="1"/>
  <c r="CI42" i="54"/>
  <c r="HV42" i="54" s="1"/>
  <c r="T42" i="54" s="1"/>
  <c r="GU16" i="54"/>
  <c r="GV16" i="54"/>
  <c r="GW16" i="54" s="1"/>
  <c r="AP14" i="53"/>
  <c r="GM12" i="54"/>
  <c r="CI12" i="54"/>
  <c r="HV12" i="54" s="1"/>
  <c r="T12" i="54" s="1"/>
  <c r="AP15" i="53"/>
  <c r="GP57" i="54"/>
  <c r="GQ57" i="54" s="1"/>
  <c r="GR57" i="54" s="1"/>
  <c r="AP17" i="53"/>
  <c r="AM18" i="53"/>
  <c r="AU14" i="53" s="1"/>
  <c r="BV14" i="53"/>
  <c r="EZ41" i="54"/>
  <c r="GK41" i="54" s="1"/>
  <c r="GQ18" i="54"/>
  <c r="GR18" i="54" s="1"/>
  <c r="JC56" i="54"/>
  <c r="GV56" i="54"/>
  <c r="GW56" i="54" s="1"/>
  <c r="GU56" i="54"/>
  <c r="GQ9" i="54"/>
  <c r="GR9" i="54" s="1"/>
  <c r="JM17" i="54"/>
  <c r="CY13" i="54"/>
  <c r="CW13" i="54"/>
  <c r="CX13" i="54"/>
  <c r="CV13" i="54"/>
  <c r="T13" i="54"/>
  <c r="CZ13" i="54"/>
  <c r="DA13" i="54" s="1"/>
  <c r="HF32" i="54"/>
  <c r="HG32" i="54" s="1"/>
  <c r="CX53" i="54"/>
  <c r="CV53" i="54"/>
  <c r="CY53" i="54"/>
  <c r="CW53" i="54"/>
  <c r="T53" i="54"/>
  <c r="CZ53" i="54"/>
  <c r="DA53" i="54" s="1"/>
  <c r="HV19" i="54"/>
  <c r="AF17" i="53"/>
  <c r="AD17" i="53" a="1"/>
  <c r="AD17" i="53" s="1"/>
  <c r="GG26" i="54" s="1"/>
  <c r="GH37" i="54"/>
  <c r="GH38" i="54"/>
  <c r="GH39" i="54"/>
  <c r="GH29" i="54"/>
  <c r="GH30" i="54"/>
  <c r="GH32" i="54"/>
  <c r="GH47" i="54"/>
  <c r="GH33" i="54"/>
  <c r="GH34" i="54"/>
  <c r="GH35" i="54"/>
  <c r="GH42" i="54"/>
  <c r="GH43" i="54"/>
  <c r="GH45" i="54"/>
  <c r="GH41" i="54"/>
  <c r="GH26" i="54"/>
  <c r="GH27" i="54"/>
  <c r="GH28" i="54"/>
  <c r="GH31" i="54"/>
  <c r="GH36" i="54"/>
  <c r="AH17" i="53"/>
  <c r="GH40" i="54"/>
  <c r="GH44" i="54"/>
  <c r="GH46" i="54"/>
  <c r="CX37" i="54"/>
  <c r="CW37" i="54"/>
  <c r="CY37" i="54"/>
  <c r="CV37" i="54"/>
  <c r="CS38" i="54"/>
  <c r="CZ37" i="54"/>
  <c r="DA37" i="54" s="1"/>
  <c r="T37" i="54"/>
  <c r="AH15" i="53"/>
  <c r="AD15" i="53" a="1"/>
  <c r="AD15" i="53" s="1"/>
  <c r="GG16" i="54" s="1"/>
  <c r="GH21" i="54"/>
  <c r="GH22" i="54"/>
  <c r="AF15" i="53"/>
  <c r="GH16" i="54"/>
  <c r="GH20" i="54"/>
  <c r="GH17" i="54"/>
  <c r="GH19" i="54"/>
  <c r="GH18" i="54"/>
  <c r="DM6" i="54"/>
  <c r="JY6" i="54"/>
  <c r="GT6" i="54"/>
  <c r="DV6" i="54"/>
  <c r="DW6" i="54" s="1"/>
  <c r="JX6" i="54"/>
  <c r="JO36" i="54"/>
  <c r="DM52" i="54"/>
  <c r="JX52" i="54"/>
  <c r="JY52" i="54"/>
  <c r="DV52" i="54"/>
  <c r="DW52" i="54" s="1"/>
  <c r="HB6" i="54"/>
  <c r="HC6" i="54" s="1"/>
  <c r="HD6" i="54"/>
  <c r="HA7" i="54"/>
  <c r="DV9" i="54"/>
  <c r="DW9" i="54" s="1"/>
  <c r="JY9" i="54"/>
  <c r="DM9" i="54"/>
  <c r="JX9" i="54"/>
  <c r="JL17" i="54"/>
  <c r="CX5" i="54"/>
  <c r="CV5" i="54"/>
  <c r="CY5" i="54"/>
  <c r="CW5" i="54"/>
  <c r="CZ5" i="54"/>
  <c r="DA5" i="54" s="1"/>
  <c r="DM7" i="54"/>
  <c r="JY7" i="54"/>
  <c r="DV7" i="54"/>
  <c r="DW7" i="54" s="1"/>
  <c r="JX7" i="54"/>
  <c r="GJ10" i="54"/>
  <c r="BN10" i="54"/>
  <c r="GP10" i="54" s="1"/>
  <c r="S10" i="54"/>
  <c r="BM11" i="54"/>
  <c r="CX22" i="54"/>
  <c r="DK22" i="54" s="1"/>
  <c r="CV22" i="54"/>
  <c r="CW22" i="54"/>
  <c r="CY22" i="54"/>
  <c r="CZ22" i="54"/>
  <c r="CN21" i="54" s="1"/>
  <c r="GJ19" i="54"/>
  <c r="BN19" i="54"/>
  <c r="GP19" i="54" s="1"/>
  <c r="BM20" i="54"/>
  <c r="GM28" i="54"/>
  <c r="CI28" i="54"/>
  <c r="HV28" i="54" s="1"/>
  <c r="FU7" i="54"/>
  <c r="L7" i="54" s="1"/>
  <c r="FV7" i="54" s="1"/>
  <c r="FW7" i="54" s="1"/>
  <c r="DK52" i="54"/>
  <c r="DY52" i="54"/>
  <c r="FU23" i="54"/>
  <c r="L23" i="54" s="1"/>
  <c r="FV23" i="54" s="1"/>
  <c r="FU4" i="54"/>
  <c r="L4" i="54" s="1"/>
  <c r="FV4" i="54" s="1"/>
  <c r="FW4" i="54" s="1"/>
  <c r="GM11" i="54"/>
  <c r="CI11" i="54"/>
  <c r="HV11" i="54" s="1"/>
  <c r="T11" i="54" s="1"/>
  <c r="EZ13" i="54"/>
  <c r="FS12" i="54"/>
  <c r="AF18" i="53"/>
  <c r="GH53" i="54"/>
  <c r="AD18" i="53" a="1"/>
  <c r="AD18" i="53" s="1"/>
  <c r="GG48" i="54" s="1"/>
  <c r="GH48" i="54"/>
  <c r="GH49" i="54"/>
  <c r="GH51" i="54"/>
  <c r="AH18" i="53"/>
  <c r="GH50" i="54"/>
  <c r="GH52" i="54"/>
  <c r="DK12" i="54"/>
  <c r="DO12" i="54" s="1"/>
  <c r="G12" i="54" s="1"/>
  <c r="DP12" i="54" s="1"/>
  <c r="DQ12" i="54" s="1"/>
  <c r="DY12" i="54"/>
  <c r="HF3" i="54"/>
  <c r="HG3" i="54" s="1"/>
  <c r="HH3" i="54" s="1"/>
  <c r="HD40" i="54"/>
  <c r="HB40" i="54"/>
  <c r="HC40" i="54" s="1"/>
  <c r="HA41" i="54"/>
  <c r="GM25" i="54"/>
  <c r="CI25" i="54"/>
  <c r="HV25" i="54" s="1"/>
  <c r="T25" i="54" s="1"/>
  <c r="AK35" i="54"/>
  <c r="HE35" i="54"/>
  <c r="JX41" i="54"/>
  <c r="JY41" i="54"/>
  <c r="DV41" i="54"/>
  <c r="DW41" i="54" s="1"/>
  <c r="DM41" i="54"/>
  <c r="FS40" i="54"/>
  <c r="CW31" i="54"/>
  <c r="CY31" i="54"/>
  <c r="CV31" i="54"/>
  <c r="CX31" i="54"/>
  <c r="CS32" i="54"/>
  <c r="CZ31" i="54"/>
  <c r="CN18" i="54"/>
  <c r="CN17" i="54" s="1"/>
  <c r="DA17" i="54" s="1"/>
  <c r="FS42" i="54"/>
  <c r="GT25" i="54"/>
  <c r="GQ8" i="54"/>
  <c r="GR8" i="54" s="1"/>
  <c r="AF19" i="53"/>
  <c r="GH54" i="54"/>
  <c r="GH55" i="54"/>
  <c r="AD19" i="53" a="1"/>
  <c r="AD19" i="53" s="1"/>
  <c r="GG55" i="54" s="1"/>
  <c r="AH19" i="53"/>
  <c r="GH56" i="54"/>
  <c r="GH57" i="54"/>
  <c r="HV18" i="54"/>
  <c r="GM5" i="54"/>
  <c r="CI5" i="54"/>
  <c r="HV5" i="54" s="1"/>
  <c r="T5" i="54" s="1"/>
  <c r="CV26" i="54"/>
  <c r="CY26" i="54"/>
  <c r="CX26" i="54"/>
  <c r="CW26" i="54"/>
  <c r="CZ26" i="54"/>
  <c r="DA26" i="54" s="1"/>
  <c r="DM56" i="54"/>
  <c r="DV56" i="54"/>
  <c r="DW56" i="54" s="1"/>
  <c r="JX56" i="54"/>
  <c r="JY56" i="54"/>
  <c r="CW15" i="54"/>
  <c r="CY15" i="54"/>
  <c r="CV15" i="54"/>
  <c r="CX15" i="54"/>
  <c r="CZ15" i="54"/>
  <c r="DA15" i="54" s="1"/>
  <c r="CV57" i="54"/>
  <c r="CW57" i="54"/>
  <c r="CX57" i="54"/>
  <c r="CY57" i="54"/>
  <c r="CZ57" i="54"/>
  <c r="DA57" i="54" s="1"/>
  <c r="T57" i="54"/>
  <c r="AW17" i="53"/>
  <c r="AS19" i="53"/>
  <c r="AW18" i="53"/>
  <c r="AW19" i="53"/>
  <c r="AV14" i="53"/>
  <c r="AW14" i="53"/>
  <c r="AF14" i="53"/>
  <c r="AW15" i="53"/>
  <c r="AW16" i="53"/>
  <c r="AD14" i="53" a="1"/>
  <c r="AD14" i="53" s="1"/>
  <c r="AX14" i="53"/>
  <c r="AU19" i="53"/>
  <c r="AX15" i="53"/>
  <c r="AV18" i="53"/>
  <c r="AV19" i="53"/>
  <c r="Z16" i="53"/>
  <c r="Z17" i="53"/>
  <c r="Z18" i="53"/>
  <c r="AS14" i="53"/>
  <c r="Z19" i="53"/>
  <c r="AX18" i="53"/>
  <c r="W19" i="53"/>
  <c r="AX19" i="53"/>
  <c r="AV15" i="53"/>
  <c r="AH14" i="53"/>
  <c r="AV16" i="53"/>
  <c r="GH5" i="54"/>
  <c r="AS15" i="53"/>
  <c r="GH6" i="54"/>
  <c r="AS16" i="53"/>
  <c r="GH7" i="54"/>
  <c r="AS17" i="53"/>
  <c r="W14" i="53"/>
  <c r="W17" i="53"/>
  <c r="GH10" i="54"/>
  <c r="W18" i="53"/>
  <c r="GH11" i="54"/>
  <c r="GH13" i="54"/>
  <c r="AS18" i="53"/>
  <c r="AX16" i="53"/>
  <c r="GH4" i="54"/>
  <c r="AX17" i="53"/>
  <c r="GH8" i="54"/>
  <c r="AV17" i="53"/>
  <c r="GH9" i="54"/>
  <c r="AU15" i="53"/>
  <c r="GH12" i="54"/>
  <c r="GH14" i="54"/>
  <c r="W16" i="53"/>
  <c r="GH3" i="54"/>
  <c r="Z15" i="53"/>
  <c r="GH15" i="54"/>
  <c r="AU16" i="53"/>
  <c r="AU17" i="53"/>
  <c r="W15" i="53"/>
  <c r="FS52" i="54"/>
  <c r="DM24" i="54"/>
  <c r="JX24" i="54"/>
  <c r="JY24" i="54"/>
  <c r="DV24" i="54"/>
  <c r="DW24" i="54" s="1"/>
  <c r="GM39" i="54"/>
  <c r="CI39" i="54"/>
  <c r="HV39" i="54" s="1"/>
  <c r="T39" i="54" s="1"/>
  <c r="CW49" i="54"/>
  <c r="CX49" i="54"/>
  <c r="CV49" i="54"/>
  <c r="CY49" i="54"/>
  <c r="T49" i="54"/>
  <c r="CZ49" i="54"/>
  <c r="DA49" i="54" s="1"/>
  <c r="CW36" i="54"/>
  <c r="CX36" i="54"/>
  <c r="CY36" i="54"/>
  <c r="CV36" i="54"/>
  <c r="CZ36" i="54"/>
  <c r="DA36" i="54" s="1"/>
  <c r="T36" i="54"/>
  <c r="JC23" i="54"/>
  <c r="GU23" i="54"/>
  <c r="GV23" i="54" s="1"/>
  <c r="GW23" i="54" s="1"/>
  <c r="JY8" i="54"/>
  <c r="JX8" i="54"/>
  <c r="DM8" i="54"/>
  <c r="DV8" i="54"/>
  <c r="DW8" i="54" s="1"/>
  <c r="FW48" i="54"/>
  <c r="JC26" i="54"/>
  <c r="GU26" i="54"/>
  <c r="GV26" i="54" s="1"/>
  <c r="GW26" i="54" s="1"/>
  <c r="JX55" i="54"/>
  <c r="DV55" i="54"/>
  <c r="DW55" i="54" s="1"/>
  <c r="JY55" i="54"/>
  <c r="DM55" i="54"/>
  <c r="JY4" i="54"/>
  <c r="DV4" i="54"/>
  <c r="DW4" i="54" s="1"/>
  <c r="JX4" i="54"/>
  <c r="DM4" i="54"/>
  <c r="FS43" i="54"/>
  <c r="S18" i="54"/>
  <c r="GF23" i="54"/>
  <c r="CV51" i="54"/>
  <c r="CX51" i="54"/>
  <c r="CW51" i="54"/>
  <c r="CY51" i="54"/>
  <c r="CZ51" i="54"/>
  <c r="DA51" i="54" s="1"/>
  <c r="DV39" i="54"/>
  <c r="DW39" i="54" s="1"/>
  <c r="DM39" i="54"/>
  <c r="JX39" i="54"/>
  <c r="JY39" i="54"/>
  <c r="X6" i="42"/>
  <c r="FU39" i="54"/>
  <c r="L39" i="54" s="1"/>
  <c r="FV39" i="54" s="1"/>
  <c r="FW39" i="54" s="1"/>
  <c r="FS39" i="54"/>
  <c r="HF22" i="54"/>
  <c r="HG22" i="54" s="1"/>
  <c r="HF4" i="54"/>
  <c r="HG4" i="54" s="1"/>
  <c r="U31" i="54"/>
  <c r="V31" i="54"/>
  <c r="CV11" i="54"/>
  <c r="CX11" i="54"/>
  <c r="CY11" i="54"/>
  <c r="CW11" i="54"/>
  <c r="CZ11" i="54"/>
  <c r="DA11" i="54" s="1"/>
  <c r="FS56" i="54"/>
  <c r="HF37" i="54"/>
  <c r="HG37" i="54" s="1"/>
  <c r="HF19" i="54"/>
  <c r="HG19" i="54" s="1"/>
  <c r="GJ51" i="54"/>
  <c r="BN51" i="54"/>
  <c r="S51" i="54" s="1"/>
  <c r="BM52" i="54"/>
  <c r="GV24" i="54"/>
  <c r="GW24" i="54" s="1"/>
  <c r="JC24" i="54"/>
  <c r="GU24" i="54"/>
  <c r="GM35" i="54"/>
  <c r="CI35" i="54"/>
  <c r="AF16" i="53"/>
  <c r="AD16" i="53" a="1"/>
  <c r="AD16" i="53" s="1"/>
  <c r="GG23" i="54" s="1"/>
  <c r="GH23" i="54"/>
  <c r="GH25" i="54"/>
  <c r="AH16" i="53"/>
  <c r="GH24" i="54"/>
  <c r="DM54" i="54"/>
  <c r="JX54" i="54"/>
  <c r="JY54" i="54"/>
  <c r="DV54" i="54"/>
  <c r="DW54" i="54" s="1"/>
  <c r="HF38" i="54"/>
  <c r="HG38" i="54" s="1"/>
  <c r="HF20" i="54"/>
  <c r="HG20" i="54" s="1"/>
  <c r="HF34" i="54"/>
  <c r="HG34" i="54" s="1"/>
  <c r="GM56" i="54"/>
  <c r="CI56" i="54"/>
  <c r="HV56" i="54" s="1"/>
  <c r="T56" i="54" s="1"/>
  <c r="GT57" i="54"/>
  <c r="CW44" i="54"/>
  <c r="CV44" i="54"/>
  <c r="CS45" i="54"/>
  <c r="CZ44" i="54"/>
  <c r="DA44" i="54" s="1"/>
  <c r="CV10" i="54"/>
  <c r="CX10" i="54"/>
  <c r="CY10" i="54"/>
  <c r="CW10" i="54"/>
  <c r="CZ10" i="54"/>
  <c r="DA10" i="54" s="1"/>
  <c r="GM49" i="54"/>
  <c r="CI49" i="54"/>
  <c r="HV49" i="54" s="1"/>
  <c r="CV50" i="54"/>
  <c r="CX50" i="54"/>
  <c r="CY50" i="54"/>
  <c r="CW50" i="54"/>
  <c r="CZ50" i="54"/>
  <c r="DA50" i="54" s="1"/>
  <c r="FS6" i="54"/>
  <c r="GP50" i="54"/>
  <c r="DX35" i="54"/>
  <c r="DS35" i="54"/>
  <c r="FU3" i="54"/>
  <c r="L3" i="54" s="1"/>
  <c r="FV3" i="54" s="1"/>
  <c r="GQ25" i="54"/>
  <c r="GR25" i="54" s="1"/>
  <c r="HD24" i="54"/>
  <c r="HB24" i="54"/>
  <c r="HC24" i="54" s="1"/>
  <c r="HA25" i="54"/>
  <c r="CW14" i="54"/>
  <c r="CY14" i="54"/>
  <c r="CX14" i="54"/>
  <c r="CV14" i="54"/>
  <c r="T14" i="54"/>
  <c r="CZ14" i="54"/>
  <c r="DA14" i="54" s="1"/>
  <c r="BN29" i="54"/>
  <c r="GP29" i="54" s="1"/>
  <c r="GJ29" i="54"/>
  <c r="S29" i="54"/>
  <c r="BM30" i="54"/>
  <c r="GM40" i="54"/>
  <c r="CI40" i="54"/>
  <c r="HV40" i="54" s="1"/>
  <c r="T40" i="54" s="1"/>
  <c r="FS24" i="54"/>
  <c r="GM37" i="54"/>
  <c r="CI37" i="54"/>
  <c r="HV37" i="54" s="1"/>
  <c r="FS30" i="54"/>
  <c r="AK23" i="54"/>
  <c r="HE23" i="54"/>
  <c r="DK43" i="54"/>
  <c r="DO43" i="54" s="1"/>
  <c r="G43" i="54" s="1"/>
  <c r="DP43" i="54" s="1"/>
  <c r="DQ43" i="54" s="1"/>
  <c r="DY43" i="54"/>
  <c r="GK44" i="54"/>
  <c r="HL44" i="54"/>
  <c r="W7" i="42"/>
  <c r="W8" i="42" s="1"/>
  <c r="CX21" i="54"/>
  <c r="CY21" i="54"/>
  <c r="CW21" i="54"/>
  <c r="CV21" i="54"/>
  <c r="CZ21" i="54"/>
  <c r="CV27" i="54"/>
  <c r="CX27" i="54"/>
  <c r="CY27" i="54"/>
  <c r="CW27" i="54"/>
  <c r="CZ27" i="54"/>
  <c r="DA27" i="54" s="1"/>
  <c r="T27" i="54"/>
  <c r="JQ18" i="54"/>
  <c r="FU55" i="54"/>
  <c r="L55" i="54" s="1"/>
  <c r="FV55" i="54" s="1"/>
  <c r="FW55" i="54" s="1"/>
  <c r="CJ28" i="54"/>
  <c r="HV29" i="54"/>
  <c r="HW28" i="54" s="1"/>
  <c r="GM41" i="54"/>
  <c r="CI41" i="54"/>
  <c r="HV41" i="54" s="1"/>
  <c r="T41" i="54" s="1"/>
  <c r="GM32" i="54"/>
  <c r="CI32" i="54"/>
  <c r="GM6" i="54"/>
  <c r="CI6" i="54"/>
  <c r="HV6" i="54" s="1"/>
  <c r="T6" i="54" s="1"/>
  <c r="GM24" i="54"/>
  <c r="CI24" i="54"/>
  <c r="HV24" i="54" s="1"/>
  <c r="T24" i="54" s="1"/>
  <c r="DV40" i="54"/>
  <c r="DW40" i="54" s="1"/>
  <c r="DM40" i="54"/>
  <c r="JY40" i="54"/>
  <c r="JX40" i="54"/>
  <c r="AK39" i="54"/>
  <c r="HE39" i="54"/>
  <c r="FS41" i="54"/>
  <c r="CJ19" i="54"/>
  <c r="DK19" i="54" s="1"/>
  <c r="HV20" i="54"/>
  <c r="HW19" i="54" s="1"/>
  <c r="AK5" i="54"/>
  <c r="HE5" i="54"/>
  <c r="FU9" i="54"/>
  <c r="L9" i="54" s="1"/>
  <c r="FV9" i="54" s="1"/>
  <c r="FW9" i="54" s="1"/>
  <c r="CV25" i="54"/>
  <c r="CX25" i="54"/>
  <c r="CY25" i="54"/>
  <c r="CW25" i="54"/>
  <c r="CZ25" i="54"/>
  <c r="DA25" i="54" s="1"/>
  <c r="EQ44" i="54"/>
  <c r="EP44" i="54" a="1"/>
  <c r="EP44" i="54" s="1"/>
  <c r="FU8" i="54"/>
  <c r="L8" i="54" s="1"/>
  <c r="FV8" i="54" s="1"/>
  <c r="FW8" i="54" s="1"/>
  <c r="DK24" i="54"/>
  <c r="DO24" i="54" s="1"/>
  <c r="G24" i="54" s="1"/>
  <c r="DP24" i="54" s="1"/>
  <c r="DQ24" i="54" s="1"/>
  <c r="DY24" i="54"/>
  <c r="CY28" i="54"/>
  <c r="CX28" i="54"/>
  <c r="CV28" i="54"/>
  <c r="CW28" i="54"/>
  <c r="CZ28" i="54"/>
  <c r="CS29" i="54"/>
  <c r="HF33" i="54"/>
  <c r="HG33" i="54" s="1"/>
  <c r="JC54" i="54"/>
  <c r="GU54" i="54"/>
  <c r="GV54" i="54"/>
  <c r="GW54" i="54" s="1"/>
  <c r="GF54" i="54"/>
  <c r="GM33" i="54"/>
  <c r="CI33" i="54"/>
  <c r="GM30" i="54"/>
  <c r="CI30" i="54"/>
  <c r="HV30" i="54" s="1"/>
  <c r="T30" i="54" s="1"/>
  <c r="GM50" i="54"/>
  <c r="CI50" i="54"/>
  <c r="HV50" i="54" s="1"/>
  <c r="T50" i="54" s="1"/>
  <c r="CY20" i="54"/>
  <c r="CW20" i="54"/>
  <c r="CV20" i="54"/>
  <c r="CX20" i="54"/>
  <c r="DK20" i="54" s="1"/>
  <c r="CZ20" i="54"/>
  <c r="CN19" i="54" s="1"/>
  <c r="FU54" i="54"/>
  <c r="L54" i="54" s="1"/>
  <c r="FV54" i="54" s="1"/>
  <c r="GT7" i="54"/>
  <c r="AA25" i="42"/>
  <c r="AA26" i="42" s="1"/>
  <c r="AB6" i="42"/>
  <c r="AB7" i="42"/>
  <c r="Z7" i="42"/>
  <c r="Y16" i="42"/>
  <c r="AC55" i="42"/>
  <c r="AC68" i="42" s="1"/>
  <c r="DK42" i="54" l="1"/>
  <c r="DO42" i="54" s="1"/>
  <c r="G42" i="54" s="1"/>
  <c r="DP42" i="54" s="1"/>
  <c r="DQ42" i="54" s="1"/>
  <c r="DY56" i="54"/>
  <c r="DK56" i="54"/>
  <c r="DO56" i="54" s="1"/>
  <c r="G56" i="54" s="1"/>
  <c r="DP56" i="54" s="1"/>
  <c r="DQ56" i="54" s="1"/>
  <c r="DY42" i="54"/>
  <c r="Z14" i="53"/>
  <c r="AU18" i="53"/>
  <c r="CJ18" i="54"/>
  <c r="DK18" i="54" s="1"/>
  <c r="DA21" i="54"/>
  <c r="JY21" i="54" s="1"/>
  <c r="DY30" i="54"/>
  <c r="T28" i="54"/>
  <c r="GT8" i="54"/>
  <c r="GG54" i="54"/>
  <c r="HW18" i="54"/>
  <c r="HW17" i="54" s="1"/>
  <c r="T17" i="54" s="1"/>
  <c r="DK30" i="54"/>
  <c r="DO30" i="54" s="1"/>
  <c r="G30" i="54" s="1"/>
  <c r="DP30" i="54" s="1"/>
  <c r="DQ30" i="54" s="1"/>
  <c r="DR30" i="54" s="1" a="1"/>
  <c r="DR30" i="54" s="1"/>
  <c r="DT30" i="54" s="1"/>
  <c r="GT18" i="54"/>
  <c r="JC18" i="54" s="1"/>
  <c r="GQ10" i="54"/>
  <c r="GR10" i="54" s="1"/>
  <c r="X8" i="42"/>
  <c r="GQ29" i="54"/>
  <c r="GR29" i="54" s="1"/>
  <c r="GQ19" i="54"/>
  <c r="GR19" i="54" s="1"/>
  <c r="JX17" i="54"/>
  <c r="DV17" i="54"/>
  <c r="JY17" i="54"/>
  <c r="GT17" i="54"/>
  <c r="DM17" i="54"/>
  <c r="HJ3" i="54"/>
  <c r="HI3" i="54"/>
  <c r="IF3" i="54" s="1"/>
  <c r="IG3" i="54" s="1"/>
  <c r="HH4" i="54"/>
  <c r="HH5" i="54" s="1"/>
  <c r="JQ20" i="54"/>
  <c r="JQ37" i="54"/>
  <c r="GV8" i="54"/>
  <c r="GW8" i="54" s="1"/>
  <c r="GU8" i="54"/>
  <c r="JC8" i="54"/>
  <c r="FS27" i="54"/>
  <c r="FS14" i="54"/>
  <c r="FS51" i="54"/>
  <c r="DK6" i="54"/>
  <c r="DO6" i="54" s="1"/>
  <c r="G6" i="54" s="1"/>
  <c r="DP6" i="54" s="1"/>
  <c r="DQ6" i="54" s="1"/>
  <c r="DK25" i="54"/>
  <c r="DY25" i="54"/>
  <c r="DV15" i="54"/>
  <c r="DW15" i="54" s="1"/>
  <c r="JY15" i="54"/>
  <c r="JX15" i="54"/>
  <c r="DM15" i="54"/>
  <c r="DY40" i="54"/>
  <c r="CE15" i="54" a="1"/>
  <c r="CE15" i="54" s="1"/>
  <c r="EK15" i="54" s="1"/>
  <c r="CE16" i="54" a="1"/>
  <c r="CE16" i="54" s="1"/>
  <c r="DR56" i="54" a="1"/>
  <c r="DR56" i="54" s="1"/>
  <c r="DT56" i="54" s="1"/>
  <c r="II56" i="54"/>
  <c r="IJ56" i="54" s="1"/>
  <c r="DU56" i="54"/>
  <c r="HT56" i="54" s="1"/>
  <c r="FS37" i="54"/>
  <c r="HF23" i="54"/>
  <c r="HG23" i="54" s="1"/>
  <c r="HH23" i="54" s="1"/>
  <c r="CY45" i="54"/>
  <c r="CW45" i="54"/>
  <c r="CX45" i="54"/>
  <c r="CV45" i="54"/>
  <c r="CS46" i="54"/>
  <c r="T45" i="54"/>
  <c r="CZ45" i="54"/>
  <c r="DA45" i="54" s="1"/>
  <c r="C16" i="56" a="1"/>
  <c r="AA3" i="58" a="1"/>
  <c r="AA3" i="58" s="1"/>
  <c r="AB3" i="55" a="1"/>
  <c r="AB3" i="55" s="1"/>
  <c r="A17" i="56" a="1"/>
  <c r="A17" i="56" s="1"/>
  <c r="AA3" i="55" a="1"/>
  <c r="AA3" i="55" s="1"/>
  <c r="AB3" i="58" a="1"/>
  <c r="AB3" i="58" s="1"/>
  <c r="FS5" i="54"/>
  <c r="DK39" i="54"/>
  <c r="DO39" i="54" s="1"/>
  <c r="G39" i="54" s="1"/>
  <c r="DP39" i="54" s="1"/>
  <c r="DQ39" i="54" s="1"/>
  <c r="HF5" i="54"/>
  <c r="HG5" i="54" s="1"/>
  <c r="FS11" i="54"/>
  <c r="FW23" i="54"/>
  <c r="JX27" i="54"/>
  <c r="JY27" i="54"/>
  <c r="DV27" i="54"/>
  <c r="DW27" i="54" s="1"/>
  <c r="DM27" i="54"/>
  <c r="GT27" i="54"/>
  <c r="HV35" i="54"/>
  <c r="HW34" i="54" s="1"/>
  <c r="HW33" i="54" s="1"/>
  <c r="CJ34" i="54"/>
  <c r="CJ33" i="54" s="1"/>
  <c r="CJ32" i="54" s="1"/>
  <c r="CJ31" i="54" s="1"/>
  <c r="HF39" i="54"/>
  <c r="HG39" i="54" s="1"/>
  <c r="G6" i="56"/>
  <c r="GG3" i="54"/>
  <c r="GG4" i="54"/>
  <c r="GV25" i="54"/>
  <c r="GW25" i="54" s="1"/>
  <c r="JC25" i="54"/>
  <c r="GU25" i="54"/>
  <c r="DR24" i="54" a="1"/>
  <c r="DR24" i="54" s="1"/>
  <c r="DT24" i="54" s="1"/>
  <c r="DU24" i="54"/>
  <c r="HT24" i="54" s="1"/>
  <c r="II24" i="54"/>
  <c r="IJ24" i="54" s="1"/>
  <c r="HD25" i="54"/>
  <c r="HB25" i="54"/>
  <c r="HC25" i="54" s="1"/>
  <c r="HA26" i="54"/>
  <c r="JQ38" i="54"/>
  <c r="JQ4" i="54"/>
  <c r="FU49" i="54"/>
  <c r="L49" i="54" s="1"/>
  <c r="FV49" i="54" s="1"/>
  <c r="FS49" i="54"/>
  <c r="BS10" i="54"/>
  <c r="FS10" i="54" s="1"/>
  <c r="BQ10" i="54"/>
  <c r="E10" i="54" s="1"/>
  <c r="BR10" i="54" s="1"/>
  <c r="BQ54" i="54"/>
  <c r="E54" i="54" s="1"/>
  <c r="BR54" i="54" s="1"/>
  <c r="BQ55" i="54"/>
  <c r="E55" i="54" s="1"/>
  <c r="BR55" i="54" s="1"/>
  <c r="DK40" i="54"/>
  <c r="DO40" i="54" s="1"/>
  <c r="G40" i="54" s="1"/>
  <c r="DP40" i="54" s="1"/>
  <c r="DQ40" i="54" s="1"/>
  <c r="JY53" i="54"/>
  <c r="JX53" i="54"/>
  <c r="DM53" i="54"/>
  <c r="DV53" i="54"/>
  <c r="DW53" i="54" s="1"/>
  <c r="HV32" i="54"/>
  <c r="AK24" i="54"/>
  <c r="HE24" i="54"/>
  <c r="DV44" i="54"/>
  <c r="DW44" i="54" s="1"/>
  <c r="DM44" i="54"/>
  <c r="JY44" i="54"/>
  <c r="JX44" i="54"/>
  <c r="DV11" i="54"/>
  <c r="DW11" i="54" s="1"/>
  <c r="JY11" i="54"/>
  <c r="JX11" i="54"/>
  <c r="DM11" i="54"/>
  <c r="JQ22" i="54"/>
  <c r="BS8" i="54"/>
  <c r="BQ8" i="54"/>
  <c r="E8" i="54" s="1"/>
  <c r="BR8" i="54" s="1"/>
  <c r="BQ48" i="54"/>
  <c r="E48" i="54" s="1"/>
  <c r="BR48" i="54" s="1"/>
  <c r="JQ3" i="54"/>
  <c r="JR3" i="54"/>
  <c r="DV5" i="54"/>
  <c r="DW5" i="54" s="1"/>
  <c r="JX5" i="54"/>
  <c r="DM5" i="54"/>
  <c r="JY5" i="54"/>
  <c r="GT5" i="54"/>
  <c r="GJ20" i="54"/>
  <c r="BN20" i="54"/>
  <c r="GP20" i="54" s="1"/>
  <c r="BM21" i="54"/>
  <c r="DM21" i="54"/>
  <c r="DV21" i="54"/>
  <c r="JX21" i="54"/>
  <c r="BS9" i="54"/>
  <c r="BQ9" i="54"/>
  <c r="E9" i="54" s="1"/>
  <c r="BR9" i="54" s="1"/>
  <c r="BQ23" i="54"/>
  <c r="E23" i="54" s="1"/>
  <c r="BR23" i="54" s="1"/>
  <c r="AT14" i="53" a="1"/>
  <c r="AT14" i="53" s="1"/>
  <c r="BA14" i="53"/>
  <c r="GJ11" i="54"/>
  <c r="BN11" i="54"/>
  <c r="GP11" i="54" s="1"/>
  <c r="S11" i="54"/>
  <c r="BM12" i="54"/>
  <c r="FS53" i="54"/>
  <c r="CE8" i="54" a="1"/>
  <c r="CE8" i="54" s="1"/>
  <c r="EK8" i="54" s="1"/>
  <c r="CE48" i="54" a="1"/>
  <c r="CE48" i="54" s="1"/>
  <c r="DY41" i="54"/>
  <c r="DK41" i="54"/>
  <c r="DO41" i="54" s="1"/>
  <c r="G41" i="54" s="1"/>
  <c r="DP41" i="54" s="1"/>
  <c r="DQ41" i="54" s="1"/>
  <c r="FS21" i="54"/>
  <c r="GP51" i="54"/>
  <c r="HF35" i="54"/>
  <c r="HG35" i="54" s="1"/>
  <c r="DK5" i="54"/>
  <c r="DY5" i="54"/>
  <c r="DK53" i="54"/>
  <c r="DY53" i="54"/>
  <c r="FS36" i="54"/>
  <c r="CW32" i="54"/>
  <c r="CX32" i="54"/>
  <c r="CV32" i="54"/>
  <c r="CY32" i="54"/>
  <c r="CZ32" i="54"/>
  <c r="CS33" i="54"/>
  <c r="JY14" i="54"/>
  <c r="JX14" i="54"/>
  <c r="DV14" i="54"/>
  <c r="DW14" i="54" s="1"/>
  <c r="DM14" i="54"/>
  <c r="FW3" i="54"/>
  <c r="CE7" i="54" a="1"/>
  <c r="CE7" i="54" s="1"/>
  <c r="EK7" i="54" s="1"/>
  <c r="CE26" i="54" a="1"/>
  <c r="CE26" i="54" s="1"/>
  <c r="S19" i="54"/>
  <c r="GT9" i="54"/>
  <c r="HV33" i="54"/>
  <c r="CY29" i="54"/>
  <c r="CX29" i="54"/>
  <c r="DK29" i="54" s="1"/>
  <c r="CV29" i="54"/>
  <c r="CW29" i="54"/>
  <c r="CZ29" i="54"/>
  <c r="CN28" i="54" s="1"/>
  <c r="DA28" i="54" s="1"/>
  <c r="DK50" i="54"/>
  <c r="DY50" i="54"/>
  <c r="DK36" i="54"/>
  <c r="DY36" i="54"/>
  <c r="CE9" i="54" a="1"/>
  <c r="CE9" i="54" s="1"/>
  <c r="EK9" i="54" s="1"/>
  <c r="CE23" i="54" a="1"/>
  <c r="CE23" i="54" s="1"/>
  <c r="AT19" i="53" a="1"/>
  <c r="AT19" i="53" s="1"/>
  <c r="BA19" i="53"/>
  <c r="X19" i="53" s="1"/>
  <c r="BB19" i="53" s="1"/>
  <c r="DR12" i="54" a="1"/>
  <c r="DR12" i="54" s="1"/>
  <c r="DT12" i="54" s="1"/>
  <c r="II12" i="54"/>
  <c r="DU12" i="54"/>
  <c r="HT12" i="54" s="1"/>
  <c r="JU36" i="54"/>
  <c r="JV36" i="54" s="1"/>
  <c r="BA16" i="53"/>
  <c r="AT16" i="53" a="1"/>
  <c r="AT16" i="53" s="1"/>
  <c r="FH25" i="54" s="1"/>
  <c r="X16" i="53"/>
  <c r="BB16" i="53" s="1"/>
  <c r="DO52" i="54"/>
  <c r="G52" i="54" s="1"/>
  <c r="DP52" i="54" s="1"/>
  <c r="DQ52" i="54" s="1"/>
  <c r="JQ32" i="54"/>
  <c r="DK21" i="54"/>
  <c r="DY21" i="54"/>
  <c r="JC57" i="54"/>
  <c r="GV57" i="54"/>
  <c r="GW57" i="54" s="1"/>
  <c r="GU57" i="54"/>
  <c r="GV7" i="54"/>
  <c r="GW7" i="54" s="1"/>
  <c r="JC7" i="54"/>
  <c r="GU7" i="54"/>
  <c r="FS28" i="54"/>
  <c r="JM21" i="54"/>
  <c r="JL37" i="54" s="1"/>
  <c r="JL44" i="54" s="1"/>
  <c r="BA15" i="53"/>
  <c r="AT15" i="53" a="1"/>
  <c r="AT15" i="53" s="1"/>
  <c r="X15" i="53"/>
  <c r="BB15" i="53" s="1"/>
  <c r="JX57" i="54"/>
  <c r="JY57" i="54"/>
  <c r="DM57" i="54"/>
  <c r="DV57" i="54"/>
  <c r="DW57" i="54" s="1"/>
  <c r="DV26" i="54"/>
  <c r="DW26" i="54" s="1"/>
  <c r="JX26" i="54"/>
  <c r="JY26" i="54"/>
  <c r="DM26" i="54"/>
  <c r="DR42" i="54" a="1"/>
  <c r="DR42" i="54" s="1"/>
  <c r="DT42" i="54" s="1"/>
  <c r="II42" i="54"/>
  <c r="IJ42" i="54" s="1"/>
  <c r="DU42" i="54"/>
  <c r="HT42" i="54" s="1"/>
  <c r="JY13" i="54"/>
  <c r="JX13" i="54"/>
  <c r="DV13" i="54"/>
  <c r="DW13" i="54" s="1"/>
  <c r="DM13" i="54"/>
  <c r="DQ13" i="54" s="1"/>
  <c r="DY6" i="54"/>
  <c r="BA18" i="53"/>
  <c r="AT18" i="53" a="1"/>
  <c r="AT18" i="53" s="1"/>
  <c r="X18" i="53" s="1"/>
  <c r="BB18" i="53" s="1"/>
  <c r="FS31" i="54"/>
  <c r="HL13" i="54"/>
  <c r="GK13" i="54"/>
  <c r="AK6" i="54"/>
  <c r="HE6" i="54"/>
  <c r="CX38" i="54"/>
  <c r="CW38" i="54"/>
  <c r="CY38" i="54"/>
  <c r="CV38" i="54"/>
  <c r="DY13" i="54"/>
  <c r="DK13" i="54"/>
  <c r="GQ50" i="54"/>
  <c r="GR50" i="54" s="1"/>
  <c r="HH37" i="54"/>
  <c r="AK40" i="54"/>
  <c r="HE40" i="54"/>
  <c r="FS13" i="54"/>
  <c r="GJ30" i="54"/>
  <c r="BN30" i="54"/>
  <c r="GP30" i="54" s="1"/>
  <c r="S30" i="54"/>
  <c r="BM31" i="54"/>
  <c r="DK51" i="54"/>
  <c r="DY51" i="54"/>
  <c r="DK49" i="54"/>
  <c r="DO49" i="54" s="1"/>
  <c r="G49" i="54" s="1"/>
  <c r="DP49" i="54" s="1"/>
  <c r="DQ49" i="54" s="1"/>
  <c r="DY49" i="54"/>
  <c r="DK27" i="54"/>
  <c r="DY27" i="54"/>
  <c r="DR43" i="54" a="1"/>
  <c r="DR43" i="54" s="1"/>
  <c r="DT43" i="54" s="1"/>
  <c r="DU43" i="54"/>
  <c r="HT43" i="54" s="1"/>
  <c r="II43" i="54"/>
  <c r="DV50" i="54"/>
  <c r="DW50" i="54" s="1"/>
  <c r="JY50" i="54"/>
  <c r="JX50" i="54"/>
  <c r="DM50" i="54"/>
  <c r="DY39" i="54"/>
  <c r="GJ52" i="54"/>
  <c r="BN52" i="54"/>
  <c r="S52" i="54" s="1"/>
  <c r="BM53" i="54"/>
  <c r="HH22" i="54"/>
  <c r="CE10" i="54" a="1"/>
  <c r="CE10" i="54" s="1"/>
  <c r="EK10" i="54" s="1"/>
  <c r="CE54" i="54" a="1"/>
  <c r="CE54" i="54" s="1"/>
  <c r="CE55" i="54" a="1"/>
  <c r="CE55" i="54" s="1"/>
  <c r="DK37" i="54"/>
  <c r="DY37" i="54"/>
  <c r="DM36" i="54"/>
  <c r="DV36" i="54"/>
  <c r="DW36" i="54" s="1"/>
  <c r="JY36" i="54"/>
  <c r="JX36" i="54"/>
  <c r="BS7" i="54"/>
  <c r="BQ7" i="54"/>
  <c r="E7" i="54" s="1"/>
  <c r="BR7" i="54" s="1"/>
  <c r="BQ26" i="54"/>
  <c r="E26" i="54" s="1"/>
  <c r="BR26" i="54" s="1"/>
  <c r="JQ33" i="54"/>
  <c r="FU50" i="54"/>
  <c r="L50" i="54" s="1"/>
  <c r="FV50" i="54" s="1"/>
  <c r="FW50" i="54" s="1"/>
  <c r="FS50" i="54"/>
  <c r="BQ3" i="54"/>
  <c r="E3" i="54" s="1"/>
  <c r="BR3" i="54" s="1"/>
  <c r="BQ4" i="54"/>
  <c r="E4" i="54" s="1"/>
  <c r="BR4" i="54" s="1"/>
  <c r="DK11" i="54"/>
  <c r="DO11" i="54" s="1"/>
  <c r="G11" i="54" s="1"/>
  <c r="DP11" i="54" s="1"/>
  <c r="DQ11" i="54" s="1"/>
  <c r="DY11" i="54"/>
  <c r="BA17" i="53"/>
  <c r="AT17" i="53" a="1"/>
  <c r="AT17" i="53" s="1"/>
  <c r="X17" i="53"/>
  <c r="BB17" i="53" s="1"/>
  <c r="FW54" i="54"/>
  <c r="X7" i="42"/>
  <c r="JX10" i="54"/>
  <c r="JY10" i="54"/>
  <c r="DV10" i="54"/>
  <c r="DW10" i="54" s="1"/>
  <c r="DM10" i="54"/>
  <c r="JQ19" i="54"/>
  <c r="DM49" i="54"/>
  <c r="JX49" i="54"/>
  <c r="JY49" i="54"/>
  <c r="DV49" i="54"/>
  <c r="DW49" i="54" s="1"/>
  <c r="FU26" i="54"/>
  <c r="L26" i="54" s="1"/>
  <c r="FV26" i="54" s="1"/>
  <c r="DK28" i="54"/>
  <c r="DY28" i="54"/>
  <c r="DM25" i="54"/>
  <c r="DV25" i="54"/>
  <c r="DW25" i="54" s="1"/>
  <c r="JY25" i="54"/>
  <c r="JX25" i="54"/>
  <c r="GT49" i="54"/>
  <c r="JV44" i="54"/>
  <c r="JU44" i="54"/>
  <c r="HM44" i="54"/>
  <c r="M44" i="54" s="1"/>
  <c r="HN44" i="54" s="1"/>
  <c r="JO44" i="54"/>
  <c r="JP44" i="54" s="1"/>
  <c r="DK14" i="54"/>
  <c r="DO14" i="54" s="1"/>
  <c r="G14" i="54" s="1"/>
  <c r="DP14" i="54" s="1"/>
  <c r="DQ14" i="54" s="1"/>
  <c r="DY14" i="54"/>
  <c r="JQ34" i="54"/>
  <c r="DV51" i="54"/>
  <c r="DW51" i="54" s="1"/>
  <c r="JY51" i="54"/>
  <c r="JX51" i="54"/>
  <c r="DM51" i="54"/>
  <c r="CE4" i="54" a="1"/>
  <c r="CE4" i="54" s="1"/>
  <c r="CE3" i="54" a="1"/>
  <c r="CE3" i="54" s="1"/>
  <c r="DK57" i="54"/>
  <c r="DY57" i="54"/>
  <c r="JC6" i="54"/>
  <c r="GV6" i="54"/>
  <c r="GW6" i="54" s="1"/>
  <c r="GU6" i="54"/>
  <c r="FS25" i="54"/>
  <c r="BQ15" i="54"/>
  <c r="E15" i="54" s="1"/>
  <c r="BR15" i="54" s="1"/>
  <c r="BS15" i="54"/>
  <c r="FS15" i="54" s="1"/>
  <c r="BQ16" i="54"/>
  <c r="E16" i="54" s="1"/>
  <c r="BR16" i="54" s="1"/>
  <c r="FU57" i="54"/>
  <c r="L57" i="54" s="1"/>
  <c r="FV57" i="54" s="1"/>
  <c r="FW57" i="54" s="1"/>
  <c r="FS57" i="54"/>
  <c r="HD41" i="54"/>
  <c r="HB41" i="54"/>
  <c r="HC41" i="54" s="1"/>
  <c r="HA42" i="54"/>
  <c r="HD7" i="54"/>
  <c r="HB7" i="54"/>
  <c r="HC7" i="54" s="1"/>
  <c r="HA8" i="54"/>
  <c r="DV37" i="54"/>
  <c r="DM37" i="54"/>
  <c r="JX37" i="54"/>
  <c r="JY37" i="54"/>
  <c r="AB8" i="42"/>
  <c r="AD11" i="42"/>
  <c r="AD10" i="42"/>
  <c r="AC88" i="42"/>
  <c r="AD154" i="42" s="1"/>
  <c r="AD296" i="42"/>
  <c r="W9" i="42"/>
  <c r="Y17" i="42"/>
  <c r="Z8" i="42"/>
  <c r="AA27" i="42"/>
  <c r="II30" i="54" l="1"/>
  <c r="IJ30" i="54" s="1"/>
  <c r="DU30" i="54"/>
  <c r="HT30" i="54" s="1"/>
  <c r="CJ17" i="54"/>
  <c r="DO13" i="54"/>
  <c r="AD167" i="42"/>
  <c r="DO51" i="54"/>
  <c r="G51" i="54" s="1"/>
  <c r="DP51" i="54" s="1"/>
  <c r="DQ51" i="54" s="1"/>
  <c r="DR51" i="54" s="1" a="1"/>
  <c r="DR51" i="54" s="1"/>
  <c r="DT51" i="54" s="1"/>
  <c r="DO36" i="54"/>
  <c r="G36" i="54" s="1"/>
  <c r="DP36" i="54" s="1"/>
  <c r="DQ36" i="54" s="1"/>
  <c r="DO25" i="54"/>
  <c r="G25" i="54" s="1"/>
  <c r="DP25" i="54" s="1"/>
  <c r="DQ25" i="54" s="1"/>
  <c r="DR25" i="54" s="1" a="1"/>
  <c r="DR25" i="54" s="1"/>
  <c r="DT25" i="54" s="1"/>
  <c r="GQ30" i="54"/>
  <c r="GR30" i="54" s="1"/>
  <c r="JX28" i="54"/>
  <c r="JY28" i="54"/>
  <c r="DV28" i="54"/>
  <c r="DM28" i="54"/>
  <c r="DO28" i="54" s="1"/>
  <c r="G28" i="54" s="1"/>
  <c r="DP28" i="54" s="1"/>
  <c r="DQ28" i="54" s="1"/>
  <c r="GT28" i="54"/>
  <c r="GQ20" i="54"/>
  <c r="GR20" i="54" s="1"/>
  <c r="DK31" i="54"/>
  <c r="DY31" i="54"/>
  <c r="H15" i="56"/>
  <c r="G15" i="56"/>
  <c r="C15" i="56"/>
  <c r="GQ11" i="54"/>
  <c r="GR11" i="54" s="1"/>
  <c r="JQ39" i="54"/>
  <c r="FH6" i="54"/>
  <c r="FH14" i="54"/>
  <c r="BN31" i="54"/>
  <c r="GP31" i="54" s="1"/>
  <c r="S31" i="54"/>
  <c r="BM32" i="54"/>
  <c r="GJ31" i="54"/>
  <c r="HI23" i="54"/>
  <c r="JR23" i="54" s="1"/>
  <c r="HJ23" i="54"/>
  <c r="JC17" i="54"/>
  <c r="GU17" i="54"/>
  <c r="GU18" i="54" s="1"/>
  <c r="GV17" i="54"/>
  <c r="GW17" i="54" s="1"/>
  <c r="DR13" i="54" a="1"/>
  <c r="DR13" i="54" s="1"/>
  <c r="DT13" i="54" s="1"/>
  <c r="DU13" i="54"/>
  <c r="HT13" i="54" s="1"/>
  <c r="II13" i="54"/>
  <c r="C16" i="56"/>
  <c r="G7" i="56" s="1"/>
  <c r="G12" i="56"/>
  <c r="G8" i="56"/>
  <c r="G9" i="56"/>
  <c r="EK23" i="54"/>
  <c r="CW33" i="54"/>
  <c r="CX33" i="54"/>
  <c r="DK33" i="54" s="1"/>
  <c r="CV33" i="54"/>
  <c r="CY33" i="54"/>
  <c r="CS34" i="54"/>
  <c r="CZ33" i="54"/>
  <c r="HI5" i="54"/>
  <c r="HJ5" i="54"/>
  <c r="DR52" i="54" a="1"/>
  <c r="DR52" i="54" s="1"/>
  <c r="DT52" i="54" s="1"/>
  <c r="DU52" i="54"/>
  <c r="HT52" i="54" s="1"/>
  <c r="II52" i="54"/>
  <c r="IJ52" i="54" s="1"/>
  <c r="DR39" i="54" a="1"/>
  <c r="DR39" i="54" s="1"/>
  <c r="DT39" i="54" s="1"/>
  <c r="DU39" i="54"/>
  <c r="HT39" i="54" s="1"/>
  <c r="II39" i="54"/>
  <c r="IJ39" i="54" s="1"/>
  <c r="FH31" i="54"/>
  <c r="FH46" i="54"/>
  <c r="FH47" i="54"/>
  <c r="FH29" i="54"/>
  <c r="FH28" i="54"/>
  <c r="FH35" i="54"/>
  <c r="FH42" i="54"/>
  <c r="FH30" i="54"/>
  <c r="FH32" i="54"/>
  <c r="FH33" i="54"/>
  <c r="FH43" i="54"/>
  <c r="FH40" i="54"/>
  <c r="FH36" i="54"/>
  <c r="FH45" i="54"/>
  <c r="FH27" i="54"/>
  <c r="X14" i="53"/>
  <c r="BB14" i="53" s="1"/>
  <c r="DR14" i="54" a="1"/>
  <c r="DR14" i="54" s="1"/>
  <c r="DT14" i="54" s="1"/>
  <c r="DU14" i="54"/>
  <c r="HT14" i="54" s="1"/>
  <c r="II14" i="54"/>
  <c r="DK32" i="54"/>
  <c r="JC5" i="54"/>
  <c r="GV5" i="54"/>
  <c r="GW5" i="54" s="1"/>
  <c r="GU5" i="54"/>
  <c r="GU27" i="54"/>
  <c r="JC27" i="54"/>
  <c r="GV27" i="54"/>
  <c r="GW27" i="54" s="1"/>
  <c r="DV38" i="54"/>
  <c r="DW38" i="54" s="1"/>
  <c r="DW37" i="54"/>
  <c r="DO57" i="54"/>
  <c r="G57" i="54" s="1"/>
  <c r="DP57" i="54" s="1"/>
  <c r="DQ57" i="54" s="1"/>
  <c r="DR11" i="54" a="1"/>
  <c r="DR11" i="54" s="1"/>
  <c r="DT11" i="54" s="1"/>
  <c r="DU11" i="54"/>
  <c r="HT11" i="54" s="1"/>
  <c r="II11" i="54"/>
  <c r="IJ11" i="54" s="1"/>
  <c r="DO50" i="54"/>
  <c r="G50" i="54" s="1"/>
  <c r="DP50" i="54" s="1"/>
  <c r="DQ50" i="54" s="1"/>
  <c r="DR40" i="54" a="1"/>
  <c r="DR40" i="54" s="1"/>
  <c r="DT40" i="54" s="1"/>
  <c r="II40" i="54"/>
  <c r="DU40" i="54"/>
  <c r="HT40" i="54" s="1"/>
  <c r="DW17" i="54"/>
  <c r="DV18" i="54"/>
  <c r="HD8" i="54"/>
  <c r="HB8" i="54"/>
  <c r="HC8" i="54" s="1"/>
  <c r="HA9" i="54"/>
  <c r="EK3" i="54"/>
  <c r="DO37" i="54"/>
  <c r="G37" i="54" s="1"/>
  <c r="DP37" i="54" s="1"/>
  <c r="DQ37" i="54" s="1"/>
  <c r="GL9" i="54"/>
  <c r="FP9" i="54"/>
  <c r="FS9" i="54"/>
  <c r="BS55" i="54"/>
  <c r="EZ55" i="54"/>
  <c r="GK55" i="54" s="1"/>
  <c r="EK4" i="54"/>
  <c r="EK55" i="54"/>
  <c r="FH19" i="54"/>
  <c r="FH20" i="54"/>
  <c r="FH18" i="54"/>
  <c r="FH21" i="54"/>
  <c r="FH22" i="54"/>
  <c r="FH17" i="54"/>
  <c r="AK7" i="54"/>
  <c r="HE7" i="54"/>
  <c r="AD3" i="55" a="1"/>
  <c r="AD3" i="55" s="1"/>
  <c r="H53" i="55" s="1" a="1"/>
  <c r="H53" i="55" s="1"/>
  <c r="GT19" i="54"/>
  <c r="HD42" i="54"/>
  <c r="HB42" i="54"/>
  <c r="HC42" i="54" s="1"/>
  <c r="HA43" i="54"/>
  <c r="GU49" i="54"/>
  <c r="JC49" i="54"/>
  <c r="GV49" i="54"/>
  <c r="GW49" i="54" s="1"/>
  <c r="EO12" i="54" a="1"/>
  <c r="EO12" i="54" s="1"/>
  <c r="EO43" i="54" a="1"/>
  <c r="EO43" i="54" s="1"/>
  <c r="DO53" i="54"/>
  <c r="G53" i="54" s="1"/>
  <c r="DP53" i="54" s="1"/>
  <c r="DQ53" i="54" s="1"/>
  <c r="GJ21" i="54"/>
  <c r="BN21" i="54"/>
  <c r="S21" i="54" s="1"/>
  <c r="BM22" i="54"/>
  <c r="FW49" i="54"/>
  <c r="DR6" i="54" a="1"/>
  <c r="DR6" i="54" s="1"/>
  <c r="DT6" i="54" s="1"/>
  <c r="DU6" i="54"/>
  <c r="HT6" i="54" s="1"/>
  <c r="II6" i="54"/>
  <c r="BS26" i="54"/>
  <c r="EZ26" i="54"/>
  <c r="GK26" i="54" s="1"/>
  <c r="HF40" i="54"/>
  <c r="HG40" i="54" s="1"/>
  <c r="JO13" i="54"/>
  <c r="JU13" i="54"/>
  <c r="JV13" i="54"/>
  <c r="GP52" i="54"/>
  <c r="DO27" i="54"/>
  <c r="G27" i="54" s="1"/>
  <c r="DP27" i="54" s="1"/>
  <c r="DQ27" i="54" s="1"/>
  <c r="GV9" i="54"/>
  <c r="GW9" i="54" s="1"/>
  <c r="GU9" i="54"/>
  <c r="JC9" i="54"/>
  <c r="DO5" i="54"/>
  <c r="G5" i="54" s="1"/>
  <c r="DP5" i="54" s="1"/>
  <c r="DQ5" i="54" s="1"/>
  <c r="EK48" i="54"/>
  <c r="S20" i="54"/>
  <c r="JA3" i="54"/>
  <c r="HO3" i="54"/>
  <c r="HP3" i="54"/>
  <c r="IZ3" i="54" s="1"/>
  <c r="HR3" i="54"/>
  <c r="HK3" i="54"/>
  <c r="DR49" i="54" a="1"/>
  <c r="DR49" i="54" s="1"/>
  <c r="DT49" i="54" s="1"/>
  <c r="II49" i="54"/>
  <c r="IJ49" i="54" s="1"/>
  <c r="DU49" i="54"/>
  <c r="HT49" i="54" s="1"/>
  <c r="EK26" i="54"/>
  <c r="FS45" i="54"/>
  <c r="BS16" i="54"/>
  <c r="EZ16" i="54"/>
  <c r="GK16" i="54" s="1"/>
  <c r="GL8" i="54"/>
  <c r="FP8" i="54"/>
  <c r="FS8" i="54"/>
  <c r="GL15" i="54"/>
  <c r="FP15" i="54"/>
  <c r="II51" i="54"/>
  <c r="IJ51" i="54" s="1"/>
  <c r="GT50" i="54"/>
  <c r="GQ51" i="54"/>
  <c r="GR51" i="54" s="1"/>
  <c r="HD26" i="54"/>
  <c r="HB26" i="54"/>
  <c r="HC26" i="54" s="1"/>
  <c r="HA27" i="54"/>
  <c r="DR36" i="54" a="1"/>
  <c r="DR36" i="54" s="1"/>
  <c r="DT36" i="54" s="1"/>
  <c r="DU36" i="54"/>
  <c r="HT36" i="54" s="1"/>
  <c r="II36" i="54"/>
  <c r="EK16" i="54"/>
  <c r="BS23" i="54"/>
  <c r="EZ23" i="54"/>
  <c r="GK23" i="54" s="1"/>
  <c r="AK25" i="54"/>
  <c r="HE25" i="54"/>
  <c r="DK17" i="54"/>
  <c r="DO17" i="54" s="1"/>
  <c r="G17" i="54" s="1"/>
  <c r="DP17" i="54" s="1"/>
  <c r="DQ17" i="54" s="1"/>
  <c r="DY17" i="54"/>
  <c r="JQ23" i="54"/>
  <c r="BS4" i="54"/>
  <c r="EZ4" i="54"/>
  <c r="GK4" i="54" s="1"/>
  <c r="DR41" i="54" a="1"/>
  <c r="DR41" i="54" s="1"/>
  <c r="DT41" i="54" s="1"/>
  <c r="HQ41" i="54"/>
  <c r="DU41" i="54"/>
  <c r="HT41" i="54" s="1"/>
  <c r="II41" i="54"/>
  <c r="IJ41" i="54" s="1"/>
  <c r="BS3" i="54"/>
  <c r="EZ3" i="54"/>
  <c r="GK3" i="54" s="1"/>
  <c r="BS54" i="54"/>
  <c r="EZ54" i="54"/>
  <c r="GK54" i="54" s="1"/>
  <c r="EK54" i="54"/>
  <c r="GJ12" i="54"/>
  <c r="BN12" i="54"/>
  <c r="GP12" i="54" s="1"/>
  <c r="BM13" i="54"/>
  <c r="DV22" i="54"/>
  <c r="DW22" i="54" s="1"/>
  <c r="DW21" i="54"/>
  <c r="GL10" i="54"/>
  <c r="FP10" i="54"/>
  <c r="EO24" i="54" a="1"/>
  <c r="EO24" i="54" s="1"/>
  <c r="HI22" i="54"/>
  <c r="HJ22" i="54"/>
  <c r="HF6" i="54"/>
  <c r="HG6" i="54" s="1"/>
  <c r="HH6" i="54"/>
  <c r="EO30" i="54" a="1"/>
  <c r="EO30" i="54" s="1"/>
  <c r="GT29" i="54"/>
  <c r="GJ53" i="54"/>
  <c r="BN53" i="54"/>
  <c r="S53" i="54" s="1"/>
  <c r="DO21" i="54"/>
  <c r="G21" i="54" s="1"/>
  <c r="DP21" i="54" s="1"/>
  <c r="DQ21" i="54" s="1"/>
  <c r="DV45" i="54"/>
  <c r="DW45" i="54" s="1"/>
  <c r="JY45" i="54"/>
  <c r="JX45" i="54"/>
  <c r="DM45" i="54"/>
  <c r="DU25" i="54"/>
  <c r="HT25" i="54" s="1"/>
  <c r="II25" i="54"/>
  <c r="AK41" i="54"/>
  <c r="HE41" i="54"/>
  <c r="FW26" i="54"/>
  <c r="EO42" i="54" a="1"/>
  <c r="EO42" i="54" s="1"/>
  <c r="HI4" i="54"/>
  <c r="HJ4" i="54"/>
  <c r="HW32" i="54"/>
  <c r="HW31" i="54" s="1"/>
  <c r="T31" i="54" s="1"/>
  <c r="HF24" i="54"/>
  <c r="HG24" i="54" s="1"/>
  <c r="CW46" i="54"/>
  <c r="CY46" i="54"/>
  <c r="CV46" i="54"/>
  <c r="CX46" i="54"/>
  <c r="T46" i="54"/>
  <c r="CS47" i="54"/>
  <c r="CZ46" i="54"/>
  <c r="DA46" i="54" s="1"/>
  <c r="GL7" i="54"/>
  <c r="FP7" i="54"/>
  <c r="FS7" i="54"/>
  <c r="HJ37" i="54"/>
  <c r="HI37" i="54"/>
  <c r="JQ35" i="54"/>
  <c r="BS48" i="54"/>
  <c r="EZ48" i="54"/>
  <c r="GK48" i="54" s="1"/>
  <c r="HH38" i="54"/>
  <c r="JQ5" i="54"/>
  <c r="DK45" i="54"/>
  <c r="DY45" i="54"/>
  <c r="EO56" i="54" a="1"/>
  <c r="EO56" i="54" s="1"/>
  <c r="GT10" i="54"/>
  <c r="AD187" i="42"/>
  <c r="AD90" i="42"/>
  <c r="AD96" i="42"/>
  <c r="AD461" i="42"/>
  <c r="AD434" i="42"/>
  <c r="AD194" i="42"/>
  <c r="AD291" i="42"/>
  <c r="AD61" i="42"/>
  <c r="AD230" i="42"/>
  <c r="AD483" i="42"/>
  <c r="AD63" i="42"/>
  <c r="AD37" i="42"/>
  <c r="AD345" i="42"/>
  <c r="AD260" i="42"/>
  <c r="AD470" i="42"/>
  <c r="AD118" i="42"/>
  <c r="AD252" i="42"/>
  <c r="AD216" i="42"/>
  <c r="AD395" i="42"/>
  <c r="AD111" i="42"/>
  <c r="AD70" i="42"/>
  <c r="AD108" i="42"/>
  <c r="AD364" i="42"/>
  <c r="AD83" i="42"/>
  <c r="AD257" i="42"/>
  <c r="AD264" i="42"/>
  <c r="AD89" i="42"/>
  <c r="AD317" i="42"/>
  <c r="AD130" i="42"/>
  <c r="AD279" i="42"/>
  <c r="AD416" i="42"/>
  <c r="AD378" i="42"/>
  <c r="AD330" i="42"/>
  <c r="AD102" i="42"/>
  <c r="AD211" i="42"/>
  <c r="AD333" i="42"/>
  <c r="AD40" i="42"/>
  <c r="AD180" i="42"/>
  <c r="AD16" i="42"/>
  <c r="AD365" i="42"/>
  <c r="AD290" i="42"/>
  <c r="AD113" i="42"/>
  <c r="AD348" i="42"/>
  <c r="AD436" i="42"/>
  <c r="AD242" i="42"/>
  <c r="AD438" i="42"/>
  <c r="AD382" i="42"/>
  <c r="AD236" i="42"/>
  <c r="AD251" i="42"/>
  <c r="AD105" i="42"/>
  <c r="AD325" i="42"/>
  <c r="AD467" i="42"/>
  <c r="AD169" i="42"/>
  <c r="AD256" i="42"/>
  <c r="AD469" i="42"/>
  <c r="AD370" i="42"/>
  <c r="AD52" i="42"/>
  <c r="AD455" i="42"/>
  <c r="AD72" i="42"/>
  <c r="AD362" i="42"/>
  <c r="AD235" i="42"/>
  <c r="AD450" i="42"/>
  <c r="AD249" i="42"/>
  <c r="AD334" i="42"/>
  <c r="AD386" i="42"/>
  <c r="AD366" i="42"/>
  <c r="AD122" i="42"/>
  <c r="AD87" i="42"/>
  <c r="AD175" i="42"/>
  <c r="AD138" i="42"/>
  <c r="AD465" i="42"/>
  <c r="AD493" i="42"/>
  <c r="AD413" i="42"/>
  <c r="AD171" i="42"/>
  <c r="AD486" i="42"/>
  <c r="AD127" i="42"/>
  <c r="AD168" i="42"/>
  <c r="AD141" i="42"/>
  <c r="AD398" i="42"/>
  <c r="AD19" i="42"/>
  <c r="AD278" i="42"/>
  <c r="AD409" i="42"/>
  <c r="AD161" i="42"/>
  <c r="AD482" i="42"/>
  <c r="AD406" i="42"/>
  <c r="AD338" i="42"/>
  <c r="AD239" i="42"/>
  <c r="AD497" i="42"/>
  <c r="AD352" i="42"/>
  <c r="AD155" i="42"/>
  <c r="AD412" i="42"/>
  <c r="AD410" i="42"/>
  <c r="AD308" i="42"/>
  <c r="AD305" i="42"/>
  <c r="AD214" i="42"/>
  <c r="AD337" i="42"/>
  <c r="AD374" i="42"/>
  <c r="AD170" i="42"/>
  <c r="AD73" i="42"/>
  <c r="AD51" i="42"/>
  <c r="AD276" i="42"/>
  <c r="AD21" i="42"/>
  <c r="AD78" i="42"/>
  <c r="AD360" i="42"/>
  <c r="AD442" i="42"/>
  <c r="AD60" i="42"/>
  <c r="AD452" i="42"/>
  <c r="AD172" i="42"/>
  <c r="AD404" i="42"/>
  <c r="AD327" i="42"/>
  <c r="AD221" i="42"/>
  <c r="AD481" i="42"/>
  <c r="AD288" i="42"/>
  <c r="AD85" i="42"/>
  <c r="AD81" i="42"/>
  <c r="AD373" i="42"/>
  <c r="AD369" i="42"/>
  <c r="AD119" i="42"/>
  <c r="AD329" i="42"/>
  <c r="AD149" i="42"/>
  <c r="AD202" i="42"/>
  <c r="AD24" i="42"/>
  <c r="AD206" i="42"/>
  <c r="AD269" i="42"/>
  <c r="AD284" i="42"/>
  <c r="AD383" i="42"/>
  <c r="AD266" i="42"/>
  <c r="AD394" i="42"/>
  <c r="AD499" i="42"/>
  <c r="AD389" i="42"/>
  <c r="AD407" i="42"/>
  <c r="AD472" i="42"/>
  <c r="AD76" i="42"/>
  <c r="AD44" i="42"/>
  <c r="AD45" i="42"/>
  <c r="AD77" i="42"/>
  <c r="AD357" i="42"/>
  <c r="AD56" i="42"/>
  <c r="AD201" i="42"/>
  <c r="AD273" i="42"/>
  <c r="AD459" i="42"/>
  <c r="AD303" i="42"/>
  <c r="AD299" i="42"/>
  <c r="AD174" i="42"/>
  <c r="AD479" i="42"/>
  <c r="AD34" i="42"/>
  <c r="AD178" i="42"/>
  <c r="AD403" i="42"/>
  <c r="AD144" i="42"/>
  <c r="AD271" i="42"/>
  <c r="AD310" i="42"/>
  <c r="AD165" i="42"/>
  <c r="AD466" i="42"/>
  <c r="AD36" i="42"/>
  <c r="AD490" i="42"/>
  <c r="AD376" i="42"/>
  <c r="AD397" i="42"/>
  <c r="AD261" i="42"/>
  <c r="AD152" i="42"/>
  <c r="AD200" i="42"/>
  <c r="AD381" i="42"/>
  <c r="AD203" i="42"/>
  <c r="AD129" i="42"/>
  <c r="AD421" i="42"/>
  <c r="AD449" i="42"/>
  <c r="AD282" i="42"/>
  <c r="AD69" i="42"/>
  <c r="AD328" i="42"/>
  <c r="AD440" i="42"/>
  <c r="AD423" i="42"/>
  <c r="AD246" i="42"/>
  <c r="AD259" i="42"/>
  <c r="AD468" i="42"/>
  <c r="AD426" i="42"/>
  <c r="AD164" i="42"/>
  <c r="AD151" i="42"/>
  <c r="AD39" i="42"/>
  <c r="AD116" i="42"/>
  <c r="AD136" i="42"/>
  <c r="AD358" i="42"/>
  <c r="AD66" i="42"/>
  <c r="AD439" i="42"/>
  <c r="AD335" i="42"/>
  <c r="AD473" i="42"/>
  <c r="AD79" i="42"/>
  <c r="AD195" i="42"/>
  <c r="AD408" i="42"/>
  <c r="AD64" i="42"/>
  <c r="AD350" i="42"/>
  <c r="AD298" i="42"/>
  <c r="AD228" i="42"/>
  <c r="AD343" i="42"/>
  <c r="AD495" i="42"/>
  <c r="AD100" i="42"/>
  <c r="AD115" i="42"/>
  <c r="AD287" i="42"/>
  <c r="AD68" i="42"/>
  <c r="AD321" i="42"/>
  <c r="AD48" i="42"/>
  <c r="AD258" i="42"/>
  <c r="AD417" i="42"/>
  <c r="AD25" i="42"/>
  <c r="AD20" i="42"/>
  <c r="AD247" i="42"/>
  <c r="AD268" i="42"/>
  <c r="AD356" i="42"/>
  <c r="AD183" i="42"/>
  <c r="AD474" i="42"/>
  <c r="AD191" i="42"/>
  <c r="AD143" i="42"/>
  <c r="AD367" i="42"/>
  <c r="AD28" i="42"/>
  <c r="AD312" i="42"/>
  <c r="AD285" i="42"/>
  <c r="AD429" i="42"/>
  <c r="AD134" i="42"/>
  <c r="AD173" i="42"/>
  <c r="AD125" i="42"/>
  <c r="AD311" i="42"/>
  <c r="AD30" i="42"/>
  <c r="AD363" i="42"/>
  <c r="AD390" i="42"/>
  <c r="AD379" i="42"/>
  <c r="AD313" i="42"/>
  <c r="AD233" i="42"/>
  <c r="AD250" i="42"/>
  <c r="AD204" i="42"/>
  <c r="AD156" i="42"/>
  <c r="AD38" i="42"/>
  <c r="AD253" i="42"/>
  <c r="AD415" i="42"/>
  <c r="AD190" i="42"/>
  <c r="AD213" i="42"/>
  <c r="AD189" i="42"/>
  <c r="AD160" i="42"/>
  <c r="AD199" i="42"/>
  <c r="AD53" i="42"/>
  <c r="AD186" i="42"/>
  <c r="AD22" i="42"/>
  <c r="AD131" i="42"/>
  <c r="AD443" i="42"/>
  <c r="AD420" i="42"/>
  <c r="AD46" i="42"/>
  <c r="AD222" i="42"/>
  <c r="AD209" i="42"/>
  <c r="AD476" i="42"/>
  <c r="AD480" i="42"/>
  <c r="AD95" i="42"/>
  <c r="AD294" i="42"/>
  <c r="AD277" i="42"/>
  <c r="AD50" i="42"/>
  <c r="AD385" i="42"/>
  <c r="AD319" i="42"/>
  <c r="AD464" i="42"/>
  <c r="AD340" i="42"/>
  <c r="AD324" i="42"/>
  <c r="AD427" i="42"/>
  <c r="AD207" i="42"/>
  <c r="AD418" i="42"/>
  <c r="AD245" i="42"/>
  <c r="AD316" i="42"/>
  <c r="AD231" i="42"/>
  <c r="AD377" i="42"/>
  <c r="AD331" i="42"/>
  <c r="AD430" i="42"/>
  <c r="AD26" i="42"/>
  <c r="AD208" i="42"/>
  <c r="AD147" i="42"/>
  <c r="AD471" i="42"/>
  <c r="AD456" i="42"/>
  <c r="AD47" i="42"/>
  <c r="AD18" i="42"/>
  <c r="AD133" i="42"/>
  <c r="AD135" i="42"/>
  <c r="AD491" i="42"/>
  <c r="AD197" i="42"/>
  <c r="AD388" i="42"/>
  <c r="AD462" i="42"/>
  <c r="Y18" i="42"/>
  <c r="Y19" i="42" s="1"/>
  <c r="Z10" i="42"/>
  <c r="AD372" i="42"/>
  <c r="AD342" i="42"/>
  <c r="AD145" i="42"/>
  <c r="AD179" i="42"/>
  <c r="AD346" i="42"/>
  <c r="AD272" i="42"/>
  <c r="AD344" i="42"/>
  <c r="AD371" i="42"/>
  <c r="AD496" i="42"/>
  <c r="AD146" i="42"/>
  <c r="AD453" i="42"/>
  <c r="AD307" i="42"/>
  <c r="AA28" i="42"/>
  <c r="AB10" i="42" s="1"/>
  <c r="AB9" i="42"/>
  <c r="AA29" i="42"/>
  <c r="AD375" i="42"/>
  <c r="AD361" i="42"/>
  <c r="AD59" i="42"/>
  <c r="AD114" i="42"/>
  <c r="AD447" i="42"/>
  <c r="W10" i="42"/>
  <c r="X9" i="42"/>
  <c r="AD323" i="42"/>
  <c r="AD176" i="42"/>
  <c r="AD315" i="42"/>
  <c r="AD237" i="42"/>
  <c r="AD402" i="42"/>
  <c r="AD339" i="42"/>
  <c r="AD463" i="42"/>
  <c r="AD405" i="42"/>
  <c r="AD120" i="42"/>
  <c r="AD198" i="42"/>
  <c r="AD318" i="42"/>
  <c r="AD267" i="42"/>
  <c r="AD27" i="42"/>
  <c r="AD82" i="42"/>
  <c r="AD232" i="42"/>
  <c r="AD445" i="42"/>
  <c r="AD322" i="42"/>
  <c r="AD177" i="42"/>
  <c r="AD487" i="42"/>
  <c r="AD281" i="42"/>
  <c r="AD320" i="42"/>
  <c r="AD451" i="42"/>
  <c r="AD103" i="42"/>
  <c r="AD286" i="42"/>
  <c r="AD163" i="42"/>
  <c r="AD15" i="42"/>
  <c r="AD215" i="42"/>
  <c r="AD428" i="42"/>
  <c r="AD457" i="42"/>
  <c r="AD355" i="42"/>
  <c r="AD351" i="42"/>
  <c r="AD400" i="42"/>
  <c r="AD488" i="42"/>
  <c r="AD14" i="42"/>
  <c r="AD99" i="42"/>
  <c r="AD182" i="42"/>
  <c r="AD292" i="42"/>
  <c r="AD424" i="42"/>
  <c r="AD304" i="42"/>
  <c r="AD58" i="42"/>
  <c r="AD225" i="42"/>
  <c r="AD92" i="42"/>
  <c r="AD193" i="42"/>
  <c r="AD441" i="42"/>
  <c r="AD433" i="42"/>
  <c r="AD368" i="42"/>
  <c r="AD32" i="42"/>
  <c r="AD301" i="42"/>
  <c r="AD86" i="42"/>
  <c r="AD80" i="42"/>
  <c r="AD98" i="42"/>
  <c r="AD226" i="42"/>
  <c r="AD444" i="42"/>
  <c r="AD393" i="42"/>
  <c r="AD219" i="42"/>
  <c r="AD489" i="42"/>
  <c r="AD353" i="42"/>
  <c r="AD241" i="42"/>
  <c r="AD435" i="42"/>
  <c r="AD244" i="42"/>
  <c r="AD380" i="42"/>
  <c r="AD84" i="42"/>
  <c r="AD12" i="42"/>
  <c r="AD42" i="42"/>
  <c r="AD132" i="42"/>
  <c r="AD431" i="42"/>
  <c r="AD384" i="42"/>
  <c r="AD255" i="42"/>
  <c r="AD159" i="42"/>
  <c r="AD314" i="42"/>
  <c r="AD150" i="42"/>
  <c r="AD104" i="42"/>
  <c r="AD55" i="42"/>
  <c r="AD97" i="42"/>
  <c r="AD223" i="42"/>
  <c r="AD117" i="42"/>
  <c r="AD88" i="42"/>
  <c r="AD185" i="42"/>
  <c r="AD227" i="42"/>
  <c r="AD422" i="42"/>
  <c r="AD196" i="42"/>
  <c r="AD391" i="42"/>
  <c r="AD184" i="42"/>
  <c r="AD35" i="42"/>
  <c r="AD411" i="42"/>
  <c r="AD326" i="42"/>
  <c r="AD419" i="42"/>
  <c r="AD139" i="42"/>
  <c r="AD212" i="42"/>
  <c r="AD67" i="42"/>
  <c r="AD229" i="42"/>
  <c r="AD359" i="42"/>
  <c r="AD498" i="42"/>
  <c r="AD137" i="42"/>
  <c r="AD238" i="42"/>
  <c r="AD128" i="42"/>
  <c r="AD220" i="42"/>
  <c r="AD354" i="42"/>
  <c r="AD275" i="42"/>
  <c r="AD477" i="42"/>
  <c r="AD13" i="42"/>
  <c r="AD29" i="42"/>
  <c r="AD399" i="42"/>
  <c r="AD181" i="42"/>
  <c r="AD107" i="42"/>
  <c r="AD162" i="42"/>
  <c r="AD188" i="42"/>
  <c r="AD263" i="42"/>
  <c r="AD41" i="42"/>
  <c r="AD347" i="42"/>
  <c r="AD218" i="42"/>
  <c r="AD49" i="42"/>
  <c r="AD302" i="42"/>
  <c r="AD124" i="42"/>
  <c r="AD392" i="42"/>
  <c r="AD492" i="42"/>
  <c r="AD123" i="42"/>
  <c r="AD500" i="42"/>
  <c r="AD349" i="42"/>
  <c r="AD460" i="42"/>
  <c r="AD210" i="42"/>
  <c r="AD306" i="42"/>
  <c r="AD262" i="42"/>
  <c r="AD75" i="42"/>
  <c r="AD166" i="42"/>
  <c r="AD341" i="42"/>
  <c r="AD158" i="42"/>
  <c r="AD478" i="42"/>
  <c r="AD280" i="42"/>
  <c r="AD446" i="42"/>
  <c r="AD121" i="42"/>
  <c r="AD224" i="42"/>
  <c r="AD396" i="42"/>
  <c r="AD142" i="42"/>
  <c r="AD57" i="42"/>
  <c r="AD62" i="42"/>
  <c r="AD148" i="42"/>
  <c r="AD31" i="42"/>
  <c r="AD289" i="42"/>
  <c r="AD240" i="42"/>
  <c r="AD106" i="42"/>
  <c r="AD254" i="42"/>
  <c r="AD65" i="42"/>
  <c r="AD274" i="42"/>
  <c r="AD94" i="42"/>
  <c r="AD309" i="42"/>
  <c r="AD17" i="42"/>
  <c r="AD192" i="42"/>
  <c r="AD448" i="42"/>
  <c r="AD432" i="42"/>
  <c r="AD71" i="42"/>
  <c r="AD484" i="42"/>
  <c r="AD293" i="42"/>
  <c r="AD332" i="42"/>
  <c r="AD93" i="42"/>
  <c r="AD485" i="42"/>
  <c r="AD243" i="42"/>
  <c r="AD458" i="42"/>
  <c r="AD43" i="42"/>
  <c r="AD295" i="42"/>
  <c r="AD437" i="42"/>
  <c r="AD109" i="42"/>
  <c r="Z9" i="42"/>
  <c r="AD283" i="42"/>
  <c r="AD270" i="42"/>
  <c r="AD153" i="42"/>
  <c r="AD110" i="42"/>
  <c r="AD475" i="42"/>
  <c r="AD248" i="42"/>
  <c r="AD297" i="42"/>
  <c r="AD454" i="42"/>
  <c r="AD401" i="42"/>
  <c r="AD414" i="42"/>
  <c r="AD265" i="42"/>
  <c r="AD91" i="42"/>
  <c r="AD157" i="42"/>
  <c r="AD54" i="42"/>
  <c r="AD74" i="42"/>
  <c r="AD101" i="42"/>
  <c r="AD126" i="42"/>
  <c r="AD494" i="42"/>
  <c r="AD217" i="42"/>
  <c r="AD300" i="42"/>
  <c r="AD234" i="42"/>
  <c r="AD425" i="42"/>
  <c r="AD112" i="42"/>
  <c r="AD140" i="42"/>
  <c r="AD23" i="42"/>
  <c r="AD205" i="42"/>
  <c r="AD387" i="42"/>
  <c r="AD336" i="42"/>
  <c r="AD33" i="42"/>
  <c r="DU51" i="54" l="1"/>
  <c r="HT51" i="54" s="1"/>
  <c r="GT11" i="54"/>
  <c r="I15" i="56"/>
  <c r="J15" i="56" s="1"/>
  <c r="S12" i="54"/>
  <c r="HQ13" i="54"/>
  <c r="GQ12" i="54"/>
  <c r="GR12" i="54" s="1"/>
  <c r="DR28" i="54" a="1"/>
  <c r="DR28" i="54" s="1"/>
  <c r="DT28" i="54" s="1"/>
  <c r="II28" i="54"/>
  <c r="DU28" i="54"/>
  <c r="GQ31" i="54"/>
  <c r="GR31" i="54" s="1"/>
  <c r="BN32" i="54"/>
  <c r="GP32" i="54" s="1"/>
  <c r="GJ32" i="54"/>
  <c r="S32" i="54"/>
  <c r="BM33" i="54"/>
  <c r="HI6" i="54"/>
  <c r="JR6" i="54" s="1"/>
  <c r="HJ6" i="54"/>
  <c r="EO6" i="54" a="1"/>
  <c r="EO6" i="54" s="1"/>
  <c r="JQ6" i="54"/>
  <c r="JQ24" i="54"/>
  <c r="HF41" i="54"/>
  <c r="HG41" i="54" s="1"/>
  <c r="GP53" i="54"/>
  <c r="AK26" i="54"/>
  <c r="HE26" i="54"/>
  <c r="DR17" i="54" a="1"/>
  <c r="DR17" i="54" s="1"/>
  <c r="DT17" i="54" s="1"/>
  <c r="DU17" i="54"/>
  <c r="II17" i="54"/>
  <c r="EQ12" i="54"/>
  <c r="EP12" i="54" a="1"/>
  <c r="EP12" i="54" s="1"/>
  <c r="HF25" i="54"/>
  <c r="HG25" i="54" s="1"/>
  <c r="HH25" i="54" s="1"/>
  <c r="GT51" i="54"/>
  <c r="EO13" i="54" a="1"/>
  <c r="EO13" i="54" s="1"/>
  <c r="HK37" i="54"/>
  <c r="HR37" i="54"/>
  <c r="HP37" i="54"/>
  <c r="IZ37" i="54" s="1"/>
  <c r="EO11" i="54" a="1"/>
  <c r="EO11" i="54" s="1"/>
  <c r="CX34" i="54"/>
  <c r="CV34" i="54"/>
  <c r="CY34" i="54"/>
  <c r="CW34" i="54"/>
  <c r="CS35" i="54"/>
  <c r="FS44" i="54" s="1"/>
  <c r="EQ30" i="54"/>
  <c r="EP30" i="54" a="1"/>
  <c r="EP30" i="54" s="1"/>
  <c r="DV19" i="54"/>
  <c r="DW18" i="54"/>
  <c r="AK42" i="54"/>
  <c r="HE42" i="54"/>
  <c r="GV11" i="54"/>
  <c r="GW11" i="54" s="1"/>
  <c r="GU11" i="54"/>
  <c r="JC11" i="54"/>
  <c r="HI38" i="54"/>
  <c r="HJ38" i="54"/>
  <c r="HH39" i="54"/>
  <c r="GL4" i="54"/>
  <c r="FS4" i="54"/>
  <c r="EO40" i="54" a="1"/>
  <c r="EO40" i="54" s="1"/>
  <c r="GL54" i="54"/>
  <c r="FS54" i="54"/>
  <c r="EO52" i="54" a="1"/>
  <c r="EO52" i="54" s="1"/>
  <c r="IF22" i="54"/>
  <c r="IG22" i="54" s="1"/>
  <c r="JR22" i="54"/>
  <c r="GJ13" i="54"/>
  <c r="BN13" i="54"/>
  <c r="GP13" i="54" s="1"/>
  <c r="S13" i="54"/>
  <c r="GL3" i="54"/>
  <c r="FS3" i="54"/>
  <c r="EQ24" i="54"/>
  <c r="EP24" i="54" a="1"/>
  <c r="EP24" i="54" s="1"/>
  <c r="JC10" i="54"/>
  <c r="GV10" i="54"/>
  <c r="GW10" i="54" s="1"/>
  <c r="GU10" i="54"/>
  <c r="GU50" i="54"/>
  <c r="JC50" i="54"/>
  <c r="GV50" i="54"/>
  <c r="GW50" i="54" s="1"/>
  <c r="DV29" i="54"/>
  <c r="DW29" i="54" s="1"/>
  <c r="DW28" i="54"/>
  <c r="EQ56" i="54"/>
  <c r="EP56" i="54" a="1"/>
  <c r="EP56" i="54" s="1"/>
  <c r="GL26" i="54"/>
  <c r="FS26" i="54"/>
  <c r="GP21" i="54"/>
  <c r="AK8" i="54"/>
  <c r="HE8" i="54"/>
  <c r="DR57" i="54" a="1"/>
  <c r="DR57" i="54" s="1"/>
  <c r="DT57" i="54" s="1"/>
  <c r="II57" i="54"/>
  <c r="IJ57" i="54" s="1"/>
  <c r="DU57" i="54"/>
  <c r="HT57" i="54" s="1"/>
  <c r="GB18" i="54"/>
  <c r="GC18" i="54" s="1"/>
  <c r="GE18" i="54" s="1" a="1"/>
  <c r="GE18" i="54" s="1"/>
  <c r="GF18" i="54" s="1"/>
  <c r="GV18" i="54"/>
  <c r="GW18" i="54" s="1"/>
  <c r="EO36" i="54" a="1"/>
  <c r="EO36" i="54" s="1"/>
  <c r="DR27" i="54" a="1"/>
  <c r="DR27" i="54" s="1"/>
  <c r="DT27" i="54" s="1"/>
  <c r="DU27" i="54"/>
  <c r="HT27" i="54" s="1"/>
  <c r="II27" i="54"/>
  <c r="DR53" i="54" a="1"/>
  <c r="DR53" i="54" s="1"/>
  <c r="DT53" i="54" s="1"/>
  <c r="II53" i="54"/>
  <c r="IJ53" i="54" s="1"/>
  <c r="DU53" i="54"/>
  <c r="HT53" i="54" s="1"/>
  <c r="JC19" i="54"/>
  <c r="GU19" i="54"/>
  <c r="GV19" i="54" s="1"/>
  <c r="GW19" i="54" s="1"/>
  <c r="DR21" i="54" a="1"/>
  <c r="DR21" i="54" s="1"/>
  <c r="DT21" i="54" s="1"/>
  <c r="II21" i="54"/>
  <c r="DU21" i="54"/>
  <c r="GQ52" i="54"/>
  <c r="GR52" i="54" s="1"/>
  <c r="HB27" i="54"/>
  <c r="HC27" i="54" s="1"/>
  <c r="HD27" i="54"/>
  <c r="HA28" i="54"/>
  <c r="DR50" i="54" a="1"/>
  <c r="DR50" i="54" s="1"/>
  <c r="DT50" i="54" s="1"/>
  <c r="DU50" i="54"/>
  <c r="HT50" i="54" s="1"/>
  <c r="II50" i="54"/>
  <c r="IJ50" i="54" s="1"/>
  <c r="HR5" i="54"/>
  <c r="HK5" i="54"/>
  <c r="HP5" i="54"/>
  <c r="IZ5" i="54" s="1"/>
  <c r="HH24" i="54"/>
  <c r="DR37" i="54" a="1"/>
  <c r="DR37" i="54" s="1"/>
  <c r="DT37" i="54" s="1"/>
  <c r="DU37" i="54"/>
  <c r="II37" i="54"/>
  <c r="IF5" i="54"/>
  <c r="IG5" i="54" s="1"/>
  <c r="GT20" i="54"/>
  <c r="EO14" i="54" a="1"/>
  <c r="EO14" i="54" s="1"/>
  <c r="JC28" i="54"/>
  <c r="GU28" i="54"/>
  <c r="GU29" i="54" s="1"/>
  <c r="GB29" i="54" s="1"/>
  <c r="GC29" i="54" s="1"/>
  <c r="GE29" i="54" s="1" a="1"/>
  <c r="GE29" i="54" s="1"/>
  <c r="GF29" i="54" s="1"/>
  <c r="GV28" i="54"/>
  <c r="GW28" i="54" s="1"/>
  <c r="JQ40" i="54"/>
  <c r="HD9" i="54"/>
  <c r="HB9" i="54"/>
  <c r="HC9" i="54" s="1"/>
  <c r="HA10" i="54"/>
  <c r="X10" i="42"/>
  <c r="EO25" i="54" a="1"/>
  <c r="EO25" i="54" s="1"/>
  <c r="DR5" i="54" a="1"/>
  <c r="DR5" i="54" s="1"/>
  <c r="DT5" i="54" s="1"/>
  <c r="DU5" i="54"/>
  <c r="HT5" i="54" s="1"/>
  <c r="II5" i="54"/>
  <c r="IJ5" i="54" s="1"/>
  <c r="EO51" i="54" a="1"/>
  <c r="EO51" i="54" s="1"/>
  <c r="DV46" i="54"/>
  <c r="DW46" i="54" s="1"/>
  <c r="JX46" i="54"/>
  <c r="JY46" i="54"/>
  <c r="DM46" i="54"/>
  <c r="EO49" i="54" a="1"/>
  <c r="EO49" i="54" s="1"/>
  <c r="HB43" i="54"/>
  <c r="HC43" i="54" s="1"/>
  <c r="HD43" i="54"/>
  <c r="HA44" i="54"/>
  <c r="HR23" i="54"/>
  <c r="HP23" i="54"/>
  <c r="IZ23" i="54" s="1"/>
  <c r="HO23" i="54"/>
  <c r="HK23" i="54"/>
  <c r="JA23" i="54"/>
  <c r="DK46" i="54"/>
  <c r="DY46" i="54"/>
  <c r="GL55" i="54"/>
  <c r="FS55" i="54"/>
  <c r="GL48" i="54"/>
  <c r="FS48" i="54"/>
  <c r="HR22" i="54"/>
  <c r="HP22" i="54"/>
  <c r="IZ22" i="54" s="1"/>
  <c r="HK22" i="54"/>
  <c r="EQ43" i="54"/>
  <c r="EP43" i="54" a="1"/>
  <c r="EP43" i="54" s="1"/>
  <c r="HF7" i="54"/>
  <c r="HG7" i="54" s="1"/>
  <c r="HH7" i="54"/>
  <c r="FS46" i="54"/>
  <c r="GL16" i="54"/>
  <c r="FS16" i="54"/>
  <c r="GJ22" i="54"/>
  <c r="BN22" i="54"/>
  <c r="S22" i="54" s="1"/>
  <c r="IF37" i="54"/>
  <c r="IG37" i="54" s="1"/>
  <c r="JR37" i="54"/>
  <c r="JC29" i="54"/>
  <c r="GL23" i="54"/>
  <c r="FS23" i="54"/>
  <c r="HR4" i="54"/>
  <c r="JA4" i="54"/>
  <c r="HO4" i="54"/>
  <c r="HP4" i="54"/>
  <c r="IZ4" i="54" s="1"/>
  <c r="HK4" i="54"/>
  <c r="DO45" i="54"/>
  <c r="G45" i="54" s="1"/>
  <c r="DP45" i="54" s="1"/>
  <c r="DQ45" i="54" s="1"/>
  <c r="IF4" i="54"/>
  <c r="IG4" i="54" s="1"/>
  <c r="JR4" i="54"/>
  <c r="JR5" i="54"/>
  <c r="CW47" i="54"/>
  <c r="CY47" i="54"/>
  <c r="CV47" i="54"/>
  <c r="CX47" i="54"/>
  <c r="T47" i="54"/>
  <c r="CZ47" i="54"/>
  <c r="DA47" i="54" s="1"/>
  <c r="EQ42" i="54"/>
  <c r="EP42" i="54" a="1"/>
  <c r="EP42" i="54" s="1"/>
  <c r="EO41" i="54" a="1"/>
  <c r="EO41" i="54" s="1"/>
  <c r="HQ36" i="54"/>
  <c r="EO39" i="54" a="1"/>
  <c r="EO39" i="54" s="1"/>
  <c r="IF23" i="54"/>
  <c r="IG23" i="54" s="1"/>
  <c r="GT30" i="54"/>
  <c r="Y20" i="42"/>
  <c r="Y21" i="42" s="1"/>
  <c r="Z418" i="42" s="1"/>
  <c r="AB11" i="42"/>
  <c r="Z11" i="42"/>
  <c r="W11" i="42"/>
  <c r="X325" i="42"/>
  <c r="X91" i="42"/>
  <c r="X410" i="42"/>
  <c r="X420" i="42"/>
  <c r="AA30" i="42"/>
  <c r="Z26" i="42" l="1"/>
  <c r="Z473" i="42"/>
  <c r="DO46" i="54"/>
  <c r="G46" i="54" s="1"/>
  <c r="DP46" i="54" s="1"/>
  <c r="DQ46" i="54" s="1"/>
  <c r="GB19" i="54"/>
  <c r="GC19" i="54" s="1"/>
  <c r="GE19" i="54" s="1" a="1"/>
  <c r="GE19" i="54" s="1"/>
  <c r="GF19" i="54" s="1"/>
  <c r="GQ15" i="54"/>
  <c r="GQ13" i="54"/>
  <c r="GR13" i="54" s="1"/>
  <c r="GR14" i="54" s="1"/>
  <c r="IF38" i="54"/>
  <c r="IG38" i="54" s="1"/>
  <c r="JR38" i="54"/>
  <c r="FS47" i="54"/>
  <c r="BY19" i="53" s="1" a="1"/>
  <c r="BY19" i="53" s="1"/>
  <c r="FU56" i="54" s="1"/>
  <c r="L56" i="54" s="1"/>
  <c r="FV56" i="54" s="1"/>
  <c r="X312" i="42"/>
  <c r="GT31" i="54"/>
  <c r="X319" i="42"/>
  <c r="EQ40" i="54"/>
  <c r="EP40" i="54" a="1"/>
  <c r="EP40" i="54" s="1"/>
  <c r="AK43" i="54"/>
  <c r="HE43" i="54"/>
  <c r="EQ36" i="54"/>
  <c r="EP36" i="54" a="1"/>
  <c r="EP36" i="54" s="1"/>
  <c r="EQ6" i="54"/>
  <c r="EP6" i="54" a="1"/>
  <c r="EP6" i="54" s="1"/>
  <c r="X446" i="42"/>
  <c r="GP22" i="54"/>
  <c r="EO21" i="54" a="1"/>
  <c r="EO21" i="54" s="1"/>
  <c r="DT22" i="54"/>
  <c r="DV20" i="54"/>
  <c r="DW20" i="54" s="1"/>
  <c r="DW19" i="54"/>
  <c r="HT28" i="54"/>
  <c r="DU29" i="54"/>
  <c r="HT29" i="54" s="1"/>
  <c r="DO29" i="54"/>
  <c r="G29" i="54" s="1"/>
  <c r="DP29" i="54" s="1"/>
  <c r="HF26" i="54"/>
  <c r="JX47" i="54"/>
  <c r="DV47" i="54"/>
  <c r="DW47" i="54" s="1"/>
  <c r="JY47" i="54"/>
  <c r="DM47" i="54"/>
  <c r="EO50" i="54" a="1"/>
  <c r="EO50" i="54" s="1"/>
  <c r="GQ53" i="54"/>
  <c r="GR53" i="54" s="1"/>
  <c r="DT29" i="54"/>
  <c r="EO28" i="54" a="1"/>
  <c r="EO28" i="54" s="1"/>
  <c r="DR46" i="54" a="1"/>
  <c r="DR46" i="54" s="1"/>
  <c r="DT46" i="54" s="1"/>
  <c r="II46" i="54"/>
  <c r="DU46" i="54"/>
  <c r="HT46" i="54" s="1"/>
  <c r="HJ25" i="54"/>
  <c r="HI25" i="54"/>
  <c r="IF25" i="54" s="1"/>
  <c r="IG25" i="54" s="1"/>
  <c r="EO57" i="54" a="1"/>
  <c r="EO57" i="54" s="1"/>
  <c r="GT52" i="54"/>
  <c r="EQ11" i="54"/>
  <c r="EP11" i="54" a="1"/>
  <c r="EP11" i="54" s="1"/>
  <c r="EO27" i="54" a="1"/>
  <c r="EO27" i="54" s="1"/>
  <c r="DR45" i="54" a="1"/>
  <c r="DR45" i="54" s="1"/>
  <c r="DT45" i="54" s="1"/>
  <c r="II45" i="54"/>
  <c r="DU45" i="54"/>
  <c r="HT45" i="54" s="1"/>
  <c r="DT18" i="54"/>
  <c r="EO17" i="54" a="1"/>
  <c r="EO17" i="54" s="1"/>
  <c r="EQ14" i="54"/>
  <c r="EP14" i="54" a="1"/>
  <c r="EP14" i="54" s="1"/>
  <c r="X228" i="42"/>
  <c r="X191" i="42"/>
  <c r="X281" i="42"/>
  <c r="CX35" i="54"/>
  <c r="DK35" i="54" s="1"/>
  <c r="CW35" i="54"/>
  <c r="CY35" i="54"/>
  <c r="CV35" i="54"/>
  <c r="CZ35" i="54"/>
  <c r="CN34" i="54" s="1"/>
  <c r="CN33" i="54" s="1"/>
  <c r="CN32" i="54" s="1"/>
  <c r="CN31" i="54" s="1"/>
  <c r="DA31" i="54" s="1"/>
  <c r="CX44" i="54"/>
  <c r="CY44" i="54"/>
  <c r="T44" i="54" s="1"/>
  <c r="JQ41" i="54"/>
  <c r="EO53" i="54" a="1"/>
  <c r="EO53" i="54" s="1"/>
  <c r="EQ39" i="54"/>
  <c r="EP39" i="54" a="1"/>
  <c r="EP39" i="54" s="1"/>
  <c r="AK9" i="54"/>
  <c r="HE9" i="54"/>
  <c r="HI7" i="54"/>
  <c r="JR7" i="54" s="1"/>
  <c r="HJ7" i="54"/>
  <c r="HI24" i="54"/>
  <c r="HJ24" i="54"/>
  <c r="GQ32" i="54"/>
  <c r="GR32" i="54" s="1"/>
  <c r="EQ51" i="54"/>
  <c r="EP51" i="54" a="1"/>
  <c r="EP51" i="54" s="1"/>
  <c r="HT21" i="54"/>
  <c r="DO22" i="54"/>
  <c r="G22" i="54" s="1"/>
  <c r="DP22" i="54" s="1"/>
  <c r="DU22" i="54"/>
  <c r="HT22" i="54" s="1"/>
  <c r="GQ21" i="54"/>
  <c r="GR21" i="54" s="1"/>
  <c r="HF42" i="54"/>
  <c r="HG42" i="54" s="1"/>
  <c r="X54" i="42"/>
  <c r="GU20" i="54"/>
  <c r="GB20" i="54" s="1"/>
  <c r="GC20" i="54" s="1"/>
  <c r="GE20" i="54" s="1" a="1"/>
  <c r="GE20" i="54" s="1"/>
  <c r="GF20" i="54" s="1"/>
  <c r="JC20" i="54"/>
  <c r="IF6" i="54"/>
  <c r="IG6" i="54" s="1"/>
  <c r="X396" i="42"/>
  <c r="EQ25" i="54"/>
  <c r="EP25" i="54" a="1"/>
  <c r="EP25" i="54" s="1"/>
  <c r="EQ13" i="54"/>
  <c r="EP13" i="54" a="1"/>
  <c r="EP13" i="54" s="1"/>
  <c r="BN33" i="54"/>
  <c r="S33" i="54" s="1"/>
  <c r="GJ33" i="54"/>
  <c r="BM34" i="54"/>
  <c r="HD28" i="54"/>
  <c r="HB28" i="54"/>
  <c r="HC28" i="54" s="1"/>
  <c r="HA29" i="54"/>
  <c r="X350" i="42"/>
  <c r="JC30" i="54"/>
  <c r="GV30" i="54"/>
  <c r="GW30" i="54" s="1"/>
  <c r="GU30" i="54"/>
  <c r="HT37" i="54"/>
  <c r="DU38" i="54"/>
  <c r="HT38" i="54" s="1"/>
  <c r="AK27" i="54"/>
  <c r="HE27" i="54"/>
  <c r="HI39" i="54"/>
  <c r="HJ39" i="54"/>
  <c r="HH40" i="54"/>
  <c r="HH41" i="54" s="1"/>
  <c r="JC51" i="54"/>
  <c r="GV51" i="54"/>
  <c r="GW51" i="54" s="1"/>
  <c r="GU51" i="54"/>
  <c r="EO37" i="54" a="1"/>
  <c r="EO37" i="54" s="1"/>
  <c r="DT38" i="54"/>
  <c r="W38" i="54" s="1"/>
  <c r="JQ7" i="54"/>
  <c r="HF8" i="54"/>
  <c r="HG8" i="54" s="1"/>
  <c r="HH8" i="54"/>
  <c r="EQ52" i="54"/>
  <c r="EP52" i="54" a="1"/>
  <c r="EP52" i="54" s="1"/>
  <c r="EQ41" i="54"/>
  <c r="EP41" i="54" a="1"/>
  <c r="EP41" i="54" s="1"/>
  <c r="HT17" i="54"/>
  <c r="DU18" i="54"/>
  <c r="DO18" i="54"/>
  <c r="G18" i="54" s="1"/>
  <c r="DP18" i="54" s="1"/>
  <c r="HD44" i="54"/>
  <c r="HB44" i="54"/>
  <c r="HC44" i="54" s="1"/>
  <c r="HA45" i="54"/>
  <c r="X494" i="42"/>
  <c r="X441" i="42"/>
  <c r="EO5" i="54" a="1"/>
  <c r="EO5" i="54" s="1"/>
  <c r="HR6" i="54"/>
  <c r="HK6" i="54"/>
  <c r="HP6" i="54"/>
  <c r="IZ6" i="54" s="1"/>
  <c r="X373" i="42"/>
  <c r="BY14" i="53" a="1"/>
  <c r="BY14" i="53" s="1"/>
  <c r="BY15" i="53" a="1"/>
  <c r="BY15" i="53" s="1"/>
  <c r="BY17" i="53" a="1"/>
  <c r="BY17" i="53" s="1"/>
  <c r="EQ49" i="54"/>
  <c r="EP49" i="54" a="1"/>
  <c r="EP49" i="54" s="1"/>
  <c r="DK47" i="54"/>
  <c r="DO47" i="54" s="1"/>
  <c r="G47" i="54" s="1"/>
  <c r="DP47" i="54" s="1"/>
  <c r="DQ47" i="54" s="1"/>
  <c r="DY47" i="54"/>
  <c r="X147" i="42"/>
  <c r="GV29" i="54"/>
  <c r="GW29" i="54" s="1"/>
  <c r="HD10" i="54"/>
  <c r="HB10" i="54"/>
  <c r="HC10" i="54" s="1"/>
  <c r="HA11" i="54"/>
  <c r="HR38" i="54"/>
  <c r="HK38" i="54"/>
  <c r="HP38" i="54"/>
  <c r="IZ38" i="54" s="1"/>
  <c r="JQ25" i="54"/>
  <c r="GT12" i="54"/>
  <c r="X293" i="42"/>
  <c r="X46" i="42"/>
  <c r="X339" i="42"/>
  <c r="X209" i="42"/>
  <c r="X43" i="42"/>
  <c r="X256" i="42"/>
  <c r="X13" i="42"/>
  <c r="X491" i="42"/>
  <c r="X473" i="42"/>
  <c r="Z131" i="42"/>
  <c r="Z24" i="42"/>
  <c r="Z460" i="42"/>
  <c r="Z266" i="42"/>
  <c r="X44" i="42"/>
  <c r="Z159" i="42"/>
  <c r="X448" i="42"/>
  <c r="Z441" i="42"/>
  <c r="Z184" i="42"/>
  <c r="Z258" i="42"/>
  <c r="Z189" i="42"/>
  <c r="Z429" i="42"/>
  <c r="Z417" i="42"/>
  <c r="X183" i="42"/>
  <c r="Z61" i="42"/>
  <c r="Z352" i="42"/>
  <c r="Z224" i="42"/>
  <c r="Z465" i="42"/>
  <c r="X158" i="42"/>
  <c r="Z119" i="42"/>
  <c r="Z59" i="42"/>
  <c r="Z391" i="42"/>
  <c r="Z219" i="42"/>
  <c r="Z367" i="42"/>
  <c r="Z256" i="42"/>
  <c r="X454" i="42"/>
  <c r="Z251" i="42"/>
  <c r="X23" i="42"/>
  <c r="Z145" i="42"/>
  <c r="Z434" i="42"/>
  <c r="Z68" i="42"/>
  <c r="Z375" i="42"/>
  <c r="Z472" i="42"/>
  <c r="Z446" i="42"/>
  <c r="Z232" i="42"/>
  <c r="Z212" i="42"/>
  <c r="Z181" i="42"/>
  <c r="Z329" i="42"/>
  <c r="Z299" i="42"/>
  <c r="Z362" i="42"/>
  <c r="Z455" i="42"/>
  <c r="Z124" i="42"/>
  <c r="Z500" i="42"/>
  <c r="Z421" i="42"/>
  <c r="X192" i="42"/>
  <c r="Z344" i="42"/>
  <c r="Z333" i="42"/>
  <c r="X201" i="42"/>
  <c r="Z84" i="42"/>
  <c r="Z368" i="42"/>
  <c r="Z244" i="42"/>
  <c r="X462" i="42"/>
  <c r="X280" i="42"/>
  <c r="Z127" i="42"/>
  <c r="X245" i="42"/>
  <c r="Z183" i="42"/>
  <c r="X113" i="42"/>
  <c r="Z400" i="42"/>
  <c r="Z223" i="42"/>
  <c r="Z281" i="42"/>
  <c r="X138" i="42"/>
  <c r="Z99" i="42"/>
  <c r="Z378" i="42"/>
  <c r="Z319" i="42"/>
  <c r="Z312" i="42"/>
  <c r="Z294" i="42"/>
  <c r="Z129" i="42"/>
  <c r="Z81" i="42"/>
  <c r="Z292" i="42"/>
  <c r="Z307" i="42"/>
  <c r="Z247" i="42"/>
  <c r="Z431" i="42"/>
  <c r="Z342" i="42"/>
  <c r="X291" i="42"/>
  <c r="Z488" i="42"/>
  <c r="Z318" i="42"/>
  <c r="Z89" i="42"/>
  <c r="Z67" i="42"/>
  <c r="X364" i="42"/>
  <c r="Z49" i="42"/>
  <c r="Z153" i="42"/>
  <c r="Z458" i="42"/>
  <c r="Z130" i="42"/>
  <c r="Z409" i="42"/>
  <c r="X74" i="42"/>
  <c r="X223" i="42"/>
  <c r="Z277" i="42"/>
  <c r="X15" i="42"/>
  <c r="Z487" i="42"/>
  <c r="X447" i="42"/>
  <c r="Z336" i="42"/>
  <c r="X381" i="42"/>
  <c r="Z401" i="42"/>
  <c r="Z308" i="42"/>
  <c r="Z142" i="42"/>
  <c r="Z105" i="42"/>
  <c r="Z187" i="42"/>
  <c r="Z215" i="42"/>
  <c r="Z135" i="42"/>
  <c r="Z221" i="42"/>
  <c r="Z405" i="42"/>
  <c r="Z486" i="42"/>
  <c r="X47" i="42"/>
  <c r="Z15" i="42"/>
  <c r="X342" i="42"/>
  <c r="Z293" i="42"/>
  <c r="X296" i="42"/>
  <c r="X422" i="42"/>
  <c r="X303" i="42"/>
  <c r="Z91" i="42"/>
  <c r="X174" i="42"/>
  <c r="Z194" i="42"/>
  <c r="X276" i="42"/>
  <c r="Z337" i="42"/>
  <c r="X69" i="42"/>
  <c r="Z257" i="42"/>
  <c r="Z22" i="42"/>
  <c r="Z475" i="42"/>
  <c r="Z165" i="42"/>
  <c r="Z195" i="42"/>
  <c r="Z326" i="42"/>
  <c r="Z360" i="42"/>
  <c r="Z107" i="42"/>
  <c r="Z33" i="42"/>
  <c r="Z110" i="42"/>
  <c r="Z340" i="42"/>
  <c r="Z406" i="42"/>
  <c r="Z176" i="42"/>
  <c r="Z298" i="42"/>
  <c r="Z490" i="42"/>
  <c r="Z425" i="42"/>
  <c r="Z288" i="42"/>
  <c r="Z228" i="42"/>
  <c r="Z197" i="42"/>
  <c r="Z390" i="42"/>
  <c r="Z301" i="42"/>
  <c r="X432" i="42"/>
  <c r="Z50" i="42"/>
  <c r="Z470" i="42"/>
  <c r="Z163" i="42"/>
  <c r="Z171" i="42"/>
  <c r="X135" i="42"/>
  <c r="X187" i="42"/>
  <c r="X288" i="42"/>
  <c r="Z85" i="42"/>
  <c r="Z332" i="42"/>
  <c r="Z72" i="42"/>
  <c r="X375" i="42"/>
  <c r="X357" i="42"/>
  <c r="Z29" i="42"/>
  <c r="Z313" i="42"/>
  <c r="Z144" i="42"/>
  <c r="Z310" i="42"/>
  <c r="X271" i="42"/>
  <c r="Z166" i="42"/>
  <c r="Z450" i="42"/>
  <c r="X62" i="42"/>
  <c r="Z374" i="42"/>
  <c r="Z283" i="42"/>
  <c r="Z376" i="42"/>
  <c r="Z356" i="42"/>
  <c r="X261" i="42"/>
  <c r="X160" i="42"/>
  <c r="X279" i="42"/>
  <c r="X383" i="42"/>
  <c r="X156" i="42"/>
  <c r="X475" i="42"/>
  <c r="X93" i="42"/>
  <c r="X24" i="42"/>
  <c r="X299" i="42"/>
  <c r="X486" i="42"/>
  <c r="X105" i="42"/>
  <c r="X277" i="42"/>
  <c r="X284" i="42"/>
  <c r="Z146" i="42"/>
  <c r="X316" i="42"/>
  <c r="X200" i="42"/>
  <c r="X408" i="42"/>
  <c r="X394" i="42"/>
  <c r="X210" i="42"/>
  <c r="X431" i="42"/>
  <c r="X304" i="42"/>
  <c r="X260" i="42"/>
  <c r="X50" i="42"/>
  <c r="X438" i="42"/>
  <c r="X418" i="42"/>
  <c r="Z492" i="42"/>
  <c r="X60" i="42"/>
  <c r="X11" i="42"/>
  <c r="X464" i="42"/>
  <c r="X38" i="42"/>
  <c r="X403" i="42"/>
  <c r="X367" i="42"/>
  <c r="X126" i="42"/>
  <c r="X92" i="42"/>
  <c r="X336" i="42"/>
  <c r="X435" i="42"/>
  <c r="Z45" i="42"/>
  <c r="X315" i="42"/>
  <c r="Z289" i="42"/>
  <c r="Z185" i="42"/>
  <c r="X56" i="42"/>
  <c r="Z104" i="42"/>
  <c r="Z170" i="42"/>
  <c r="Z90" i="42"/>
  <c r="Z98" i="42"/>
  <c r="Z175" i="42"/>
  <c r="Z420" i="42"/>
  <c r="Z16" i="42"/>
  <c r="Z57" i="42"/>
  <c r="X220" i="42"/>
  <c r="X246" i="42"/>
  <c r="X112" i="42"/>
  <c r="X453" i="42"/>
  <c r="Z384" i="42"/>
  <c r="X310" i="42"/>
  <c r="X443" i="42"/>
  <c r="X329" i="42"/>
  <c r="X79" i="42"/>
  <c r="X235" i="42"/>
  <c r="X465" i="42"/>
  <c r="Z324" i="42"/>
  <c r="Z335" i="42"/>
  <c r="Z303" i="42"/>
  <c r="Z213" i="42"/>
  <c r="Z114" i="42"/>
  <c r="X225" i="42"/>
  <c r="Z316" i="42"/>
  <c r="Z351" i="42"/>
  <c r="Z343" i="42"/>
  <c r="Z48" i="42"/>
  <c r="X95" i="42"/>
  <c r="X97" i="42"/>
  <c r="Z297" i="42"/>
  <c r="X407" i="42"/>
  <c r="X298" i="42"/>
  <c r="X487" i="42"/>
  <c r="X450" i="42"/>
  <c r="X166" i="42"/>
  <c r="Z53" i="42"/>
  <c r="Z133" i="42"/>
  <c r="Z96" i="42"/>
  <c r="Z411" i="42"/>
  <c r="X361" i="42"/>
  <c r="Z354" i="42"/>
  <c r="Z227" i="42"/>
  <c r="Z322" i="42"/>
  <c r="Z323" i="42"/>
  <c r="Z95" i="42"/>
  <c r="X369" i="42"/>
  <c r="X165" i="42"/>
  <c r="X136" i="42"/>
  <c r="Z193" i="42"/>
  <c r="X419" i="42"/>
  <c r="X360" i="42"/>
  <c r="X66" i="42"/>
  <c r="X77" i="42"/>
  <c r="X490" i="42"/>
  <c r="X101" i="42"/>
  <c r="X238" i="42"/>
  <c r="Z207" i="42"/>
  <c r="Z28" i="42"/>
  <c r="Z164" i="42"/>
  <c r="Z359" i="42"/>
  <c r="Z76" i="42"/>
  <c r="Z430" i="42"/>
  <c r="Z206" i="42"/>
  <c r="Z21" i="42"/>
  <c r="Z17" i="42"/>
  <c r="Z43" i="42"/>
  <c r="Z39" i="42"/>
  <c r="Z100" i="42"/>
  <c r="Z467" i="42"/>
  <c r="Z128" i="42"/>
  <c r="Z379" i="42"/>
  <c r="Z296" i="42"/>
  <c r="Z448" i="42"/>
  <c r="Z116" i="42"/>
  <c r="Z14" i="42"/>
  <c r="Z371" i="42"/>
  <c r="Z274" i="42"/>
  <c r="Z495" i="42"/>
  <c r="Z97" i="42"/>
  <c r="Z489" i="42"/>
  <c r="Z64" i="42"/>
  <c r="Z478" i="42"/>
  <c r="Z410" i="42"/>
  <c r="Z77" i="42"/>
  <c r="Z435" i="42"/>
  <c r="Z208" i="42"/>
  <c r="Z423" i="42"/>
  <c r="Z438" i="42"/>
  <c r="Z491" i="42"/>
  <c r="Z370" i="42"/>
  <c r="Z172" i="42"/>
  <c r="Z468" i="42"/>
  <c r="Z13" i="42"/>
  <c r="Z92" i="42"/>
  <c r="Z252" i="42"/>
  <c r="Z498" i="42"/>
  <c r="Z239" i="42"/>
  <c r="Z440" i="42"/>
  <c r="Z42" i="42"/>
  <c r="Z499" i="42"/>
  <c r="Z397" i="42"/>
  <c r="Z264" i="42"/>
  <c r="Z474" i="42"/>
  <c r="Z236" i="42"/>
  <c r="Z395" i="42"/>
  <c r="Z230" i="42"/>
  <c r="Z377" i="42"/>
  <c r="Z483" i="42"/>
  <c r="Z137" i="42"/>
  <c r="Z320" i="42"/>
  <c r="Z140" i="42"/>
  <c r="Z361" i="42"/>
  <c r="Z457" i="42"/>
  <c r="Z300" i="42"/>
  <c r="Z304" i="42"/>
  <c r="Z439" i="42"/>
  <c r="Z109" i="42"/>
  <c r="Z369" i="42"/>
  <c r="Z63" i="42"/>
  <c r="Z169" i="42"/>
  <c r="Z295" i="42"/>
  <c r="Z217" i="42"/>
  <c r="Z245" i="42"/>
  <c r="Z284" i="42"/>
  <c r="Z432" i="42"/>
  <c r="Z180" i="42"/>
  <c r="Z37" i="42"/>
  <c r="Z327" i="42"/>
  <c r="Z199" i="42"/>
  <c r="Z493" i="42"/>
  <c r="Z156" i="42"/>
  <c r="Z19" i="42"/>
  <c r="Z12" i="42"/>
  <c r="Z20" i="42"/>
  <c r="Z103" i="42"/>
  <c r="Z113" i="42"/>
  <c r="Z267" i="42"/>
  <c r="Z108" i="42"/>
  <c r="Z117" i="42"/>
  <c r="Z462" i="42"/>
  <c r="Z302" i="42"/>
  <c r="Z214" i="42"/>
  <c r="Z407" i="42"/>
  <c r="Z168" i="42"/>
  <c r="Z383" i="42"/>
  <c r="Z280" i="42"/>
  <c r="Z80" i="42"/>
  <c r="Z463" i="42"/>
  <c r="Z386" i="42"/>
  <c r="Z445" i="42"/>
  <c r="Z449" i="42"/>
  <c r="Z141" i="42"/>
  <c r="Z94" i="42"/>
  <c r="Z126" i="42"/>
  <c r="Z40" i="42"/>
  <c r="Z355" i="42"/>
  <c r="Z412" i="42"/>
  <c r="Z396" i="42"/>
  <c r="Z419" i="42"/>
  <c r="Z471" i="42"/>
  <c r="Z56" i="42"/>
  <c r="Z73" i="42"/>
  <c r="Z62" i="42"/>
  <c r="Z481" i="42"/>
  <c r="Z309" i="42"/>
  <c r="Z479" i="42"/>
  <c r="Z325" i="42"/>
  <c r="Z464" i="42"/>
  <c r="Z276" i="42"/>
  <c r="Z265" i="42"/>
  <c r="Z86" i="42"/>
  <c r="Z408" i="42"/>
  <c r="Z477" i="42"/>
  <c r="Z254" i="42"/>
  <c r="Z160" i="42"/>
  <c r="Z262" i="42"/>
  <c r="Z148" i="42"/>
  <c r="Z240" i="42"/>
  <c r="Z380" i="42"/>
  <c r="Z271" i="42"/>
  <c r="Z291" i="42"/>
  <c r="Z152" i="42"/>
  <c r="Z480" i="42"/>
  <c r="Z286" i="42"/>
  <c r="Z186" i="42"/>
  <c r="Z222" i="42"/>
  <c r="Z282" i="42"/>
  <c r="Z248" i="42"/>
  <c r="Z373" i="42"/>
  <c r="Z58" i="42"/>
  <c r="Z278" i="42"/>
  <c r="Z485" i="42"/>
  <c r="Z204" i="42"/>
  <c r="Z290" i="42"/>
  <c r="Z41" i="42"/>
  <c r="Z225" i="42"/>
  <c r="Z120" i="42"/>
  <c r="Z415" i="42"/>
  <c r="Z452" i="42"/>
  <c r="Z188" i="42"/>
  <c r="Z190" i="42"/>
  <c r="Z403" i="42"/>
  <c r="Z444" i="42"/>
  <c r="Z237" i="42"/>
  <c r="Z287" i="42"/>
  <c r="Z269" i="42"/>
  <c r="Z192" i="42"/>
  <c r="Z106" i="42"/>
  <c r="Z346" i="42"/>
  <c r="Z132" i="42"/>
  <c r="Z334" i="42"/>
  <c r="Z27" i="42"/>
  <c r="Z30" i="42"/>
  <c r="Z466" i="42"/>
  <c r="Z216" i="42"/>
  <c r="Z101" i="42"/>
  <c r="Z203" i="42"/>
  <c r="Z285" i="42"/>
  <c r="Z249" i="42"/>
  <c r="Z347" i="42"/>
  <c r="Z442" i="42"/>
  <c r="Z273" i="42"/>
  <c r="Z25" i="42"/>
  <c r="Z272" i="42"/>
  <c r="Z427" i="42"/>
  <c r="Z306" i="42"/>
  <c r="Z157" i="42"/>
  <c r="Z402" i="42"/>
  <c r="Z46" i="42"/>
  <c r="Z220" i="42"/>
  <c r="Z150" i="42"/>
  <c r="Z112" i="42"/>
  <c r="Z456" i="42"/>
  <c r="Z161" i="42"/>
  <c r="Z229" i="42"/>
  <c r="Z497" i="42"/>
  <c r="Z399" i="42"/>
  <c r="Z311" i="42"/>
  <c r="Z250" i="42"/>
  <c r="Z154" i="42"/>
  <c r="Z32" i="42"/>
  <c r="Z424" i="42"/>
  <c r="Z177" i="42"/>
  <c r="Z87" i="42"/>
  <c r="Z71" i="42"/>
  <c r="Z496" i="42"/>
  <c r="Z328" i="42"/>
  <c r="Z174" i="42"/>
  <c r="Z36" i="42"/>
  <c r="Z270" i="42"/>
  <c r="Z121" i="42"/>
  <c r="Z182" i="42"/>
  <c r="Z200" i="42"/>
  <c r="Z102" i="42"/>
  <c r="Z422" i="42"/>
  <c r="Z476" i="42"/>
  <c r="Z54" i="42"/>
  <c r="Z428" i="42"/>
  <c r="Z147" i="42"/>
  <c r="Z305" i="42"/>
  <c r="Z413" i="42"/>
  <c r="Z173" i="42"/>
  <c r="Z365" i="42"/>
  <c r="Z155" i="42"/>
  <c r="Z260" i="42"/>
  <c r="Z443" i="42"/>
  <c r="Z60" i="42"/>
  <c r="Z198" i="42"/>
  <c r="Z381" i="42"/>
  <c r="Z118" i="42"/>
  <c r="Z393" i="42"/>
  <c r="Z143" i="42"/>
  <c r="Z125" i="42"/>
  <c r="Z372" i="42"/>
  <c r="Z47" i="42"/>
  <c r="Z426" i="42"/>
  <c r="Z210" i="42"/>
  <c r="Z38" i="42"/>
  <c r="Z66" i="42"/>
  <c r="Z349" i="42"/>
  <c r="Z364" i="42"/>
  <c r="Z51" i="42"/>
  <c r="Z139" i="42"/>
  <c r="Z18" i="42"/>
  <c r="Z357" i="42"/>
  <c r="Z55" i="42"/>
  <c r="Z93" i="42"/>
  <c r="Z201" i="42"/>
  <c r="Z451" i="42"/>
  <c r="Z314" i="42"/>
  <c r="Z35" i="42"/>
  <c r="Z234" i="42"/>
  <c r="X493" i="42"/>
  <c r="X29" i="42"/>
  <c r="X437" i="42"/>
  <c r="X170" i="42"/>
  <c r="X196" i="42"/>
  <c r="X108" i="42"/>
  <c r="X330" i="42"/>
  <c r="X81" i="42"/>
  <c r="X414" i="42"/>
  <c r="X219" i="42"/>
  <c r="X353" i="42"/>
  <c r="X254" i="42"/>
  <c r="X359" i="42"/>
  <c r="X395" i="42"/>
  <c r="X186" i="42"/>
  <c r="X480" i="42"/>
  <c r="X34" i="42"/>
  <c r="X55" i="42"/>
  <c r="X387" i="42"/>
  <c r="X250" i="42"/>
  <c r="X302" i="42"/>
  <c r="X338" i="42"/>
  <c r="X184" i="42"/>
  <c r="X451" i="42"/>
  <c r="X341" i="42"/>
  <c r="X333" i="42"/>
  <c r="X444" i="42"/>
  <c r="X417" i="42"/>
  <c r="X489" i="42"/>
  <c r="X98" i="42"/>
  <c r="X362" i="42"/>
  <c r="X468" i="42"/>
  <c r="X409" i="42"/>
  <c r="X61" i="42"/>
  <c r="X439" i="42"/>
  <c r="X297" i="42"/>
  <c r="X162" i="42"/>
  <c r="X426" i="42"/>
  <c r="X87" i="42"/>
  <c r="X70" i="42"/>
  <c r="X355" i="42"/>
  <c r="X488" i="42"/>
  <c r="X483" i="42"/>
  <c r="X266" i="42"/>
  <c r="X163" i="42"/>
  <c r="X306" i="42"/>
  <c r="X131" i="42"/>
  <c r="X457" i="42"/>
  <c r="X234" i="42"/>
  <c r="X382" i="42"/>
  <c r="X122" i="42"/>
  <c r="X213" i="42"/>
  <c r="X90" i="42"/>
  <c r="X27" i="42"/>
  <c r="X402" i="42"/>
  <c r="X320" i="42"/>
  <c r="X230" i="42"/>
  <c r="X251" i="42"/>
  <c r="X137" i="42"/>
  <c r="X386" i="42"/>
  <c r="X171" i="42"/>
  <c r="X300" i="42"/>
  <c r="X204" i="42"/>
  <c r="X208" i="42"/>
  <c r="X124" i="42"/>
  <c r="X37" i="42"/>
  <c r="X485" i="42"/>
  <c r="X133" i="42"/>
  <c r="X323" i="42"/>
  <c r="X218" i="42"/>
  <c r="X476" i="42"/>
  <c r="X391" i="42"/>
  <c r="X318" i="42"/>
  <c r="X321" i="42"/>
  <c r="X496" i="42"/>
  <c r="X458" i="42"/>
  <c r="X82" i="42"/>
  <c r="X474" i="42"/>
  <c r="X115" i="42"/>
  <c r="X119" i="42"/>
  <c r="X247" i="42"/>
  <c r="X215" i="42"/>
  <c r="X28" i="42"/>
  <c r="X222" i="42"/>
  <c r="X145" i="42"/>
  <c r="X42" i="42"/>
  <c r="X411" i="42"/>
  <c r="X176" i="42"/>
  <c r="X30" i="42"/>
  <c r="X78" i="42"/>
  <c r="X84" i="42"/>
  <c r="X85" i="42"/>
  <c r="X379" i="42"/>
  <c r="X151" i="42"/>
  <c r="X224" i="42"/>
  <c r="X16" i="42"/>
  <c r="X398" i="42"/>
  <c r="X212" i="42"/>
  <c r="X268" i="42"/>
  <c r="X399" i="42"/>
  <c r="X194" i="42"/>
  <c r="X497" i="42"/>
  <c r="X120" i="42"/>
  <c r="X433" i="42"/>
  <c r="X14" i="42"/>
  <c r="X211" i="42"/>
  <c r="X19" i="42"/>
  <c r="X52" i="42"/>
  <c r="X255" i="42"/>
  <c r="X427" i="42"/>
  <c r="X41" i="42"/>
  <c r="X155" i="42"/>
  <c r="X205" i="42"/>
  <c r="X275" i="42"/>
  <c r="X150" i="42"/>
  <c r="X203" i="42"/>
  <c r="X445" i="42"/>
  <c r="X178" i="42"/>
  <c r="X354" i="42"/>
  <c r="X18" i="42"/>
  <c r="X264" i="42"/>
  <c r="X282" i="42"/>
  <c r="X159" i="42"/>
  <c r="X214" i="42"/>
  <c r="X347" i="42"/>
  <c r="X132" i="42"/>
  <c r="X22" i="42"/>
  <c r="X380" i="42"/>
  <c r="X236" i="42"/>
  <c r="X376" i="42"/>
  <c r="X272" i="42"/>
  <c r="X185" i="42"/>
  <c r="X40" i="42"/>
  <c r="X495" i="42"/>
  <c r="X149" i="42"/>
  <c r="X35" i="42"/>
  <c r="X344" i="42"/>
  <c r="X157" i="42"/>
  <c r="X257" i="42"/>
  <c r="X64" i="42"/>
  <c r="X94" i="42"/>
  <c r="X237" i="42"/>
  <c r="X371" i="42"/>
  <c r="X127" i="42"/>
  <c r="X331" i="42"/>
  <c r="X144" i="42"/>
  <c r="X140" i="42"/>
  <c r="X75" i="42"/>
  <c r="X500" i="42"/>
  <c r="X248" i="42"/>
  <c r="X100" i="42"/>
  <c r="X471" i="42"/>
  <c r="X351" i="42"/>
  <c r="X139" i="42"/>
  <c r="X86" i="42"/>
  <c r="X83" i="42"/>
  <c r="X143" i="42"/>
  <c r="X492" i="42"/>
  <c r="X335" i="42"/>
  <c r="X449" i="42"/>
  <c r="X252" i="42"/>
  <c r="X17" i="42"/>
  <c r="X221" i="42"/>
  <c r="X39" i="42"/>
  <c r="X76" i="42"/>
  <c r="X327" i="42"/>
  <c r="X190" i="42"/>
  <c r="X31" i="42"/>
  <c r="X88" i="42"/>
  <c r="X470" i="42"/>
  <c r="X96" i="42"/>
  <c r="X384" i="42"/>
  <c r="X114" i="42"/>
  <c r="X460" i="42"/>
  <c r="X374" i="42"/>
  <c r="X59" i="42"/>
  <c r="X287" i="42"/>
  <c r="X313" i="42"/>
  <c r="X116" i="42"/>
  <c r="X253" i="42"/>
  <c r="X390" i="42"/>
  <c r="X478" i="42"/>
  <c r="X175" i="42"/>
  <c r="X305" i="42"/>
  <c r="X308" i="42"/>
  <c r="X270" i="42"/>
  <c r="X392" i="42"/>
  <c r="X482" i="42"/>
  <c r="X263" i="42"/>
  <c r="X181" i="42"/>
  <c r="X428" i="42"/>
  <c r="X48" i="42"/>
  <c r="X424" i="42"/>
  <c r="X195" i="42"/>
  <c r="X368" i="42"/>
  <c r="X242" i="42"/>
  <c r="X182" i="42"/>
  <c r="X278" i="42"/>
  <c r="X378" i="42"/>
  <c r="X32" i="42"/>
  <c r="X57" i="42"/>
  <c r="X104" i="42"/>
  <c r="X421" i="42"/>
  <c r="X283" i="42"/>
  <c r="X141" i="42"/>
  <c r="X72" i="42"/>
  <c r="X285" i="42"/>
  <c r="X269" i="42"/>
  <c r="X289" i="42"/>
  <c r="X273" i="42"/>
  <c r="X233" i="42"/>
  <c r="X292" i="42"/>
  <c r="X128" i="42"/>
  <c r="X452" i="42"/>
  <c r="X103" i="42"/>
  <c r="X20" i="42"/>
  <c r="X301" i="42"/>
  <c r="X413" i="42"/>
  <c r="X459" i="42"/>
  <c r="X334" i="42"/>
  <c r="X199" i="42"/>
  <c r="X352" i="42"/>
  <c r="X477" i="42"/>
  <c r="X241" i="42"/>
  <c r="X167" i="42"/>
  <c r="X164" i="42"/>
  <c r="X442" i="42"/>
  <c r="X423" i="42"/>
  <c r="X142" i="42"/>
  <c r="X455" i="42"/>
  <c r="X377" i="42"/>
  <c r="X169" i="42"/>
  <c r="X322" i="42"/>
  <c r="X244" i="42"/>
  <c r="X121" i="42"/>
  <c r="X469" i="42"/>
  <c r="X397" i="42"/>
  <c r="X415" i="42"/>
  <c r="X461" i="42"/>
  <c r="X499" i="42"/>
  <c r="X436" i="42"/>
  <c r="X406" i="42"/>
  <c r="X498" i="42"/>
  <c r="X479" i="42"/>
  <c r="X177" i="42"/>
  <c r="X45" i="42"/>
  <c r="X152" i="42"/>
  <c r="X258" i="42"/>
  <c r="X317" i="42"/>
  <c r="X370" i="42"/>
  <c r="X466" i="42"/>
  <c r="X107" i="42"/>
  <c r="X484" i="42"/>
  <c r="X207" i="42"/>
  <c r="X189" i="42"/>
  <c r="X349" i="42"/>
  <c r="X188" i="42"/>
  <c r="X400" i="42"/>
  <c r="X345" i="42"/>
  <c r="X216" i="42"/>
  <c r="X456" i="42"/>
  <c r="X295" i="42"/>
  <c r="X102" i="42"/>
  <c r="X309" i="42"/>
  <c r="X117" i="42"/>
  <c r="X197" i="42"/>
  <c r="X123" i="42"/>
  <c r="X340" i="42"/>
  <c r="X68" i="42"/>
  <c r="X148" i="42"/>
  <c r="X372" i="42"/>
  <c r="X134" i="42"/>
  <c r="X65" i="42"/>
  <c r="X328" i="42"/>
  <c r="X243" i="42"/>
  <c r="X358" i="42"/>
  <c r="X36" i="42"/>
  <c r="X173" i="42"/>
  <c r="X125" i="42"/>
  <c r="X179" i="42"/>
  <c r="X467" i="42"/>
  <c r="X405" i="42"/>
  <c r="X274" i="42"/>
  <c r="X161" i="42"/>
  <c r="X348" i="42"/>
  <c r="X326" i="42"/>
  <c r="X110" i="42"/>
  <c r="X26" i="42"/>
  <c r="X240" i="42"/>
  <c r="X51" i="42"/>
  <c r="X71" i="42"/>
  <c r="X63" i="42"/>
  <c r="X146" i="42"/>
  <c r="X239" i="42"/>
  <c r="X363" i="42"/>
  <c r="X58" i="42"/>
  <c r="X202" i="42"/>
  <c r="X12" i="42"/>
  <c r="X267" i="42"/>
  <c r="X346" i="42"/>
  <c r="X21" i="42"/>
  <c r="X385" i="42"/>
  <c r="X286" i="42"/>
  <c r="X154" i="42"/>
  <c r="X33" i="42"/>
  <c r="X67" i="42"/>
  <c r="X99" i="42"/>
  <c r="X111" i="42"/>
  <c r="X311" i="42"/>
  <c r="X294" i="42"/>
  <c r="X416" i="42"/>
  <c r="X324" i="42"/>
  <c r="X290" i="42"/>
  <c r="X259" i="42"/>
  <c r="X366" i="42"/>
  <c r="X217" i="42"/>
  <c r="X389" i="42"/>
  <c r="X226" i="42"/>
  <c r="X412" i="42"/>
  <c r="X307" i="42"/>
  <c r="X172" i="42"/>
  <c r="X206" i="42"/>
  <c r="X227" i="42"/>
  <c r="X53" i="42"/>
  <c r="X168" i="42"/>
  <c r="X425" i="42"/>
  <c r="X332" i="42"/>
  <c r="X180" i="42"/>
  <c r="X129" i="42"/>
  <c r="X401" i="42"/>
  <c r="X232" i="42"/>
  <c r="X109" i="42"/>
  <c r="X472" i="42"/>
  <c r="X25" i="42"/>
  <c r="X89" i="42"/>
  <c r="X393" i="42"/>
  <c r="X481" i="42"/>
  <c r="X404" i="42"/>
  <c r="X80" i="42"/>
  <c r="X356" i="42"/>
  <c r="X365" i="42"/>
  <c r="X265" i="42"/>
  <c r="X429" i="42"/>
  <c r="Z218" i="42"/>
  <c r="Z238" i="42"/>
  <c r="Z158" i="42"/>
  <c r="X314" i="42"/>
  <c r="Z388" i="42"/>
  <c r="Z75" i="42"/>
  <c r="X463" i="42"/>
  <c r="Z136" i="42"/>
  <c r="Z78" i="42"/>
  <c r="Z74" i="42"/>
  <c r="Z330" i="42"/>
  <c r="Z348" i="42"/>
  <c r="Z167" i="42"/>
  <c r="Z88" i="42"/>
  <c r="X153" i="42"/>
  <c r="Z191" i="42"/>
  <c r="Z69" i="42"/>
  <c r="Z253" i="42"/>
  <c r="Z321" i="42"/>
  <c r="Z387" i="42"/>
  <c r="Z196" i="42"/>
  <c r="Z416" i="42"/>
  <c r="Z341" i="42"/>
  <c r="Z363" i="42"/>
  <c r="Z469" i="42"/>
  <c r="Z436" i="42"/>
  <c r="Z151" i="42"/>
  <c r="Z178" i="42"/>
  <c r="Z279" i="42"/>
  <c r="Z433" i="42"/>
  <c r="Z392" i="42"/>
  <c r="Z211" i="42"/>
  <c r="Z447" i="42"/>
  <c r="Z205" i="42"/>
  <c r="Z242" i="42"/>
  <c r="X198" i="42"/>
  <c r="Z235" i="42"/>
  <c r="X249" i="42"/>
  <c r="Z366" i="42"/>
  <c r="Z123" i="42"/>
  <c r="Z79" i="42"/>
  <c r="Z111" i="42"/>
  <c r="Z350" i="42"/>
  <c r="X229" i="42"/>
  <c r="X440" i="42"/>
  <c r="Z261" i="42"/>
  <c r="Z404" i="42"/>
  <c r="Z353" i="42"/>
  <c r="Z149" i="42"/>
  <c r="Z345" i="42"/>
  <c r="Z331" i="42"/>
  <c r="Z338" i="42"/>
  <c r="Z83" i="42"/>
  <c r="AA31" i="42"/>
  <c r="Z385" i="42"/>
  <c r="Z259" i="42"/>
  <c r="Z461" i="42"/>
  <c r="Z44" i="42"/>
  <c r="Z246" i="42"/>
  <c r="Z241" i="42"/>
  <c r="X118" i="42"/>
  <c r="X262" i="42"/>
  <c r="X73" i="42"/>
  <c r="X193" i="42"/>
  <c r="X49" i="42"/>
  <c r="Z414" i="42"/>
  <c r="Z459" i="42"/>
  <c r="X231" i="42"/>
  <c r="Z317" i="42"/>
  <c r="Z162" i="42"/>
  <c r="X430" i="42"/>
  <c r="Z263" i="42"/>
  <c r="Z275" i="42"/>
  <c r="Z202" i="42"/>
  <c r="Z115" i="42"/>
  <c r="Z484" i="42"/>
  <c r="X434" i="42"/>
  <c r="Z243" i="42"/>
  <c r="Z389" i="42"/>
  <c r="Z233" i="42"/>
  <c r="Z315" i="42"/>
  <c r="Z226" i="42"/>
  <c r="Z70" i="42"/>
  <c r="Z122" i="42"/>
  <c r="Z134" i="42"/>
  <c r="Z31" i="42"/>
  <c r="X337" i="42"/>
  <c r="Z358" i="42"/>
  <c r="Z494" i="42"/>
  <c r="Z179" i="42"/>
  <c r="Z65" i="42"/>
  <c r="X106" i="42"/>
  <c r="Z394" i="42"/>
  <c r="Z453" i="42"/>
  <c r="X343" i="42"/>
  <c r="Z382" i="42"/>
  <c r="Z231" i="42"/>
  <c r="X388" i="42"/>
  <c r="Z255" i="42"/>
  <c r="Z398" i="42"/>
  <c r="Z82" i="42"/>
  <c r="X130" i="42"/>
  <c r="Z437" i="42"/>
  <c r="Z52" i="42"/>
  <c r="Z454" i="42"/>
  <c r="Z23" i="42"/>
  <c r="Z482" i="42"/>
  <c r="Z209" i="42"/>
  <c r="Z138" i="42"/>
  <c r="Z339" i="42"/>
  <c r="Z268" i="42"/>
  <c r="Z34" i="42"/>
  <c r="BY18" i="53" l="1" a="1"/>
  <c r="BY18" i="53" s="1"/>
  <c r="GT32" i="54"/>
  <c r="JR25" i="54"/>
  <c r="GT13" i="54"/>
  <c r="HH42" i="54"/>
  <c r="FW56" i="54"/>
  <c r="BE19" i="53"/>
  <c r="BC19" i="53"/>
  <c r="BD19" i="53"/>
  <c r="HJ42" i="54"/>
  <c r="HI42" i="54"/>
  <c r="IF42" i="54" s="1"/>
  <c r="IG42" i="54" s="1"/>
  <c r="JC12" i="54"/>
  <c r="GV12" i="54"/>
  <c r="GW12" i="54" s="1"/>
  <c r="GU12" i="54"/>
  <c r="EO46" i="54" a="1"/>
  <c r="EO46" i="54" s="1"/>
  <c r="IF24" i="54"/>
  <c r="IG24" i="54" s="1"/>
  <c r="JR24" i="54"/>
  <c r="HG26" i="54"/>
  <c r="HJ8" i="54"/>
  <c r="HI8" i="54"/>
  <c r="GJ34" i="54"/>
  <c r="IL34" i="54"/>
  <c r="IM34" i="54" s="1"/>
  <c r="BN34" i="54"/>
  <c r="S34" i="54" s="1"/>
  <c r="BM35" i="54"/>
  <c r="HR7" i="54"/>
  <c r="HK7" i="54"/>
  <c r="HP7" i="54"/>
  <c r="IZ7" i="54" s="1"/>
  <c r="EO45" i="54" a="1"/>
  <c r="EO45" i="54" s="1"/>
  <c r="DR47" i="54" a="1"/>
  <c r="DR47" i="54" s="1"/>
  <c r="DT47" i="54" s="1"/>
  <c r="DU47" i="54"/>
  <c r="HT47" i="54" s="1"/>
  <c r="II47" i="54"/>
  <c r="JR8" i="54"/>
  <c r="JQ8" i="54"/>
  <c r="GV31" i="54"/>
  <c r="GW31" i="54" s="1"/>
  <c r="GU31" i="54"/>
  <c r="JC31" i="54"/>
  <c r="HF27" i="54"/>
  <c r="HG27" i="54" s="1"/>
  <c r="HF9" i="54"/>
  <c r="HG9" i="54" s="1"/>
  <c r="HH9" i="54" s="1"/>
  <c r="GP33" i="54"/>
  <c r="FU6" i="54"/>
  <c r="L6" i="54" s="1"/>
  <c r="FV6" i="54" s="1"/>
  <c r="FW6" i="54" s="1"/>
  <c r="FU12" i="54"/>
  <c r="L12" i="54" s="1"/>
  <c r="FV12" i="54" s="1"/>
  <c r="FW12" i="54" s="1"/>
  <c r="FU11" i="54"/>
  <c r="L11" i="54" s="1"/>
  <c r="FV11" i="54" s="1"/>
  <c r="FW11" i="54" s="1"/>
  <c r="FU15" i="54"/>
  <c r="L15" i="54" s="1"/>
  <c r="FV15" i="54" s="1"/>
  <c r="FW15" i="54" s="1"/>
  <c r="FU5" i="54"/>
  <c r="L5" i="54" s="1"/>
  <c r="FV5" i="54" s="1"/>
  <c r="FU14" i="54"/>
  <c r="L14" i="54" s="1"/>
  <c r="FV14" i="54" s="1"/>
  <c r="FW14" i="54" s="1"/>
  <c r="FU13" i="54"/>
  <c r="L13" i="54" s="1"/>
  <c r="FV13" i="54" s="1"/>
  <c r="FW13" i="54" s="1"/>
  <c r="FU10" i="54"/>
  <c r="L10" i="54" s="1"/>
  <c r="FV10" i="54" s="1"/>
  <c r="FW10" i="54" s="1"/>
  <c r="HB45" i="54"/>
  <c r="HC45" i="54" s="1"/>
  <c r="HD45" i="54"/>
  <c r="HA46" i="54"/>
  <c r="GV52" i="54"/>
  <c r="GW52" i="54" s="1"/>
  <c r="JC52" i="54"/>
  <c r="GU52" i="54"/>
  <c r="GT53" i="54"/>
  <c r="BY16" i="53" a="1"/>
  <c r="BY16" i="53" s="1"/>
  <c r="HI41" i="54"/>
  <c r="HJ41" i="54"/>
  <c r="HT18" i="54"/>
  <c r="DU19" i="54"/>
  <c r="DO19" i="54"/>
  <c r="G19" i="54" s="1"/>
  <c r="DP19" i="54" s="1"/>
  <c r="EQ17" i="54"/>
  <c r="EP17" i="54" a="1"/>
  <c r="EP17" i="54" s="1"/>
  <c r="HB11" i="54"/>
  <c r="HC11" i="54" s="1"/>
  <c r="HD11" i="54"/>
  <c r="HA12" i="54"/>
  <c r="HB29" i="54"/>
  <c r="HC29" i="54" s="1"/>
  <c r="HD29" i="54"/>
  <c r="HA30" i="54"/>
  <c r="DK44" i="54"/>
  <c r="DO44" i="54" s="1"/>
  <c r="G44" i="54" s="1"/>
  <c r="DP44" i="54" s="1"/>
  <c r="DQ44" i="54" s="1"/>
  <c r="DY44" i="54"/>
  <c r="DT19" i="54"/>
  <c r="EO18" i="54" a="1"/>
  <c r="EO18" i="54" s="1"/>
  <c r="EQ53" i="54"/>
  <c r="EP53" i="54" a="1"/>
  <c r="EP53" i="54" s="1"/>
  <c r="GQ22" i="54"/>
  <c r="GR22" i="54" s="1"/>
  <c r="AK44" i="54"/>
  <c r="HE44" i="54"/>
  <c r="JC32" i="54"/>
  <c r="EQ57" i="54"/>
  <c r="EP57" i="54" a="1"/>
  <c r="EP57" i="54" s="1"/>
  <c r="HI40" i="54"/>
  <c r="HJ40" i="54"/>
  <c r="JY31" i="54"/>
  <c r="JX31" i="54"/>
  <c r="DV31" i="54"/>
  <c r="DM31" i="54"/>
  <c r="DO31" i="54" s="1"/>
  <c r="G31" i="54" s="1"/>
  <c r="DP31" i="54" s="1"/>
  <c r="DQ31" i="54" s="1"/>
  <c r="HP25" i="54"/>
  <c r="IZ25" i="54" s="1"/>
  <c r="HR25" i="54"/>
  <c r="IF7" i="54"/>
  <c r="IG7" i="54" s="1"/>
  <c r="FU41" i="54"/>
  <c r="L41" i="54" s="1"/>
  <c r="FV41" i="54" s="1"/>
  <c r="FW41" i="54" s="1"/>
  <c r="FU30" i="54"/>
  <c r="L30" i="54" s="1"/>
  <c r="FV30" i="54" s="1"/>
  <c r="FW30" i="54" s="1"/>
  <c r="FU40" i="54"/>
  <c r="L40" i="54" s="1"/>
  <c r="FV40" i="54" s="1"/>
  <c r="FW40" i="54" s="1"/>
  <c r="FU43" i="54"/>
  <c r="L43" i="54" s="1"/>
  <c r="FV43" i="54" s="1"/>
  <c r="FW43" i="54" s="1"/>
  <c r="FU42" i="54"/>
  <c r="FU31" i="54"/>
  <c r="L31" i="54" s="1"/>
  <c r="FV31" i="54" s="1"/>
  <c r="FW31" i="54" s="1"/>
  <c r="FU28" i="54"/>
  <c r="L28" i="54" s="1"/>
  <c r="FV28" i="54" s="1"/>
  <c r="FW28" i="54" s="1"/>
  <c r="FU36" i="54"/>
  <c r="L36" i="54" s="1"/>
  <c r="FV36" i="54" s="1"/>
  <c r="FW36" i="54" s="1"/>
  <c r="FU37" i="54"/>
  <c r="L37" i="54" s="1"/>
  <c r="FV37" i="54" s="1"/>
  <c r="FW37" i="54" s="1"/>
  <c r="FW38" i="54" s="1"/>
  <c r="FU44" i="54"/>
  <c r="L44" i="54" s="1"/>
  <c r="FV44" i="54" s="1"/>
  <c r="FU27" i="54"/>
  <c r="L27" i="54" s="1"/>
  <c r="FV27" i="54" s="1"/>
  <c r="JQ42" i="54"/>
  <c r="EO29" i="54" a="1"/>
  <c r="EO29" i="54" s="1"/>
  <c r="EO22" i="54" a="1"/>
  <c r="EO22" i="54" s="1"/>
  <c r="FU52" i="54"/>
  <c r="L52" i="54" s="1"/>
  <c r="FV52" i="54" s="1"/>
  <c r="FW52" i="54" s="1"/>
  <c r="FU53" i="54"/>
  <c r="L53" i="54" s="1"/>
  <c r="FV53" i="54" s="1"/>
  <c r="FW53" i="54" s="1"/>
  <c r="FU51" i="54"/>
  <c r="L51" i="54" s="1"/>
  <c r="FV51" i="54" s="1"/>
  <c r="AK10" i="54"/>
  <c r="HE10" i="54"/>
  <c r="HR39" i="54"/>
  <c r="HK39" i="54"/>
  <c r="HP39" i="54"/>
  <c r="IZ39" i="54" s="1"/>
  <c r="AK28" i="54"/>
  <c r="HE28" i="54"/>
  <c r="HF43" i="54"/>
  <c r="HG43" i="54" s="1"/>
  <c r="HH43" i="54" s="1"/>
  <c r="GR15" i="54"/>
  <c r="GT15" i="54"/>
  <c r="EQ5" i="54"/>
  <c r="EP5" i="54" a="1"/>
  <c r="EP5" i="54" s="1"/>
  <c r="EQ27" i="54"/>
  <c r="EP27" i="54" a="1"/>
  <c r="EP27" i="54" s="1"/>
  <c r="EQ28" i="54"/>
  <c r="EP28" i="54" a="1"/>
  <c r="EP28" i="54" s="1"/>
  <c r="FU16" i="54"/>
  <c r="L16" i="54" s="1"/>
  <c r="FV16" i="54" s="1"/>
  <c r="FU17" i="54"/>
  <c r="L17" i="54" s="1"/>
  <c r="FV17" i="54" s="1"/>
  <c r="FW17" i="54" s="1"/>
  <c r="FU21" i="54"/>
  <c r="L21" i="54" s="1"/>
  <c r="FV21" i="54" s="1"/>
  <c r="FW21" i="54" s="1"/>
  <c r="EQ21" i="54"/>
  <c r="EP21" i="54" a="1"/>
  <c r="EP21" i="54" s="1"/>
  <c r="EQ37" i="54"/>
  <c r="EP37" i="54" a="1"/>
  <c r="EP37" i="54" s="1"/>
  <c r="GT21" i="54"/>
  <c r="EQ50" i="54"/>
  <c r="EP50" i="54" a="1"/>
  <c r="EP50" i="54" s="1"/>
  <c r="IF39" i="54"/>
  <c r="IG39" i="54" s="1"/>
  <c r="JR39" i="54"/>
  <c r="GV20" i="54"/>
  <c r="GW20" i="54" s="1"/>
  <c r="HR24" i="54"/>
  <c r="HK24" i="54"/>
  <c r="HK25" i="54" s="1"/>
  <c r="HP24" i="54"/>
  <c r="IZ24" i="54" s="1"/>
  <c r="JC13" i="54"/>
  <c r="GV13" i="54"/>
  <c r="GW13" i="54" s="1"/>
  <c r="GU13" i="54"/>
  <c r="GU14" i="54" s="1"/>
  <c r="GV14" i="54" s="1"/>
  <c r="GW14" i="54" s="1"/>
  <c r="AA32" i="42"/>
  <c r="AB116" i="42" s="1"/>
  <c r="GU32" i="54" l="1"/>
  <c r="Y19" i="53"/>
  <c r="JR42" i="54"/>
  <c r="IF8" i="54"/>
  <c r="IG8" i="54" s="1"/>
  <c r="GB32" i="54"/>
  <c r="GC32" i="54" s="1"/>
  <c r="GE32" i="54" s="1" a="1"/>
  <c r="GE32" i="54" s="1"/>
  <c r="GF32" i="54" s="1"/>
  <c r="GV32" i="54"/>
  <c r="GW32" i="54" s="1"/>
  <c r="HJ9" i="54"/>
  <c r="HI9" i="54"/>
  <c r="FW27" i="54"/>
  <c r="HT19" i="54"/>
  <c r="DU20" i="54"/>
  <c r="HT20" i="54" s="1"/>
  <c r="DO20" i="54"/>
  <c r="G20" i="54" s="1"/>
  <c r="DP20" i="54" s="1"/>
  <c r="FW44" i="54"/>
  <c r="FU45" i="54"/>
  <c r="L45" i="54" s="1"/>
  <c r="FV45" i="54" s="1"/>
  <c r="FW45" i="54" s="1"/>
  <c r="FU46" i="54"/>
  <c r="L46" i="54" s="1"/>
  <c r="FV46" i="54" s="1"/>
  <c r="FW46" i="54" s="1"/>
  <c r="FU47" i="54"/>
  <c r="L47" i="54" s="1"/>
  <c r="FV47" i="54" s="1"/>
  <c r="FW47" i="54" s="1"/>
  <c r="DV32" i="54"/>
  <c r="DW31" i="54"/>
  <c r="HR41" i="54"/>
  <c r="HP41" i="54"/>
  <c r="IZ41" i="54" s="1"/>
  <c r="GJ35" i="54"/>
  <c r="BN35" i="54"/>
  <c r="GP35" i="54" s="1"/>
  <c r="BM36" i="54"/>
  <c r="EO47" i="54" a="1"/>
  <c r="EO47" i="54" s="1"/>
  <c r="DR44" i="54" a="1"/>
  <c r="DR44" i="54" s="1"/>
  <c r="DT44" i="54" s="1"/>
  <c r="W44" i="54" s="1"/>
  <c r="II44" i="54"/>
  <c r="DU44" i="54"/>
  <c r="HT44" i="54" s="1"/>
  <c r="GQ33" i="54"/>
  <c r="GR33" i="54" s="1"/>
  <c r="IN34" i="54" a="1"/>
  <c r="IN34" i="54" s="1"/>
  <c r="IO34" i="54" s="1"/>
  <c r="IT34" i="54" a="1"/>
  <c r="IT34" i="54" s="1"/>
  <c r="IU34" i="54" s="1"/>
  <c r="IP34" i="54" a="1"/>
  <c r="IP34" i="54" s="1"/>
  <c r="IQ34" i="54" s="1"/>
  <c r="IR34" i="54" a="1"/>
  <c r="IR34" i="54" s="1"/>
  <c r="IS34" i="54" s="1"/>
  <c r="IX34" i="54" a="1"/>
  <c r="IX34" i="54" s="1"/>
  <c r="IY34" i="54" s="1"/>
  <c r="IV34" i="54" a="1"/>
  <c r="IV34" i="54" s="1"/>
  <c r="IW34" i="54" s="1"/>
  <c r="JC21" i="54"/>
  <c r="GV21" i="54"/>
  <c r="GW21" i="54" s="1"/>
  <c r="GU21" i="54"/>
  <c r="JQ43" i="54"/>
  <c r="EQ22" i="54"/>
  <c r="EP22" i="54" a="1"/>
  <c r="EP22" i="54" s="1"/>
  <c r="HB12" i="54"/>
  <c r="HC12" i="54" s="1"/>
  <c r="HD12" i="54"/>
  <c r="HA13" i="54"/>
  <c r="AK45" i="54"/>
  <c r="HE45" i="54"/>
  <c r="JQ27" i="54"/>
  <c r="FU24" i="54"/>
  <c r="L24" i="54" s="1"/>
  <c r="FV24" i="54" s="1"/>
  <c r="FU25" i="54"/>
  <c r="L25" i="54" s="1"/>
  <c r="FV25" i="54" s="1"/>
  <c r="FW25" i="54" s="1"/>
  <c r="HR40" i="54"/>
  <c r="HK40" i="54"/>
  <c r="HK41" i="54" s="1"/>
  <c r="HK42" i="54" s="1"/>
  <c r="HP40" i="54"/>
  <c r="IZ40" i="54" s="1"/>
  <c r="GV53" i="54"/>
  <c r="GW53" i="54" s="1"/>
  <c r="GU53" i="54"/>
  <c r="JC53" i="54"/>
  <c r="AK29" i="54"/>
  <c r="HE29" i="54"/>
  <c r="HR42" i="54"/>
  <c r="HP42" i="54"/>
  <c r="IZ42" i="54" s="1"/>
  <c r="AK11" i="54"/>
  <c r="HE11" i="54"/>
  <c r="O10" i="54" a="1"/>
  <c r="O10" i="54" s="1"/>
  <c r="O54" i="54" a="1"/>
  <c r="O54" i="54" s="1"/>
  <c r="O55" i="54" a="1"/>
  <c r="O55" i="54" s="1"/>
  <c r="FU22" i="54"/>
  <c r="L22" i="54" s="1"/>
  <c r="FV22" i="54" s="1"/>
  <c r="FW22" i="54"/>
  <c r="GT22" i="54"/>
  <c r="FU18" i="54"/>
  <c r="L18" i="54" s="1"/>
  <c r="FV18" i="54" s="1"/>
  <c r="FW18" i="54"/>
  <c r="DR31" i="54" a="1"/>
  <c r="DR31" i="54" s="1"/>
  <c r="DT31" i="54" s="1"/>
  <c r="II31" i="54"/>
  <c r="DU31" i="54"/>
  <c r="EQ18" i="54"/>
  <c r="EP18" i="54" a="1"/>
  <c r="EP18" i="54" s="1"/>
  <c r="IF41" i="54"/>
  <c r="IG41" i="54" s="1"/>
  <c r="JR41" i="54"/>
  <c r="EQ46" i="54"/>
  <c r="EP46" i="54" a="1"/>
  <c r="EP46" i="54" s="1"/>
  <c r="FU29" i="54"/>
  <c r="L29" i="54" s="1"/>
  <c r="FV29" i="54" s="1"/>
  <c r="FW29" i="54"/>
  <c r="EO19" i="54" a="1"/>
  <c r="EO19" i="54" s="1"/>
  <c r="DT20" i="54"/>
  <c r="FU32" i="54"/>
  <c r="L32" i="54" s="1"/>
  <c r="FV32" i="54" s="1"/>
  <c r="FW32" i="54"/>
  <c r="FW51" i="54"/>
  <c r="BE18" i="53"/>
  <c r="BC18" i="53"/>
  <c r="BD18" i="53"/>
  <c r="IF40" i="54"/>
  <c r="IG40" i="54" s="1"/>
  <c r="JR40" i="54"/>
  <c r="HB30" i="54"/>
  <c r="HC30" i="54" s="1"/>
  <c r="HD30" i="54"/>
  <c r="HD31" i="54"/>
  <c r="EQ45" i="54"/>
  <c r="EP45" i="54" a="1"/>
  <c r="EP45" i="54" s="1"/>
  <c r="GP34" i="54"/>
  <c r="FW5" i="54"/>
  <c r="BC14" i="53"/>
  <c r="BE14" i="53"/>
  <c r="BD14" i="53"/>
  <c r="JQ26" i="54"/>
  <c r="HH26" i="54"/>
  <c r="FW16" i="54"/>
  <c r="HF10" i="54"/>
  <c r="HG10" i="54" s="1"/>
  <c r="HH10" i="54" s="1"/>
  <c r="JR9" i="54"/>
  <c r="JQ9" i="54"/>
  <c r="GV15" i="54"/>
  <c r="GW15" i="54" s="1"/>
  <c r="JC15" i="54"/>
  <c r="GU15" i="54"/>
  <c r="HB46" i="54"/>
  <c r="HC46" i="54" s="1"/>
  <c r="HD46" i="54"/>
  <c r="HA47" i="54"/>
  <c r="HJ43" i="54"/>
  <c r="HI43" i="54"/>
  <c r="IF43" i="54" s="1"/>
  <c r="IG43" i="54" s="1"/>
  <c r="HF44" i="54"/>
  <c r="HG44" i="54" s="1"/>
  <c r="HH44" i="54" s="1"/>
  <c r="HF28" i="54"/>
  <c r="EQ29" i="54"/>
  <c r="EP29" i="54" a="1"/>
  <c r="EP29" i="54" s="1"/>
  <c r="HP8" i="54"/>
  <c r="IZ8" i="54" s="1"/>
  <c r="HR8" i="54"/>
  <c r="HK8" i="54"/>
  <c r="AB211" i="42"/>
  <c r="AB56" i="42"/>
  <c r="AB104" i="42"/>
  <c r="AB160" i="42"/>
  <c r="AB39" i="42"/>
  <c r="AB200" i="42"/>
  <c r="AB128" i="42"/>
  <c r="AB349" i="42"/>
  <c r="AB107" i="42"/>
  <c r="AB267" i="42"/>
  <c r="AB44" i="42"/>
  <c r="AB120" i="42"/>
  <c r="AB298" i="42"/>
  <c r="AB64" i="42"/>
  <c r="AB32" i="42"/>
  <c r="AB498" i="42"/>
  <c r="AB408" i="42"/>
  <c r="AB282" i="42"/>
  <c r="AB417" i="42"/>
  <c r="AB447" i="42"/>
  <c r="AB315" i="42"/>
  <c r="AB427" i="42"/>
  <c r="AB481" i="42"/>
  <c r="AB489" i="42"/>
  <c r="AB90" i="42"/>
  <c r="AB399" i="42"/>
  <c r="AB378" i="42"/>
  <c r="AB371" i="42"/>
  <c r="AB50" i="42"/>
  <c r="AB265" i="42"/>
  <c r="AB247" i="42"/>
  <c r="AB344" i="42"/>
  <c r="AB329" i="42"/>
  <c r="AB273" i="42"/>
  <c r="AB81" i="42"/>
  <c r="AB25" i="42"/>
  <c r="AB356" i="42"/>
  <c r="AB78" i="42"/>
  <c r="AB388" i="42"/>
  <c r="AB35" i="42"/>
  <c r="AB434" i="42"/>
  <c r="AB440" i="42"/>
  <c r="AB73" i="42"/>
  <c r="AB285" i="42"/>
  <c r="AB173" i="42"/>
  <c r="AB453" i="42"/>
  <c r="AB420" i="42"/>
  <c r="AB79" i="42"/>
  <c r="AB16" i="42"/>
  <c r="AB372" i="42"/>
  <c r="AB495" i="42"/>
  <c r="AB230" i="42"/>
  <c r="AB98" i="42"/>
  <c r="AB117" i="42"/>
  <c r="AB384" i="42"/>
  <c r="AB143" i="42"/>
  <c r="AB340" i="42"/>
  <c r="AB367" i="42"/>
  <c r="AB341" i="42"/>
  <c r="AB338" i="42"/>
  <c r="AB305" i="42"/>
  <c r="AB277" i="42"/>
  <c r="AB49" i="42"/>
  <c r="AB74" i="42"/>
  <c r="AB85" i="42"/>
  <c r="AB146" i="42"/>
  <c r="AB351" i="42"/>
  <c r="AB106" i="42"/>
  <c r="AB193" i="42"/>
  <c r="AB425" i="42"/>
  <c r="AB214" i="42"/>
  <c r="AB270" i="42"/>
  <c r="AB276" i="42"/>
  <c r="AB65" i="42"/>
  <c r="AB271" i="42"/>
  <c r="AB483" i="42"/>
  <c r="AB435" i="42"/>
  <c r="AB405" i="42"/>
  <c r="AB151" i="42"/>
  <c r="AB320" i="42"/>
  <c r="AB471" i="42"/>
  <c r="AB359" i="42"/>
  <c r="AB461" i="42"/>
  <c r="AB62" i="42"/>
  <c r="AB316" i="42"/>
  <c r="AB21" i="42"/>
  <c r="AB456" i="42"/>
  <c r="AB63" i="42"/>
  <c r="AB465" i="42"/>
  <c r="AB346" i="42"/>
  <c r="AB436" i="42"/>
  <c r="AB47" i="42"/>
  <c r="AB229" i="42"/>
  <c r="AB370" i="42"/>
  <c r="AB294" i="42"/>
  <c r="AB392" i="42"/>
  <c r="AB217" i="42"/>
  <c r="AB472" i="42"/>
  <c r="AB186" i="42"/>
  <c r="AB382" i="42"/>
  <c r="AB358" i="42"/>
  <c r="AB403" i="42"/>
  <c r="AB488" i="42"/>
  <c r="AB395" i="42"/>
  <c r="AB213" i="42"/>
  <c r="AB469" i="42"/>
  <c r="AB226" i="42"/>
  <c r="AB462" i="42"/>
  <c r="AB402" i="42"/>
  <c r="AB437" i="42"/>
  <c r="AB430" i="42"/>
  <c r="AB443" i="42"/>
  <c r="AB330" i="42"/>
  <c r="AB451" i="42"/>
  <c r="AB398" i="42"/>
  <c r="AB302" i="42"/>
  <c r="AB369" i="42"/>
  <c r="AB363" i="42"/>
  <c r="AB55" i="42"/>
  <c r="AB476" i="42"/>
  <c r="AB82" i="42"/>
  <c r="AB204" i="42"/>
  <c r="AB268" i="42"/>
  <c r="AB455" i="42"/>
  <c r="AB339" i="42"/>
  <c r="AB256" i="42"/>
  <c r="AB122" i="42"/>
  <c r="AB413" i="42"/>
  <c r="AB343" i="42"/>
  <c r="AB415" i="42"/>
  <c r="AB166" i="42"/>
  <c r="AB303" i="42"/>
  <c r="AB97" i="42"/>
  <c r="AB485" i="42"/>
  <c r="AB181" i="42"/>
  <c r="AB499" i="42"/>
  <c r="AB199" i="42"/>
  <c r="AB354" i="42"/>
  <c r="AB26" i="42"/>
  <c r="AB296" i="42"/>
  <c r="AB118" i="42"/>
  <c r="AB183" i="42"/>
  <c r="AB445" i="42"/>
  <c r="AB223" i="42"/>
  <c r="AB194" i="42"/>
  <c r="AB385" i="42"/>
  <c r="AB162" i="42"/>
  <c r="AB112" i="42"/>
  <c r="AB347" i="42"/>
  <c r="AB444" i="42"/>
  <c r="AB13" i="42"/>
  <c r="AB121" i="42"/>
  <c r="AB299" i="42"/>
  <c r="AB207" i="42"/>
  <c r="AB314" i="42"/>
  <c r="AB421" i="42"/>
  <c r="AB102" i="42"/>
  <c r="AB274" i="42"/>
  <c r="AB292" i="42"/>
  <c r="AB175" i="42"/>
  <c r="AB424" i="42"/>
  <c r="AB110" i="42"/>
  <c r="AB57" i="42"/>
  <c r="AB328" i="42"/>
  <c r="AB389" i="42"/>
  <c r="AB12" i="42"/>
  <c r="AB141" i="42"/>
  <c r="AB439" i="42"/>
  <c r="AB324" i="42"/>
  <c r="AB83" i="42"/>
  <c r="AB377" i="42"/>
  <c r="AB300" i="42"/>
  <c r="AB159" i="42"/>
  <c r="AB383" i="42"/>
  <c r="AB169" i="42"/>
  <c r="AB258" i="42"/>
  <c r="AB45" i="42"/>
  <c r="AB323" i="42"/>
  <c r="AB129" i="42"/>
  <c r="AB86" i="42"/>
  <c r="AB345" i="42"/>
  <c r="AB309" i="42"/>
  <c r="AB410" i="42"/>
  <c r="AB394" i="42"/>
  <c r="AB473" i="42"/>
  <c r="AB133" i="42"/>
  <c r="AB137" i="42"/>
  <c r="AB61" i="42"/>
  <c r="AB140" i="42"/>
  <c r="AB350" i="42"/>
  <c r="AB313" i="42"/>
  <c r="AB293" i="42"/>
  <c r="AB390" i="42"/>
  <c r="AB470" i="42"/>
  <c r="AB19" i="42"/>
  <c r="AB101" i="42"/>
  <c r="AB237" i="42"/>
  <c r="AB438" i="42"/>
  <c r="AB386" i="42"/>
  <c r="AB23" i="42"/>
  <c r="AB246" i="42"/>
  <c r="AB361" i="42"/>
  <c r="AB262" i="42"/>
  <c r="AB467" i="42"/>
  <c r="AB463" i="42"/>
  <c r="AB411" i="42"/>
  <c r="AB352" i="42"/>
  <c r="AB218" i="42"/>
  <c r="AB189" i="42"/>
  <c r="AB89" i="42"/>
  <c r="AB479" i="42"/>
  <c r="AB187" i="42"/>
  <c r="AB431" i="42"/>
  <c r="AB20" i="42"/>
  <c r="AB466" i="42"/>
  <c r="AB474" i="42"/>
  <c r="AB327" i="42"/>
  <c r="AB254" i="42"/>
  <c r="AB368" i="42"/>
  <c r="AB22" i="42"/>
  <c r="AB486" i="42"/>
  <c r="AB454" i="42"/>
  <c r="AB379" i="42"/>
  <c r="AB58" i="42"/>
  <c r="AB242" i="42"/>
  <c r="AB449" i="42"/>
  <c r="AB158" i="42"/>
  <c r="AB448" i="42"/>
  <c r="AB286" i="42"/>
  <c r="AB355" i="42"/>
  <c r="AB409" i="42"/>
  <c r="AB178" i="42"/>
  <c r="AB360" i="42"/>
  <c r="AB221" i="42"/>
  <c r="AB380" i="42"/>
  <c r="AB290" i="42"/>
  <c r="AB111" i="42"/>
  <c r="AB69" i="42"/>
  <c r="AB459" i="42"/>
  <c r="AB491" i="42"/>
  <c r="AB225" i="42"/>
  <c r="AB496" i="42"/>
  <c r="AB71" i="42"/>
  <c r="AB364" i="42"/>
  <c r="AB30" i="42"/>
  <c r="AB261" i="42"/>
  <c r="AB201" i="42"/>
  <c r="AB130" i="42"/>
  <c r="AB400" i="42"/>
  <c r="AB209" i="42"/>
  <c r="AB239" i="42"/>
  <c r="AB238" i="42"/>
  <c r="AB333" i="42"/>
  <c r="AB492" i="42"/>
  <c r="AB210" i="42"/>
  <c r="AB450" i="42"/>
  <c r="AB428" i="42"/>
  <c r="AB167" i="42"/>
  <c r="AB312" i="42"/>
  <c r="AB255" i="42"/>
  <c r="AB125" i="42"/>
  <c r="AB342" i="42"/>
  <c r="AB381" i="42"/>
  <c r="AB297" i="42"/>
  <c r="AB480" i="42"/>
  <c r="AB337" i="42"/>
  <c r="AB464" i="42"/>
  <c r="AB322" i="42"/>
  <c r="AB127" i="42"/>
  <c r="AB490" i="42"/>
  <c r="AB362" i="42"/>
  <c r="AB279" i="42"/>
  <c r="AB248" i="42"/>
  <c r="AB87" i="42"/>
  <c r="AB493" i="42"/>
  <c r="AB15" i="42"/>
  <c r="AB170" i="42"/>
  <c r="AB366" i="42"/>
  <c r="AB477" i="42"/>
  <c r="AB135" i="42"/>
  <c r="AB457" i="42"/>
  <c r="AB17" i="42"/>
  <c r="AB269" i="42"/>
  <c r="AB452" i="42"/>
  <c r="AB215" i="42"/>
  <c r="AB301" i="42"/>
  <c r="AB387" i="42"/>
  <c r="AB494" i="42"/>
  <c r="AB280" i="42"/>
  <c r="AB51" i="42"/>
  <c r="AB53" i="42"/>
  <c r="AB441" i="42"/>
  <c r="AB206" i="42"/>
  <c r="AB500" i="42"/>
  <c r="AB393" i="42"/>
  <c r="AB442" i="42"/>
  <c r="AB103" i="42"/>
  <c r="AB77" i="42"/>
  <c r="AB250" i="42"/>
  <c r="AB119" i="42"/>
  <c r="AB27" i="42"/>
  <c r="AB266" i="42"/>
  <c r="AB429" i="42"/>
  <c r="AB375" i="42"/>
  <c r="AB365" i="42"/>
  <c r="AB418" i="42"/>
  <c r="AB423" i="42"/>
  <c r="AB487" i="42"/>
  <c r="AB54" i="42"/>
  <c r="AB419" i="42"/>
  <c r="AB311" i="42"/>
  <c r="AB318" i="42"/>
  <c r="AB153" i="42"/>
  <c r="AB336" i="42"/>
  <c r="AB245" i="42"/>
  <c r="AB253" i="42"/>
  <c r="AB24" i="42"/>
  <c r="AB154" i="42"/>
  <c r="AB404" i="42"/>
  <c r="AB142" i="42"/>
  <c r="AB291" i="42"/>
  <c r="AB331" i="42"/>
  <c r="AB188" i="42"/>
  <c r="AB259" i="42"/>
  <c r="AB396" i="42"/>
  <c r="AB197" i="42"/>
  <c r="AB326" i="42"/>
  <c r="AB391" i="42"/>
  <c r="AB165" i="42"/>
  <c r="AB95" i="42"/>
  <c r="AB475" i="42"/>
  <c r="AB149" i="42"/>
  <c r="AB307" i="42"/>
  <c r="AB468" i="42"/>
  <c r="AB319" i="42"/>
  <c r="AB373" i="42"/>
  <c r="AB407" i="42"/>
  <c r="AB185" i="42"/>
  <c r="AB321" i="42"/>
  <c r="AB283" i="42"/>
  <c r="AB34" i="42"/>
  <c r="AB357" i="42"/>
  <c r="AB174" i="42"/>
  <c r="AB310" i="42"/>
  <c r="AB446" i="42"/>
  <c r="AB163" i="42"/>
  <c r="AB109" i="42"/>
  <c r="AB176" i="42"/>
  <c r="AB70" i="42"/>
  <c r="AB306" i="42"/>
  <c r="AB484" i="42"/>
  <c r="AB260" i="42"/>
  <c r="AB196" i="42"/>
  <c r="AB105" i="42"/>
  <c r="AB335" i="42"/>
  <c r="AB249" i="42"/>
  <c r="AB257" i="42"/>
  <c r="AB155" i="42"/>
  <c r="AB195" i="42"/>
  <c r="AB458" i="42"/>
  <c r="AB236" i="42"/>
  <c r="AB222" i="42"/>
  <c r="AB134" i="42"/>
  <c r="AB126" i="42"/>
  <c r="AB92" i="42"/>
  <c r="AB334" i="42"/>
  <c r="AB234" i="42"/>
  <c r="AB374" i="42"/>
  <c r="AB205" i="42"/>
  <c r="AB482" i="42"/>
  <c r="AB115" i="42"/>
  <c r="AB281" i="42"/>
  <c r="AB99" i="42"/>
  <c r="AB88" i="42"/>
  <c r="AB67" i="42"/>
  <c r="AB244" i="42"/>
  <c r="AB172" i="42"/>
  <c r="AB272" i="42"/>
  <c r="AB275" i="42"/>
  <c r="AB60" i="42"/>
  <c r="AB241" i="42"/>
  <c r="AB478" i="42"/>
  <c r="AB91" i="42"/>
  <c r="AB18" i="42"/>
  <c r="AB376" i="42"/>
  <c r="AB416" i="42"/>
  <c r="AB14" i="42"/>
  <c r="AB94" i="42"/>
  <c r="AB422" i="42"/>
  <c r="AB263" i="42"/>
  <c r="AB150" i="42"/>
  <c r="AB406" i="42"/>
  <c r="AB208" i="42"/>
  <c r="AB231" i="42"/>
  <c r="AB138" i="42"/>
  <c r="AB289" i="42"/>
  <c r="AB114" i="42"/>
  <c r="AB264" i="42"/>
  <c r="AB144" i="42"/>
  <c r="AB171" i="42"/>
  <c r="AB93" i="42"/>
  <c r="AB191" i="42"/>
  <c r="AB433" i="42"/>
  <c r="AB147" i="42"/>
  <c r="AB353" i="42"/>
  <c r="AB243" i="42"/>
  <c r="AB220" i="42"/>
  <c r="AB48" i="42"/>
  <c r="AB198" i="42"/>
  <c r="AB37" i="42"/>
  <c r="AB72" i="42"/>
  <c r="AB123" i="42"/>
  <c r="AB184" i="42"/>
  <c r="AB190" i="42"/>
  <c r="AB348" i="42"/>
  <c r="AB31" i="42"/>
  <c r="AB240" i="42"/>
  <c r="AB216" i="42"/>
  <c r="AB426" i="42"/>
  <c r="AB145" i="42"/>
  <c r="AB46" i="42"/>
  <c r="AB156" i="42"/>
  <c r="AB460" i="42"/>
  <c r="AB212" i="42"/>
  <c r="AB43" i="42"/>
  <c r="AB288" i="42"/>
  <c r="AB168" i="42"/>
  <c r="AB177" i="42"/>
  <c r="AB33" i="42"/>
  <c r="AB252" i="42"/>
  <c r="AB182" i="42"/>
  <c r="AB41" i="42"/>
  <c r="AB132" i="42"/>
  <c r="AB325" i="42"/>
  <c r="AB287" i="42"/>
  <c r="AB228" i="42"/>
  <c r="AB113" i="42"/>
  <c r="AB180" i="42"/>
  <c r="AB100" i="42"/>
  <c r="AB161" i="42"/>
  <c r="AB131" i="42"/>
  <c r="AB412" i="42"/>
  <c r="AB304" i="42"/>
  <c r="AB36" i="42"/>
  <c r="AB401" i="42"/>
  <c r="AB179" i="42"/>
  <c r="AB414" i="42"/>
  <c r="AB28" i="42"/>
  <c r="AB192" i="42"/>
  <c r="AB233" i="42"/>
  <c r="AB136" i="42"/>
  <c r="AB202" i="42"/>
  <c r="AB397" i="42"/>
  <c r="AB29" i="42"/>
  <c r="AB308" i="42"/>
  <c r="AB203" i="42"/>
  <c r="AB75" i="42"/>
  <c r="AB432" i="42"/>
  <c r="AB235" i="42"/>
  <c r="AB232" i="42"/>
  <c r="AB251" i="42"/>
  <c r="AB38" i="42"/>
  <c r="AB332" i="42"/>
  <c r="AB139" i="42"/>
  <c r="AB219" i="42"/>
  <c r="AB68" i="42"/>
  <c r="AB148" i="42"/>
  <c r="AB164" i="42"/>
  <c r="AB278" i="42"/>
  <c r="AB40" i="42"/>
  <c r="AB227" i="42"/>
  <c r="AB52" i="42"/>
  <c r="AB224" i="42"/>
  <c r="AB66" i="42"/>
  <c r="AB497" i="42"/>
  <c r="AB80" i="42"/>
  <c r="AB152" i="42"/>
  <c r="AB84" i="42"/>
  <c r="AB59" i="42"/>
  <c r="AB157" i="42"/>
  <c r="AB124" i="42"/>
  <c r="AB76" i="42"/>
  <c r="AB108" i="42"/>
  <c r="AB284" i="42"/>
  <c r="AB295" i="42"/>
  <c r="AB42" i="42"/>
  <c r="AB96" i="42"/>
  <c r="AB317" i="42"/>
  <c r="HJ10" i="54" l="1"/>
  <c r="HI10" i="54"/>
  <c r="IF10" i="54" s="1"/>
  <c r="IG10" i="54" s="1"/>
  <c r="GJ36" i="54"/>
  <c r="BN36" i="54"/>
  <c r="GP36" i="54" s="1"/>
  <c r="BM37" i="54"/>
  <c r="Y18" i="53"/>
  <c r="DT32" i="54"/>
  <c r="EO31" i="54" a="1"/>
  <c r="EO31" i="54" s="1"/>
  <c r="Y14" i="53"/>
  <c r="FU19" i="54"/>
  <c r="L19" i="54" s="1"/>
  <c r="FV19" i="54" s="1"/>
  <c r="FW19" i="54"/>
  <c r="GT33" i="54"/>
  <c r="EQ19" i="54"/>
  <c r="EP19" i="54" a="1"/>
  <c r="EP19" i="54" s="1"/>
  <c r="HQ44" i="54"/>
  <c r="IF9" i="54"/>
  <c r="IG9" i="54" s="1"/>
  <c r="GM10" i="54"/>
  <c r="CI10" i="54"/>
  <c r="DV33" i="54"/>
  <c r="DW32" i="54"/>
  <c r="HG28" i="54"/>
  <c r="HJ26" i="54"/>
  <c r="HI26" i="54"/>
  <c r="HH27" i="54"/>
  <c r="HT31" i="54"/>
  <c r="DU32" i="54"/>
  <c r="DO32" i="54"/>
  <c r="G32" i="54" s="1"/>
  <c r="DP32" i="54" s="1"/>
  <c r="HE12" i="54"/>
  <c r="AK12" i="54"/>
  <c r="GQ34" i="54"/>
  <c r="GR34" i="54" s="1"/>
  <c r="GQ35" i="54" s="1"/>
  <c r="JC22" i="54"/>
  <c r="GU22" i="54"/>
  <c r="GB22" i="54" s="1"/>
  <c r="GC22" i="54" s="1"/>
  <c r="GE22" i="54" s="1" a="1"/>
  <c r="GE22" i="54" s="1"/>
  <c r="GF22" i="54" s="1"/>
  <c r="HP9" i="54"/>
  <c r="IZ9" i="54" s="1"/>
  <c r="HK9" i="54"/>
  <c r="HR9" i="54"/>
  <c r="HI44" i="54"/>
  <c r="HJ44" i="54"/>
  <c r="JQ44" i="54"/>
  <c r="JR44" i="54"/>
  <c r="HR43" i="54"/>
  <c r="HP43" i="54"/>
  <c r="IZ43" i="54" s="1"/>
  <c r="HK43" i="54"/>
  <c r="HB47" i="54"/>
  <c r="HC47" i="54" s="1"/>
  <c r="HD47" i="54"/>
  <c r="HA48" i="54"/>
  <c r="HF45" i="54"/>
  <c r="HG45" i="54" s="1"/>
  <c r="HF29" i="54"/>
  <c r="HG29" i="54" s="1"/>
  <c r="EO20" i="54" a="1"/>
  <c r="EO20" i="54" s="1"/>
  <c r="GM55" i="54"/>
  <c r="CI55" i="54"/>
  <c r="EV55" i="54"/>
  <c r="EW55" i="54" s="1"/>
  <c r="Q55" i="54" s="1"/>
  <c r="JR43" i="54"/>
  <c r="HF11" i="54"/>
  <c r="HG11" i="54" s="1"/>
  <c r="HH11" i="54"/>
  <c r="FW24" i="54"/>
  <c r="BC16" i="53"/>
  <c r="BE16" i="53"/>
  <c r="BD16" i="53"/>
  <c r="S35" i="54"/>
  <c r="AK46" i="54"/>
  <c r="HE46" i="54"/>
  <c r="FU33" i="54"/>
  <c r="L33" i="54" s="1"/>
  <c r="FV33" i="54" s="1"/>
  <c r="FW33" i="54"/>
  <c r="FW34" i="54" s="1"/>
  <c r="HB13" i="54"/>
  <c r="HC13" i="54" s="1"/>
  <c r="HD13" i="54"/>
  <c r="HA14" i="54"/>
  <c r="JQ10" i="54"/>
  <c r="AK30" i="54"/>
  <c r="HE30" i="54"/>
  <c r="GM54" i="54"/>
  <c r="CI54" i="54"/>
  <c r="EV54" i="54"/>
  <c r="EW54" i="54" s="1"/>
  <c r="Q54" i="54" s="1"/>
  <c r="EQ47" i="54"/>
  <c r="EP47" i="54" a="1"/>
  <c r="EP47" i="54" s="1"/>
  <c r="JR10" i="54" l="1"/>
  <c r="GV22" i="54"/>
  <c r="GW22" i="54" s="1"/>
  <c r="GR35" i="54"/>
  <c r="GT35" i="54"/>
  <c r="GQ36" i="54"/>
  <c r="GR36" i="54" s="1"/>
  <c r="HB48" i="54"/>
  <c r="HC48" i="54" s="1"/>
  <c r="HD48" i="54"/>
  <c r="HA49" i="54"/>
  <c r="DK54" i="54"/>
  <c r="DO54" i="54" s="1"/>
  <c r="G54" i="54" s="1"/>
  <c r="DP54" i="54" s="1"/>
  <c r="DQ54" i="54" s="1"/>
  <c r="DY54" i="54"/>
  <c r="O48" i="54" a="1"/>
  <c r="O48" i="54" s="1"/>
  <c r="O8" i="54" a="1"/>
  <c r="O8" i="54" s="1"/>
  <c r="DK10" i="54"/>
  <c r="DO10" i="54" s="1"/>
  <c r="G10" i="54" s="1"/>
  <c r="DP10" i="54" s="1"/>
  <c r="DQ10" i="54" s="1"/>
  <c r="DY10" i="54"/>
  <c r="GU33" i="54"/>
  <c r="GB33" i="54" s="1"/>
  <c r="GC33" i="54" s="1"/>
  <c r="GE33" i="54" s="1" a="1"/>
  <c r="GE33" i="54" s="1"/>
  <c r="GF33" i="54" s="1"/>
  <c r="GV33" i="54"/>
  <c r="GW33" i="54" s="1"/>
  <c r="JC33" i="54"/>
  <c r="HT32" i="54"/>
  <c r="DU33" i="54"/>
  <c r="DO33" i="54"/>
  <c r="G33" i="54" s="1"/>
  <c r="DP33" i="54" s="1"/>
  <c r="JQ45" i="54"/>
  <c r="HK26" i="54"/>
  <c r="JA26" i="54"/>
  <c r="HR26" i="54"/>
  <c r="HP26" i="54"/>
  <c r="IZ26" i="54" s="1"/>
  <c r="HO26" i="54"/>
  <c r="HF30" i="54"/>
  <c r="DV34" i="54"/>
  <c r="DW33" i="54"/>
  <c r="GT34" i="54"/>
  <c r="S36" i="54"/>
  <c r="FU35" i="54"/>
  <c r="L35" i="54" s="1"/>
  <c r="FV35" i="54" s="1"/>
  <c r="BE17" i="53" s="1"/>
  <c r="FW35" i="54"/>
  <c r="HR44" i="54"/>
  <c r="HP44" i="54"/>
  <c r="IZ44" i="54" s="1"/>
  <c r="HK44" i="54"/>
  <c r="EQ20" i="54"/>
  <c r="EP20" i="54" a="1"/>
  <c r="EP20" i="54" s="1"/>
  <c r="HF46" i="54"/>
  <c r="HG46" i="54" s="1"/>
  <c r="BD15" i="53"/>
  <c r="BE15" i="53"/>
  <c r="BC15" i="53"/>
  <c r="Y15" i="53" s="1"/>
  <c r="EO32" i="54" a="1"/>
  <c r="EO32" i="54" s="1"/>
  <c r="DT33" i="54"/>
  <c r="GJ37" i="54"/>
  <c r="BN37" i="54"/>
  <c r="GP37" i="54" s="1"/>
  <c r="BM38" i="54"/>
  <c r="HB14" i="54"/>
  <c r="HC14" i="54" s="1"/>
  <c r="HD14" i="54"/>
  <c r="HA15" i="54"/>
  <c r="IF44" i="54"/>
  <c r="IG44" i="54" s="1"/>
  <c r="FU20" i="54"/>
  <c r="L20" i="54" s="1"/>
  <c r="FV20" i="54" s="1"/>
  <c r="FW20" i="54"/>
  <c r="JQ29" i="54"/>
  <c r="HJ27" i="54"/>
  <c r="HI27" i="54"/>
  <c r="O4" i="54" a="1"/>
  <c r="O4" i="54" s="1"/>
  <c r="O3" i="54" a="1"/>
  <c r="O3" i="54" s="1"/>
  <c r="BG14" i="53"/>
  <c r="BH14" i="53" s="1"/>
  <c r="HK10" i="54"/>
  <c r="HP10" i="54"/>
  <c r="IZ10" i="54" s="1"/>
  <c r="HR10" i="54"/>
  <c r="Y16" i="53"/>
  <c r="AK47" i="54"/>
  <c r="HE47" i="54"/>
  <c r="JQ28" i="54"/>
  <c r="HH28" i="54"/>
  <c r="HJ11" i="54"/>
  <c r="HI11" i="54"/>
  <c r="IF11" i="54" s="1"/>
  <c r="IG11" i="54" s="1"/>
  <c r="JR11" i="54"/>
  <c r="JQ11" i="54"/>
  <c r="DK55" i="54"/>
  <c r="DO55" i="54" s="1"/>
  <c r="G55" i="54" s="1"/>
  <c r="DP55" i="54" s="1"/>
  <c r="DQ55" i="54" s="1"/>
  <c r="DY55" i="54"/>
  <c r="AK13" i="54"/>
  <c r="HE13" i="54"/>
  <c r="HF12" i="54"/>
  <c r="HG12" i="54" s="1"/>
  <c r="HH12" i="54"/>
  <c r="HH45" i="54"/>
  <c r="IF26" i="54"/>
  <c r="IG26" i="54" s="1"/>
  <c r="JR26" i="54"/>
  <c r="EQ31" i="54"/>
  <c r="EP31" i="54" a="1"/>
  <c r="EP31" i="54" s="1"/>
  <c r="BD17" i="53" l="1"/>
  <c r="BC17" i="53"/>
  <c r="GQ37" i="54"/>
  <c r="GR37" i="54" s="1"/>
  <c r="HD15" i="54"/>
  <c r="HB15" i="54"/>
  <c r="HC15" i="54" s="1"/>
  <c r="HA16" i="54"/>
  <c r="DR54" i="54" a="1"/>
  <c r="DR54" i="54" s="1"/>
  <c r="DT54" i="54" s="1"/>
  <c r="II54" i="54"/>
  <c r="IJ54" i="54" s="1"/>
  <c r="DU54" i="54"/>
  <c r="HT54" i="54" s="1"/>
  <c r="HR27" i="54"/>
  <c r="HP27" i="54"/>
  <c r="IZ27" i="54" s="1"/>
  <c r="HK27" i="54"/>
  <c r="EO33" i="54" a="1"/>
  <c r="EO33" i="54" s="1"/>
  <c r="DT34" i="54"/>
  <c r="O15" i="54" a="1"/>
  <c r="O15" i="54" s="1"/>
  <c r="O16" i="54" a="1"/>
  <c r="O16" i="54" s="1"/>
  <c r="HI12" i="54"/>
  <c r="JR12" i="54" s="1"/>
  <c r="HJ12" i="54"/>
  <c r="DR10" i="54" a="1"/>
  <c r="DR10" i="54" s="1"/>
  <c r="DT10" i="54" s="1"/>
  <c r="DU10" i="54"/>
  <c r="HT10" i="54" s="1"/>
  <c r="II10" i="54"/>
  <c r="GM8" i="54"/>
  <c r="CI8" i="54"/>
  <c r="AK48" i="54"/>
  <c r="HE48" i="54"/>
  <c r="GT36" i="54"/>
  <c r="HJ45" i="54"/>
  <c r="HI45" i="54"/>
  <c r="O9" i="54" a="1"/>
  <c r="O9" i="54" s="1"/>
  <c r="O23" i="54" a="1"/>
  <c r="O23" i="54" s="1"/>
  <c r="S37" i="54"/>
  <c r="GM48" i="54"/>
  <c r="CI48" i="54"/>
  <c r="EV48" i="54"/>
  <c r="EW48" i="54" s="1"/>
  <c r="Q48" i="54" s="1"/>
  <c r="EQ32" i="54"/>
  <c r="EP32" i="54" a="1"/>
  <c r="EP32" i="54" s="1"/>
  <c r="HF47" i="54"/>
  <c r="HG47" i="54" s="1"/>
  <c r="HH47" i="54"/>
  <c r="HT33" i="54"/>
  <c r="DU34" i="54"/>
  <c r="JC35" i="54"/>
  <c r="DV35" i="54"/>
  <c r="DW35" i="54" s="1"/>
  <c r="DW34" i="54"/>
  <c r="JQ12" i="54"/>
  <c r="AK14" i="54"/>
  <c r="HE14" i="54"/>
  <c r="HF13" i="54"/>
  <c r="HG13" i="54" s="1"/>
  <c r="HH13" i="54" s="1"/>
  <c r="HH46" i="54"/>
  <c r="HG30" i="54"/>
  <c r="HG31" i="54"/>
  <c r="GJ38" i="54"/>
  <c r="BN38" i="54"/>
  <c r="GP38" i="54" s="1"/>
  <c r="GQ38" i="54" s="1"/>
  <c r="GR38" i="54" s="1"/>
  <c r="BM39" i="54"/>
  <c r="JQ46" i="54"/>
  <c r="DR55" i="54" a="1"/>
  <c r="DR55" i="54" s="1"/>
  <c r="DT55" i="54" s="1"/>
  <c r="DU55" i="54"/>
  <c r="HT55" i="54" s="1"/>
  <c r="II55" i="54"/>
  <c r="IJ55" i="54" s="1"/>
  <c r="HQ55" i="54"/>
  <c r="GM3" i="54"/>
  <c r="CI3" i="54"/>
  <c r="EV3" i="54"/>
  <c r="EW3" i="54" s="1"/>
  <c r="Q3" i="54" s="1"/>
  <c r="GM4" i="54"/>
  <c r="CI4" i="54"/>
  <c r="EV4" i="54"/>
  <c r="EW4" i="54" s="1"/>
  <c r="Q4" i="54" s="1"/>
  <c r="IF27" i="54"/>
  <c r="IG27" i="54" s="1"/>
  <c r="JR27" i="54"/>
  <c r="HD49" i="54"/>
  <c r="HB49" i="54"/>
  <c r="HC49" i="54" s="1"/>
  <c r="HA50" i="54"/>
  <c r="HR11" i="54"/>
  <c r="HP11" i="54"/>
  <c r="IZ11" i="54" s="1"/>
  <c r="HK11" i="54"/>
  <c r="HI28" i="54"/>
  <c r="HJ28" i="54"/>
  <c r="HH29" i="54"/>
  <c r="GU34" i="54"/>
  <c r="GB34" i="54" s="1"/>
  <c r="JC34" i="54"/>
  <c r="HQ54" i="54" l="1"/>
  <c r="Y17" i="53"/>
  <c r="S38" i="54"/>
  <c r="DK8" i="54"/>
  <c r="DO8" i="54" s="1"/>
  <c r="G8" i="54" s="1"/>
  <c r="DP8" i="54" s="1"/>
  <c r="DQ8" i="54" s="1"/>
  <c r="DY8" i="54"/>
  <c r="HK28" i="54"/>
  <c r="HR28" i="54"/>
  <c r="HP28" i="54"/>
  <c r="IZ28" i="54" s="1"/>
  <c r="DY3" i="54"/>
  <c r="DK3" i="54"/>
  <c r="DO3" i="54" s="1"/>
  <c r="G3" i="54" s="1"/>
  <c r="DP3" i="54" s="1"/>
  <c r="DQ3" i="54" s="1"/>
  <c r="GM23" i="54"/>
  <c r="CI23" i="54"/>
  <c r="EV23" i="54"/>
  <c r="EW23" i="54" s="1"/>
  <c r="Q23" i="54" s="1"/>
  <c r="HD50" i="54"/>
  <c r="HB50" i="54"/>
  <c r="HC50" i="54" s="1"/>
  <c r="HA51" i="54"/>
  <c r="HF14" i="54"/>
  <c r="HG14" i="54" s="1"/>
  <c r="HH14" i="54"/>
  <c r="EQ33" i="54"/>
  <c r="EP33" i="54" a="1"/>
  <c r="EP33" i="54" s="1"/>
  <c r="GT38" i="54"/>
  <c r="HH31" i="54"/>
  <c r="HK12" i="54"/>
  <c r="HR12" i="54"/>
  <c r="HP12" i="54"/>
  <c r="IZ12" i="54" s="1"/>
  <c r="GM16" i="54"/>
  <c r="CI16" i="54"/>
  <c r="EV16" i="54"/>
  <c r="EW16" i="54" s="1"/>
  <c r="Q16" i="54" s="1"/>
  <c r="DY48" i="54"/>
  <c r="DK48" i="54"/>
  <c r="DO48" i="54" s="1"/>
  <c r="G48" i="54" s="1"/>
  <c r="DP48" i="54" s="1"/>
  <c r="DQ48" i="54" s="1"/>
  <c r="W34" i="54"/>
  <c r="DT35" i="54"/>
  <c r="AK49" i="54"/>
  <c r="HE49" i="54"/>
  <c r="HP45" i="54"/>
  <c r="IZ45" i="54" s="1"/>
  <c r="HR45" i="54"/>
  <c r="HK45" i="54"/>
  <c r="GJ39" i="54"/>
  <c r="BM40" i="54"/>
  <c r="BN39" i="54"/>
  <c r="GP39" i="54" s="1"/>
  <c r="JC36" i="54"/>
  <c r="GV36" i="54"/>
  <c r="GW36" i="54" s="1"/>
  <c r="GU36" i="54"/>
  <c r="HO36" i="54" s="1"/>
  <c r="DK4" i="54"/>
  <c r="DO4" i="54" s="1"/>
  <c r="G4" i="54" s="1"/>
  <c r="DP4" i="54" s="1"/>
  <c r="DQ4" i="54" s="1"/>
  <c r="DY4" i="54"/>
  <c r="HT34" i="54"/>
  <c r="DU35" i="54"/>
  <c r="HT35" i="54" s="1"/>
  <c r="DO35" i="54"/>
  <c r="G35" i="54" s="1"/>
  <c r="DP35" i="54" s="1"/>
  <c r="HI47" i="54"/>
  <c r="HJ47" i="54"/>
  <c r="EO10" i="54" a="1"/>
  <c r="EO10" i="54" s="1"/>
  <c r="JQ30" i="54"/>
  <c r="HH30" i="54"/>
  <c r="JQ47" i="54"/>
  <c r="JR47" i="54"/>
  <c r="EO54" i="54" a="1"/>
  <c r="EO54" i="54" s="1"/>
  <c r="W54" i="54"/>
  <c r="HI13" i="54"/>
  <c r="HJ13" i="54"/>
  <c r="IF12" i="54"/>
  <c r="IG12" i="54" s="1"/>
  <c r="GM9" i="54"/>
  <c r="CI9" i="54"/>
  <c r="IF45" i="54"/>
  <c r="IG45" i="54" s="1"/>
  <c r="JR45" i="54"/>
  <c r="GU35" i="54"/>
  <c r="HJ29" i="54"/>
  <c r="HI29" i="54"/>
  <c r="IF28" i="54"/>
  <c r="IG28" i="54" s="1"/>
  <c r="JR28" i="54"/>
  <c r="HI46" i="54"/>
  <c r="HJ46" i="54"/>
  <c r="EO55" i="54" a="1"/>
  <c r="EO55" i="54" s="1"/>
  <c r="W55" i="54"/>
  <c r="JR13" i="54"/>
  <c r="JQ13" i="54"/>
  <c r="HD16" i="54"/>
  <c r="HB16" i="54"/>
  <c r="HC16" i="54" s="1"/>
  <c r="HD17" i="54"/>
  <c r="GM15" i="54"/>
  <c r="CI15" i="54"/>
  <c r="AK15" i="54"/>
  <c r="HE15" i="54"/>
  <c r="HF48" i="54"/>
  <c r="HG48" i="54" s="1"/>
  <c r="GV34" i="54"/>
  <c r="GW34" i="54" s="1"/>
  <c r="GT37" i="54"/>
  <c r="O7" i="54" l="1" a="1"/>
  <c r="O7" i="54" s="1"/>
  <c r="O26" i="54" a="1"/>
  <c r="O26" i="54" s="1"/>
  <c r="GQ39" i="54"/>
  <c r="GR39" i="54" s="1"/>
  <c r="DK16" i="54"/>
  <c r="DO16" i="54" s="1"/>
  <c r="G16" i="54" s="1"/>
  <c r="DP16" i="54" s="1"/>
  <c r="DQ16" i="54" s="1"/>
  <c r="DY16" i="54"/>
  <c r="AK50" i="54"/>
  <c r="HE50" i="54"/>
  <c r="IF13" i="54"/>
  <c r="IG13" i="54" s="1"/>
  <c r="JK3" i="54"/>
  <c r="DR3" i="54" a="1"/>
  <c r="DR3" i="54" s="1"/>
  <c r="DT3" i="54" s="1"/>
  <c r="DU3" i="54"/>
  <c r="HT3" i="54" s="1"/>
  <c r="II3" i="54"/>
  <c r="HQ3" i="54"/>
  <c r="S39" i="54"/>
  <c r="EQ54" i="54"/>
  <c r="EP54" i="54" a="1"/>
  <c r="EP54" i="54" s="1"/>
  <c r="JQ48" i="54"/>
  <c r="HI31" i="54"/>
  <c r="HH32" i="54"/>
  <c r="HF15" i="54"/>
  <c r="HG15" i="54" s="1"/>
  <c r="HH15" i="54"/>
  <c r="DY15" i="54"/>
  <c r="DK15" i="54"/>
  <c r="DO15" i="54" s="1"/>
  <c r="G15" i="54" s="1"/>
  <c r="DP15" i="54" s="1"/>
  <c r="DQ15" i="54" s="1"/>
  <c r="HP29" i="54"/>
  <c r="IZ29" i="54" s="1"/>
  <c r="HK29" i="54"/>
  <c r="HR29" i="54"/>
  <c r="JC38" i="54"/>
  <c r="HP47" i="54"/>
  <c r="IZ47" i="54" s="1"/>
  <c r="HR47" i="54"/>
  <c r="IF46" i="54"/>
  <c r="IG46" i="54" s="1"/>
  <c r="JR46" i="54"/>
  <c r="HJ30" i="54"/>
  <c r="HI30" i="54"/>
  <c r="IF29" i="54"/>
  <c r="IG29" i="54" s="1"/>
  <c r="JR29" i="54"/>
  <c r="HF49" i="54"/>
  <c r="HG49" i="54" s="1"/>
  <c r="GJ40" i="54"/>
  <c r="BN40" i="54"/>
  <c r="GP40" i="54" s="1"/>
  <c r="S40" i="54"/>
  <c r="BM41" i="54"/>
  <c r="GB35" i="54"/>
  <c r="GC35" i="54" s="1"/>
  <c r="GE35" i="54" s="1" a="1"/>
  <c r="GE35" i="54" s="1"/>
  <c r="GF35" i="54" s="1"/>
  <c r="GV35" i="54"/>
  <c r="GW35" i="54" s="1"/>
  <c r="EO35" i="54" a="1"/>
  <c r="EO35" i="54" s="1"/>
  <c r="DR48" i="54" a="1"/>
  <c r="DR48" i="54" s="1"/>
  <c r="DT48" i="54" s="1"/>
  <c r="DU48" i="54"/>
  <c r="HT48" i="54" s="1"/>
  <c r="II48" i="54"/>
  <c r="IJ48" i="54" s="1"/>
  <c r="HI14" i="54"/>
  <c r="JR14" i="54" s="1"/>
  <c r="HJ14" i="54"/>
  <c r="AK16" i="54"/>
  <c r="HE16" i="54"/>
  <c r="DY9" i="54"/>
  <c r="DK9" i="54"/>
  <c r="DO9" i="54" s="1"/>
  <c r="G9" i="54" s="1"/>
  <c r="DP9" i="54" s="1"/>
  <c r="DQ9" i="54" s="1"/>
  <c r="IF47" i="54"/>
  <c r="IG47" i="54" s="1"/>
  <c r="JQ14" i="54"/>
  <c r="HP13" i="54"/>
  <c r="IZ13" i="54" s="1"/>
  <c r="HK13" i="54"/>
  <c r="HO13" i="54"/>
  <c r="HR13" i="54"/>
  <c r="EQ55" i="54"/>
  <c r="EP55" i="54" a="1"/>
  <c r="EP55" i="54" s="1"/>
  <c r="JK4" i="54"/>
  <c r="DR4" i="54" a="1"/>
  <c r="DR4" i="54" s="1"/>
  <c r="DT4" i="54" s="1"/>
  <c r="II4" i="54"/>
  <c r="DU4" i="54"/>
  <c r="HT4" i="54" s="1"/>
  <c r="DK23" i="54"/>
  <c r="DO23" i="54" s="1"/>
  <c r="G23" i="54" s="1"/>
  <c r="DP23" i="54" s="1"/>
  <c r="DQ23" i="54" s="1"/>
  <c r="DY23" i="54"/>
  <c r="JC37" i="54"/>
  <c r="GU37" i="54"/>
  <c r="GU38" i="54" s="1"/>
  <c r="GV37" i="54"/>
  <c r="GW37" i="54" s="1"/>
  <c r="HK46" i="54"/>
  <c r="HK47" i="54" s="1"/>
  <c r="HR46" i="54"/>
  <c r="HP46" i="54"/>
  <c r="IZ46" i="54" s="1"/>
  <c r="HH48" i="54"/>
  <c r="EQ10" i="54"/>
  <c r="BT19" i="53" s="1" a="1"/>
  <c r="BT19" i="53" s="1"/>
  <c r="EP10" i="54" a="1"/>
  <c r="EP10" i="54" s="1"/>
  <c r="BR19" i="53" s="1" a="1"/>
  <c r="BR19" i="53" s="1"/>
  <c r="HD51" i="54"/>
  <c r="HB51" i="54"/>
  <c r="HC51" i="54" s="1"/>
  <c r="HA52" i="54"/>
  <c r="DR8" i="54" a="1"/>
  <c r="DR8" i="54" s="1"/>
  <c r="DT8" i="54" s="1"/>
  <c r="DU8" i="54"/>
  <c r="HT8" i="54" s="1"/>
  <c r="II8" i="54"/>
  <c r="IJ8" i="54" s="1"/>
  <c r="JK5" i="54" l="1"/>
  <c r="HQ4" i="54"/>
  <c r="GM26" i="54"/>
  <c r="EV26" i="54"/>
  <c r="EW26" i="54" s="1"/>
  <c r="Q26" i="54" s="1"/>
  <c r="CI26" i="54"/>
  <c r="CI7" i="54"/>
  <c r="GM7" i="54"/>
  <c r="GB38" i="54"/>
  <c r="HO38" i="54"/>
  <c r="GV38" i="54"/>
  <c r="GW38" i="54" s="1"/>
  <c r="GQ40" i="54"/>
  <c r="GR40" i="54" s="1"/>
  <c r="HK30" i="54"/>
  <c r="HJ31" i="54" s="1"/>
  <c r="HR30" i="54"/>
  <c r="HP30" i="54"/>
  <c r="IZ30" i="54" s="1"/>
  <c r="AK51" i="54"/>
  <c r="HE51" i="54"/>
  <c r="JK6" i="54"/>
  <c r="JQ49" i="54"/>
  <c r="EO8" i="54" a="1"/>
  <c r="EO8" i="54" s="1"/>
  <c r="HD52" i="54"/>
  <c r="HB52" i="54"/>
  <c r="HC52" i="54" s="1"/>
  <c r="HA53" i="54"/>
  <c r="W3" i="54"/>
  <c r="EO3" i="54" a="1"/>
  <c r="EO3" i="54" s="1"/>
  <c r="HI32" i="54"/>
  <c r="HH33" i="54"/>
  <c r="HF16" i="54"/>
  <c r="HF50" i="54"/>
  <c r="HG50" i="54" s="1"/>
  <c r="HP14" i="54"/>
  <c r="IZ14" i="54" s="1"/>
  <c r="HK14" i="54"/>
  <c r="HR14" i="54"/>
  <c r="IF14" i="54"/>
  <c r="IG14" i="54" s="1"/>
  <c r="DR16" i="54" a="1"/>
  <c r="DR16" i="54" s="1"/>
  <c r="DT16" i="54" s="1"/>
  <c r="II16" i="54"/>
  <c r="IJ16" i="54" s="1"/>
  <c r="DU16" i="54"/>
  <c r="HT16" i="54" s="1"/>
  <c r="W48" i="54"/>
  <c r="EO48" i="54" a="1"/>
  <c r="EO48" i="54" s="1"/>
  <c r="HH49" i="54"/>
  <c r="EQ35" i="54"/>
  <c r="EP35" i="54" a="1"/>
  <c r="EP35" i="54" s="1"/>
  <c r="IF30" i="54"/>
  <c r="IG30" i="54" s="1"/>
  <c r="JR30" i="54"/>
  <c r="DR15" i="54" a="1"/>
  <c r="DR15" i="54" s="1"/>
  <c r="DT15" i="54" s="1"/>
  <c r="DU15" i="54"/>
  <c r="HT15" i="54" s="1"/>
  <c r="II15" i="54"/>
  <c r="IJ15" i="54" s="1"/>
  <c r="DR23" i="54" a="1"/>
  <c r="DR23" i="54" s="1"/>
  <c r="DT23" i="54" s="1"/>
  <c r="II23" i="54"/>
  <c r="IJ23" i="54" s="1"/>
  <c r="DU23" i="54"/>
  <c r="HT23" i="54" s="1"/>
  <c r="M6" i="58" a="1"/>
  <c r="M6" i="58" s="1"/>
  <c r="AC3" i="58" a="1"/>
  <c r="AC3" i="58" s="1"/>
  <c r="AC3" i="55" a="1"/>
  <c r="AC3" i="55" s="1"/>
  <c r="HI15" i="54"/>
  <c r="HJ15" i="54"/>
  <c r="DR9" i="54" a="1"/>
  <c r="DR9" i="54" s="1"/>
  <c r="DT9" i="54" s="1"/>
  <c r="II9" i="54"/>
  <c r="IJ9" i="54" s="1"/>
  <c r="DU9" i="54"/>
  <c r="HT9" i="54" s="1"/>
  <c r="HI48" i="54"/>
  <c r="HJ48" i="54"/>
  <c r="IF31" i="54"/>
  <c r="IG31" i="54" s="1"/>
  <c r="HQ48" i="54"/>
  <c r="GJ41" i="54"/>
  <c r="BN41" i="54"/>
  <c r="GP41" i="54" s="1"/>
  <c r="BM42" i="54"/>
  <c r="JR15" i="54"/>
  <c r="JQ15" i="54"/>
  <c r="W4" i="54"/>
  <c r="EO4" i="54" a="1"/>
  <c r="EO4" i="54" s="1"/>
  <c r="GT39" i="54"/>
  <c r="HQ16" i="54" l="1"/>
  <c r="HQ23" i="54"/>
  <c r="S41" i="54"/>
  <c r="DK7" i="54"/>
  <c r="DO7" i="54" s="1"/>
  <c r="G7" i="54" s="1"/>
  <c r="DP7" i="54" s="1"/>
  <c r="DQ7" i="54" s="1"/>
  <c r="DY7" i="54"/>
  <c r="DY26" i="54"/>
  <c r="DK26" i="54"/>
  <c r="DO26" i="54" s="1"/>
  <c r="G26" i="54" s="1"/>
  <c r="DP26" i="54" s="1"/>
  <c r="DQ26" i="54" s="1"/>
  <c r="HH50" i="54"/>
  <c r="GQ41" i="54"/>
  <c r="GR41" i="54" s="1"/>
  <c r="HJ50" i="54"/>
  <c r="HI50" i="54"/>
  <c r="IF50" i="54" s="1"/>
  <c r="IG50" i="54" s="1"/>
  <c r="JA48" i="54"/>
  <c r="HP48" i="54"/>
  <c r="IZ48" i="54" s="1"/>
  <c r="HK48" i="54"/>
  <c r="HO48" i="54"/>
  <c r="HR48" i="54"/>
  <c r="HP31" i="54"/>
  <c r="IZ31" i="54" s="1"/>
  <c r="HK31" i="54"/>
  <c r="HJ32" i="54" s="1"/>
  <c r="EO23" i="54" a="1"/>
  <c r="EO23" i="54" s="1"/>
  <c r="W23" i="54"/>
  <c r="EO16" i="54" a="1"/>
  <c r="EO16" i="54" s="1"/>
  <c r="W16" i="54"/>
  <c r="JQ50" i="54"/>
  <c r="EQ4" i="54"/>
  <c r="EP4" i="54" a="1"/>
  <c r="EP4" i="54" s="1"/>
  <c r="EQ8" i="54"/>
  <c r="BT18" i="53" s="1" a="1"/>
  <c r="BT18" i="53" s="1"/>
  <c r="EP8" i="54" a="1"/>
  <c r="EP8" i="54" s="1"/>
  <c r="BR18" i="53" s="1" a="1"/>
  <c r="BR18" i="53" s="1"/>
  <c r="EO15" i="54" a="1"/>
  <c r="EO15" i="54" s="1"/>
  <c r="HG16" i="54"/>
  <c r="HG17" i="54"/>
  <c r="HD53" i="54"/>
  <c r="HB53" i="54"/>
  <c r="HC53" i="54" s="1"/>
  <c r="HA54" i="54"/>
  <c r="AK52" i="54"/>
  <c r="HE52" i="54"/>
  <c r="EO9" i="54" a="1"/>
  <c r="EO9" i="54" s="1"/>
  <c r="HP15" i="54"/>
  <c r="IZ15" i="54" s="1"/>
  <c r="HK15" i="54"/>
  <c r="HR15" i="54"/>
  <c r="HI33" i="54"/>
  <c r="HH34" i="54"/>
  <c r="EQ3" i="54"/>
  <c r="EP3" i="54" a="1"/>
  <c r="EP3" i="54" s="1"/>
  <c r="IF15" i="54"/>
  <c r="IG15" i="54" s="1"/>
  <c r="JR32" i="54"/>
  <c r="HJ49" i="54"/>
  <c r="HI49" i="54"/>
  <c r="EQ48" i="54"/>
  <c r="EP48" i="54" a="1"/>
  <c r="EP48" i="54" s="1"/>
  <c r="GV39" i="54"/>
  <c r="GW39" i="54" s="1"/>
  <c r="JC39" i="54"/>
  <c r="GU39" i="54"/>
  <c r="IF48" i="54"/>
  <c r="IG48" i="54" s="1"/>
  <c r="JR48" i="54"/>
  <c r="GT40" i="54"/>
  <c r="GJ42" i="54"/>
  <c r="BN42" i="54"/>
  <c r="GP42" i="54" s="1"/>
  <c r="S42" i="54"/>
  <c r="BM43" i="54"/>
  <c r="G9" i="55" a="1"/>
  <c r="G9" i="55" s="1"/>
  <c r="C74" i="55" a="1"/>
  <c r="C74" i="55" s="1"/>
  <c r="G53" i="55" a="1"/>
  <c r="G53" i="55" s="1"/>
  <c r="C42" i="55" a="1"/>
  <c r="C42" i="55" s="1"/>
  <c r="D42" i="55" a="1"/>
  <c r="D42" i="55" s="1"/>
  <c r="D20" i="55" a="1"/>
  <c r="D20" i="55" s="1"/>
  <c r="C53" i="55" a="1"/>
  <c r="C53" i="55" s="1"/>
  <c r="F9" i="55" a="1"/>
  <c r="F9" i="55" s="1"/>
  <c r="F53" i="55" a="1"/>
  <c r="F53" i="55" s="1"/>
  <c r="D9" i="55" a="1"/>
  <c r="D9" i="55" s="1"/>
  <c r="D31" i="55" a="1"/>
  <c r="D31" i="55" s="1"/>
  <c r="E53" i="55" a="1"/>
  <c r="E53" i="55" s="1"/>
  <c r="C5" i="55" a="1"/>
  <c r="C5" i="55" s="1"/>
  <c r="D53" i="55" a="1"/>
  <c r="D53" i="55" s="1"/>
  <c r="E9" i="55" a="1"/>
  <c r="E9" i="55" s="1"/>
  <c r="HF51" i="54"/>
  <c r="HG51" i="54" s="1"/>
  <c r="JR50" i="54" l="1"/>
  <c r="DU26" i="54"/>
  <c r="HT26" i="54" s="1"/>
  <c r="II26" i="54"/>
  <c r="IJ26" i="54" s="1"/>
  <c r="JK26" i="54"/>
  <c r="DR26" i="54" a="1"/>
  <c r="DR26" i="54" s="1"/>
  <c r="JK56" i="54"/>
  <c r="JK14" i="54"/>
  <c r="JK11" i="54"/>
  <c r="JK52" i="54"/>
  <c r="JK55" i="54"/>
  <c r="JK48" i="54"/>
  <c r="JK54" i="54"/>
  <c r="JK43" i="54"/>
  <c r="JK40" i="54"/>
  <c r="JK53" i="54"/>
  <c r="JK37" i="54"/>
  <c r="JK31" i="54"/>
  <c r="JK42" i="54"/>
  <c r="JK24" i="54"/>
  <c r="JK44" i="54"/>
  <c r="JK41" i="54"/>
  <c r="DR7" i="54" a="1"/>
  <c r="DR7" i="54" s="1"/>
  <c r="DT7" i="54" s="1"/>
  <c r="EO7" i="54" s="1" a="1"/>
  <c r="EO7" i="54" s="1"/>
  <c r="DU7" i="54"/>
  <c r="HT7" i="54" s="1"/>
  <c r="II7" i="54"/>
  <c r="IJ7" i="54" s="1"/>
  <c r="JK25" i="54"/>
  <c r="JK57" i="54"/>
  <c r="JK15" i="54"/>
  <c r="JK51" i="54"/>
  <c r="JK47" i="54"/>
  <c r="JK21" i="54"/>
  <c r="JK17" i="54"/>
  <c r="JK45" i="54"/>
  <c r="JK28" i="54"/>
  <c r="JK46" i="54"/>
  <c r="JK16" i="54"/>
  <c r="JK23" i="54"/>
  <c r="JK50" i="54"/>
  <c r="JK7" i="54"/>
  <c r="JK27" i="54"/>
  <c r="JK36" i="54"/>
  <c r="JQ16" i="54"/>
  <c r="JQ31" i="54"/>
  <c r="HH16" i="54"/>
  <c r="EQ9" i="54"/>
  <c r="BT16" i="53" s="1" a="1"/>
  <c r="BT16" i="53" s="1"/>
  <c r="EP9" i="54" a="1"/>
  <c r="EP9" i="54" s="1"/>
  <c r="BR16" i="53" s="1" a="1"/>
  <c r="BR16" i="53" s="1"/>
  <c r="C79" i="55"/>
  <c r="D5" i="55"/>
  <c r="HP49" i="54"/>
  <c r="IZ49" i="54" s="1"/>
  <c r="HK49" i="54"/>
  <c r="HK50" i="54" s="1"/>
  <c r="HR49" i="54"/>
  <c r="HI34" i="54"/>
  <c r="HH35" i="54"/>
  <c r="EQ16" i="54"/>
  <c r="EP16" i="54" a="1"/>
  <c r="EP16" i="54" s="1"/>
  <c r="HP50" i="54"/>
  <c r="IZ50" i="54" s="1"/>
  <c r="HR50" i="54"/>
  <c r="C78" i="55"/>
  <c r="C75" i="55"/>
  <c r="C76" i="55" s="1" a="1"/>
  <c r="C76" i="55" s="1"/>
  <c r="C77" i="55" s="1"/>
  <c r="GT42" i="54"/>
  <c r="IF33" i="54"/>
  <c r="IG33" i="54" s="1"/>
  <c r="JR33" i="54"/>
  <c r="AK53" i="54"/>
  <c r="HE53" i="54"/>
  <c r="GV40" i="54"/>
  <c r="GW40" i="54" s="1"/>
  <c r="JC40" i="54"/>
  <c r="GU40" i="54"/>
  <c r="EQ15" i="54"/>
  <c r="BT15" i="53" s="1" a="1"/>
  <c r="BT15" i="53" s="1"/>
  <c r="EP15" i="54" a="1"/>
  <c r="EP15" i="54" s="1"/>
  <c r="BR15" i="53" s="1" a="1"/>
  <c r="BR15" i="53" s="1"/>
  <c r="HP32" i="54"/>
  <c r="IZ32" i="54" s="1"/>
  <c r="HK32" i="54"/>
  <c r="HJ33" i="54" s="1"/>
  <c r="JQ51" i="54"/>
  <c r="HH51" i="54"/>
  <c r="EQ7" i="54"/>
  <c r="BT17" i="53" s="1" a="1"/>
  <c r="BT17" i="53" s="1"/>
  <c r="EP7" i="54" a="1"/>
  <c r="EP7" i="54" s="1"/>
  <c r="BR17" i="53" s="1" a="1"/>
  <c r="BR17" i="53" s="1"/>
  <c r="HF52" i="54"/>
  <c r="HG52" i="54" s="1"/>
  <c r="GJ43" i="54"/>
  <c r="BN43" i="54"/>
  <c r="GP43" i="54" s="1"/>
  <c r="S43" i="54"/>
  <c r="BM44" i="54"/>
  <c r="IF49" i="54"/>
  <c r="IG49" i="54" s="1"/>
  <c r="JR49" i="54"/>
  <c r="HD54" i="54"/>
  <c r="HB54" i="54"/>
  <c r="HC54" i="54" s="1"/>
  <c r="HA55" i="54"/>
  <c r="GQ42" i="54"/>
  <c r="GR42" i="54" s="1"/>
  <c r="IF32" i="54"/>
  <c r="IG32" i="54" s="1"/>
  <c r="JQ17" i="54"/>
  <c r="HH17" i="54"/>
  <c r="EQ23" i="54"/>
  <c r="EP23" i="54" a="1"/>
  <c r="EP23" i="54" s="1"/>
  <c r="GT41" i="54"/>
  <c r="DT26" i="54" l="1"/>
  <c r="HQ26" i="54" s="1"/>
  <c r="JK8" i="54"/>
  <c r="GQ43" i="54"/>
  <c r="GR43" i="54" s="1"/>
  <c r="HJ51" i="54"/>
  <c r="HI51" i="54"/>
  <c r="GJ44" i="54"/>
  <c r="BN44" i="54"/>
  <c r="GP44" i="54" s="1"/>
  <c r="S44" i="54"/>
  <c r="BM45" i="54"/>
  <c r="HP33" i="54"/>
  <c r="IZ33" i="54" s="1"/>
  <c r="HK33" i="54"/>
  <c r="HJ34" i="54" s="1"/>
  <c r="C31" i="55" a="1"/>
  <c r="C31" i="55" s="1"/>
  <c r="C64" i="55" a="1"/>
  <c r="C64" i="55" s="1"/>
  <c r="C20" i="55" a="1"/>
  <c r="C20" i="55" s="1"/>
  <c r="H9" i="55" a="1"/>
  <c r="H9" i="55" s="1"/>
  <c r="C9" i="55" a="1"/>
  <c r="C9" i="55" s="1"/>
  <c r="BS18" i="53" a="1"/>
  <c r="BS18" i="53" s="1"/>
  <c r="BS14" i="53" a="1"/>
  <c r="BS14" i="53" s="1"/>
  <c r="BS16" i="53" a="1"/>
  <c r="BS16" i="53" s="1"/>
  <c r="BS17" i="53" a="1"/>
  <c r="BS17" i="53" s="1"/>
  <c r="BS15" i="53" a="1"/>
  <c r="BS15" i="53" s="1"/>
  <c r="BS19" i="53" a="1"/>
  <c r="BS19" i="53" s="1"/>
  <c r="AK54" i="54"/>
  <c r="HE54" i="54"/>
  <c r="HF53" i="54"/>
  <c r="HG53" i="54" s="1"/>
  <c r="HI35" i="54"/>
  <c r="BU19" i="53" a="1"/>
  <c r="BU19" i="53" s="1"/>
  <c r="BU16" i="53" a="1"/>
  <c r="BU16" i="53" s="1"/>
  <c r="BU17" i="53" a="1"/>
  <c r="BU17" i="53" s="1"/>
  <c r="BU14" i="53" a="1"/>
  <c r="BU14" i="53" s="1"/>
  <c r="BU18" i="53" a="1"/>
  <c r="BU18" i="53" s="1"/>
  <c r="BU15" i="53" a="1"/>
  <c r="BU15" i="53" s="1"/>
  <c r="JQ52" i="54"/>
  <c r="HD55" i="54"/>
  <c r="HB55" i="54"/>
  <c r="HC55" i="54" s="1"/>
  <c r="HA56" i="54"/>
  <c r="HH52" i="54"/>
  <c r="GU42" i="54"/>
  <c r="JC42" i="54"/>
  <c r="GV42" i="54"/>
  <c r="GV41" i="54"/>
  <c r="JC41" i="54"/>
  <c r="GU41" i="54"/>
  <c r="HI17" i="54"/>
  <c r="HH18" i="54"/>
  <c r="HI16" i="54"/>
  <c r="HJ16" i="54"/>
  <c r="JR34" i="54"/>
  <c r="JA42" i="54" l="1"/>
  <c r="JK9" i="54"/>
  <c r="JK10" i="54" s="1"/>
  <c r="EO26" i="54" a="1"/>
  <c r="EO26" i="54" s="1"/>
  <c r="W26" i="54"/>
  <c r="GQ44" i="54"/>
  <c r="GR44" i="54" s="1"/>
  <c r="JQ53" i="54"/>
  <c r="HH53" i="54"/>
  <c r="EF26" i="54"/>
  <c r="EF42" i="54"/>
  <c r="EF27" i="54"/>
  <c r="EF43" i="54"/>
  <c r="EF28" i="54"/>
  <c r="EF44" i="54"/>
  <c r="EF29" i="54"/>
  <c r="EF34" i="54"/>
  <c r="EF35" i="54"/>
  <c r="EF36" i="54"/>
  <c r="EF37" i="54"/>
  <c r="EF33" i="54"/>
  <c r="EF31" i="54"/>
  <c r="EF32" i="54"/>
  <c r="EF30" i="54"/>
  <c r="EF45" i="54"/>
  <c r="EF38" i="54"/>
  <c r="EF39" i="54"/>
  <c r="EF40" i="54"/>
  <c r="EF41" i="54"/>
  <c r="EF46" i="54"/>
  <c r="EF47" i="54"/>
  <c r="JA16" i="54"/>
  <c r="HP16" i="54"/>
  <c r="IZ16" i="54" s="1"/>
  <c r="HK16" i="54"/>
  <c r="HJ17" i="54" s="1"/>
  <c r="HR16" i="54"/>
  <c r="HO16" i="54"/>
  <c r="IF51" i="54"/>
  <c r="IG51" i="54" s="1"/>
  <c r="JR51" i="54"/>
  <c r="HP34" i="54"/>
  <c r="IZ34" i="54" s="1"/>
  <c r="HO34" i="54"/>
  <c r="JA34" i="54"/>
  <c r="HK34" i="54"/>
  <c r="HJ35" i="54" s="1"/>
  <c r="HD56" i="54"/>
  <c r="HB56" i="54"/>
  <c r="HC56" i="54" s="1"/>
  <c r="HA57" i="54"/>
  <c r="EF16" i="54"/>
  <c r="EF17" i="54"/>
  <c r="EF20" i="54"/>
  <c r="EF22" i="54"/>
  <c r="EF21" i="54"/>
  <c r="EF19" i="54"/>
  <c r="EF18" i="54"/>
  <c r="EG17" i="54"/>
  <c r="EM17" i="54" s="1" a="1"/>
  <c r="EM17" i="54" s="1"/>
  <c r="J17" i="54" s="1"/>
  <c r="EN17" i="54" s="1"/>
  <c r="EG18" i="54"/>
  <c r="EM18" i="54" s="1" a="1"/>
  <c r="EM18" i="54" s="1"/>
  <c r="J18" i="54" s="1"/>
  <c r="EN18" i="54" s="1"/>
  <c r="EG19" i="54"/>
  <c r="EM19" i="54" s="1" a="1"/>
  <c r="EM19" i="54" s="1"/>
  <c r="J19" i="54" s="1"/>
  <c r="EN19" i="54" s="1"/>
  <c r="EG21" i="54"/>
  <c r="EM21" i="54" s="1" a="1"/>
  <c r="EM21" i="54" s="1"/>
  <c r="J21" i="54" s="1"/>
  <c r="EN21" i="54" s="1"/>
  <c r="EG22" i="54"/>
  <c r="EM22" i="54" s="1" a="1"/>
  <c r="EM22" i="54" s="1"/>
  <c r="J22" i="54" s="1"/>
  <c r="EN22" i="54" s="1"/>
  <c r="EG20" i="54"/>
  <c r="EM20" i="54" s="1" a="1"/>
  <c r="EM20" i="54" s="1"/>
  <c r="J20" i="54" s="1"/>
  <c r="EN20" i="54" s="1"/>
  <c r="EG16" i="54"/>
  <c r="EM16" i="54" s="1" a="1"/>
  <c r="EM16" i="54" s="1"/>
  <c r="EG49" i="54"/>
  <c r="EG50" i="54"/>
  <c r="EM50" i="54" s="1" a="1"/>
  <c r="EM50" i="54" s="1"/>
  <c r="J50" i="54" s="1"/>
  <c r="EN50" i="54" s="1"/>
  <c r="EG51" i="54"/>
  <c r="EM51" i="54" s="1" a="1"/>
  <c r="EM51" i="54" s="1"/>
  <c r="J51" i="54" s="1"/>
  <c r="EN51" i="54" s="1"/>
  <c r="EG48" i="54"/>
  <c r="EM48" i="54" s="1" a="1"/>
  <c r="EM48" i="54" s="1"/>
  <c r="EG52" i="54"/>
  <c r="EM52" i="54" s="1" a="1"/>
  <c r="EM52" i="54" s="1"/>
  <c r="J52" i="54" s="1"/>
  <c r="EN52" i="54" s="1"/>
  <c r="EG53" i="54"/>
  <c r="EG33" i="54"/>
  <c r="EG34" i="54"/>
  <c r="EG35" i="54"/>
  <c r="EG43" i="54"/>
  <c r="EG26" i="54"/>
  <c r="EM26" i="54" s="1" a="1"/>
  <c r="EM26" i="54" s="1"/>
  <c r="EG46" i="54"/>
  <c r="EG27" i="54"/>
  <c r="EG47" i="54"/>
  <c r="EG28" i="54"/>
  <c r="EG29" i="54"/>
  <c r="EG36" i="54"/>
  <c r="EG30" i="54"/>
  <c r="EM30" i="54" s="1" a="1"/>
  <c r="EM30" i="54" s="1"/>
  <c r="J30" i="54" s="1"/>
  <c r="EN30" i="54" s="1"/>
  <c r="EG31" i="54"/>
  <c r="EM31" i="54" s="1" a="1"/>
  <c r="EM31" i="54" s="1"/>
  <c r="J31" i="54" s="1"/>
  <c r="EN31" i="54" s="1"/>
  <c r="EG32" i="54"/>
  <c r="EM32" i="54" s="1" a="1"/>
  <c r="EM32" i="54" s="1"/>
  <c r="J32" i="54" s="1"/>
  <c r="EN32" i="54" s="1"/>
  <c r="EG37" i="54"/>
  <c r="EM37" i="54" s="1" a="1"/>
  <c r="EM37" i="54" s="1"/>
  <c r="J37" i="54" s="1"/>
  <c r="EN37" i="54" s="1"/>
  <c r="EG38" i="54"/>
  <c r="EG41" i="54"/>
  <c r="EG44" i="54"/>
  <c r="EG39" i="54"/>
  <c r="EG40" i="54"/>
  <c r="EG42" i="54"/>
  <c r="EG45" i="54"/>
  <c r="HP51" i="54"/>
  <c r="IZ51" i="54" s="1"/>
  <c r="HK51" i="54"/>
  <c r="HR51" i="54"/>
  <c r="HJ52" i="54"/>
  <c r="HI52" i="54"/>
  <c r="HF54" i="54"/>
  <c r="HG54" i="54" s="1"/>
  <c r="GJ45" i="54"/>
  <c r="BN45" i="54"/>
  <c r="GP45" i="54" s="1"/>
  <c r="S45" i="54"/>
  <c r="BM46" i="54"/>
  <c r="AK55" i="54"/>
  <c r="HE55" i="54"/>
  <c r="EF23" i="54"/>
  <c r="EF24" i="54"/>
  <c r="EF25" i="54"/>
  <c r="IF16" i="54"/>
  <c r="IG16" i="54" s="1"/>
  <c r="JR16" i="54"/>
  <c r="EF10" i="54"/>
  <c r="EF11" i="54"/>
  <c r="EF12" i="54"/>
  <c r="EF7" i="54"/>
  <c r="EF14" i="54"/>
  <c r="EF15" i="54"/>
  <c r="EF3" i="54"/>
  <c r="EF4" i="54"/>
  <c r="EF5" i="54"/>
  <c r="EF6" i="54"/>
  <c r="EF8" i="54"/>
  <c r="EF9" i="54"/>
  <c r="EF13" i="54"/>
  <c r="HI18" i="54"/>
  <c r="HH19" i="54"/>
  <c r="EF53" i="54"/>
  <c r="EF50" i="54"/>
  <c r="EF51" i="54"/>
  <c r="EF52" i="54"/>
  <c r="EF48" i="54"/>
  <c r="EF49" i="54"/>
  <c r="EG3" i="54"/>
  <c r="EM3" i="54" s="1" a="1"/>
  <c r="EM3" i="54" s="1"/>
  <c r="EG5" i="54"/>
  <c r="EG7" i="54"/>
  <c r="EM7" i="54" s="1" a="1"/>
  <c r="EM7" i="54" s="1"/>
  <c r="J7" i="54" s="1"/>
  <c r="EN7" i="54" s="1"/>
  <c r="EG4" i="54"/>
  <c r="EM4" i="54" s="1" a="1"/>
  <c r="EM4" i="54" s="1"/>
  <c r="EG6" i="54"/>
  <c r="EM6" i="54" s="1" a="1"/>
  <c r="EM6" i="54" s="1"/>
  <c r="J6" i="54" s="1"/>
  <c r="EN6" i="54" s="1"/>
  <c r="EG8" i="54"/>
  <c r="EM8" i="54" s="1" a="1"/>
  <c r="EM8" i="54" s="1"/>
  <c r="J8" i="54" s="1"/>
  <c r="EN8" i="54" s="1"/>
  <c r="EG11" i="54"/>
  <c r="EG12" i="54"/>
  <c r="EG13" i="54"/>
  <c r="EM13" i="54" s="1" a="1"/>
  <c r="EM13" i="54" s="1"/>
  <c r="EG14" i="54"/>
  <c r="EG15" i="54"/>
  <c r="EG9" i="54"/>
  <c r="EG10" i="54"/>
  <c r="EF54" i="54"/>
  <c r="EF55" i="54"/>
  <c r="EF56" i="54"/>
  <c r="EF57" i="54"/>
  <c r="IF34" i="54"/>
  <c r="IG34" i="54" s="1"/>
  <c r="JA41" i="54"/>
  <c r="HO41" i="54"/>
  <c r="EG24" i="54"/>
  <c r="EG25" i="54"/>
  <c r="EG23" i="54"/>
  <c r="EM23" i="54" s="1" a="1"/>
  <c r="EM23" i="54" s="1"/>
  <c r="EG54" i="54"/>
  <c r="EM54" i="54" s="1" a="1"/>
  <c r="EM54" i="54" s="1"/>
  <c r="EG55" i="54"/>
  <c r="EM55" i="54" s="1" a="1"/>
  <c r="EM55" i="54" s="1"/>
  <c r="EG56" i="54"/>
  <c r="EG57" i="54"/>
  <c r="GW41" i="54"/>
  <c r="IL41" i="54"/>
  <c r="IM41" i="54" s="1"/>
  <c r="JR35" i="54"/>
  <c r="GW42" i="54"/>
  <c r="IL42" i="54"/>
  <c r="GT43" i="54"/>
  <c r="EM5" i="54" l="1" a="1"/>
  <c r="EM5" i="54" s="1"/>
  <c r="J5" i="54" s="1"/>
  <c r="EN5" i="54" s="1"/>
  <c r="EM49" i="54" a="1"/>
  <c r="EM49" i="54" s="1"/>
  <c r="J49" i="54" s="1"/>
  <c r="EN49" i="54" s="1"/>
  <c r="EM28" i="54" a="1"/>
  <c r="EM28" i="54" s="1"/>
  <c r="J28" i="54" s="1"/>
  <c r="EN28" i="54" s="1"/>
  <c r="EM15" i="54" a="1"/>
  <c r="EM15" i="54" s="1"/>
  <c r="J15" i="54" s="1"/>
  <c r="EN15" i="54" s="1"/>
  <c r="EM45" i="54" a="1"/>
  <c r="EM45" i="54" s="1"/>
  <c r="J45" i="54" s="1"/>
  <c r="EN45" i="54" s="1"/>
  <c r="ER45" i="54" s="1"/>
  <c r="EM42" i="54" a="1"/>
  <c r="EM42" i="54" s="1"/>
  <c r="J42" i="54" s="1"/>
  <c r="EN42" i="54" s="1"/>
  <c r="ES42" i="54" s="1"/>
  <c r="EM56" i="54" a="1"/>
  <c r="EM56" i="54" s="1"/>
  <c r="J56" i="54" s="1"/>
  <c r="EN56" i="54" s="1"/>
  <c r="FB56" i="54" s="1"/>
  <c r="EP26" i="54" a="1"/>
  <c r="EP26" i="54" s="1"/>
  <c r="EQ26" i="54"/>
  <c r="EM33" i="54" a="1"/>
  <c r="EM33" i="54" s="1"/>
  <c r="J33" i="54" s="1"/>
  <c r="EN33" i="54" s="1"/>
  <c r="EY33" i="54" s="1"/>
  <c r="R33" i="54" s="1"/>
  <c r="JK12" i="54"/>
  <c r="JK13" i="54" s="1"/>
  <c r="JK30" i="54" s="1"/>
  <c r="JK39" i="54" s="1"/>
  <c r="JK49" i="54" s="1"/>
  <c r="EM27" i="54" a="1"/>
  <c r="EM27" i="54" s="1"/>
  <c r="J27" i="54" s="1"/>
  <c r="EN27" i="54" s="1"/>
  <c r="ES27" i="54" s="1"/>
  <c r="EM14" i="54" a="1"/>
  <c r="EM14" i="54" s="1"/>
  <c r="J14" i="54" s="1"/>
  <c r="EN14" i="54" s="1"/>
  <c r="FB14" i="54" s="1"/>
  <c r="EM12" i="54" a="1"/>
  <c r="EM12" i="54" s="1"/>
  <c r="J12" i="54" s="1"/>
  <c r="EN12" i="54" s="1"/>
  <c r="FB12" i="54" s="1"/>
  <c r="EM11" i="54" a="1"/>
  <c r="EM11" i="54" s="1"/>
  <c r="J11" i="54" s="1"/>
  <c r="EN11" i="54" s="1"/>
  <c r="FA11" i="54" s="1"/>
  <c r="GQ45" i="54"/>
  <c r="GR45" i="54" s="1"/>
  <c r="JQ54" i="54"/>
  <c r="HI19" i="54"/>
  <c r="HH20" i="54"/>
  <c r="HH54" i="54"/>
  <c r="ER51" i="54"/>
  <c r="ES51" i="54"/>
  <c r="FB51" i="54"/>
  <c r="FA51" i="54"/>
  <c r="EY51" i="54"/>
  <c r="R51" i="54" s="1"/>
  <c r="GS51" i="54"/>
  <c r="HQ51" i="54" s="1"/>
  <c r="ES50" i="54"/>
  <c r="FB50" i="54"/>
  <c r="ER50" i="54"/>
  <c r="EV50" i="54" s="1"/>
  <c r="EW50" i="54" s="1"/>
  <c r="GS50" i="54"/>
  <c r="HQ50" i="54" s="1"/>
  <c r="EY50" i="54"/>
  <c r="R50" i="54" s="1"/>
  <c r="FA50" i="54"/>
  <c r="FB49" i="54"/>
  <c r="ES49" i="54"/>
  <c r="ER49" i="54"/>
  <c r="EV49" i="54" s="1"/>
  <c r="EW49" i="54" s="1"/>
  <c r="EY49" i="54"/>
  <c r="R49" i="54" s="1"/>
  <c r="FA49" i="54"/>
  <c r="GS49" i="54"/>
  <c r="HQ49" i="54" s="1"/>
  <c r="EM29" i="54" a="1"/>
  <c r="EM29" i="54" s="1"/>
  <c r="J29" i="54" s="1"/>
  <c r="EN29" i="54" s="1"/>
  <c r="AK56" i="54"/>
  <c r="HE56" i="54"/>
  <c r="FB20" i="54"/>
  <c r="ER20" i="54"/>
  <c r="EV20" i="54" s="1"/>
  <c r="ES20" i="54"/>
  <c r="W20" i="54"/>
  <c r="FC20" i="54"/>
  <c r="FD20" i="54" s="1"/>
  <c r="HS20" i="54" s="1"/>
  <c r="HU20" i="54" s="1"/>
  <c r="EY20" i="54"/>
  <c r="R20" i="54" s="1"/>
  <c r="FA20" i="54"/>
  <c r="GS20" i="54"/>
  <c r="HQ20" i="54" s="1"/>
  <c r="HK35" i="54"/>
  <c r="HP35" i="54"/>
  <c r="IZ35" i="54" s="1"/>
  <c r="GV43" i="54"/>
  <c r="GW43" i="54" s="1"/>
  <c r="GU43" i="54"/>
  <c r="JC43" i="54"/>
  <c r="ER21" i="54"/>
  <c r="EV21" i="54" s="1"/>
  <c r="ES21" i="54"/>
  <c r="FB21" i="54"/>
  <c r="W21" i="54"/>
  <c r="FC21" i="54"/>
  <c r="FD21" i="54" s="1"/>
  <c r="HS21" i="54" s="1"/>
  <c r="HU21" i="54" s="1"/>
  <c r="FA21" i="54"/>
  <c r="GS21" i="54"/>
  <c r="HQ21" i="54" s="1"/>
  <c r="EY21" i="54"/>
  <c r="R21" i="54" s="1"/>
  <c r="FB18" i="54"/>
  <c r="ER18" i="54"/>
  <c r="EV18" i="54" s="1"/>
  <c r="ES18" i="54"/>
  <c r="W18" i="54"/>
  <c r="FC18" i="54"/>
  <c r="FD18" i="54" s="1"/>
  <c r="HS18" i="54" s="1"/>
  <c r="HU18" i="54" s="1"/>
  <c r="GS18" i="54"/>
  <c r="HQ18" i="54" s="1"/>
  <c r="EY18" i="54"/>
  <c r="FA18" i="54"/>
  <c r="R18" i="54"/>
  <c r="EM43" i="54" a="1"/>
  <c r="EM43" i="54" s="1"/>
  <c r="J43" i="54" s="1"/>
  <c r="EN43" i="54" s="1"/>
  <c r="EM39" i="54" a="1"/>
  <c r="EM39" i="54" s="1"/>
  <c r="J39" i="54" s="1"/>
  <c r="EN39" i="54" s="1"/>
  <c r="EM35" i="54" a="1"/>
  <c r="EM35" i="54" s="1"/>
  <c r="J35" i="54" s="1"/>
  <c r="EN35" i="54" s="1"/>
  <c r="FB52" i="54"/>
  <c r="ER52" i="54"/>
  <c r="ES52" i="54"/>
  <c r="FA52" i="54"/>
  <c r="GS52" i="54"/>
  <c r="HQ52" i="54" s="1"/>
  <c r="EY52" i="54"/>
  <c r="R52" i="54" s="1"/>
  <c r="IF18" i="54"/>
  <c r="JR18" i="54"/>
  <c r="HK52" i="54"/>
  <c r="HR52" i="54"/>
  <c r="HP52" i="54"/>
  <c r="IZ52" i="54" s="1"/>
  <c r="HD57" i="54"/>
  <c r="HB57" i="54"/>
  <c r="HC57" i="54" s="1"/>
  <c r="EM36" i="54" a="1"/>
  <c r="EM36" i="54" s="1"/>
  <c r="ES7" i="54"/>
  <c r="FB7" i="54"/>
  <c r="BP17" i="53" s="1" a="1"/>
  <c r="BP17" i="53" s="1"/>
  <c r="ER7" i="54"/>
  <c r="EV7" i="54" s="1"/>
  <c r="EW7" i="54" s="1"/>
  <c r="FA7" i="54"/>
  <c r="BL17" i="53" s="1" a="1"/>
  <c r="BL17" i="53" s="1"/>
  <c r="GS7" i="54"/>
  <c r="HQ7" i="54" s="1"/>
  <c r="EY7" i="54"/>
  <c r="EZ7" i="54" s="1"/>
  <c r="R7" i="54"/>
  <c r="ER5" i="54"/>
  <c r="ES5" i="54"/>
  <c r="FB5" i="54"/>
  <c r="FA5" i="54"/>
  <c r="EY5" i="54"/>
  <c r="GS5" i="54"/>
  <c r="HQ5" i="54" s="1"/>
  <c r="R5" i="54"/>
  <c r="GJ46" i="54"/>
  <c r="BN46" i="54"/>
  <c r="S46" i="54" s="1"/>
  <c r="BM47" i="54"/>
  <c r="EM46" i="54" a="1"/>
  <c r="EM46" i="54" s="1"/>
  <c r="J46" i="54" s="1"/>
  <c r="EN46" i="54" s="1"/>
  <c r="EM40" i="54" a="1"/>
  <c r="EM40" i="54" s="1"/>
  <c r="J40" i="54" s="1"/>
  <c r="EN40" i="54" s="1"/>
  <c r="FB17" i="54"/>
  <c r="ES17" i="54"/>
  <c r="ER17" i="54"/>
  <c r="EV17" i="54" s="1"/>
  <c r="GS17" i="54"/>
  <c r="HQ17" i="54" s="1"/>
  <c r="FC17" i="54"/>
  <c r="FD17" i="54" s="1"/>
  <c r="HS17" i="54" s="1"/>
  <c r="HU17" i="54" s="1"/>
  <c r="W17" i="54"/>
  <c r="FA17" i="54"/>
  <c r="EY17" i="54"/>
  <c r="R17" i="54"/>
  <c r="HJ53" i="54"/>
  <c r="HI53" i="54"/>
  <c r="IF35" i="54"/>
  <c r="IG35" i="54" s="1"/>
  <c r="IT41" i="54" a="1"/>
  <c r="IT41" i="54" s="1"/>
  <c r="IU41" i="54" s="1"/>
  <c r="IX41" i="54" a="1"/>
  <c r="IX41" i="54" s="1"/>
  <c r="IY41" i="54" s="1"/>
  <c r="IN41" i="54" a="1"/>
  <c r="IN41" i="54" s="1"/>
  <c r="IO41" i="54" s="1"/>
  <c r="IV41" i="54" a="1"/>
  <c r="IV41" i="54" s="1"/>
  <c r="IW41" i="54" s="1"/>
  <c r="IP41" i="54" a="1"/>
  <c r="IP41" i="54" s="1"/>
  <c r="IQ41" i="54" s="1"/>
  <c r="IR41" i="54" a="1"/>
  <c r="IR41" i="54" s="1"/>
  <c r="IS41" i="54" s="1"/>
  <c r="EM10" i="54" a="1"/>
  <c r="EM10" i="54" s="1"/>
  <c r="J10" i="54" s="1"/>
  <c r="EN10" i="54" s="1"/>
  <c r="JR17" i="54"/>
  <c r="ER37" i="54"/>
  <c r="ES37" i="54"/>
  <c r="FB37" i="54"/>
  <c r="GS37" i="54"/>
  <c r="HQ37" i="54" s="1"/>
  <c r="FA37" i="54"/>
  <c r="EY37" i="54"/>
  <c r="R37" i="54" s="1"/>
  <c r="FB32" i="54"/>
  <c r="ES32" i="54"/>
  <c r="ER32" i="54"/>
  <c r="EV32" i="54" s="1"/>
  <c r="EW32" i="54" s="1"/>
  <c r="EY32" i="54"/>
  <c r="R32" i="54" s="1"/>
  <c r="GS32" i="54"/>
  <c r="HQ32" i="54" s="1"/>
  <c r="FA32" i="54"/>
  <c r="ES31" i="54"/>
  <c r="ER31" i="54"/>
  <c r="EV31" i="54" s="1"/>
  <c r="EW31" i="54" s="1"/>
  <c r="FB31" i="54"/>
  <c r="GS31" i="54"/>
  <c r="HQ31" i="54" s="1"/>
  <c r="EY31" i="54"/>
  <c r="R31" i="54" s="1"/>
  <c r="FA31" i="54"/>
  <c r="FB8" i="54"/>
  <c r="BP18" i="53" s="1" a="1"/>
  <c r="BP18" i="53" s="1"/>
  <c r="ER8" i="54"/>
  <c r="ES8" i="54"/>
  <c r="FA8" i="54"/>
  <c r="BL18" i="53" s="1" a="1"/>
  <c r="BL18" i="53" s="1"/>
  <c r="EY8" i="54"/>
  <c r="R8" i="54" s="1"/>
  <c r="GS8" i="54"/>
  <c r="HQ8" i="54" s="1"/>
  <c r="EM24" i="54" a="1"/>
  <c r="EM24" i="54" s="1"/>
  <c r="J24" i="54" s="1"/>
  <c r="EN24" i="54" s="1"/>
  <c r="FB28" i="54"/>
  <c r="ES28" i="54"/>
  <c r="ER28" i="54"/>
  <c r="EV28" i="54" s="1"/>
  <c r="EW28" i="54" s="1"/>
  <c r="GS28" i="54"/>
  <c r="HQ28" i="54" s="1"/>
  <c r="FA28" i="54"/>
  <c r="EY28" i="54"/>
  <c r="EM47" i="54" a="1"/>
  <c r="EM47" i="54" s="1"/>
  <c r="J47" i="54" s="1"/>
  <c r="EN47" i="54" s="1"/>
  <c r="ER19" i="54"/>
  <c r="EV19" i="54" s="1"/>
  <c r="ES19" i="54"/>
  <c r="FB19" i="54"/>
  <c r="GS19" i="54"/>
  <c r="HQ19" i="54" s="1"/>
  <c r="FC19" i="54"/>
  <c r="FD19" i="54" s="1"/>
  <c r="HS19" i="54" s="1"/>
  <c r="HU19" i="54" s="1"/>
  <c r="W19" i="54"/>
  <c r="FA19" i="54"/>
  <c r="EY19" i="54"/>
  <c r="EM9" i="54" a="1"/>
  <c r="EM9" i="54" s="1"/>
  <c r="J9" i="54" s="1"/>
  <c r="EN9" i="54" s="1"/>
  <c r="EM41" i="54" a="1"/>
  <c r="EM41" i="54" s="1"/>
  <c r="IF52" i="54"/>
  <c r="IG52" i="54" s="1"/>
  <c r="JR52" i="54"/>
  <c r="HP17" i="54"/>
  <c r="IZ17" i="54" s="1"/>
  <c r="HK17" i="54"/>
  <c r="HJ18" i="54" s="1"/>
  <c r="ES30" i="54"/>
  <c r="FB30" i="54"/>
  <c r="ER30" i="54"/>
  <c r="GS30" i="54"/>
  <c r="HQ30" i="54" s="1"/>
  <c r="FA30" i="54"/>
  <c r="EY30" i="54"/>
  <c r="EM25" i="54" a="1"/>
  <c r="EM25" i="54" s="1"/>
  <c r="J25" i="54" s="1"/>
  <c r="EN25" i="54" s="1"/>
  <c r="ES6" i="54"/>
  <c r="FB6" i="54"/>
  <c r="ER6" i="54"/>
  <c r="EV6" i="54" s="1"/>
  <c r="EW6" i="54" s="1"/>
  <c r="FA6" i="54"/>
  <c r="EY6" i="54"/>
  <c r="EZ6" i="54" s="1"/>
  <c r="GS6" i="54"/>
  <c r="HQ6" i="54" s="1"/>
  <c r="HF55" i="54"/>
  <c r="HG55" i="54" s="1"/>
  <c r="ER22" i="54"/>
  <c r="EV22" i="54" s="1"/>
  <c r="ES22" i="54"/>
  <c r="FB22" i="54"/>
  <c r="FC22" i="54"/>
  <c r="FD22" i="54" s="1"/>
  <c r="HS22" i="54" s="1"/>
  <c r="HU22" i="54" s="1"/>
  <c r="EY22" i="54"/>
  <c r="R22" i="54"/>
  <c r="GS22" i="54"/>
  <c r="HQ22" i="54" s="1"/>
  <c r="W22" i="54"/>
  <c r="FA22" i="54"/>
  <c r="FB45" i="54"/>
  <c r="ES45" i="54"/>
  <c r="EM57" i="54" a="1"/>
  <c r="EM57" i="54" s="1"/>
  <c r="J57" i="54" s="1"/>
  <c r="EN57" i="54" s="1"/>
  <c r="ER15" i="54"/>
  <c r="FB15" i="54"/>
  <c r="BP15" i="53" s="1" a="1"/>
  <c r="BP15" i="53" s="1"/>
  <c r="ES15" i="54"/>
  <c r="EY15" i="54"/>
  <c r="GS15" i="54"/>
  <c r="HQ15" i="54" s="1"/>
  <c r="R15" i="54"/>
  <c r="FA15" i="54"/>
  <c r="BL15" i="53" s="1" a="1"/>
  <c r="BL15" i="53" s="1"/>
  <c r="EM53" i="54" a="1"/>
  <c r="EM53" i="54" s="1"/>
  <c r="J53" i="54" s="1"/>
  <c r="EN53" i="54" s="1"/>
  <c r="IF17" i="54"/>
  <c r="GT44" i="54"/>
  <c r="ER33" i="54" l="1"/>
  <c r="FA42" i="54"/>
  <c r="FB33" i="54"/>
  <c r="GS42" i="54"/>
  <c r="HQ42" i="54" s="1"/>
  <c r="ER42" i="54"/>
  <c r="EV42" i="54" s="1"/>
  <c r="EW42" i="54" s="1"/>
  <c r="ES33" i="54"/>
  <c r="EZ31" i="54"/>
  <c r="EY42" i="54"/>
  <c r="IM42" i="54" s="1"/>
  <c r="IN42" i="54" s="1" a="1"/>
  <c r="IN42" i="54" s="1"/>
  <c r="IO42" i="54" s="1"/>
  <c r="FB42" i="54"/>
  <c r="EV45" i="54"/>
  <c r="EW45" i="54" s="1"/>
  <c r="EY27" i="54"/>
  <c r="EZ27" i="54" s="1"/>
  <c r="FA27" i="54"/>
  <c r="EZ50" i="54"/>
  <c r="HL50" i="54" s="1"/>
  <c r="EV37" i="54"/>
  <c r="EW37" i="54" s="1"/>
  <c r="EZ37" i="54" s="1"/>
  <c r="GS11" i="54"/>
  <c r="HQ11" i="54" s="1"/>
  <c r="ER11" i="54"/>
  <c r="EY14" i="54"/>
  <c r="EY56" i="54"/>
  <c r="R56" i="54" s="1"/>
  <c r="ER14" i="54"/>
  <c r="GP46" i="54"/>
  <c r="GQ46" i="54" s="1"/>
  <c r="GR46" i="54" s="1"/>
  <c r="EY12" i="54"/>
  <c r="R12" i="54" s="1"/>
  <c r="GS56" i="54"/>
  <c r="HQ56" i="54" s="1"/>
  <c r="EY11" i="54"/>
  <c r="R11" i="54" s="1"/>
  <c r="FB11" i="54"/>
  <c r="ES11" i="54"/>
  <c r="FB27" i="54"/>
  <c r="GS14" i="54"/>
  <c r="HQ14" i="54" s="1"/>
  <c r="EZ32" i="54"/>
  <c r="GS12" i="54"/>
  <c r="HQ12" i="54" s="1"/>
  <c r="ES14" i="54"/>
  <c r="EV14" i="54" s="1"/>
  <c r="EW14" i="54" s="1"/>
  <c r="FA45" i="54"/>
  <c r="ES12" i="54"/>
  <c r="ES56" i="54"/>
  <c r="GS27" i="54"/>
  <c r="HQ27" i="54" s="1"/>
  <c r="ER27" i="54"/>
  <c r="EV27" i="54" s="1"/>
  <c r="EW27" i="54" s="1"/>
  <c r="R14" i="54"/>
  <c r="FA14" i="54"/>
  <c r="FA12" i="54"/>
  <c r="GS45" i="54"/>
  <c r="HQ45" i="54" s="1"/>
  <c r="R30" i="54"/>
  <c r="ER12" i="54"/>
  <c r="EV12" i="54" s="1"/>
  <c r="EW12" i="54" s="1"/>
  <c r="FA56" i="54"/>
  <c r="FA33" i="54"/>
  <c r="ER56" i="54"/>
  <c r="EY45" i="54"/>
  <c r="EZ45" i="54" s="1"/>
  <c r="GK45" i="54" s="1"/>
  <c r="GS33" i="54"/>
  <c r="HQ33" i="54" s="1"/>
  <c r="EV30" i="54"/>
  <c r="EW30" i="54" s="1"/>
  <c r="EZ30" i="54" s="1"/>
  <c r="EZ28" i="54"/>
  <c r="GK28" i="54" s="1"/>
  <c r="HL6" i="54"/>
  <c r="GK6" i="54"/>
  <c r="HL7" i="54"/>
  <c r="GK7" i="54"/>
  <c r="ES10" i="54"/>
  <c r="FB10" i="54"/>
  <c r="BP19" i="53" s="1" a="1"/>
  <c r="BP19" i="53" s="1"/>
  <c r="ER10" i="54"/>
  <c r="EV10" i="54" s="1"/>
  <c r="EW10" i="54" s="1"/>
  <c r="FA10" i="54"/>
  <c r="BL19" i="53" s="1" a="1"/>
  <c r="BL19" i="53" s="1"/>
  <c r="BM18" i="53" s="1" a="1"/>
  <c r="BM18" i="53" s="1"/>
  <c r="EY10" i="54"/>
  <c r="R10" i="54" s="1"/>
  <c r="GS10" i="54"/>
  <c r="HQ10" i="54" s="1"/>
  <c r="EV52" i="54"/>
  <c r="EW52" i="54" s="1"/>
  <c r="ER35" i="54"/>
  <c r="FB35" i="54"/>
  <c r="ES35" i="54"/>
  <c r="EY35" i="54"/>
  <c r="GS35" i="54"/>
  <c r="HQ35" i="54" s="1"/>
  <c r="FA35" i="54"/>
  <c r="EV15" i="54"/>
  <c r="EW15" i="54" s="1"/>
  <c r="EZ15" i="54" s="1"/>
  <c r="HL31" i="54"/>
  <c r="GK31" i="54"/>
  <c r="HL32" i="54"/>
  <c r="GK32" i="54"/>
  <c r="EW20" i="54"/>
  <c r="Q20" i="54" s="1"/>
  <c r="HX20" i="54"/>
  <c r="IA19" i="54" s="1"/>
  <c r="HY20" i="54"/>
  <c r="HZ19" i="54" s="1"/>
  <c r="R6" i="54"/>
  <c r="EW17" i="54"/>
  <c r="Q17" i="54" s="1"/>
  <c r="HY17" i="54"/>
  <c r="HX17" i="54"/>
  <c r="EV33" i="54"/>
  <c r="EW33" i="54" s="1"/>
  <c r="FB47" i="54"/>
  <c r="ES47" i="54"/>
  <c r="ER47" i="54"/>
  <c r="EV47" i="54" s="1"/>
  <c r="EW47" i="54" s="1"/>
  <c r="GS47" i="54"/>
  <c r="HQ47" i="54" s="1"/>
  <c r="FA47" i="54"/>
  <c r="EY47" i="54"/>
  <c r="EZ47" i="54" s="1"/>
  <c r="ER40" i="54"/>
  <c r="ES40" i="54"/>
  <c r="FB40" i="54"/>
  <c r="FA40" i="54"/>
  <c r="EY40" i="54"/>
  <c r="R40" i="54"/>
  <c r="GS40" i="54"/>
  <c r="HQ40" i="54" s="1"/>
  <c r="FB9" i="54"/>
  <c r="BP16" i="53" s="1" a="1"/>
  <c r="BP16" i="53" s="1"/>
  <c r="ER9" i="54"/>
  <c r="ES9" i="54"/>
  <c r="FA9" i="54"/>
  <c r="BL16" i="53" s="1" a="1"/>
  <c r="BL16" i="53" s="1"/>
  <c r="BM15" i="53" s="1" a="1"/>
  <c r="BM15" i="53" s="1"/>
  <c r="GS9" i="54"/>
  <c r="HQ9" i="54" s="1"/>
  <c r="EY9" i="54"/>
  <c r="R28" i="54"/>
  <c r="ER57" i="54"/>
  <c r="FB57" i="54"/>
  <c r="FA57" i="54"/>
  <c r="ES57" i="54"/>
  <c r="EY57" i="54"/>
  <c r="R57" i="54" s="1"/>
  <c r="GS57" i="54"/>
  <c r="HQ57" i="54" s="1"/>
  <c r="HK18" i="54"/>
  <c r="HJ19" i="54" s="1"/>
  <c r="HP18" i="54"/>
  <c r="IZ18" i="54" s="1"/>
  <c r="ES25" i="54"/>
  <c r="FB25" i="54"/>
  <c r="ER25" i="54"/>
  <c r="GS25" i="54"/>
  <c r="HQ25" i="54" s="1"/>
  <c r="FA25" i="54"/>
  <c r="EY25" i="54"/>
  <c r="R25" i="54"/>
  <c r="HK53" i="54"/>
  <c r="HP53" i="54"/>
  <c r="IZ53" i="54" s="1"/>
  <c r="HR53" i="54"/>
  <c r="EW22" i="54"/>
  <c r="HY22" i="54"/>
  <c r="HZ21" i="54" s="1"/>
  <c r="HX22" i="54"/>
  <c r="IA21" i="54" s="1"/>
  <c r="HI20" i="54"/>
  <c r="AK57" i="54"/>
  <c r="HE57" i="54"/>
  <c r="EZ49" i="54"/>
  <c r="JR19" i="54"/>
  <c r="HF56" i="54"/>
  <c r="HG56" i="54" s="1"/>
  <c r="EW19" i="54"/>
  <c r="Q19" i="54" s="1"/>
  <c r="HY19" i="54"/>
  <c r="HX19" i="54"/>
  <c r="EW18" i="54"/>
  <c r="Q18" i="54" s="1"/>
  <c r="HX18" i="54"/>
  <c r="HY18" i="54"/>
  <c r="FB46" i="54"/>
  <c r="ES46" i="54"/>
  <c r="ER46" i="54"/>
  <c r="EV46" i="54" s="1"/>
  <c r="EW46" i="54" s="1"/>
  <c r="GS46" i="54"/>
  <c r="HQ46" i="54" s="1"/>
  <c r="EY46" i="54"/>
  <c r="R46" i="54" s="1"/>
  <c r="FA46" i="54"/>
  <c r="ER39" i="54"/>
  <c r="ES39" i="54"/>
  <c r="FB39" i="54"/>
  <c r="FA39" i="54"/>
  <c r="GS39" i="54"/>
  <c r="HQ39" i="54" s="1"/>
  <c r="EY39" i="54"/>
  <c r="R39" i="54" s="1"/>
  <c r="ES43" i="54"/>
  <c r="FB43" i="54"/>
  <c r="ER43" i="54"/>
  <c r="FA43" i="54"/>
  <c r="GS43" i="54"/>
  <c r="HQ43" i="54" s="1"/>
  <c r="EY43" i="54"/>
  <c r="R43" i="54" s="1"/>
  <c r="EV8" i="54"/>
  <c r="EW8" i="54" s="1"/>
  <c r="EW21" i="54"/>
  <c r="Q21" i="54" s="1"/>
  <c r="HY21" i="54"/>
  <c r="HX21" i="54"/>
  <c r="ER24" i="54"/>
  <c r="FB24" i="54"/>
  <c r="ES24" i="54"/>
  <c r="FA24" i="54"/>
  <c r="GS24" i="54"/>
  <c r="HQ24" i="54" s="1"/>
  <c r="EY24" i="54"/>
  <c r="R24" i="54" s="1"/>
  <c r="FB29" i="54"/>
  <c r="ES29" i="54"/>
  <c r="ER29" i="54"/>
  <c r="EV29" i="54" s="1"/>
  <c r="EW29" i="54" s="1"/>
  <c r="FA29" i="54"/>
  <c r="EY29" i="54"/>
  <c r="EZ29" i="54" s="1"/>
  <c r="GS29" i="54"/>
  <c r="HQ29" i="54" s="1"/>
  <c r="BF17" i="53" a="1"/>
  <c r="BF17" i="53" s="1"/>
  <c r="EV51" i="54"/>
  <c r="EW51" i="54" s="1"/>
  <c r="EZ51" i="54" s="1"/>
  <c r="IF53" i="54"/>
  <c r="IG53" i="54" s="1"/>
  <c r="JR53" i="54"/>
  <c r="GJ47" i="54"/>
  <c r="BN47" i="54"/>
  <c r="GP47" i="54" s="1"/>
  <c r="S47" i="54"/>
  <c r="AN3" i="40" a="1"/>
  <c r="AN3" i="40" s="1"/>
  <c r="U3" i="40" a="1"/>
  <c r="U3" i="40" s="1"/>
  <c r="Z3" i="40" a="1"/>
  <c r="Z3" i="40" s="1"/>
  <c r="H3" i="40" a="1"/>
  <c r="H3" i="40" s="1"/>
  <c r="BO3" i="40" a="1"/>
  <c r="BO3" i="40" s="1"/>
  <c r="AM3" i="40" a="1"/>
  <c r="AM3" i="40" s="1"/>
  <c r="BY3" i="40" a="1"/>
  <c r="BY3" i="40" s="1"/>
  <c r="AR3" i="40" a="1"/>
  <c r="AR3" i="40" s="1"/>
  <c r="AO3" i="40" a="1"/>
  <c r="AO3" i="40" s="1"/>
  <c r="BZ3" i="40" a="1"/>
  <c r="BZ3" i="40" s="1"/>
  <c r="F3" i="40" a="1"/>
  <c r="F3" i="40" s="1"/>
  <c r="BV3" i="40" a="1"/>
  <c r="BV3" i="40" s="1"/>
  <c r="CA3" i="40" a="1"/>
  <c r="CA3" i="40" s="1"/>
  <c r="I3" i="40" a="1"/>
  <c r="I3" i="40" s="1"/>
  <c r="Y3" i="40" a="1"/>
  <c r="Y3" i="40" s="1"/>
  <c r="BG3" i="40" a="1"/>
  <c r="BG3" i="40" s="1"/>
  <c r="N3" i="40" a="1"/>
  <c r="N3" i="40" s="1"/>
  <c r="A3" i="40" a="1"/>
  <c r="A3" i="40" s="1"/>
  <c r="R3" i="40" a="1"/>
  <c r="R3" i="40" s="1"/>
  <c r="AL3" i="40" a="1"/>
  <c r="AL3" i="40" s="1"/>
  <c r="BI3" i="40" a="1"/>
  <c r="BI3" i="40" s="1"/>
  <c r="AA3" i="40" a="1"/>
  <c r="AA3" i="40" s="1"/>
  <c r="AU3" i="40" a="1"/>
  <c r="AU3" i="40" s="1"/>
  <c r="BL3" i="40" a="1"/>
  <c r="BL3" i="40" s="1"/>
  <c r="BK3" i="40" a="1"/>
  <c r="BK3" i="40" s="1"/>
  <c r="L3" i="40" a="1"/>
  <c r="L3" i="40" s="1"/>
  <c r="J3" i="40" a="1"/>
  <c r="J3" i="40" s="1"/>
  <c r="S3" i="40" a="1"/>
  <c r="S3" i="40" s="1"/>
  <c r="K3" i="40" a="1"/>
  <c r="K3" i="40" s="1"/>
  <c r="AS3" i="40" a="1"/>
  <c r="AS3" i="40" s="1"/>
  <c r="BH3" i="40" a="1"/>
  <c r="BH3" i="40" s="1"/>
  <c r="C3" i="40" a="1"/>
  <c r="C3" i="40" s="1"/>
  <c r="V3" i="40" a="1"/>
  <c r="V3" i="40" s="1"/>
  <c r="BM3" i="40" a="1"/>
  <c r="BM3" i="40" s="1"/>
  <c r="BJ3" i="40" a="1"/>
  <c r="BJ3" i="40" s="1"/>
  <c r="T3" i="40" a="1"/>
  <c r="T3" i="40" s="1"/>
  <c r="AT3" i="40" a="1"/>
  <c r="AT3" i="40" s="1"/>
  <c r="B3" i="40" a="1"/>
  <c r="B3" i="40" s="1"/>
  <c r="BN3" i="40" a="1"/>
  <c r="BN3" i="40" s="1"/>
  <c r="BP3" i="40" a="1"/>
  <c r="BP3" i="40" s="1"/>
  <c r="D3" i="40" a="1"/>
  <c r="D3" i="40" s="1"/>
  <c r="E3" i="40" a="1"/>
  <c r="E3" i="40" s="1"/>
  <c r="BF8" i="10" s="1"/>
  <c r="BE3" i="40" a="1"/>
  <c r="BE3" i="40" s="1"/>
  <c r="AQ3" i="40" a="1"/>
  <c r="AQ3" i="40" s="1"/>
  <c r="BB3" i="40" a="1"/>
  <c r="BB3" i="40" s="1"/>
  <c r="AK3" i="40" a="1"/>
  <c r="AK3" i="40" s="1"/>
  <c r="HJ54" i="54"/>
  <c r="HI54" i="54"/>
  <c r="JC44" i="54"/>
  <c r="GV44" i="54"/>
  <c r="GU44" i="54"/>
  <c r="R19" i="54"/>
  <c r="ER53" i="54"/>
  <c r="ES53" i="54"/>
  <c r="FB53" i="54"/>
  <c r="FA53" i="54"/>
  <c r="GS53" i="54"/>
  <c r="HQ53" i="54" s="1"/>
  <c r="EY53" i="54"/>
  <c r="EV5" i="54"/>
  <c r="EW5" i="54" s="1"/>
  <c r="HH55" i="54"/>
  <c r="JQ55" i="54"/>
  <c r="GT45" i="54"/>
  <c r="R27" i="54" l="1"/>
  <c r="HL45" i="54"/>
  <c r="IP42" i="54" a="1"/>
  <c r="IP42" i="54" s="1"/>
  <c r="IQ42" i="54" s="1"/>
  <c r="GK50" i="54"/>
  <c r="IX42" i="54" a="1"/>
  <c r="IX42" i="54" s="1"/>
  <c r="IY42" i="54" s="1"/>
  <c r="R45" i="54"/>
  <c r="BM16" i="53" a="1"/>
  <c r="BM16" i="53" s="1"/>
  <c r="W24" i="54" s="1"/>
  <c r="EV9" i="54"/>
  <c r="EW9" i="54" s="1"/>
  <c r="BF16" i="53" s="1" a="1"/>
  <c r="BF16" i="53" s="1"/>
  <c r="R42" i="54"/>
  <c r="BQ19" i="53" a="1"/>
  <c r="BQ19" i="53" s="1"/>
  <c r="FE55" i="54" s="1"/>
  <c r="IV42" i="54" a="1"/>
  <c r="IV42" i="54" s="1"/>
  <c r="IW42" i="54" s="1"/>
  <c r="IT42" i="54" a="1"/>
  <c r="IT42" i="54" s="1"/>
  <c r="IU42" i="54" s="1"/>
  <c r="EZ10" i="54"/>
  <c r="GK10" i="54" s="1"/>
  <c r="EV11" i="54"/>
  <c r="EW11" i="54" s="1"/>
  <c r="EZ11" i="54" s="1"/>
  <c r="EZ18" i="54"/>
  <c r="HL18" i="54" s="1"/>
  <c r="IR42" i="54" a="1"/>
  <c r="IR42" i="54" s="1"/>
  <c r="IS42" i="54" s="1"/>
  <c r="HL30" i="54"/>
  <c r="GK30" i="54"/>
  <c r="V5" i="57" a="1"/>
  <c r="V5" i="57" s="1"/>
  <c r="R29" i="54"/>
  <c r="BM17" i="53" a="1"/>
  <c r="BM17" i="53" s="1"/>
  <c r="EE41" i="54" s="1"/>
  <c r="EZ17" i="54"/>
  <c r="HL17" i="54" s="1"/>
  <c r="EV53" i="54"/>
  <c r="EW53" i="54" s="1"/>
  <c r="EZ53" i="54" s="1"/>
  <c r="EZ12" i="54"/>
  <c r="W3" i="40" a="1"/>
  <c r="W3" i="40" s="1"/>
  <c r="BM19" i="53" a="1"/>
  <c r="BM19" i="53" s="1"/>
  <c r="FC57" i="54" s="1"/>
  <c r="FD57" i="54" s="1"/>
  <c r="HS57" i="54" s="1"/>
  <c r="HU57" i="54" s="1"/>
  <c r="HL28" i="54"/>
  <c r="HM31" i="54" s="1"/>
  <c r="M31" i="54" s="1"/>
  <c r="HN31" i="54" s="1"/>
  <c r="A5" i="57" a="1"/>
  <c r="A5" i="57" s="1"/>
  <c r="EV25" i="54"/>
  <c r="EW25" i="54" s="1"/>
  <c r="EZ25" i="54" s="1"/>
  <c r="EV56" i="54"/>
  <c r="EW56" i="54" s="1"/>
  <c r="EZ56" i="54" s="1"/>
  <c r="HL56" i="54" s="1"/>
  <c r="AC19" i="53"/>
  <c r="HL51" i="54"/>
  <c r="GK51" i="54"/>
  <c r="HL29" i="54"/>
  <c r="GK29" i="54"/>
  <c r="AB17" i="53"/>
  <c r="EE35" i="54"/>
  <c r="EE36" i="54"/>
  <c r="EE37" i="54"/>
  <c r="EE39" i="54"/>
  <c r="EE40" i="54"/>
  <c r="EE27" i="54"/>
  <c r="EE31" i="54"/>
  <c r="EE43" i="54"/>
  <c r="EE38" i="54"/>
  <c r="EE44" i="54"/>
  <c r="EE45" i="54"/>
  <c r="W41" i="54"/>
  <c r="W32" i="54"/>
  <c r="W30" i="54"/>
  <c r="FC42" i="54"/>
  <c r="FD42" i="54" s="1"/>
  <c r="HS42" i="54" s="1"/>
  <c r="HU42" i="54" s="1"/>
  <c r="FC28" i="54"/>
  <c r="FD28" i="54" s="1"/>
  <c r="HS28" i="54" s="1"/>
  <c r="HU28" i="54" s="1"/>
  <c r="FC37" i="54"/>
  <c r="FD37" i="54" s="1"/>
  <c r="HS37" i="54" s="1"/>
  <c r="HU37" i="54" s="1"/>
  <c r="FC31" i="54"/>
  <c r="FD31" i="54" s="1"/>
  <c r="HS31" i="54" s="1"/>
  <c r="HU31" i="54" s="1"/>
  <c r="FC30" i="54"/>
  <c r="FD30" i="54" s="1"/>
  <c r="HS30" i="54" s="1"/>
  <c r="HU30" i="54" s="1"/>
  <c r="FC45" i="54"/>
  <c r="FD45" i="54" s="1"/>
  <c r="HS45" i="54" s="1"/>
  <c r="HU45" i="54" s="1"/>
  <c r="FC35" i="54"/>
  <c r="FD35" i="54" s="1"/>
  <c r="HS35" i="54" s="1"/>
  <c r="HU35" i="54" s="1"/>
  <c r="FC29" i="54"/>
  <c r="FD29" i="54" s="1"/>
  <c r="HS29" i="54" s="1"/>
  <c r="HU29" i="54" s="1"/>
  <c r="W39" i="54"/>
  <c r="W35" i="54"/>
  <c r="W46" i="54"/>
  <c r="W29" i="54"/>
  <c r="FC43" i="54"/>
  <c r="FD43" i="54" s="1"/>
  <c r="HS43" i="54" s="1"/>
  <c r="HU43" i="54" s="1"/>
  <c r="HL47" i="54"/>
  <c r="GK47" i="54"/>
  <c r="EZ35" i="54"/>
  <c r="AB18" i="53"/>
  <c r="EE51" i="54"/>
  <c r="EE52" i="54"/>
  <c r="EE53" i="54"/>
  <c r="EE48" i="54"/>
  <c r="EE49" i="54"/>
  <c r="EE50" i="54"/>
  <c r="FC49" i="54"/>
  <c r="FD49" i="54" s="1"/>
  <c r="HS49" i="54" s="1"/>
  <c r="HU49" i="54" s="1"/>
  <c r="W50" i="54"/>
  <c r="W49" i="54"/>
  <c r="FC51" i="54"/>
  <c r="FD51" i="54" s="1"/>
  <c r="HS51" i="54" s="1"/>
  <c r="HU51" i="54" s="1"/>
  <c r="W52" i="54"/>
  <c r="FC52" i="54"/>
  <c r="FD52" i="54" s="1"/>
  <c r="HS52" i="54" s="1"/>
  <c r="HU52" i="54" s="1"/>
  <c r="FC50" i="54"/>
  <c r="FD50" i="54" s="1"/>
  <c r="HS50" i="54" s="1"/>
  <c r="HU50" i="54" s="1"/>
  <c r="W51" i="54"/>
  <c r="FC53" i="54"/>
  <c r="FD53" i="54" s="1"/>
  <c r="HS53" i="54" s="1"/>
  <c r="HU53" i="54" s="1"/>
  <c r="W53" i="54"/>
  <c r="EV57" i="54"/>
  <c r="EW57" i="54" s="1"/>
  <c r="HI55" i="54"/>
  <c r="HJ55" i="54"/>
  <c r="EZ5" i="54"/>
  <c r="HO44" i="54"/>
  <c r="JA44" i="54"/>
  <c r="GT46" i="54"/>
  <c r="HL15" i="54"/>
  <c r="GK15" i="54"/>
  <c r="HK19" i="54"/>
  <c r="HP19" i="54"/>
  <c r="IZ19" i="54" s="1"/>
  <c r="IF54" i="54"/>
  <c r="IG54" i="54" s="1"/>
  <c r="JR54" i="54"/>
  <c r="EZ39" i="54"/>
  <c r="JO31" i="54"/>
  <c r="HO31" i="54"/>
  <c r="R53" i="54"/>
  <c r="HO54" i="54"/>
  <c r="HR54" i="54"/>
  <c r="JA54" i="54"/>
  <c r="HK54" i="54"/>
  <c r="HP54" i="54"/>
  <c r="IZ54" i="54" s="1"/>
  <c r="HH56" i="54"/>
  <c r="HH57" i="54" s="1"/>
  <c r="JO50" i="54"/>
  <c r="HO50" i="54"/>
  <c r="N12" i="42"/>
  <c r="P12" i="42" s="1"/>
  <c r="AE12" i="42" s="1"/>
  <c r="N16" i="42"/>
  <c r="P16" i="42" s="1"/>
  <c r="AE16" i="42" s="1"/>
  <c r="AF16" i="42" s="1"/>
  <c r="N17" i="42"/>
  <c r="P17" i="42" s="1"/>
  <c r="AE17" i="42" s="1"/>
  <c r="N20" i="42"/>
  <c r="P20" i="42" s="1"/>
  <c r="AE20" i="42" s="1"/>
  <c r="AF20" i="42" s="1"/>
  <c r="N21" i="42"/>
  <c r="P21" i="42" s="1"/>
  <c r="AE21" i="42" s="1"/>
  <c r="AF21" i="42" s="1"/>
  <c r="N19" i="42"/>
  <c r="P19" i="42" s="1"/>
  <c r="AE19" i="42" s="1"/>
  <c r="AF19" i="42" s="1"/>
  <c r="N13" i="42"/>
  <c r="P13" i="42" s="1"/>
  <c r="AE13" i="42" s="1"/>
  <c r="AF13" i="42" s="1"/>
  <c r="N14" i="42"/>
  <c r="P14" i="42" s="1"/>
  <c r="AE14" i="42" s="1"/>
  <c r="N15" i="42"/>
  <c r="P15" i="42" s="1"/>
  <c r="AE15" i="42" s="1"/>
  <c r="AF15" i="42" s="1"/>
  <c r="N18" i="42"/>
  <c r="P18" i="42" s="1"/>
  <c r="AE18" i="42" s="1"/>
  <c r="BF18" i="53" a="1"/>
  <c r="BF18" i="53" s="1"/>
  <c r="EZ8" i="54"/>
  <c r="BD3" i="40" a="1"/>
  <c r="BD3" i="40" s="1"/>
  <c r="JO32" i="54"/>
  <c r="JU32" i="54" s="1"/>
  <c r="JV32" i="54" s="1"/>
  <c r="HO32" i="54"/>
  <c r="BQ17" i="53" a="1"/>
  <c r="BQ17" i="53" s="1"/>
  <c r="L35" i="16"/>
  <c r="L33" i="16"/>
  <c r="L31" i="16"/>
  <c r="L29" i="16"/>
  <c r="L27" i="16"/>
  <c r="L36" i="16"/>
  <c r="L28" i="16"/>
  <c r="L30" i="16"/>
  <c r="L32" i="16"/>
  <c r="L34" i="16"/>
  <c r="BQ16" i="53" a="1"/>
  <c r="BQ16" i="53" s="1"/>
  <c r="EZ20" i="54"/>
  <c r="EZ21" i="54"/>
  <c r="HL49" i="54"/>
  <c r="GK49" i="54"/>
  <c r="EZ33" i="54"/>
  <c r="BF19" i="53" a="1"/>
  <c r="BF19" i="53" s="1"/>
  <c r="L13" i="16"/>
  <c r="L19" i="16"/>
  <c r="L15" i="16"/>
  <c r="L4" i="16"/>
  <c r="L17" i="16"/>
  <c r="L12" i="16"/>
  <c r="L23" i="16"/>
  <c r="L22" i="16"/>
  <c r="L14" i="16"/>
  <c r="L11" i="16"/>
  <c r="L5" i="16"/>
  <c r="L20" i="16"/>
  <c r="L10" i="16"/>
  <c r="L21" i="16"/>
  <c r="L18" i="16"/>
  <c r="L16" i="16"/>
  <c r="L8" i="16"/>
  <c r="L9" i="16"/>
  <c r="L6" i="16"/>
  <c r="L7" i="16"/>
  <c r="GK27" i="54"/>
  <c r="HL27" i="54"/>
  <c r="AJ5" i="57" a="1"/>
  <c r="AJ5" i="57" s="1"/>
  <c r="EZ42" i="54"/>
  <c r="AB15" i="53"/>
  <c r="EE19" i="54"/>
  <c r="EE20" i="54"/>
  <c r="EE21" i="54"/>
  <c r="EE17" i="54"/>
  <c r="EE18" i="54"/>
  <c r="EE22" i="54"/>
  <c r="EE16" i="54"/>
  <c r="EZ14" i="54"/>
  <c r="IF19" i="54"/>
  <c r="BF15" i="53" a="1"/>
  <c r="BF15" i="53" s="1"/>
  <c r="AP3" i="40" a="1"/>
  <c r="AP3" i="40" s="1"/>
  <c r="BQ15" i="53" a="1"/>
  <c r="BQ15" i="53" s="1"/>
  <c r="BM14" i="53" a="1"/>
  <c r="BM14" i="53" s="1"/>
  <c r="EV39" i="54"/>
  <c r="EW39" i="54" s="1"/>
  <c r="HF57" i="54"/>
  <c r="HG57" i="54" s="1"/>
  <c r="R9" i="54"/>
  <c r="BQ18" i="53" a="1"/>
  <c r="BQ18" i="53" s="1"/>
  <c r="EV40" i="54"/>
  <c r="EW40" i="54" s="1"/>
  <c r="BQ14" i="53" a="1"/>
  <c r="BQ14" i="53" s="1"/>
  <c r="JO7" i="54"/>
  <c r="HO7" i="54"/>
  <c r="AA5" i="57" a="1"/>
  <c r="AA5" i="57" s="1"/>
  <c r="JQ56" i="54"/>
  <c r="Q22" i="54"/>
  <c r="EZ22" i="54"/>
  <c r="R47" i="54"/>
  <c r="JO45" i="54"/>
  <c r="EV35" i="54"/>
  <c r="EW35" i="54" s="1"/>
  <c r="GW44" i="54"/>
  <c r="IL44" i="54"/>
  <c r="IM44" i="54" s="1"/>
  <c r="M24" i="16"/>
  <c r="N4" i="42"/>
  <c r="P4" i="42" s="1"/>
  <c r="AE4" i="42" s="1"/>
  <c r="N5" i="42"/>
  <c r="P5" i="42" s="1"/>
  <c r="AE5" i="42" s="1"/>
  <c r="N6" i="42"/>
  <c r="P6" i="42" s="1"/>
  <c r="AE6" i="42" s="1"/>
  <c r="AF6" i="42" s="1"/>
  <c r="N8" i="42"/>
  <c r="P8" i="42" s="1"/>
  <c r="AE8" i="42" s="1"/>
  <c r="N7" i="42"/>
  <c r="P7" i="42" s="1"/>
  <c r="AE7" i="42" s="1"/>
  <c r="AF7" i="42" s="1"/>
  <c r="N9" i="42"/>
  <c r="P9" i="42" s="1"/>
  <c r="AE9" i="42" s="1"/>
  <c r="N10" i="42"/>
  <c r="P10" i="42" s="1"/>
  <c r="AE10" i="42" s="1"/>
  <c r="AF10" i="42" s="1"/>
  <c r="N11" i="42"/>
  <c r="P11" i="42" s="1"/>
  <c r="AE11" i="42" s="1"/>
  <c r="EV24" i="54"/>
  <c r="EW24" i="54" s="1"/>
  <c r="JO30" i="54"/>
  <c r="JU30" i="54"/>
  <c r="JV30" i="54" s="1"/>
  <c r="HO30" i="54"/>
  <c r="GQ47" i="54"/>
  <c r="GR47" i="54" s="1"/>
  <c r="EV43" i="54"/>
  <c r="EW43" i="54" s="1"/>
  <c r="EZ43" i="54" s="1"/>
  <c r="EZ46" i="54"/>
  <c r="W25" i="54"/>
  <c r="R35" i="54"/>
  <c r="EZ52" i="54"/>
  <c r="EZ19" i="54"/>
  <c r="V21" i="54"/>
  <c r="IA18" i="54"/>
  <c r="IA17" i="54" s="1"/>
  <c r="V17" i="54" s="1"/>
  <c r="GK37" i="54"/>
  <c r="HL37" i="54"/>
  <c r="JC45" i="54"/>
  <c r="GV45" i="54"/>
  <c r="GW45" i="54" s="1"/>
  <c r="GU45" i="54"/>
  <c r="HO45" i="54" s="1"/>
  <c r="AB3" i="40" a="1"/>
  <c r="AB3" i="40" s="1"/>
  <c r="U21" i="54"/>
  <c r="HZ18" i="54"/>
  <c r="HZ17" i="54" s="1"/>
  <c r="U17" i="54" s="1"/>
  <c r="JR20" i="54"/>
  <c r="JR31" i="54" s="1"/>
  <c r="FC25" i="54"/>
  <c r="FD25" i="54" s="1"/>
  <c r="HS25" i="54" s="1"/>
  <c r="HU25" i="54" s="1"/>
  <c r="W57" i="54"/>
  <c r="JO28" i="54"/>
  <c r="JU28" i="54" s="1"/>
  <c r="JV28" i="54" s="1"/>
  <c r="HM28" i="54"/>
  <c r="M28" i="54" s="1"/>
  <c r="HN28" i="54" s="1"/>
  <c r="HO28" i="54"/>
  <c r="JO6" i="54"/>
  <c r="JU6" i="54" s="1"/>
  <c r="JV6" i="54" s="1"/>
  <c r="HO6" i="54"/>
  <c r="GK18" i="54" l="1"/>
  <c r="HL10" i="54"/>
  <c r="EZ9" i="54"/>
  <c r="FC24" i="54"/>
  <c r="FD24" i="54" s="1"/>
  <c r="HS24" i="54" s="1"/>
  <c r="HU24" i="54" s="1"/>
  <c r="GK17" i="54"/>
  <c r="JO17" i="54" s="1"/>
  <c r="W56" i="54"/>
  <c r="FC46" i="54"/>
  <c r="FD46" i="54" s="1"/>
  <c r="HS46" i="54" s="1"/>
  <c r="HU46" i="54" s="1"/>
  <c r="FC33" i="54"/>
  <c r="FD33" i="54" s="1"/>
  <c r="HS33" i="54" s="1"/>
  <c r="HU33" i="54" s="1"/>
  <c r="EE33" i="54"/>
  <c r="FE56" i="54"/>
  <c r="EE25" i="54"/>
  <c r="EE23" i="54"/>
  <c r="HM30" i="54"/>
  <c r="M30" i="54" s="1"/>
  <c r="HN30" i="54" s="1"/>
  <c r="JA30" i="54" s="1"/>
  <c r="FC47" i="54"/>
  <c r="FD47" i="54" s="1"/>
  <c r="HS47" i="54" s="1"/>
  <c r="HU47" i="54" s="1"/>
  <c r="W31" i="54"/>
  <c r="EE30" i="54"/>
  <c r="FE54" i="54"/>
  <c r="W45" i="54"/>
  <c r="EE47" i="54"/>
  <c r="W28" i="54"/>
  <c r="EE34" i="54"/>
  <c r="EE24" i="54"/>
  <c r="FC56" i="54"/>
  <c r="FD56" i="54" s="1"/>
  <c r="HS56" i="54" s="1"/>
  <c r="HU56" i="54" s="1"/>
  <c r="W33" i="54"/>
  <c r="EE32" i="54"/>
  <c r="FE57" i="54"/>
  <c r="AB16" i="53"/>
  <c r="FC40" i="54"/>
  <c r="FD40" i="54" s="1"/>
  <c r="HS40" i="54" s="1"/>
  <c r="HU40" i="54" s="1"/>
  <c r="W37" i="54"/>
  <c r="EE28" i="54"/>
  <c r="GK53" i="54"/>
  <c r="HL53" i="54"/>
  <c r="HO53" i="54" s="1"/>
  <c r="GK56" i="54"/>
  <c r="EE57" i="54"/>
  <c r="AH3" i="40" a="1"/>
  <c r="AH3" i="40" s="1"/>
  <c r="W47" i="54"/>
  <c r="W42" i="54"/>
  <c r="W36" i="54"/>
  <c r="EE29" i="54"/>
  <c r="EE54" i="54"/>
  <c r="EE56" i="54"/>
  <c r="AF3" i="40" a="1"/>
  <c r="AF3" i="40" s="1"/>
  <c r="FC39" i="54"/>
  <c r="FD39" i="54" s="1"/>
  <c r="HS39" i="54" s="1"/>
  <c r="HU39" i="54" s="1"/>
  <c r="FC27" i="54"/>
  <c r="FD27" i="54" s="1"/>
  <c r="HS27" i="54" s="1"/>
  <c r="HU27" i="54" s="1"/>
  <c r="FC36" i="54"/>
  <c r="FD36" i="54" s="1"/>
  <c r="HS36" i="54" s="1"/>
  <c r="HU36" i="54" s="1"/>
  <c r="EE26" i="54"/>
  <c r="W43" i="54"/>
  <c r="FC32" i="54"/>
  <c r="FD32" i="54" s="1"/>
  <c r="HS32" i="54" s="1"/>
  <c r="HU32" i="54" s="1"/>
  <c r="FC41" i="54"/>
  <c r="FD41" i="54" s="1"/>
  <c r="HS41" i="54" s="1"/>
  <c r="HU41" i="54" s="1"/>
  <c r="EE42" i="54"/>
  <c r="GK12" i="54"/>
  <c r="HL12" i="54"/>
  <c r="EE55" i="54"/>
  <c r="AB19" i="53"/>
  <c r="W40" i="54"/>
  <c r="W27" i="54"/>
  <c r="EE46" i="54"/>
  <c r="M36" i="16"/>
  <c r="AG33" i="42"/>
  <c r="AH33" i="42" s="1"/>
  <c r="HI57" i="54"/>
  <c r="HJ57" i="54"/>
  <c r="HR31" i="54"/>
  <c r="GK20" i="54"/>
  <c r="HL20" i="54"/>
  <c r="HL5" i="54"/>
  <c r="GK5" i="54"/>
  <c r="JQ57" i="54"/>
  <c r="AG12" i="42"/>
  <c r="AH12" i="42" s="1"/>
  <c r="M12" i="16"/>
  <c r="AG26" i="42"/>
  <c r="AH26" i="42" s="1"/>
  <c r="M29" i="16"/>
  <c r="HI56" i="54"/>
  <c r="HJ56" i="54"/>
  <c r="GK39" i="54"/>
  <c r="HL39" i="54"/>
  <c r="GK11" i="54"/>
  <c r="HL11" i="54"/>
  <c r="JO29" i="54"/>
  <c r="HM29" i="54"/>
  <c r="M29" i="54" s="1"/>
  <c r="HN29" i="54" s="1"/>
  <c r="HO29" i="54"/>
  <c r="AB14" i="53"/>
  <c r="EE3" i="54"/>
  <c r="EE4" i="54"/>
  <c r="EE5" i="54"/>
  <c r="EE7" i="54"/>
  <c r="EE6" i="54"/>
  <c r="EE8" i="54"/>
  <c r="EE13" i="54"/>
  <c r="EE15" i="54"/>
  <c r="EE14" i="54"/>
  <c r="EE10" i="54"/>
  <c r="EE9" i="54"/>
  <c r="EE11" i="54"/>
  <c r="EE12" i="54"/>
  <c r="FC13" i="54"/>
  <c r="FD13" i="54" s="1"/>
  <c r="HS13" i="54" s="1"/>
  <c r="HU13" i="54" s="1"/>
  <c r="W13" i="54"/>
  <c r="FC11" i="54"/>
  <c r="FD11" i="54" s="1"/>
  <c r="HS11" i="54" s="1"/>
  <c r="HU11" i="54" s="1"/>
  <c r="W5" i="54"/>
  <c r="W12" i="54"/>
  <c r="FC7" i="54"/>
  <c r="FD7" i="54" s="1"/>
  <c r="HS7" i="54" s="1"/>
  <c r="HU7" i="54" s="1"/>
  <c r="W14" i="54"/>
  <c r="FC5" i="54"/>
  <c r="FD5" i="54" s="1"/>
  <c r="HS5" i="54" s="1"/>
  <c r="HU5" i="54" s="1"/>
  <c r="W15" i="54"/>
  <c r="W7" i="54"/>
  <c r="FC8" i="54"/>
  <c r="FD8" i="54" s="1"/>
  <c r="HS8" i="54" s="1"/>
  <c r="HU8" i="54" s="1"/>
  <c r="FC12" i="54"/>
  <c r="FD12" i="54" s="1"/>
  <c r="HS12" i="54" s="1"/>
  <c r="HU12" i="54" s="1"/>
  <c r="W6" i="54"/>
  <c r="W11" i="54"/>
  <c r="W8" i="54"/>
  <c r="FC6" i="54"/>
  <c r="FD6" i="54" s="1"/>
  <c r="HS6" i="54" s="1"/>
  <c r="HU6" i="54" s="1"/>
  <c r="FC14" i="54"/>
  <c r="FD14" i="54" s="1"/>
  <c r="HS14" i="54" s="1"/>
  <c r="HU14" i="54" s="1"/>
  <c r="FC15" i="54"/>
  <c r="FD15" i="54" s="1"/>
  <c r="HS15" i="54" s="1"/>
  <c r="HU15" i="54" s="1"/>
  <c r="FC9" i="54"/>
  <c r="FD9" i="54" s="1"/>
  <c r="HS9" i="54" s="1"/>
  <c r="HU9" i="54" s="1"/>
  <c r="W10" i="54"/>
  <c r="W9" i="54"/>
  <c r="FC10" i="54"/>
  <c r="FD10" i="54" s="1"/>
  <c r="HS10" i="54" s="1"/>
  <c r="HU10" i="54" s="1"/>
  <c r="AG6" i="42"/>
  <c r="AH6" i="42" s="1"/>
  <c r="M6" i="16"/>
  <c r="M15" i="16"/>
  <c r="AG15" i="42"/>
  <c r="HR34" i="54"/>
  <c r="IP44" i="54" a="1"/>
  <c r="IP44" i="54" s="1"/>
  <c r="IQ44" i="54" s="1"/>
  <c r="IV44" i="54" a="1"/>
  <c r="IV44" i="54" s="1"/>
  <c r="IW44" i="54" s="1"/>
  <c r="IT44" i="54" a="1"/>
  <c r="IT44" i="54" s="1"/>
  <c r="IU44" i="54" s="1"/>
  <c r="IN44" i="54" a="1"/>
  <c r="IN44" i="54" s="1"/>
  <c r="IO44" i="54" s="1"/>
  <c r="IR44" i="54" a="1"/>
  <c r="IR44" i="54" s="1"/>
  <c r="IS44" i="54" s="1"/>
  <c r="IX44" i="54" a="1"/>
  <c r="IX44" i="54" s="1"/>
  <c r="IY44" i="54" s="1"/>
  <c r="AG19" i="42"/>
  <c r="AH19" i="42" s="1"/>
  <c r="M19" i="16"/>
  <c r="HR55" i="54"/>
  <c r="HO55" i="54"/>
  <c r="HK55" i="54"/>
  <c r="HP55" i="54"/>
  <c r="IZ55" i="54" s="1"/>
  <c r="JA55" i="54"/>
  <c r="HM51" i="54"/>
  <c r="M51" i="54" s="1"/>
  <c r="HN51" i="54" s="1"/>
  <c r="JO51" i="54"/>
  <c r="JU51" i="54" s="1"/>
  <c r="JV51" i="54" s="1"/>
  <c r="HO51" i="54"/>
  <c r="HL52" i="54"/>
  <c r="GK52" i="54"/>
  <c r="JO10" i="54"/>
  <c r="JU10" i="54" s="1"/>
  <c r="JV10" i="54" s="1"/>
  <c r="HO10" i="54"/>
  <c r="AA17" i="53" a="1"/>
  <c r="AA17" i="53" s="1"/>
  <c r="AA14" i="53" a="1"/>
  <c r="AA14" i="53" s="1"/>
  <c r="AA18" i="53" a="1"/>
  <c r="AA18" i="53" s="1"/>
  <c r="AA19" i="53" a="1"/>
  <c r="AA19" i="53" s="1"/>
  <c r="AA15" i="53" a="1"/>
  <c r="AA15" i="53" s="1"/>
  <c r="AA16" i="53" a="1"/>
  <c r="AA16" i="53" s="1"/>
  <c r="HM17" i="54"/>
  <c r="M17" i="54" s="1"/>
  <c r="HN17" i="54" s="1"/>
  <c r="HO17" i="54"/>
  <c r="M21" i="16"/>
  <c r="AG21" i="42"/>
  <c r="AH21" i="42" s="1"/>
  <c r="IG19" i="54"/>
  <c r="M10" i="16"/>
  <c r="AG10" i="42"/>
  <c r="AH10" i="42" s="1"/>
  <c r="AV3" i="40" a="1"/>
  <c r="AV3" i="40" s="1"/>
  <c r="HM32" i="54"/>
  <c r="M32" i="54" s="1"/>
  <c r="HN32" i="54" s="1"/>
  <c r="HR32" i="54"/>
  <c r="EZ24" i="54"/>
  <c r="EZ40" i="54"/>
  <c r="JO56" i="54"/>
  <c r="HM56" i="54"/>
  <c r="M56" i="54" s="1"/>
  <c r="HN56" i="54" s="1"/>
  <c r="IL56" i="54" s="1"/>
  <c r="IM56" i="54" s="1"/>
  <c r="JU56" i="54"/>
  <c r="JV56" i="54" s="1"/>
  <c r="AG31" i="42"/>
  <c r="AH31" i="42" s="1"/>
  <c r="M34" i="16"/>
  <c r="IL28" i="54"/>
  <c r="IM28" i="54" s="1"/>
  <c r="JA28" i="54"/>
  <c r="JO37" i="54"/>
  <c r="JU37" i="54"/>
  <c r="JV37" i="54"/>
  <c r="HO37" i="54"/>
  <c r="HL46" i="54"/>
  <c r="GK46" i="54"/>
  <c r="JU45" i="54"/>
  <c r="JV45" i="54" s="1"/>
  <c r="JO27" i="54"/>
  <c r="JU27" i="54" s="1"/>
  <c r="JV27" i="54" s="1"/>
  <c r="HM27" i="54"/>
  <c r="M27" i="54" s="1"/>
  <c r="HN27" i="54" s="1"/>
  <c r="HO27" i="54"/>
  <c r="AG5" i="42"/>
  <c r="M5" i="16"/>
  <c r="M32" i="16"/>
  <c r="AG29" i="42"/>
  <c r="AH29" i="42" s="1"/>
  <c r="JO18" i="54"/>
  <c r="HM18" i="54"/>
  <c r="M18" i="54" s="1"/>
  <c r="HN18" i="54" s="1"/>
  <c r="HO18" i="54"/>
  <c r="JO15" i="54"/>
  <c r="HO15" i="54"/>
  <c r="GK22" i="54"/>
  <c r="HL22" i="54"/>
  <c r="M22" i="16"/>
  <c r="AG22" i="42"/>
  <c r="AH22" i="42" s="1"/>
  <c r="GK43" i="54"/>
  <c r="HL43" i="54"/>
  <c r="HL8" i="54"/>
  <c r="GK8" i="54"/>
  <c r="IL31" i="54"/>
  <c r="IM31" i="54" s="1"/>
  <c r="JA31" i="54"/>
  <c r="AG23" i="42"/>
  <c r="AH23" i="42" s="1"/>
  <c r="M23" i="16"/>
  <c r="M27" i="16"/>
  <c r="AG24" i="42"/>
  <c r="AH24" i="42" s="1"/>
  <c r="BS3" i="40" a="1"/>
  <c r="BS3" i="40" s="1"/>
  <c r="AC16" i="53"/>
  <c r="IJ25" i="54" s="1"/>
  <c r="FE23" i="54"/>
  <c r="FE25" i="54"/>
  <c r="FE24" i="54"/>
  <c r="JU50" i="54"/>
  <c r="JV50" i="54" s="1"/>
  <c r="M17" i="16"/>
  <c r="AG17" i="42"/>
  <c r="AH17" i="42" s="1"/>
  <c r="M31" i="16"/>
  <c r="AG28" i="42"/>
  <c r="HR33" i="54"/>
  <c r="HL35" i="54"/>
  <c r="GK35" i="54"/>
  <c r="M7" i="16"/>
  <c r="AG7" i="42"/>
  <c r="M4" i="16"/>
  <c r="AG4" i="42"/>
  <c r="AH4" i="42" s="1"/>
  <c r="AG30" i="42"/>
  <c r="AH30" i="42" s="1"/>
  <c r="M33" i="16"/>
  <c r="HR35" i="54"/>
  <c r="JO47" i="54"/>
  <c r="HL19" i="54"/>
  <c r="GK19" i="54"/>
  <c r="AC15" i="53"/>
  <c r="FE16" i="54"/>
  <c r="FE22" i="54"/>
  <c r="FE21" i="54"/>
  <c r="FE17" i="54"/>
  <c r="FE19" i="54"/>
  <c r="FE18" i="54"/>
  <c r="FE20" i="54"/>
  <c r="M9" i="16"/>
  <c r="AG9" i="42"/>
  <c r="HL9" i="54"/>
  <c r="GK9" i="54"/>
  <c r="AG16" i="42"/>
  <c r="AH16" i="42" s="1"/>
  <c r="M16" i="16"/>
  <c r="JO53" i="54"/>
  <c r="M18" i="16"/>
  <c r="AG18" i="42"/>
  <c r="AH18" i="42" s="1"/>
  <c r="M20" i="16"/>
  <c r="AG20" i="42"/>
  <c r="AH20" i="42" s="1"/>
  <c r="AC18" i="53"/>
  <c r="FE48" i="54"/>
  <c r="FE49" i="54"/>
  <c r="FE52" i="54"/>
  <c r="FE50" i="54"/>
  <c r="FE51" i="54"/>
  <c r="FE53" i="54"/>
  <c r="HL14" i="54"/>
  <c r="GK14" i="54"/>
  <c r="M11" i="16"/>
  <c r="AG11" i="42"/>
  <c r="AH11" i="42" s="1"/>
  <c r="JO49" i="54"/>
  <c r="JU49" i="54"/>
  <c r="HM49" i="54"/>
  <c r="M49" i="54" s="1"/>
  <c r="HN49" i="54" s="1"/>
  <c r="HO49" i="54"/>
  <c r="M30" i="16"/>
  <c r="AG27" i="42"/>
  <c r="AH27" i="42" s="1"/>
  <c r="JC46" i="54"/>
  <c r="GU46" i="54"/>
  <c r="GV46" i="54"/>
  <c r="AW3" i="40" a="1"/>
  <c r="AW3" i="40" s="1"/>
  <c r="M35" i="16"/>
  <c r="AG32" i="42"/>
  <c r="AH32" i="42" s="1"/>
  <c r="HL25" i="54"/>
  <c r="GK25" i="54"/>
  <c r="M8" i="16"/>
  <c r="AG8" i="42"/>
  <c r="M13" i="16"/>
  <c r="AG13" i="42"/>
  <c r="IF55" i="54"/>
  <c r="IG55" i="54" s="1"/>
  <c r="JR55" i="54"/>
  <c r="JU7" i="54"/>
  <c r="JV7" i="54" s="1"/>
  <c r="AC17" i="53"/>
  <c r="FE26" i="54"/>
  <c r="FE41" i="54"/>
  <c r="FE36" i="54"/>
  <c r="FE45" i="54"/>
  <c r="FE32" i="54"/>
  <c r="FE33" i="54"/>
  <c r="FE37" i="54"/>
  <c r="FE31" i="54"/>
  <c r="FE27" i="54"/>
  <c r="FE28" i="54"/>
  <c r="FE42" i="54"/>
  <c r="FE30" i="54"/>
  <c r="FE43" i="54"/>
  <c r="FE40" i="54"/>
  <c r="FE39" i="54"/>
  <c r="FE47" i="54"/>
  <c r="FE29" i="54"/>
  <c r="FE35" i="54"/>
  <c r="FE46" i="54"/>
  <c r="HJ20" i="54"/>
  <c r="EZ57" i="54"/>
  <c r="AC14" i="53"/>
  <c r="FE3" i="54"/>
  <c r="FE13" i="54"/>
  <c r="FE4" i="54"/>
  <c r="FE11" i="54"/>
  <c r="FE8" i="54"/>
  <c r="FE5" i="54"/>
  <c r="FE6" i="54"/>
  <c r="FE14" i="54"/>
  <c r="FE12" i="54"/>
  <c r="FE7" i="54"/>
  <c r="FE15" i="54"/>
  <c r="FE10" i="54"/>
  <c r="FE9" i="54"/>
  <c r="GK42" i="54"/>
  <c r="HL42" i="54"/>
  <c r="HL33" i="54"/>
  <c r="GK33" i="54"/>
  <c r="M14" i="16"/>
  <c r="AG14" i="42"/>
  <c r="GK21" i="54"/>
  <c r="HL21" i="54"/>
  <c r="M28" i="16"/>
  <c r="AG25" i="42"/>
  <c r="AH25" i="42" s="1"/>
  <c r="HM50" i="54"/>
  <c r="M50" i="54" s="1"/>
  <c r="HN50" i="54" s="1"/>
  <c r="JU31" i="54"/>
  <c r="JV31" i="54" s="1"/>
  <c r="GT47" i="54"/>
  <c r="AJ3" i="40" s="1" a="1"/>
  <c r="AJ3" i="40" s="1"/>
  <c r="BF9" i="10" s="1"/>
  <c r="IL30" i="54" l="1"/>
  <c r="IM30" i="54" s="1"/>
  <c r="HM38" i="54"/>
  <c r="M38" i="54" s="1"/>
  <c r="HN38" i="54" s="1"/>
  <c r="AH13" i="42"/>
  <c r="JO12" i="54"/>
  <c r="JU12" i="54" s="1"/>
  <c r="JV12" i="54" s="1"/>
  <c r="HO12" i="54"/>
  <c r="JV49" i="54"/>
  <c r="AH8" i="42"/>
  <c r="ED49" i="54"/>
  <c r="Q49" i="54" s="1"/>
  <c r="ED50" i="54"/>
  <c r="Q50" i="54" s="1"/>
  <c r="ED51" i="54"/>
  <c r="Q51" i="54" s="1"/>
  <c r="ED53" i="54"/>
  <c r="Q53" i="54" s="1"/>
  <c r="ED52" i="54"/>
  <c r="Q52" i="54" s="1"/>
  <c r="ED48" i="54"/>
  <c r="U18" i="53"/>
  <c r="IJ21" i="54"/>
  <c r="IJ17" i="54"/>
  <c r="B7" i="58" a="1"/>
  <c r="B7" i="58" s="1"/>
  <c r="IX30" i="54" a="1"/>
  <c r="IX30" i="54" s="1"/>
  <c r="IY30" i="54" s="1"/>
  <c r="IV30" i="54" a="1"/>
  <c r="IV30" i="54" s="1"/>
  <c r="IW30" i="54" s="1"/>
  <c r="IR30" i="54" a="1"/>
  <c r="IR30" i="54" s="1"/>
  <c r="IS30" i="54" s="1"/>
  <c r="IT30" i="54" a="1"/>
  <c r="IT30" i="54" s="1"/>
  <c r="IU30" i="54" s="1"/>
  <c r="IP30" i="54" a="1"/>
  <c r="IP30" i="54" s="1"/>
  <c r="IQ30" i="54" s="1"/>
  <c r="IN30" i="54" a="1"/>
  <c r="IN30" i="54" s="1"/>
  <c r="IO30" i="54" s="1"/>
  <c r="HM5" i="54"/>
  <c r="M5" i="54" s="1"/>
  <c r="HN5" i="54" s="1"/>
  <c r="JO5" i="54"/>
  <c r="HM13" i="54"/>
  <c r="M13" i="54" s="1"/>
  <c r="HN13" i="54" s="1"/>
  <c r="HO5" i="54"/>
  <c r="HM12" i="54"/>
  <c r="M12" i="54" s="1"/>
  <c r="HN12" i="54" s="1"/>
  <c r="HM7" i="54"/>
  <c r="M7" i="54" s="1"/>
  <c r="HN7" i="54" s="1"/>
  <c r="HM6" i="54"/>
  <c r="M6" i="54" s="1"/>
  <c r="HN6" i="54" s="1"/>
  <c r="HM35" i="54"/>
  <c r="M35" i="54" s="1"/>
  <c r="HN35" i="54" s="1"/>
  <c r="JO35" i="54"/>
  <c r="HO35" i="54"/>
  <c r="HR56" i="54"/>
  <c r="HO56" i="54"/>
  <c r="HP56" i="54"/>
  <c r="IZ56" i="54" s="1"/>
  <c r="JA56" i="54"/>
  <c r="HK56" i="54"/>
  <c r="HK57" i="54" s="1"/>
  <c r="JO9" i="54"/>
  <c r="HM9" i="54"/>
  <c r="M9" i="54" s="1"/>
  <c r="HN9" i="54" s="1"/>
  <c r="HO9" i="54"/>
  <c r="IL18" i="54"/>
  <c r="IM18" i="54" s="1"/>
  <c r="JA18" i="54"/>
  <c r="HM46" i="54"/>
  <c r="M46" i="54" s="1"/>
  <c r="HN46" i="54" s="1"/>
  <c r="JO46" i="54"/>
  <c r="HO46" i="54"/>
  <c r="IL50" i="54"/>
  <c r="IM50" i="54" s="1"/>
  <c r="JA50" i="54"/>
  <c r="JA38" i="54"/>
  <c r="IL38" i="54"/>
  <c r="IM38" i="54" s="1"/>
  <c r="JO11" i="54"/>
  <c r="HM11" i="54"/>
  <c r="M11" i="54" s="1"/>
  <c r="HN11" i="54" s="1"/>
  <c r="HO11" i="54"/>
  <c r="HM15" i="54"/>
  <c r="M15" i="54" s="1"/>
  <c r="HN15" i="54" s="1"/>
  <c r="JO19" i="54"/>
  <c r="JU19" i="54"/>
  <c r="HM19" i="54"/>
  <c r="M19" i="54" s="1"/>
  <c r="HN19" i="54" s="1"/>
  <c r="IH16" i="54" s="1"/>
  <c r="HO19" i="54"/>
  <c r="IL27" i="54"/>
  <c r="IM27" i="54" s="1"/>
  <c r="JA27" i="54"/>
  <c r="G10" i="56"/>
  <c r="ED12" i="54"/>
  <c r="Q12" i="54" s="1"/>
  <c r="ED13" i="54"/>
  <c r="Q13" i="54" s="1"/>
  <c r="ED14" i="54"/>
  <c r="Q14" i="54" s="1"/>
  <c r="ED3" i="54"/>
  <c r="ED4" i="54"/>
  <c r="ED5" i="54"/>
  <c r="Q5" i="54" s="1"/>
  <c r="ED6" i="54"/>
  <c r="Q6" i="54" s="1"/>
  <c r="ED9" i="54"/>
  <c r="Q9" i="54" s="1"/>
  <c r="ED10" i="54"/>
  <c r="Q10" i="54" s="1"/>
  <c r="ED11" i="54"/>
  <c r="Q11" i="54" s="1"/>
  <c r="ED15" i="54"/>
  <c r="Q15" i="54" s="1"/>
  <c r="ED7" i="54"/>
  <c r="Q7" i="54" s="1"/>
  <c r="ED8" i="54"/>
  <c r="Q8" i="54" s="1"/>
  <c r="IP56" i="54" a="1"/>
  <c r="IP56" i="54" s="1"/>
  <c r="IQ56" i="54" s="1"/>
  <c r="IR56" i="54" a="1"/>
  <c r="IR56" i="54" s="1"/>
  <c r="IS56" i="54" s="1"/>
  <c r="IX56" i="54" a="1"/>
  <c r="IX56" i="54" s="1"/>
  <c r="IY56" i="54" s="1"/>
  <c r="IV56" i="54" a="1"/>
  <c r="IV56" i="54" s="1"/>
  <c r="IW56" i="54" s="1"/>
  <c r="IT56" i="54" a="1"/>
  <c r="IT56" i="54" s="1"/>
  <c r="IU56" i="54" s="1"/>
  <c r="IN56" i="54" a="1"/>
  <c r="IN56" i="54" s="1"/>
  <c r="IO56" i="54" s="1"/>
  <c r="HM20" i="54"/>
  <c r="M20" i="54" s="1"/>
  <c r="HN20" i="54" s="1"/>
  <c r="IL20" i="54" s="1"/>
  <c r="IM20" i="54" s="1"/>
  <c r="JO20" i="54"/>
  <c r="JO42" i="54"/>
  <c r="HO42" i="54"/>
  <c r="HL57" i="54"/>
  <c r="GK57" i="54"/>
  <c r="AH28" i="42"/>
  <c r="GK40" i="54"/>
  <c r="HL40" i="54"/>
  <c r="HM42" i="54" s="1"/>
  <c r="JO25" i="54"/>
  <c r="JU25" i="54"/>
  <c r="HM25" i="54"/>
  <c r="M25" i="54" s="1"/>
  <c r="HN25" i="54" s="1"/>
  <c r="HO25" i="54"/>
  <c r="JU47" i="54"/>
  <c r="JV47" i="54" s="1"/>
  <c r="HR57" i="54"/>
  <c r="HP57" i="54"/>
  <c r="IZ57" i="54" s="1"/>
  <c r="JO21" i="54"/>
  <c r="HM21" i="54"/>
  <c r="M21" i="54" s="1"/>
  <c r="HN21" i="54" s="1"/>
  <c r="HO21" i="54"/>
  <c r="IL29" i="54"/>
  <c r="IM29" i="54" s="1"/>
  <c r="JA29" i="54"/>
  <c r="IJ43" i="54"/>
  <c r="IJ36" i="54"/>
  <c r="IJ40" i="54"/>
  <c r="IJ28" i="54"/>
  <c r="IJ37" i="54"/>
  <c r="IJ27" i="54"/>
  <c r="IJ45" i="54"/>
  <c r="IJ46" i="54"/>
  <c r="IJ47" i="54"/>
  <c r="IJ44" i="54"/>
  <c r="IJ31" i="54"/>
  <c r="JO14" i="54"/>
  <c r="JU14" i="54"/>
  <c r="JV14" i="54"/>
  <c r="HM14" i="54"/>
  <c r="M14" i="54" s="1"/>
  <c r="HN14" i="54" s="1"/>
  <c r="HO14" i="54"/>
  <c r="AH5" i="42"/>
  <c r="R29" i="42" s="1"/>
  <c r="IL32" i="54"/>
  <c r="IM32" i="54" s="1"/>
  <c r="JA32" i="54"/>
  <c r="JO43" i="54"/>
  <c r="HO43" i="54"/>
  <c r="G11" i="56"/>
  <c r="JU17" i="54"/>
  <c r="JV17" i="54" s="1"/>
  <c r="AH14" i="42"/>
  <c r="GW46" i="54"/>
  <c r="JU53" i="54"/>
  <c r="JV53" i="54" s="1"/>
  <c r="AH7" i="42"/>
  <c r="JO22" i="54"/>
  <c r="HM22" i="54"/>
  <c r="M22" i="54" s="1"/>
  <c r="HN22" i="54" s="1"/>
  <c r="JU22" i="54"/>
  <c r="JV22" i="54" s="1"/>
  <c r="HO22" i="54"/>
  <c r="ED23" i="54"/>
  <c r="ED24" i="54"/>
  <c r="Q24" i="54" s="1"/>
  <c r="ED25" i="54"/>
  <c r="Q25" i="54" s="1"/>
  <c r="U16" i="53"/>
  <c r="BH29" i="10"/>
  <c r="BH39" i="10"/>
  <c r="BI9" i="10"/>
  <c r="BH26" i="10"/>
  <c r="BI20" i="10"/>
  <c r="BH23" i="10"/>
  <c r="BI17" i="10"/>
  <c r="BI8" i="10"/>
  <c r="BI24" i="10"/>
  <c r="BH12" i="10"/>
  <c r="BH37" i="10"/>
  <c r="BI22" i="10"/>
  <c r="BI25" i="10"/>
  <c r="BI32" i="10"/>
  <c r="BH36" i="10"/>
  <c r="BH25" i="10"/>
  <c r="BI23" i="10"/>
  <c r="BI21" i="10"/>
  <c r="BH14" i="10"/>
  <c r="BH17" i="10"/>
  <c r="BH9" i="10"/>
  <c r="BI39" i="10"/>
  <c r="BH7" i="10"/>
  <c r="BH5" i="10"/>
  <c r="BI37" i="10"/>
  <c r="BH10" i="10"/>
  <c r="BI18" i="10"/>
  <c r="BH33" i="10"/>
  <c r="BI12" i="10"/>
  <c r="BH18" i="10"/>
  <c r="BI16" i="10"/>
  <c r="BI30" i="10"/>
  <c r="BH20" i="10"/>
  <c r="BH6" i="10"/>
  <c r="BH24" i="10"/>
  <c r="BH11" i="10"/>
  <c r="BH32" i="10"/>
  <c r="BI6" i="10"/>
  <c r="BH30" i="10"/>
  <c r="BI26" i="10"/>
  <c r="BI14" i="10"/>
  <c r="BI29" i="10"/>
  <c r="BH31" i="10"/>
  <c r="BI31" i="10"/>
  <c r="BH22" i="10"/>
  <c r="BH15" i="10"/>
  <c r="BH16" i="10"/>
  <c r="BH34" i="10"/>
  <c r="BI33" i="10"/>
  <c r="BI27" i="10"/>
  <c r="BH35" i="10"/>
  <c r="BH8" i="10"/>
  <c r="BH38" i="10"/>
  <c r="BI13" i="10"/>
  <c r="BH19" i="10"/>
  <c r="BI34" i="10"/>
  <c r="BH27" i="10"/>
  <c r="BI15" i="10"/>
  <c r="BI10" i="10"/>
  <c r="BI35" i="10"/>
  <c r="BI7" i="10"/>
  <c r="BH28" i="10"/>
  <c r="BI19" i="10"/>
  <c r="BI36" i="10"/>
  <c r="BI28" i="10"/>
  <c r="BH13" i="10"/>
  <c r="BI5" i="10"/>
  <c r="BH21" i="10"/>
  <c r="BI38" i="10"/>
  <c r="BI11" i="10"/>
  <c r="ED54" i="54"/>
  <c r="ED55" i="54"/>
  <c r="ED56" i="54"/>
  <c r="Q56" i="54" s="1"/>
  <c r="ED57" i="54"/>
  <c r="Q57" i="54" s="1"/>
  <c r="U19" i="53"/>
  <c r="AH15" i="42"/>
  <c r="ED28" i="54"/>
  <c r="Q28" i="54" s="1"/>
  <c r="ED44" i="54"/>
  <c r="ED29" i="54"/>
  <c r="Q29" i="54" s="1"/>
  <c r="ED45" i="54"/>
  <c r="Q45" i="54" s="1"/>
  <c r="ED30" i="54"/>
  <c r="Q30" i="54" s="1"/>
  <c r="ED46" i="54"/>
  <c r="Q46" i="54" s="1"/>
  <c r="ED41" i="54"/>
  <c r="Q41" i="54" s="1"/>
  <c r="ED42" i="54"/>
  <c r="Q42" i="54" s="1"/>
  <c r="ED43" i="54"/>
  <c r="Q43" i="54" s="1"/>
  <c r="ED47" i="54"/>
  <c r="Q47" i="54" s="1"/>
  <c r="ED31" i="54"/>
  <c r="Q31" i="54" s="1"/>
  <c r="ED32" i="54"/>
  <c r="Q32" i="54" s="1"/>
  <c r="ED26" i="54"/>
  <c r="ED27" i="54"/>
  <c r="Q27" i="54" s="1"/>
  <c r="ED33" i="54"/>
  <c r="Q33" i="54" s="1"/>
  <c r="ED36" i="54"/>
  <c r="Q36" i="54" s="1"/>
  <c r="ED37" i="54"/>
  <c r="Q37" i="54" s="1"/>
  <c r="ED39" i="54"/>
  <c r="Q39" i="54" s="1"/>
  <c r="ED38" i="54"/>
  <c r="ED40" i="54"/>
  <c r="Q40" i="54" s="1"/>
  <c r="ED34" i="54"/>
  <c r="ED35" i="54"/>
  <c r="Q35" i="54" s="1"/>
  <c r="U17" i="53"/>
  <c r="JO39" i="54"/>
  <c r="HM39" i="54"/>
  <c r="M39" i="54" s="1"/>
  <c r="HN39" i="54" s="1"/>
  <c r="HO39" i="54"/>
  <c r="HM33" i="54"/>
  <c r="M33" i="54" s="1"/>
  <c r="HN33" i="54" s="1"/>
  <c r="JO33" i="54"/>
  <c r="JU33" i="54" s="1"/>
  <c r="JV33" i="54" s="1"/>
  <c r="HO33" i="54"/>
  <c r="IJ12" i="54"/>
  <c r="IJ14" i="54"/>
  <c r="IJ6" i="54"/>
  <c r="IJ13" i="54"/>
  <c r="IJ10" i="54"/>
  <c r="IJ3" i="54"/>
  <c r="IJ4" i="54"/>
  <c r="JU15" i="54"/>
  <c r="JV15" i="54" s="1"/>
  <c r="IL49" i="54"/>
  <c r="IM49" i="54" s="1"/>
  <c r="JA49" i="54"/>
  <c r="HM10" i="54"/>
  <c r="M10" i="54" s="1"/>
  <c r="HN10" i="54" s="1"/>
  <c r="IF56" i="54"/>
  <c r="IG56" i="54" s="1"/>
  <c r="JR56" i="54"/>
  <c r="AI3" i="40" a="1"/>
  <c r="AI3" i="40" s="1"/>
  <c r="JC47" i="54"/>
  <c r="BF3" i="40" s="1" a="1"/>
  <c r="BF3" i="40" s="1"/>
  <c r="GV47" i="54"/>
  <c r="GW47" i="54" s="1"/>
  <c r="GU47" i="54"/>
  <c r="HO47" i="54" s="1"/>
  <c r="AH9" i="42"/>
  <c r="IR31" i="54" a="1"/>
  <c r="IR31" i="54" s="1"/>
  <c r="IS31" i="54" s="1"/>
  <c r="IX31" i="54" a="1"/>
  <c r="IX31" i="54" s="1"/>
  <c r="IY31" i="54" s="1"/>
  <c r="IP31" i="54" a="1"/>
  <c r="IP31" i="54" s="1"/>
  <c r="IQ31" i="54" s="1"/>
  <c r="IN31" i="54" a="1"/>
  <c r="IN31" i="54" s="1"/>
  <c r="IO31" i="54" s="1"/>
  <c r="IV31" i="54" a="1"/>
  <c r="IV31" i="54" s="1"/>
  <c r="IW31" i="54" s="1"/>
  <c r="IT31" i="54" a="1"/>
  <c r="IT31" i="54" s="1"/>
  <c r="IU31" i="54" s="1"/>
  <c r="JU18" i="54"/>
  <c r="JV18" i="54" s="1"/>
  <c r="IL17" i="54"/>
  <c r="IM17" i="54" s="1"/>
  <c r="JA17" i="54"/>
  <c r="IF57" i="54"/>
  <c r="IG57" i="54" s="1"/>
  <c r="HP20" i="54"/>
  <c r="HR20" i="54"/>
  <c r="HO20" i="54"/>
  <c r="HK20" i="54"/>
  <c r="JA20" i="54"/>
  <c r="IG17" i="54"/>
  <c r="HR17" i="54"/>
  <c r="IG18" i="54"/>
  <c r="HR19" i="54"/>
  <c r="IF20" i="54"/>
  <c r="IG20" i="54" s="1"/>
  <c r="HR18" i="54"/>
  <c r="O3" i="40" a="1"/>
  <c r="O3" i="40" s="1"/>
  <c r="JO8" i="54"/>
  <c r="JU8" i="54"/>
  <c r="JV8" i="54"/>
  <c r="HM8" i="54"/>
  <c r="M8" i="54" s="1"/>
  <c r="HN8" i="54" s="1"/>
  <c r="HO8" i="54"/>
  <c r="HL24" i="54"/>
  <c r="GK24" i="54"/>
  <c r="Q3" i="40" s="1" a="1"/>
  <c r="Q3" i="40" s="1"/>
  <c r="U14" i="53"/>
  <c r="N22" i="42"/>
  <c r="P22" i="42" s="1"/>
  <c r="AE22" i="42" s="1"/>
  <c r="N23" i="42"/>
  <c r="P23" i="42" s="1"/>
  <c r="AE23" i="42" s="1"/>
  <c r="AF23" i="42" s="1"/>
  <c r="N24" i="42"/>
  <c r="P24" i="42" s="1"/>
  <c r="AE24" i="42" s="1"/>
  <c r="N29" i="42"/>
  <c r="P29" i="42" s="1"/>
  <c r="AE29" i="42" s="1"/>
  <c r="AF29" i="42" s="1"/>
  <c r="N30" i="42"/>
  <c r="P30" i="42" s="1"/>
  <c r="AE30" i="42" s="1"/>
  <c r="BF13" i="10"/>
  <c r="HM37" i="54"/>
  <c r="M37" i="54" s="1"/>
  <c r="HN37" i="54" s="1"/>
  <c r="HM52" i="54"/>
  <c r="M52" i="54" s="1"/>
  <c r="HN52" i="54" s="1"/>
  <c r="IH48" i="54" s="1"/>
  <c r="JO52" i="54"/>
  <c r="HO52" i="54"/>
  <c r="HM53" i="54"/>
  <c r="M53" i="54" s="1"/>
  <c r="HN53" i="54" s="1"/>
  <c r="HM36" i="54"/>
  <c r="M36" i="54" s="1"/>
  <c r="HN36" i="54" s="1"/>
  <c r="IP28" i="54" a="1"/>
  <c r="IP28" i="54" s="1"/>
  <c r="IQ28" i="54" s="1"/>
  <c r="IV28" i="54" a="1"/>
  <c r="IV28" i="54" s="1"/>
  <c r="IW28" i="54" s="1"/>
  <c r="IX28" i="54" a="1"/>
  <c r="IX28" i="54" s="1"/>
  <c r="IY28" i="54" s="1"/>
  <c r="IR28" i="54" a="1"/>
  <c r="IR28" i="54" s="1"/>
  <c r="IS28" i="54" s="1"/>
  <c r="IN28" i="54" a="1"/>
  <c r="IN28" i="54" s="1"/>
  <c r="IO28" i="54" s="1"/>
  <c r="IT28" i="54" a="1"/>
  <c r="IT28" i="54" s="1"/>
  <c r="IU28" i="54" s="1"/>
  <c r="ED22" i="54"/>
  <c r="ED19" i="54"/>
  <c r="ED20" i="54"/>
  <c r="ED21" i="54"/>
  <c r="ED17" i="54"/>
  <c r="ED16" i="54"/>
  <c r="ED18" i="54"/>
  <c r="U15" i="53"/>
  <c r="IL51" i="54"/>
  <c r="IM51" i="54" s="1"/>
  <c r="JA51" i="54"/>
  <c r="JU29" i="54"/>
  <c r="JV29" i="54" s="1"/>
  <c r="JR57" i="54"/>
  <c r="IH22" i="54" l="1"/>
  <c r="HM47" i="54"/>
  <c r="M47" i="54" s="1"/>
  <c r="HN47" i="54" s="1"/>
  <c r="R34" i="42"/>
  <c r="N28" i="42"/>
  <c r="P28" i="42" s="1"/>
  <c r="AE28" i="42" s="1"/>
  <c r="AF28" i="42" s="1"/>
  <c r="BA3" i="40" a="1"/>
  <c r="BA3" i="40" s="1"/>
  <c r="JP11" i="54"/>
  <c r="AG3" i="40" a="1"/>
  <c r="AG3" i="40" s="1"/>
  <c r="R30" i="42"/>
  <c r="AZ3" i="40" a="1"/>
  <c r="AZ3" i="40" s="1"/>
  <c r="IH17" i="54"/>
  <c r="JS17" i="54" s="1"/>
  <c r="JV25" i="54"/>
  <c r="R28" i="42"/>
  <c r="R32" i="42"/>
  <c r="N32" i="42"/>
  <c r="P32" i="42" s="1"/>
  <c r="AE32" i="42" s="1"/>
  <c r="AF32" i="42" s="1"/>
  <c r="N31" i="42"/>
  <c r="P31" i="42" s="1"/>
  <c r="AE31" i="42" s="1"/>
  <c r="AF31" i="42" s="1"/>
  <c r="JS16" i="54"/>
  <c r="N16" i="54"/>
  <c r="JA36" i="54"/>
  <c r="IL36" i="54"/>
  <c r="IM36" i="54" s="1"/>
  <c r="BM14" i="10"/>
  <c r="BL14" i="10"/>
  <c r="BK14" i="10"/>
  <c r="BN14" i="10" s="1"/>
  <c r="BJ14" i="10"/>
  <c r="BJ37" i="10"/>
  <c r="BL37" i="10"/>
  <c r="BK37" i="10"/>
  <c r="BN37" i="10" s="1"/>
  <c r="BM37" i="10"/>
  <c r="BK24" i="10"/>
  <c r="BN24" i="10" s="1"/>
  <c r="BJ24" i="10"/>
  <c r="BL24" i="10"/>
  <c r="BM24" i="10"/>
  <c r="C1" i="16"/>
  <c r="JO57" i="54"/>
  <c r="JU57" i="54" s="1"/>
  <c r="HM57" i="54"/>
  <c r="M57" i="54" s="1"/>
  <c r="HN57" i="54" s="1"/>
  <c r="IH56" i="54" s="1"/>
  <c r="JA47" i="54"/>
  <c r="IL47" i="54"/>
  <c r="IM47" i="54" s="1"/>
  <c r="BJ8" i="10"/>
  <c r="BM8" i="10"/>
  <c r="BK8" i="10"/>
  <c r="BN8" i="10" s="1"/>
  <c r="BL8" i="10"/>
  <c r="HO57" i="54"/>
  <c r="IL6" i="54"/>
  <c r="IM6" i="54" s="1"/>
  <c r="JA6" i="54"/>
  <c r="IH6" i="54"/>
  <c r="JS6" i="54" s="1"/>
  <c r="IT49" i="54" a="1"/>
  <c r="IT49" i="54" s="1"/>
  <c r="IU49" i="54" s="1"/>
  <c r="IV49" i="54" a="1"/>
  <c r="IV49" i="54" s="1"/>
  <c r="IW49" i="54" s="1"/>
  <c r="IR49" i="54" a="1"/>
  <c r="IR49" i="54" s="1"/>
  <c r="IS49" i="54" s="1"/>
  <c r="IP49" i="54" a="1"/>
  <c r="IP49" i="54" s="1"/>
  <c r="IQ49" i="54" s="1"/>
  <c r="IN49" i="54" a="1"/>
  <c r="IN49" i="54" s="1"/>
  <c r="IO49" i="54" s="1"/>
  <c r="IX49" i="54" a="1"/>
  <c r="IX49" i="54" s="1"/>
  <c r="IY49" i="54" s="1"/>
  <c r="BL17" i="10"/>
  <c r="BM17" i="10"/>
  <c r="BK17" i="10"/>
  <c r="BN17" i="10" s="1"/>
  <c r="BJ17" i="10"/>
  <c r="JP15" i="54"/>
  <c r="IX38" i="54" a="1"/>
  <c r="IX38" i="54" s="1"/>
  <c r="IY38" i="54" s="1"/>
  <c r="IV38" i="54" a="1"/>
  <c r="IV38" i="54" s="1"/>
  <c r="IW38" i="54" s="1"/>
  <c r="IP38" i="54" a="1"/>
  <c r="IP38" i="54" s="1"/>
  <c r="IQ38" i="54" s="1"/>
  <c r="IT38" i="54" a="1"/>
  <c r="IT38" i="54" s="1"/>
  <c r="IU38" i="54" s="1"/>
  <c r="IR38" i="54" a="1"/>
  <c r="IR38" i="54" s="1"/>
  <c r="IS38" i="54" s="1"/>
  <c r="IN38" i="54" a="1"/>
  <c r="IN38" i="54" s="1"/>
  <c r="IO38" i="54" s="1"/>
  <c r="IL7" i="54"/>
  <c r="IM7" i="54" s="1"/>
  <c r="JA7" i="54"/>
  <c r="IH7" i="54"/>
  <c r="BJ39" i="10"/>
  <c r="BK39" i="10"/>
  <c r="BN39" i="10" s="1"/>
  <c r="BL39" i="10"/>
  <c r="BM39" i="10"/>
  <c r="JA22" i="54"/>
  <c r="IL22" i="54"/>
  <c r="IM22" i="54" s="1"/>
  <c r="AY3" i="40" a="1"/>
  <c r="AY3" i="40" s="1"/>
  <c r="AF22" i="42"/>
  <c r="JU39" i="54"/>
  <c r="JV39" i="54" s="1"/>
  <c r="IV27" i="54" a="1"/>
  <c r="IV27" i="54" s="1"/>
  <c r="IW27" i="54" s="1"/>
  <c r="IP27" i="54" a="1"/>
  <c r="IP27" i="54" s="1"/>
  <c r="IQ27" i="54" s="1"/>
  <c r="IX27" i="54" a="1"/>
  <c r="IX27" i="54" s="1"/>
  <c r="IY27" i="54" s="1"/>
  <c r="IR27" i="54" a="1"/>
  <c r="IR27" i="54" s="1"/>
  <c r="IS27" i="54" s="1"/>
  <c r="IN27" i="54" a="1"/>
  <c r="IN27" i="54" s="1"/>
  <c r="IO27" i="54" s="1"/>
  <c r="IT27" i="54" a="1"/>
  <c r="IT27" i="54" s="1"/>
  <c r="IU27" i="54" s="1"/>
  <c r="IH5" i="54"/>
  <c r="IL52" i="54"/>
  <c r="IM52" i="54" s="1"/>
  <c r="JA52" i="54"/>
  <c r="IH50" i="54"/>
  <c r="BL9" i="10"/>
  <c r="BK9" i="10"/>
  <c r="BN9" i="10" s="1"/>
  <c r="BJ9" i="10"/>
  <c r="BM9" i="10"/>
  <c r="R31" i="42"/>
  <c r="IH19" i="54"/>
  <c r="IL13" i="54"/>
  <c r="IM13" i="54" s="1"/>
  <c r="JA13" i="54"/>
  <c r="IH13" i="54"/>
  <c r="JS13" i="54" s="1"/>
  <c r="JP5" i="54"/>
  <c r="JP36" i="54"/>
  <c r="BQ3" i="40" a="1"/>
  <c r="BQ3" i="40" s="1"/>
  <c r="JP12" i="54"/>
  <c r="JO24" i="54"/>
  <c r="HM24" i="54"/>
  <c r="M24" i="54" s="1"/>
  <c r="HN24" i="54" s="1"/>
  <c r="JU24" i="54"/>
  <c r="JV24" i="54" s="1"/>
  <c r="HO24" i="54"/>
  <c r="IH24" i="54" s="1"/>
  <c r="BM23" i="10"/>
  <c r="BJ23" i="10"/>
  <c r="BL23" i="10"/>
  <c r="BK23" i="10"/>
  <c r="BN23" i="10" s="1"/>
  <c r="IP20" i="54" a="1"/>
  <c r="IP20" i="54" s="1"/>
  <c r="IQ20" i="54" s="1"/>
  <c r="IV20" i="54" a="1"/>
  <c r="IV20" i="54" s="1"/>
  <c r="IW20" i="54" s="1"/>
  <c r="IR20" i="54" a="1"/>
  <c r="IR20" i="54" s="1"/>
  <c r="IS20" i="54" s="1"/>
  <c r="IT20" i="54" a="1"/>
  <c r="IT20" i="54" s="1"/>
  <c r="IU20" i="54" s="1"/>
  <c r="IX20" i="54" a="1"/>
  <c r="IX20" i="54" s="1"/>
  <c r="IY20" i="54" s="1"/>
  <c r="IN20" i="54" a="1"/>
  <c r="IN20" i="54" s="1"/>
  <c r="IO20" i="54" s="1"/>
  <c r="JA37" i="54"/>
  <c r="IL37" i="54"/>
  <c r="IM37" i="54" s="1"/>
  <c r="BJ30" i="10"/>
  <c r="BK30" i="10"/>
  <c r="BN30" i="10" s="1"/>
  <c r="BL30" i="10"/>
  <c r="BM30" i="10"/>
  <c r="IH14" i="54"/>
  <c r="JS14" i="54" s="1"/>
  <c r="IH49" i="54"/>
  <c r="IL15" i="54"/>
  <c r="IM15" i="54" s="1"/>
  <c r="JA15" i="54"/>
  <c r="N27" i="42"/>
  <c r="P27" i="42" s="1"/>
  <c r="AE27" i="42" s="1"/>
  <c r="AF27" i="42" s="1"/>
  <c r="BL12" i="10"/>
  <c r="BM12" i="10"/>
  <c r="BK12" i="10"/>
  <c r="BN12" i="10" s="1"/>
  <c r="BJ12" i="10"/>
  <c r="IH11" i="54"/>
  <c r="JP35" i="54"/>
  <c r="BT3" i="40" a="1"/>
  <c r="BT3" i="40" s="1"/>
  <c r="BK35" i="10"/>
  <c r="BN35" i="10" s="1"/>
  <c r="BM35" i="10"/>
  <c r="BJ35" i="10"/>
  <c r="BL35" i="10"/>
  <c r="BL31" i="10"/>
  <c r="BK31" i="10"/>
  <c r="BN31" i="10" s="1"/>
  <c r="BM31" i="10"/>
  <c r="BJ31" i="10"/>
  <c r="BM22" i="10"/>
  <c r="BL22" i="10"/>
  <c r="BK22" i="10"/>
  <c r="BN22" i="10" s="1"/>
  <c r="BJ22" i="10"/>
  <c r="R33" i="42"/>
  <c r="IL11" i="54"/>
  <c r="IM11" i="54" s="1"/>
  <c r="JA11" i="54"/>
  <c r="IN18" i="54" a="1"/>
  <c r="IN18" i="54" s="1"/>
  <c r="IO18" i="54" s="1"/>
  <c r="IT18" i="54" a="1"/>
  <c r="IT18" i="54" s="1"/>
  <c r="IU18" i="54" s="1"/>
  <c r="IV18" i="54" a="1"/>
  <c r="IV18" i="54" s="1"/>
  <c r="IW18" i="54" s="1"/>
  <c r="IP18" i="54" a="1"/>
  <c r="IP18" i="54" s="1"/>
  <c r="IQ18" i="54" s="1"/>
  <c r="IR18" i="54" a="1"/>
  <c r="IR18" i="54" s="1"/>
  <c r="IS18" i="54" s="1"/>
  <c r="IX18" i="54" a="1"/>
  <c r="IX18" i="54" s="1"/>
  <c r="IY18" i="54" s="1"/>
  <c r="IL35" i="54"/>
  <c r="IM35" i="54" s="1"/>
  <c r="JA35" i="54"/>
  <c r="IH15" i="54"/>
  <c r="JU43" i="54"/>
  <c r="JV43" i="54" s="1"/>
  <c r="BJ13" i="10"/>
  <c r="BM13" i="10"/>
  <c r="BK13" i="10"/>
  <c r="BN13" i="10" s="1"/>
  <c r="BL13" i="10"/>
  <c r="BL6" i="10"/>
  <c r="BM6" i="10"/>
  <c r="BJ6" i="10"/>
  <c r="BK6" i="10" s="1"/>
  <c r="IL12" i="54"/>
  <c r="IM12" i="54" s="1"/>
  <c r="JA12" i="54"/>
  <c r="IH12" i="54"/>
  <c r="JS12" i="54" s="1"/>
  <c r="IH52" i="54"/>
  <c r="BK38" i="10"/>
  <c r="BN38" i="10" s="1"/>
  <c r="BM38" i="10"/>
  <c r="BL38" i="10"/>
  <c r="BJ38" i="10"/>
  <c r="JP22" i="54"/>
  <c r="IX32" i="54" a="1"/>
  <c r="IX32" i="54" s="1"/>
  <c r="IY32" i="54" s="1"/>
  <c r="IN32" i="54" a="1"/>
  <c r="IN32" i="54" s="1"/>
  <c r="IO32" i="54" s="1"/>
  <c r="IR32" i="54" a="1"/>
  <c r="IR32" i="54" s="1"/>
  <c r="IS32" i="54" s="1"/>
  <c r="IV32" i="54" a="1"/>
  <c r="IV32" i="54" s="1"/>
  <c r="IW32" i="54" s="1"/>
  <c r="IT32" i="54" a="1"/>
  <c r="IT32" i="54" s="1"/>
  <c r="IU32" i="54" s="1"/>
  <c r="IP32" i="54" a="1"/>
  <c r="IP32" i="54" s="1"/>
  <c r="IQ32" i="54" s="1"/>
  <c r="JU52" i="54"/>
  <c r="JV52" i="54" s="1"/>
  <c r="BM27" i="10"/>
  <c r="BJ27" i="10"/>
  <c r="BK27" i="10"/>
  <c r="BN27" i="10" s="1"/>
  <c r="BL27" i="10"/>
  <c r="IH21" i="54"/>
  <c r="JS21" i="54" s="1"/>
  <c r="IL19" i="54"/>
  <c r="IM19" i="54" s="1"/>
  <c r="JA19" i="54"/>
  <c r="IH20" i="54"/>
  <c r="BL28" i="10"/>
  <c r="BK28" i="10"/>
  <c r="BN28" i="10" s="1"/>
  <c r="BJ28" i="10"/>
  <c r="BM28" i="10"/>
  <c r="JA21" i="54"/>
  <c r="IL21" i="54"/>
  <c r="IM21" i="54" s="1"/>
  <c r="BK36" i="10"/>
  <c r="BN36" i="10" s="1"/>
  <c r="BL36" i="10"/>
  <c r="BM36" i="10"/>
  <c r="BJ36" i="10"/>
  <c r="JA46" i="54"/>
  <c r="IL46" i="54"/>
  <c r="IM46" i="54" s="1"/>
  <c r="IL5" i="54"/>
  <c r="IM5" i="54" s="1"/>
  <c r="IH3" i="54"/>
  <c r="N3" i="54" s="1"/>
  <c r="JA5" i="54"/>
  <c r="IH4" i="54"/>
  <c r="JS4" i="54" s="1"/>
  <c r="IH8" i="54"/>
  <c r="IH10" i="54"/>
  <c r="JS10" i="54" s="1"/>
  <c r="IL8" i="54"/>
  <c r="IM8" i="54" s="1"/>
  <c r="JA8" i="54"/>
  <c r="BL32" i="10"/>
  <c r="BK32" i="10"/>
  <c r="BN32" i="10" s="1"/>
  <c r="BM32" i="10"/>
  <c r="BJ32" i="10"/>
  <c r="IL14" i="54"/>
  <c r="IM14" i="54" s="1"/>
  <c r="JA14" i="54"/>
  <c r="JU46" i="54"/>
  <c r="JV46" i="54" s="1"/>
  <c r="BM7" i="10"/>
  <c r="BL7" i="10"/>
  <c r="BJ7" i="10"/>
  <c r="BK7" i="10"/>
  <c r="BN7" i="10" s="1"/>
  <c r="BM25" i="10"/>
  <c r="BL25" i="10"/>
  <c r="BK25" i="10"/>
  <c r="BN25" i="10" s="1"/>
  <c r="BJ25" i="10"/>
  <c r="N26" i="42"/>
  <c r="P26" i="42" s="1"/>
  <c r="AE26" i="42" s="1"/>
  <c r="AF26" i="42" s="1"/>
  <c r="IT17" i="54" a="1"/>
  <c r="IT17" i="54" s="1"/>
  <c r="IU17" i="54" s="1"/>
  <c r="IX17" i="54" a="1"/>
  <c r="IX17" i="54" s="1"/>
  <c r="IY17" i="54" s="1"/>
  <c r="IV17" i="54" a="1"/>
  <c r="IV17" i="54" s="1"/>
  <c r="IW17" i="54" s="1"/>
  <c r="IN17" i="54" a="1"/>
  <c r="IN17" i="54" s="1"/>
  <c r="IO17" i="54" s="1"/>
  <c r="IR17" i="54" a="1"/>
  <c r="IR17" i="54" s="1"/>
  <c r="IS17" i="54" s="1"/>
  <c r="IP17" i="54" a="1"/>
  <c r="IP17" i="54" s="1"/>
  <c r="IQ17" i="54" s="1"/>
  <c r="BK10" i="10"/>
  <c r="BN10" i="10" s="1"/>
  <c r="BL10" i="10"/>
  <c r="BJ10" i="10"/>
  <c r="BM10" i="10"/>
  <c r="BK18" i="10"/>
  <c r="BN18" i="10" s="1"/>
  <c r="BM18" i="10"/>
  <c r="BL18" i="10"/>
  <c r="BJ18" i="10"/>
  <c r="JP14" i="54"/>
  <c r="R35" i="42"/>
  <c r="JU11" i="54"/>
  <c r="JV11" i="54" s="1"/>
  <c r="JU35" i="54"/>
  <c r="JV35" i="54" s="1"/>
  <c r="JS48" i="54"/>
  <c r="N48" i="54"/>
  <c r="JS22" i="54"/>
  <c r="N22" i="54"/>
  <c r="IL9" i="54"/>
  <c r="IM9" i="54" s="1"/>
  <c r="JA9" i="54"/>
  <c r="IX51" i="54" a="1"/>
  <c r="IX51" i="54" s="1"/>
  <c r="IY51" i="54" s="1"/>
  <c r="IR51" i="54" a="1"/>
  <c r="IR51" i="54" s="1"/>
  <c r="IS51" i="54" s="1"/>
  <c r="IV51" i="54" a="1"/>
  <c r="IV51" i="54" s="1"/>
  <c r="IW51" i="54" s="1"/>
  <c r="IN51" i="54" a="1"/>
  <c r="IN51" i="54" s="1"/>
  <c r="IO51" i="54" s="1"/>
  <c r="IP51" i="54" a="1"/>
  <c r="IP51" i="54" s="1"/>
  <c r="IQ51" i="54" s="1"/>
  <c r="IT51" i="54" a="1"/>
  <c r="IT51" i="54" s="1"/>
  <c r="IU51" i="54" s="1"/>
  <c r="BJ34" i="10"/>
  <c r="BM34" i="10"/>
  <c r="BL34" i="10"/>
  <c r="BK34" i="10"/>
  <c r="BN34" i="10" s="1"/>
  <c r="BJ26" i="10"/>
  <c r="BK26" i="10"/>
  <c r="BN26" i="10" s="1"/>
  <c r="BM26" i="10"/>
  <c r="BL26" i="10"/>
  <c r="IL53" i="54"/>
  <c r="IM53" i="54" s="1"/>
  <c r="JA53" i="54"/>
  <c r="JA39" i="54"/>
  <c r="IL39" i="54"/>
  <c r="IM39" i="54" s="1"/>
  <c r="BL11" i="10"/>
  <c r="BJ11" i="10"/>
  <c r="BM11" i="10"/>
  <c r="BK11" i="10"/>
  <c r="BN11" i="10" s="1"/>
  <c r="IH51" i="54"/>
  <c r="JU9" i="54"/>
  <c r="JV9" i="54" s="1"/>
  <c r="X3" i="40" a="1"/>
  <c r="X3" i="40" s="1"/>
  <c r="BJ20" i="10"/>
  <c r="BK20" i="10"/>
  <c r="BN20" i="10" s="1"/>
  <c r="BM20" i="10"/>
  <c r="BL20" i="10"/>
  <c r="JU42" i="54"/>
  <c r="JV42" i="54" s="1"/>
  <c r="IN50" i="54" a="1"/>
  <c r="IN50" i="54" s="1"/>
  <c r="IO50" i="54" s="1"/>
  <c r="IT50" i="54" a="1"/>
  <c r="IT50" i="54" s="1"/>
  <c r="IU50" i="54" s="1"/>
  <c r="IR50" i="54" a="1"/>
  <c r="IR50" i="54" s="1"/>
  <c r="IS50" i="54" s="1"/>
  <c r="IV50" i="54" a="1"/>
  <c r="IV50" i="54" s="1"/>
  <c r="IW50" i="54" s="1"/>
  <c r="IX50" i="54" a="1"/>
  <c r="IX50" i="54" s="1"/>
  <c r="IY50" i="54" s="1"/>
  <c r="IP50" i="54" a="1"/>
  <c r="IP50" i="54" s="1"/>
  <c r="IQ50" i="54" s="1"/>
  <c r="A5" i="59" a="1"/>
  <c r="A5" i="59" s="1"/>
  <c r="BJ5" i="10"/>
  <c r="BK5" i="10" s="1"/>
  <c r="BM5" i="10"/>
  <c r="BL5" i="10"/>
  <c r="IL25" i="54"/>
  <c r="IM25" i="54" s="1"/>
  <c r="JA25" i="54"/>
  <c r="JP10" i="54"/>
  <c r="AX3" i="40" a="1"/>
  <c r="AX3" i="40" s="1"/>
  <c r="BM21" i="10"/>
  <c r="BK21" i="10"/>
  <c r="BN21" i="10" s="1"/>
  <c r="BJ21" i="10"/>
  <c r="BL21" i="10"/>
  <c r="JP37" i="54"/>
  <c r="BM33" i="10"/>
  <c r="BK33" i="10"/>
  <c r="BN33" i="10" s="1"/>
  <c r="BL33" i="10"/>
  <c r="BJ33" i="10"/>
  <c r="JU5" i="54"/>
  <c r="JV5" i="54" s="1"/>
  <c r="IH53" i="54"/>
  <c r="JU20" i="54"/>
  <c r="JV20" i="54" s="1"/>
  <c r="IH18" i="54"/>
  <c r="IZ20" i="54"/>
  <c r="AC3" i="40" s="1" a="1"/>
  <c r="AC3" i="40" s="1"/>
  <c r="M3" i="40" a="1"/>
  <c r="M3" i="40" s="1"/>
  <c r="BL19" i="10"/>
  <c r="BJ19" i="10"/>
  <c r="BK19" i="10"/>
  <c r="BN19" i="10" s="1"/>
  <c r="BM19" i="10"/>
  <c r="BM16" i="10"/>
  <c r="BL16" i="10"/>
  <c r="BK16" i="10"/>
  <c r="BN16" i="10" s="1"/>
  <c r="BJ16" i="10"/>
  <c r="JU21" i="54"/>
  <c r="JV21" i="54" s="1"/>
  <c r="JO40" i="54"/>
  <c r="JU40" i="54"/>
  <c r="HM40" i="54"/>
  <c r="M40" i="54" s="1"/>
  <c r="HN40" i="54" s="1"/>
  <c r="IH44" i="54" s="1"/>
  <c r="JS44" i="54" s="1"/>
  <c r="JV40" i="54"/>
  <c r="HO40" i="54"/>
  <c r="JV19" i="54"/>
  <c r="IP29" i="54" a="1"/>
  <c r="IP29" i="54" s="1"/>
  <c r="IQ29" i="54" s="1"/>
  <c r="IV29" i="54" a="1"/>
  <c r="IV29" i="54" s="1"/>
  <c r="IW29" i="54" s="1"/>
  <c r="IR29" i="54" a="1"/>
  <c r="IR29" i="54" s="1"/>
  <c r="IS29" i="54" s="1"/>
  <c r="IT29" i="54" a="1"/>
  <c r="IT29" i="54" s="1"/>
  <c r="IU29" i="54" s="1"/>
  <c r="IX29" i="54" a="1"/>
  <c r="IX29" i="54" s="1"/>
  <c r="IY29" i="54" s="1"/>
  <c r="IN29" i="54" a="1"/>
  <c r="IN29" i="54" s="1"/>
  <c r="IO29" i="54" s="1"/>
  <c r="N25" i="42"/>
  <c r="P25" i="42" s="1"/>
  <c r="AE25" i="42" s="1"/>
  <c r="AF25" i="42" s="1"/>
  <c r="IL10" i="54"/>
  <c r="IM10" i="54" s="1"/>
  <c r="JA10" i="54"/>
  <c r="IL33" i="54"/>
  <c r="IM33" i="54" s="1"/>
  <c r="JA33" i="54"/>
  <c r="BM15" i="10"/>
  <c r="BL15" i="10"/>
  <c r="BK15" i="10"/>
  <c r="BN15" i="10" s="1"/>
  <c r="BJ15" i="10"/>
  <c r="BK29" i="10"/>
  <c r="BN29" i="10" s="1"/>
  <c r="BJ29" i="10"/>
  <c r="BM29" i="10"/>
  <c r="BL29" i="10"/>
  <c r="HM43" i="54"/>
  <c r="M43" i="54" s="1"/>
  <c r="HN43" i="54" s="1"/>
  <c r="IH9" i="54"/>
  <c r="HM45" i="54"/>
  <c r="M45" i="54" s="1"/>
  <c r="HN45" i="54" s="1"/>
  <c r="IH34" i="54" l="1"/>
  <c r="IH43" i="54"/>
  <c r="IH41" i="54"/>
  <c r="N17" i="54"/>
  <c r="IH42" i="54"/>
  <c r="BN6" i="10"/>
  <c r="JS43" i="54"/>
  <c r="N43" i="54"/>
  <c r="BN5" i="10"/>
  <c r="BN41" i="10" s="1"/>
  <c r="N13" i="54"/>
  <c r="IH37" i="54"/>
  <c r="JS37" i="54" s="1"/>
  <c r="IH46" i="54"/>
  <c r="N46" i="54" s="1"/>
  <c r="IH38" i="54"/>
  <c r="JS38" i="54" s="1"/>
  <c r="IH28" i="54"/>
  <c r="JS28" i="54" s="1"/>
  <c r="N6" i="54"/>
  <c r="IH31" i="54"/>
  <c r="JS31" i="54" s="1"/>
  <c r="N14" i="54"/>
  <c r="N12" i="54"/>
  <c r="IN11" i="54" a="1"/>
  <c r="IN11" i="54" s="1"/>
  <c r="IO11" i="54" s="1"/>
  <c r="IV11" i="54" a="1"/>
  <c r="IV11" i="54" s="1"/>
  <c r="IW11" i="54" s="1"/>
  <c r="IX11" i="54" a="1"/>
  <c r="IX11" i="54" s="1"/>
  <c r="IY11" i="54" s="1"/>
  <c r="IR11" i="54" a="1"/>
  <c r="IR11" i="54" s="1"/>
  <c r="IS11" i="54" s="1"/>
  <c r="IT11" i="54" a="1"/>
  <c r="IT11" i="54" s="1"/>
  <c r="IU11" i="54" s="1"/>
  <c r="IP11" i="54" a="1"/>
  <c r="IP11" i="54" s="1"/>
  <c r="IQ11" i="54" s="1"/>
  <c r="L43" i="16"/>
  <c r="L44" i="16"/>
  <c r="L39" i="16"/>
  <c r="L41" i="16"/>
  <c r="L48" i="16"/>
  <c r="L47" i="16"/>
  <c r="L45" i="16"/>
  <c r="L40" i="16"/>
  <c r="L46" i="16"/>
  <c r="L42" i="16"/>
  <c r="JS41" i="54"/>
  <c r="N41" i="54"/>
  <c r="JS42" i="54"/>
  <c r="N42" i="54"/>
  <c r="JS24" i="54"/>
  <c r="N24" i="54"/>
  <c r="IP52" i="54" a="1"/>
  <c r="IP52" i="54" s="1"/>
  <c r="IQ52" i="54" s="1"/>
  <c r="IV52" i="54" a="1"/>
  <c r="IV52" i="54" s="1"/>
  <c r="IW52" i="54" s="1"/>
  <c r="IX52" i="54" a="1"/>
  <c r="IX52" i="54" s="1"/>
  <c r="IY52" i="54" s="1"/>
  <c r="IT52" i="54" a="1"/>
  <c r="IT52" i="54" s="1"/>
  <c r="IU52" i="54" s="1"/>
  <c r="IR52" i="54" a="1"/>
  <c r="IR52" i="54" s="1"/>
  <c r="IS52" i="54" s="1"/>
  <c r="IN52" i="54" a="1"/>
  <c r="IN52" i="54" s="1"/>
  <c r="IO52" i="54" s="1"/>
  <c r="N21" i="54"/>
  <c r="JS52" i="54"/>
  <c r="N52" i="54"/>
  <c r="IL24" i="54"/>
  <c r="IM24" i="54" s="1"/>
  <c r="IH23" i="54"/>
  <c r="JA24" i="54"/>
  <c r="IR7" i="54" a="1"/>
  <c r="IR7" i="54" s="1"/>
  <c r="IS7" i="54" s="1"/>
  <c r="IX7" i="54" a="1"/>
  <c r="IX7" i="54" s="1"/>
  <c r="IY7" i="54" s="1"/>
  <c r="IP7" i="54" a="1"/>
  <c r="IP7" i="54" s="1"/>
  <c r="IQ7" i="54" s="1"/>
  <c r="IV7" i="54" a="1"/>
  <c r="IV7" i="54" s="1"/>
  <c r="IW7" i="54" s="1"/>
  <c r="IT7" i="54" a="1"/>
  <c r="IT7" i="54" s="1"/>
  <c r="IU7" i="54" s="1"/>
  <c r="IN7" i="54" a="1"/>
  <c r="IN7" i="54" s="1"/>
  <c r="IO7" i="54" s="1"/>
  <c r="JS9" i="54"/>
  <c r="N9" i="54"/>
  <c r="JP24" i="54"/>
  <c r="N10" i="54"/>
  <c r="JA40" i="54"/>
  <c r="IL40" i="54"/>
  <c r="IM40" i="54" s="1"/>
  <c r="JP45" i="54"/>
  <c r="JP57" i="54"/>
  <c r="IN10" i="54" a="1"/>
  <c r="IN10" i="54" s="1"/>
  <c r="IO10" i="54" s="1"/>
  <c r="IT10" i="54" a="1"/>
  <c r="IT10" i="54" s="1"/>
  <c r="IU10" i="54" s="1"/>
  <c r="IP10" i="54" a="1"/>
  <c r="IP10" i="54" s="1"/>
  <c r="IQ10" i="54" s="1"/>
  <c r="IX10" i="54" a="1"/>
  <c r="IX10" i="54" s="1"/>
  <c r="IY10" i="54" s="1"/>
  <c r="IR10" i="54" a="1"/>
  <c r="IR10" i="54" s="1"/>
  <c r="IS10" i="54" s="1"/>
  <c r="IV10" i="54" a="1"/>
  <c r="IV10" i="54" s="1"/>
  <c r="IW10" i="54" s="1"/>
  <c r="JS8" i="54"/>
  <c r="N8" i="54"/>
  <c r="IP12" i="54" a="1"/>
  <c r="IP12" i="54" s="1"/>
  <c r="IQ12" i="54" s="1"/>
  <c r="IV12" i="54" a="1"/>
  <c r="IV12" i="54" s="1"/>
  <c r="IW12" i="54" s="1"/>
  <c r="IX12" i="54" a="1"/>
  <c r="IX12" i="54" s="1"/>
  <c r="IY12" i="54" s="1"/>
  <c r="IR12" i="54" a="1"/>
  <c r="IR12" i="54" s="1"/>
  <c r="IS12" i="54" s="1"/>
  <c r="IN12" i="54" a="1"/>
  <c r="IN12" i="54" s="1"/>
  <c r="IO12" i="54" s="1"/>
  <c r="IT12" i="54" a="1"/>
  <c r="IT12" i="54" s="1"/>
  <c r="IU12" i="54" s="1"/>
  <c r="JP30" i="54"/>
  <c r="JP42" i="54"/>
  <c r="IR15" i="54" a="1"/>
  <c r="IR15" i="54" s="1"/>
  <c r="IS15" i="54" s="1"/>
  <c r="IX15" i="54" a="1"/>
  <c r="IX15" i="54" s="1"/>
  <c r="IY15" i="54" s="1"/>
  <c r="IT15" i="54" a="1"/>
  <c r="IT15" i="54" s="1"/>
  <c r="IU15" i="54" s="1"/>
  <c r="IV15" i="54" a="1"/>
  <c r="IV15" i="54" s="1"/>
  <c r="IW15" i="54" s="1"/>
  <c r="IP15" i="54" a="1"/>
  <c r="IP15" i="54" s="1"/>
  <c r="IQ15" i="54" s="1"/>
  <c r="IN15" i="54" a="1"/>
  <c r="IN15" i="54" s="1"/>
  <c r="IO15" i="54" s="1"/>
  <c r="IP13" i="54" a="1"/>
  <c r="IP13" i="54" s="1"/>
  <c r="IQ13" i="54" s="1"/>
  <c r="IN13" i="54" a="1"/>
  <c r="IN13" i="54" s="1"/>
  <c r="IO13" i="54" s="1"/>
  <c r="IX13" i="54" a="1"/>
  <c r="IX13" i="54" s="1"/>
  <c r="IY13" i="54" s="1"/>
  <c r="IV13" i="54" a="1"/>
  <c r="IV13" i="54" s="1"/>
  <c r="IW13" i="54" s="1"/>
  <c r="IT13" i="54" a="1"/>
  <c r="IT13" i="54" s="1"/>
  <c r="IU13" i="54" s="1"/>
  <c r="IR13" i="54" a="1"/>
  <c r="IR13" i="54" s="1"/>
  <c r="IS13" i="54" s="1"/>
  <c r="IH33" i="54"/>
  <c r="JP28" i="54"/>
  <c r="IH35" i="54"/>
  <c r="JP51" i="54"/>
  <c r="JP25" i="54"/>
  <c r="JS3" i="54"/>
  <c r="JP31" i="54"/>
  <c r="IX22" i="54" a="1"/>
  <c r="IX22" i="54" s="1"/>
  <c r="IY22" i="54" s="1"/>
  <c r="IN22" i="54" a="1"/>
  <c r="IN22" i="54" s="1"/>
  <c r="IO22" i="54" s="1"/>
  <c r="IP22" i="54" a="1"/>
  <c r="IP22" i="54" s="1"/>
  <c r="IQ22" i="54" s="1"/>
  <c r="IT22" i="54" a="1"/>
  <c r="IT22" i="54" s="1"/>
  <c r="IU22" i="54" s="1"/>
  <c r="IR22" i="54" a="1"/>
  <c r="IR22" i="54" s="1"/>
  <c r="IS22" i="54" s="1"/>
  <c r="IV22" i="54" a="1"/>
  <c r="IV22" i="54" s="1"/>
  <c r="IW22" i="54" s="1"/>
  <c r="JP27" i="54"/>
  <c r="JS34" i="54"/>
  <c r="N34" i="54"/>
  <c r="JS7" i="54"/>
  <c r="N7" i="54"/>
  <c r="IR47" i="54" a="1"/>
  <c r="IR47" i="54" s="1"/>
  <c r="IS47" i="54" s="1"/>
  <c r="IX47" i="54" a="1"/>
  <c r="IX47" i="54" s="1"/>
  <c r="IY47" i="54" s="1"/>
  <c r="IN47" i="54" a="1"/>
  <c r="IN47" i="54" s="1"/>
  <c r="IO47" i="54" s="1"/>
  <c r="IP47" i="54" a="1"/>
  <c r="IP47" i="54" s="1"/>
  <c r="IQ47" i="54" s="1"/>
  <c r="IV47" i="54" a="1"/>
  <c r="IV47" i="54" s="1"/>
  <c r="IW47" i="54" s="1"/>
  <c r="IT47" i="54" a="1"/>
  <c r="IT47" i="54" s="1"/>
  <c r="IU47" i="54" s="1"/>
  <c r="IH30" i="54"/>
  <c r="JS56" i="54"/>
  <c r="N56" i="54"/>
  <c r="IT9" i="54" a="1"/>
  <c r="IT9" i="54" s="1"/>
  <c r="IU9" i="54" s="1"/>
  <c r="IV9" i="54" a="1"/>
  <c r="IV9" i="54" s="1"/>
  <c r="IW9" i="54" s="1"/>
  <c r="IP9" i="54" a="1"/>
  <c r="IP9" i="54" s="1"/>
  <c r="IQ9" i="54" s="1"/>
  <c r="IX9" i="54" a="1"/>
  <c r="IX9" i="54" s="1"/>
  <c r="IY9" i="54" s="1"/>
  <c r="IN9" i="54" a="1"/>
  <c r="IN9" i="54" s="1"/>
  <c r="IO9" i="54" s="1"/>
  <c r="IR9" i="54" a="1"/>
  <c r="IR9" i="54" s="1"/>
  <c r="IS9" i="54" s="1"/>
  <c r="IH40" i="54"/>
  <c r="N44" i="54"/>
  <c r="IV8" i="54" a="1"/>
  <c r="IV8" i="54" s="1"/>
  <c r="IW8" i="54" s="1"/>
  <c r="IP8" i="54" a="1"/>
  <c r="IP8" i="54" s="1"/>
  <c r="IQ8" i="54" s="1"/>
  <c r="IR8" i="54" a="1"/>
  <c r="IR8" i="54" s="1"/>
  <c r="IS8" i="54" s="1"/>
  <c r="IT8" i="54" a="1"/>
  <c r="IT8" i="54" s="1"/>
  <c r="IU8" i="54" s="1"/>
  <c r="IN8" i="54" a="1"/>
  <c r="IN8" i="54" s="1"/>
  <c r="IO8" i="54" s="1"/>
  <c r="IX8" i="54" a="1"/>
  <c r="IX8" i="54" s="1"/>
  <c r="IY8" i="54" s="1"/>
  <c r="IP21" i="54" a="1"/>
  <c r="IP21" i="54" s="1"/>
  <c r="IQ21" i="54" s="1"/>
  <c r="IX21" i="54" a="1"/>
  <c r="IX21" i="54" s="1"/>
  <c r="IY21" i="54" s="1"/>
  <c r="IR21" i="54" a="1"/>
  <c r="IR21" i="54" s="1"/>
  <c r="IS21" i="54" s="1"/>
  <c r="IV21" i="54" a="1"/>
  <c r="IV21" i="54" s="1"/>
  <c r="IW21" i="54" s="1"/>
  <c r="IT21" i="54" a="1"/>
  <c r="IT21" i="54" s="1"/>
  <c r="IU21" i="54" s="1"/>
  <c r="IN21" i="54" a="1"/>
  <c r="IN21" i="54" s="1"/>
  <c r="IO21" i="54" s="1"/>
  <c r="JS18" i="54"/>
  <c r="N18" i="54"/>
  <c r="JS5" i="54"/>
  <c r="N5" i="54"/>
  <c r="IH29" i="54"/>
  <c r="IN35" i="54" a="1"/>
  <c r="IN35" i="54" s="1"/>
  <c r="IO35" i="54" s="1"/>
  <c r="IV35" i="54" a="1"/>
  <c r="IV35" i="54" s="1"/>
  <c r="IW35" i="54" s="1"/>
  <c r="IT35" i="54" a="1"/>
  <c r="IT35" i="54" s="1"/>
  <c r="IU35" i="54" s="1"/>
  <c r="IX35" i="54" a="1"/>
  <c r="IX35" i="54" s="1"/>
  <c r="IY35" i="54" s="1"/>
  <c r="IR35" i="54" a="1"/>
  <c r="IR35" i="54" s="1"/>
  <c r="IS35" i="54" s="1"/>
  <c r="IP35" i="54" a="1"/>
  <c r="IP35" i="54" s="1"/>
  <c r="IQ35" i="54" s="1"/>
  <c r="JP46" i="54"/>
  <c r="JS53" i="54"/>
  <c r="N53" i="54"/>
  <c r="JA43" i="54"/>
  <c r="IL43" i="54"/>
  <c r="IM43" i="54" s="1"/>
  <c r="JP29" i="54"/>
  <c r="P3" i="40" a="1"/>
  <c r="P3" i="40" s="1"/>
  <c r="JP6" i="54"/>
  <c r="IH27" i="54"/>
  <c r="IH47" i="54"/>
  <c r="JP39" i="54"/>
  <c r="JP33" i="54"/>
  <c r="JS19" i="54"/>
  <c r="N19" i="54"/>
  <c r="IH39" i="54"/>
  <c r="JS49" i="54"/>
  <c r="N49" i="54"/>
  <c r="JP32" i="54"/>
  <c r="JP47" i="54"/>
  <c r="IP5" i="54" a="1"/>
  <c r="IP5" i="54" s="1"/>
  <c r="IQ5" i="54" s="1"/>
  <c r="IN5" i="54" a="1"/>
  <c r="IN5" i="54" s="1"/>
  <c r="IT5" i="54" a="1"/>
  <c r="IT5" i="54" s="1"/>
  <c r="IU5" i="54" s="1"/>
  <c r="IX5" i="54" a="1"/>
  <c r="IX5" i="54" s="1"/>
  <c r="IY5" i="54" s="1"/>
  <c r="IV5" i="54" a="1"/>
  <c r="IV5" i="54" s="1"/>
  <c r="IW5" i="54" s="1"/>
  <c r="IR5" i="54" a="1"/>
  <c r="IR5" i="54" s="1"/>
  <c r="IS5" i="54" s="1"/>
  <c r="IV19" i="54" a="1"/>
  <c r="IV19" i="54" s="1"/>
  <c r="IW19" i="54" s="1"/>
  <c r="IR19" i="54" a="1"/>
  <c r="IR19" i="54" s="1"/>
  <c r="IS19" i="54" s="1"/>
  <c r="IT19" i="54" a="1"/>
  <c r="IT19" i="54" s="1"/>
  <c r="IU19" i="54" s="1"/>
  <c r="IN19" i="54" a="1"/>
  <c r="IN19" i="54" s="1"/>
  <c r="IO19" i="54" s="1"/>
  <c r="IX19" i="54" a="1"/>
  <c r="IX19" i="54" s="1"/>
  <c r="IY19" i="54" s="1"/>
  <c r="IP19" i="54" a="1"/>
  <c r="IP19" i="54" s="1"/>
  <c r="IQ19" i="54" s="1"/>
  <c r="N4" i="54"/>
  <c r="IH25" i="54"/>
  <c r="IH57" i="54"/>
  <c r="JS11" i="54"/>
  <c r="N11" i="54"/>
  <c r="JS50" i="54"/>
  <c r="N50" i="54"/>
  <c r="JA45" i="54"/>
  <c r="IL45" i="54"/>
  <c r="IM45" i="54" s="1"/>
  <c r="IH45" i="54"/>
  <c r="JS51" i="54"/>
  <c r="N51" i="54"/>
  <c r="JS15" i="54"/>
  <c r="N15" i="54"/>
  <c r="IP37" i="54" a="1"/>
  <c r="IP37" i="54" s="1"/>
  <c r="IQ37" i="54" s="1"/>
  <c r="IV37" i="54" a="1"/>
  <c r="IV37" i="54" s="1"/>
  <c r="IW37" i="54" s="1"/>
  <c r="IN37" i="54" a="1"/>
  <c r="IN37" i="54" s="1"/>
  <c r="IO37" i="54" s="1"/>
  <c r="IX37" i="54" a="1"/>
  <c r="IX37" i="54" s="1"/>
  <c r="IY37" i="54" s="1"/>
  <c r="IR37" i="54" a="1"/>
  <c r="IR37" i="54" s="1"/>
  <c r="IS37" i="54" s="1"/>
  <c r="IT37" i="54" a="1"/>
  <c r="IT37" i="54" s="1"/>
  <c r="IU37" i="54" s="1"/>
  <c r="G3" i="40" a="1"/>
  <c r="G3" i="40" s="1"/>
  <c r="IT33" i="54" a="1"/>
  <c r="IT33" i="54" s="1"/>
  <c r="IU33" i="54" s="1"/>
  <c r="IX33" i="54" a="1"/>
  <c r="IX33" i="54" s="1"/>
  <c r="IY33" i="54" s="1"/>
  <c r="IN33" i="54" a="1"/>
  <c r="IN33" i="54" s="1"/>
  <c r="IO33" i="54" s="1"/>
  <c r="IP33" i="54" a="1"/>
  <c r="IP33" i="54" s="1"/>
  <c r="IQ33" i="54" s="1"/>
  <c r="IR33" i="54" a="1"/>
  <c r="IR33" i="54" s="1"/>
  <c r="IS33" i="54" s="1"/>
  <c r="IV33" i="54" a="1"/>
  <c r="IV33" i="54" s="1"/>
  <c r="IW33" i="54" s="1"/>
  <c r="IL57" i="54"/>
  <c r="IM57" i="54" s="1"/>
  <c r="JA57" i="54"/>
  <c r="IH54" i="54"/>
  <c r="IH55" i="54"/>
  <c r="IH36" i="54"/>
  <c r="JV57" i="54"/>
  <c r="BX3" i="40" s="1" a="1"/>
  <c r="BX3" i="40" s="1"/>
  <c r="IP36" i="54" a="1"/>
  <c r="IP36" i="54" s="1"/>
  <c r="IQ36" i="54" s="1"/>
  <c r="IV36" i="54" a="1"/>
  <c r="IV36" i="54" s="1"/>
  <c r="IW36" i="54" s="1"/>
  <c r="IT36" i="54" a="1"/>
  <c r="IT36" i="54" s="1"/>
  <c r="IU36" i="54" s="1"/>
  <c r="IN36" i="54" a="1"/>
  <c r="IN36" i="54" s="1"/>
  <c r="IO36" i="54" s="1"/>
  <c r="IR36" i="54" a="1"/>
  <c r="IR36" i="54" s="1"/>
  <c r="IS36" i="54" s="1"/>
  <c r="IX36" i="54" a="1"/>
  <c r="IX36" i="54" s="1"/>
  <c r="IY36" i="54" s="1"/>
  <c r="JP40" i="54"/>
  <c r="BF10" i="10"/>
  <c r="M61" i="16"/>
  <c r="JP53" i="54"/>
  <c r="IH32" i="54"/>
  <c r="IX6" i="54" a="1"/>
  <c r="IX6" i="54" s="1"/>
  <c r="IY6" i="54" s="1"/>
  <c r="IT6" i="54" a="1"/>
  <c r="IT6" i="54" s="1"/>
  <c r="IU6" i="54" s="1"/>
  <c r="IR6" i="54" a="1"/>
  <c r="IR6" i="54" s="1"/>
  <c r="IS6" i="54" s="1"/>
  <c r="IN6" i="54" a="1"/>
  <c r="IN6" i="54" s="1"/>
  <c r="IO6" i="54" s="1"/>
  <c r="IP6" i="54" a="1"/>
  <c r="IP6" i="54" s="1"/>
  <c r="IQ6" i="54" s="1"/>
  <c r="IV6" i="54" a="1"/>
  <c r="IV6" i="54" s="1"/>
  <c r="IW6" i="54" s="1"/>
  <c r="BW3" i="40" a="1"/>
  <c r="BW3" i="40" s="1"/>
  <c r="IR39" i="54" a="1"/>
  <c r="IR39" i="54" s="1"/>
  <c r="IS39" i="54" s="1"/>
  <c r="IX39" i="54" a="1"/>
  <c r="IX39" i="54" s="1"/>
  <c r="IY39" i="54" s="1"/>
  <c r="IV39" i="54" a="1"/>
  <c r="IV39" i="54" s="1"/>
  <c r="IW39" i="54" s="1"/>
  <c r="IT39" i="54" a="1"/>
  <c r="IT39" i="54" s="1"/>
  <c r="IU39" i="54" s="1"/>
  <c r="IP39" i="54" a="1"/>
  <c r="IP39" i="54" s="1"/>
  <c r="IQ39" i="54" s="1"/>
  <c r="IN39" i="54" a="1"/>
  <c r="IN39" i="54" s="1"/>
  <c r="IO39" i="54" s="1"/>
  <c r="JS20" i="54"/>
  <c r="N20" i="54"/>
  <c r="IH26" i="54"/>
  <c r="IT25" i="54" a="1"/>
  <c r="IT25" i="54" s="1"/>
  <c r="IU25" i="54" s="1"/>
  <c r="IV25" i="54" a="1"/>
  <c r="IV25" i="54" s="1"/>
  <c r="IW25" i="54" s="1"/>
  <c r="IN25" i="54" a="1"/>
  <c r="IN25" i="54" s="1"/>
  <c r="IO25" i="54" s="1"/>
  <c r="IX25" i="54" a="1"/>
  <c r="IX25" i="54" s="1"/>
  <c r="IY25" i="54" s="1"/>
  <c r="IR25" i="54" a="1"/>
  <c r="IR25" i="54" s="1"/>
  <c r="IS25" i="54" s="1"/>
  <c r="IP25" i="54" a="1"/>
  <c r="IP25" i="54" s="1"/>
  <c r="IQ25" i="54" s="1"/>
  <c r="IP53" i="54" a="1"/>
  <c r="IP53" i="54" s="1"/>
  <c r="IQ53" i="54" s="1"/>
  <c r="IT53" i="54" a="1"/>
  <c r="IT53" i="54" s="1"/>
  <c r="IU53" i="54" s="1"/>
  <c r="IV53" i="54" a="1"/>
  <c r="IV53" i="54" s="1"/>
  <c r="IW53" i="54" s="1"/>
  <c r="IN53" i="54" a="1"/>
  <c r="IN53" i="54" s="1"/>
  <c r="IO53" i="54" s="1"/>
  <c r="IR53" i="54" a="1"/>
  <c r="IR53" i="54" s="1"/>
  <c r="IS53" i="54" s="1"/>
  <c r="IX53" i="54" a="1"/>
  <c r="IX53" i="54" s="1"/>
  <c r="IY53" i="54" s="1"/>
  <c r="JP56" i="54"/>
  <c r="IX14" i="54" a="1"/>
  <c r="IX14" i="54" s="1"/>
  <c r="IY14" i="54" s="1"/>
  <c r="IT14" i="54" a="1"/>
  <c r="IT14" i="54" s="1"/>
  <c r="IU14" i="54" s="1"/>
  <c r="IN14" i="54" a="1"/>
  <c r="IN14" i="54" s="1"/>
  <c r="IO14" i="54" s="1"/>
  <c r="IR14" i="54" a="1"/>
  <c r="IR14" i="54" s="1"/>
  <c r="IS14" i="54" s="1"/>
  <c r="IP14" i="54" a="1"/>
  <c r="IP14" i="54" s="1"/>
  <c r="IQ14" i="54" s="1"/>
  <c r="IV14" i="54" a="1"/>
  <c r="IV14" i="54" s="1"/>
  <c r="IW14" i="54" s="1"/>
  <c r="IX46" i="54" a="1"/>
  <c r="IX46" i="54" s="1"/>
  <c r="IY46" i="54" s="1"/>
  <c r="IP46" i="54" a="1"/>
  <c r="IP46" i="54" s="1"/>
  <c r="IQ46" i="54" s="1"/>
  <c r="IR46" i="54" a="1"/>
  <c r="IR46" i="54" s="1"/>
  <c r="IS46" i="54" s="1"/>
  <c r="IT46" i="54" a="1"/>
  <c r="IT46" i="54" s="1"/>
  <c r="IU46" i="54" s="1"/>
  <c r="IV46" i="54" a="1"/>
  <c r="IV46" i="54" s="1"/>
  <c r="IW46" i="54" s="1"/>
  <c r="IN46" i="54" a="1"/>
  <c r="IN46" i="54" s="1"/>
  <c r="IO46" i="54" s="1"/>
  <c r="JP52" i="54"/>
  <c r="JP50" i="54"/>
  <c r="JS46" i="54" l="1"/>
  <c r="N38" i="54"/>
  <c r="E3" i="58" a="1"/>
  <c r="E3" i="58" s="1"/>
  <c r="N28" i="54"/>
  <c r="AD3" i="40" a="1"/>
  <c r="AD3" i="40" s="1"/>
  <c r="N37" i="54"/>
  <c r="N31" i="54"/>
  <c r="BF12" i="10"/>
  <c r="M63" i="16"/>
  <c r="N34" i="42"/>
  <c r="P34" i="42" s="1"/>
  <c r="AE34" i="42" s="1"/>
  <c r="JP8" i="54"/>
  <c r="JS40" i="54"/>
  <c r="N40" i="54"/>
  <c r="JS55" i="54"/>
  <c r="N55" i="54"/>
  <c r="IN43" i="54" a="1"/>
  <c r="IN43" i="54" s="1"/>
  <c r="IO43" i="54" s="1"/>
  <c r="IX43" i="54" a="1"/>
  <c r="IX43" i="54" s="1"/>
  <c r="IY43" i="54" s="1"/>
  <c r="IR43" i="54" a="1"/>
  <c r="IR43" i="54" s="1"/>
  <c r="IS43" i="54" s="1"/>
  <c r="IP43" i="54" a="1"/>
  <c r="IP43" i="54" s="1"/>
  <c r="IQ43" i="54" s="1"/>
  <c r="IT43" i="54" a="1"/>
  <c r="IT43" i="54" s="1"/>
  <c r="IU43" i="54" s="1"/>
  <c r="IV43" i="54" a="1"/>
  <c r="IV43" i="54" s="1"/>
  <c r="IW43" i="54" s="1"/>
  <c r="JS26" i="54"/>
  <c r="N26" i="54"/>
  <c r="JS57" i="54"/>
  <c r="N57" i="54"/>
  <c r="JS25" i="54"/>
  <c r="N25" i="54"/>
  <c r="M44" i="16"/>
  <c r="AG39" i="42"/>
  <c r="AH39" i="42" s="1"/>
  <c r="JS39" i="54"/>
  <c r="N39" i="54"/>
  <c r="IP45" i="54" a="1"/>
  <c r="IP45" i="54" s="1"/>
  <c r="IQ45" i="54" s="1"/>
  <c r="IT45" i="54" a="1"/>
  <c r="IT45" i="54" s="1"/>
  <c r="IU45" i="54" s="1"/>
  <c r="IX45" i="54" a="1"/>
  <c r="IX45" i="54" s="1"/>
  <c r="IY45" i="54" s="1"/>
  <c r="IN45" i="54" a="1"/>
  <c r="IN45" i="54" s="1"/>
  <c r="IO45" i="54" s="1"/>
  <c r="IR45" i="54" a="1"/>
  <c r="IR45" i="54" s="1"/>
  <c r="IS45" i="54" s="1"/>
  <c r="IV45" i="54" a="1"/>
  <c r="IV45" i="54" s="1"/>
  <c r="IW45" i="54" s="1"/>
  <c r="JS33" i="54"/>
  <c r="N33" i="54"/>
  <c r="IX24" i="54" a="1"/>
  <c r="IX24" i="54" s="1"/>
  <c r="IY24" i="54" s="1"/>
  <c r="IN24" i="54" a="1"/>
  <c r="IN24" i="54" s="1"/>
  <c r="IO24" i="54" s="1"/>
  <c r="IV24" i="54" a="1"/>
  <c r="IV24" i="54" s="1"/>
  <c r="IW24" i="54" s="1"/>
  <c r="IP24" i="54" a="1"/>
  <c r="IP24" i="54" s="1"/>
  <c r="IQ24" i="54" s="1"/>
  <c r="IR24" i="54" a="1"/>
  <c r="IR24" i="54" s="1"/>
  <c r="IS24" i="54" s="1"/>
  <c r="IT24" i="54" a="1"/>
  <c r="IT24" i="54" s="1"/>
  <c r="IU24" i="54" s="1"/>
  <c r="JS30" i="54"/>
  <c r="N30" i="54"/>
  <c r="M45" i="16"/>
  <c r="AG40" i="42"/>
  <c r="AH40" i="42" s="1"/>
  <c r="AG42" i="42"/>
  <c r="AH42" i="42" s="1"/>
  <c r="M47" i="16"/>
  <c r="JS32" i="54"/>
  <c r="N32" i="54"/>
  <c r="AG36" i="42"/>
  <c r="AH36" i="42" s="1"/>
  <c r="M41" i="16"/>
  <c r="M39" i="16"/>
  <c r="AG34" i="42"/>
  <c r="AH34" i="42" s="1"/>
  <c r="IT57" i="54" a="1"/>
  <c r="IT57" i="54" s="1"/>
  <c r="IU57" i="54" s="1"/>
  <c r="IV57" i="54" a="1"/>
  <c r="IV57" i="54" s="1"/>
  <c r="IW57" i="54" s="1"/>
  <c r="IP57" i="54" a="1"/>
  <c r="IP57" i="54" s="1"/>
  <c r="IQ57" i="54" s="1"/>
  <c r="IR57" i="54" a="1"/>
  <c r="IR57" i="54" s="1"/>
  <c r="IS57" i="54" s="1"/>
  <c r="IN57" i="54" a="1"/>
  <c r="IN57" i="54" s="1"/>
  <c r="IO57" i="54" s="1"/>
  <c r="IX57" i="54" a="1"/>
  <c r="IX57" i="54" s="1"/>
  <c r="IY57" i="54" s="1"/>
  <c r="AG38" i="42"/>
  <c r="AH38" i="42" s="1"/>
  <c r="M43" i="16"/>
  <c r="JS45" i="54"/>
  <c r="N45" i="54"/>
  <c r="JS35" i="54"/>
  <c r="N35" i="54"/>
  <c r="JS23" i="54"/>
  <c r="N23" i="54"/>
  <c r="IX40" i="54" a="1"/>
  <c r="IX40" i="54" s="1"/>
  <c r="IY40" i="54" s="1"/>
  <c r="IT40" i="54" a="1"/>
  <c r="IT40" i="54" s="1"/>
  <c r="IU40" i="54" s="1"/>
  <c r="IV40" i="54" a="1"/>
  <c r="IV40" i="54" s="1"/>
  <c r="IW40" i="54" s="1"/>
  <c r="IR40" i="54" a="1"/>
  <c r="IR40" i="54" s="1"/>
  <c r="IS40" i="54" s="1"/>
  <c r="IN40" i="54" a="1"/>
  <c r="IN40" i="54" s="1"/>
  <c r="IO40" i="54" s="1"/>
  <c r="IP40" i="54" a="1"/>
  <c r="IP40" i="54" s="1"/>
  <c r="IQ40" i="54" s="1"/>
  <c r="M62" i="16"/>
  <c r="BF11" i="10"/>
  <c r="N33" i="42"/>
  <c r="P33" i="42" s="1"/>
  <c r="AE33" i="42" s="1"/>
  <c r="JS47" i="54"/>
  <c r="N47" i="54"/>
  <c r="JS29" i="54"/>
  <c r="N29" i="54"/>
  <c r="M42" i="16"/>
  <c r="AG37" i="42"/>
  <c r="AH37" i="42" s="1"/>
  <c r="M40" i="16"/>
  <c r="AG35" i="42"/>
  <c r="AH35" i="42" s="1"/>
  <c r="JS36" i="54"/>
  <c r="N36" i="54"/>
  <c r="IO5" i="54"/>
  <c r="AE3" i="40" a="1"/>
  <c r="AE3" i="40" s="1"/>
  <c r="AG43" i="42"/>
  <c r="AH43" i="42" s="1"/>
  <c r="M48" i="16"/>
  <c r="JS54" i="54"/>
  <c r="N54" i="54"/>
  <c r="JP7" i="54"/>
  <c r="JS27" i="54"/>
  <c r="N27" i="54"/>
  <c r="M46" i="16"/>
  <c r="AG41" i="42"/>
  <c r="AH41" i="42" s="1"/>
  <c r="A4" i="43" l="1" a="1"/>
  <c r="A4" i="43" s="1"/>
  <c r="A2" i="59"/>
  <c r="BU3" i="40" a="1"/>
  <c r="BU3" i="40" s="1"/>
  <c r="AE1" i="40"/>
  <c r="BF15" i="10"/>
  <c r="BF14" i="10"/>
  <c r="D5" i="59" a="1"/>
  <c r="D5" i="59" s="1"/>
  <c r="JP9" i="54"/>
  <c r="AF34" i="42"/>
  <c r="AF33" i="42"/>
  <c r="AF18" i="42"/>
  <c r="AF12" i="42"/>
  <c r="AF14" i="42"/>
  <c r="AF9" i="42"/>
  <c r="AF5" i="42"/>
  <c r="AF24" i="42"/>
  <c r="AF4" i="42"/>
  <c r="AF17" i="42"/>
  <c r="AF11" i="42"/>
  <c r="AF8" i="42"/>
  <c r="AF30" i="42"/>
  <c r="R36" i="42"/>
  <c r="R37" i="42"/>
  <c r="A1" i="54" a="1"/>
  <c r="A1" i="54" s="1"/>
  <c r="JP13" i="54"/>
  <c r="A55" i="16" l="1"/>
  <c r="A150" i="16"/>
  <c r="A32" i="16"/>
  <c r="A15" i="16"/>
  <c r="A157" i="16"/>
  <c r="A115" i="16"/>
  <c r="A64" i="16"/>
  <c r="A44" i="16"/>
  <c r="A151" i="16"/>
  <c r="A66" i="16"/>
  <c r="A34" i="16"/>
  <c r="A7" i="16"/>
  <c r="A95" i="16"/>
  <c r="A28" i="16"/>
  <c r="A91" i="16"/>
  <c r="A100" i="16"/>
  <c r="A102" i="16"/>
  <c r="A136" i="16"/>
  <c r="A104" i="16"/>
  <c r="A135" i="16"/>
  <c r="A76" i="16"/>
  <c r="A101" i="16"/>
  <c r="A35" i="16"/>
  <c r="A118" i="16"/>
  <c r="A107" i="16"/>
  <c r="A5" i="16"/>
  <c r="A33" i="16"/>
  <c r="A121" i="16"/>
  <c r="A106" i="16"/>
  <c r="A18" i="16"/>
  <c r="A41" i="16"/>
  <c r="A21" i="16"/>
  <c r="A82" i="16"/>
  <c r="A50" i="16"/>
  <c r="A47" i="16"/>
  <c r="A42" i="16"/>
  <c r="A85" i="16"/>
  <c r="A139" i="16"/>
  <c r="A154" i="16"/>
  <c r="A49" i="16"/>
  <c r="A4" i="16"/>
  <c r="A17" i="16"/>
  <c r="A56" i="16"/>
  <c r="A120" i="16"/>
  <c r="A40" i="16"/>
  <c r="A124" i="16"/>
  <c r="A158" i="16"/>
  <c r="A111" i="16"/>
  <c r="A145" i="16"/>
  <c r="A159" i="16"/>
  <c r="A11" i="16"/>
  <c r="A99" i="16"/>
  <c r="A83" i="16"/>
  <c r="A20" i="16"/>
  <c r="A73" i="16"/>
  <c r="A119" i="16"/>
  <c r="A14" i="16"/>
  <c r="A133" i="16"/>
  <c r="A110" i="16"/>
  <c r="A8" i="16"/>
  <c r="A155" i="16"/>
  <c r="A114" i="16"/>
  <c r="A148" i="16"/>
  <c r="A144" i="16"/>
  <c r="A87" i="16"/>
  <c r="A129" i="16"/>
  <c r="A53" i="16"/>
  <c r="A143" i="16"/>
  <c r="A37" i="16"/>
  <c r="A67" i="16"/>
  <c r="A46" i="16"/>
  <c r="A60" i="16"/>
  <c r="A94" i="16"/>
  <c r="A16" i="16"/>
  <c r="A125" i="16"/>
  <c r="A59" i="16"/>
  <c r="A132" i="16"/>
  <c r="A103" i="16"/>
  <c r="A6" i="16"/>
  <c r="A70" i="16"/>
  <c r="A77" i="16"/>
  <c r="A96" i="16"/>
  <c r="A29" i="16"/>
  <c r="A108" i="16"/>
  <c r="A58" i="16"/>
  <c r="A160" i="16"/>
  <c r="A117" i="16"/>
  <c r="A140" i="16"/>
  <c r="A43" i="16"/>
  <c r="A38" i="16"/>
  <c r="A68" i="16"/>
  <c r="A141" i="16"/>
  <c r="A138" i="16"/>
  <c r="A78" i="16"/>
  <c r="A156" i="16"/>
  <c r="A147" i="16"/>
  <c r="A10" i="16"/>
  <c r="A128" i="16"/>
  <c r="A13" i="16"/>
  <c r="A146" i="16"/>
  <c r="A23" i="16"/>
  <c r="A63" i="16"/>
  <c r="A57" i="16"/>
  <c r="A51" i="16"/>
  <c r="A19" i="16"/>
  <c r="A90" i="16"/>
  <c r="A105" i="16"/>
  <c r="A36" i="16"/>
  <c r="A72" i="16"/>
  <c r="A98" i="16"/>
  <c r="A127" i="16"/>
  <c r="A27" i="16"/>
  <c r="A75" i="16"/>
  <c r="A116" i="16"/>
  <c r="A39" i="16"/>
  <c r="A89" i="16"/>
  <c r="A88" i="16"/>
  <c r="A54" i="16"/>
  <c r="A97" i="16"/>
  <c r="A84" i="16"/>
  <c r="A93" i="16"/>
  <c r="A80" i="16"/>
  <c r="A61" i="16"/>
  <c r="A74" i="16"/>
  <c r="A137" i="16"/>
  <c r="A71" i="16"/>
  <c r="A112" i="16"/>
  <c r="A62" i="16"/>
  <c r="A48" i="16"/>
  <c r="A122" i="16"/>
  <c r="A25" i="16"/>
  <c r="A131" i="16"/>
  <c r="A92" i="16"/>
  <c r="A123" i="16"/>
  <c r="A9" i="16"/>
  <c r="A81" i="16"/>
  <c r="A31" i="16"/>
  <c r="A45" i="16"/>
  <c r="A153" i="16"/>
  <c r="A26" i="16"/>
  <c r="A86" i="16"/>
  <c r="A24" i="16"/>
  <c r="A109" i="16"/>
  <c r="A22" i="16"/>
  <c r="A52" i="16"/>
  <c r="A152" i="16"/>
  <c r="A69" i="16"/>
  <c r="A30" i="16"/>
  <c r="A126" i="16"/>
  <c r="A134" i="16"/>
  <c r="A65" i="16"/>
  <c r="A130" i="16"/>
  <c r="A113" i="16"/>
  <c r="A142" i="16"/>
  <c r="A79" i="16"/>
  <c r="A12" i="16"/>
  <c r="A149" i="16"/>
  <c r="JP17" i="54"/>
  <c r="JP18" i="54" s="1"/>
  <c r="JP19" i="54" s="1"/>
  <c r="JP20" i="54" s="1"/>
  <c r="JP21" i="54" s="1"/>
  <c r="JP38" i="54" s="1"/>
  <c r="JP43" i="54" s="1"/>
  <c r="JP49" i="54" s="1"/>
  <c r="BR3" i="40" s="1" a="1"/>
  <c r="BR3" i="40" s="1"/>
  <c r="L53" i="16" l="1"/>
  <c r="L60" i="16"/>
  <c r="L55" i="16"/>
  <c r="L54" i="16"/>
  <c r="L59" i="16"/>
  <c r="L56" i="16"/>
  <c r="L57" i="16"/>
  <c r="L51" i="16"/>
  <c r="L52" i="16"/>
  <c r="L58" i="16"/>
  <c r="G98" i="16"/>
  <c r="C98" i="16"/>
  <c r="B98" i="16"/>
  <c r="F98" i="16"/>
  <c r="E98" i="16"/>
  <c r="H98" i="16"/>
  <c r="B114" i="16"/>
  <c r="F114" i="16"/>
  <c r="E114" i="16"/>
  <c r="G114" i="16"/>
  <c r="C114" i="16"/>
  <c r="H114" i="16"/>
  <c r="B28" i="16"/>
  <c r="E28" i="16"/>
  <c r="G28" i="16"/>
  <c r="F28" i="16"/>
  <c r="C28" i="16"/>
  <c r="H28" i="16"/>
  <c r="E137" i="16"/>
  <c r="B137" i="16"/>
  <c r="G137" i="16"/>
  <c r="C137" i="16"/>
  <c r="F137" i="16"/>
  <c r="H137" i="16"/>
  <c r="B132" i="16"/>
  <c r="H132" i="16"/>
  <c r="F132" i="16"/>
  <c r="C132" i="16"/>
  <c r="G132" i="16"/>
  <c r="E132" i="16"/>
  <c r="B106" i="16"/>
  <c r="G106" i="16"/>
  <c r="E106" i="16"/>
  <c r="C106" i="16"/>
  <c r="H106" i="16"/>
  <c r="F106" i="16"/>
  <c r="F12" i="16"/>
  <c r="H12" i="16"/>
  <c r="C12" i="16"/>
  <c r="B12" i="16"/>
  <c r="E12" i="16"/>
  <c r="G12" i="16"/>
  <c r="H36" i="16"/>
  <c r="G36" i="16"/>
  <c r="F36" i="16"/>
  <c r="C36" i="16"/>
  <c r="B36" i="16"/>
  <c r="E36" i="16"/>
  <c r="B120" i="16"/>
  <c r="C120" i="16"/>
  <c r="G120" i="16"/>
  <c r="F120" i="16"/>
  <c r="E120" i="16"/>
  <c r="H120" i="16"/>
  <c r="H7" i="16"/>
  <c r="G7" i="16"/>
  <c r="B7" i="16"/>
  <c r="C7" i="16"/>
  <c r="E7" i="16"/>
  <c r="F7" i="16"/>
  <c r="F61" i="16"/>
  <c r="H61" i="16"/>
  <c r="C61" i="16"/>
  <c r="B61" i="16"/>
  <c r="G61" i="16"/>
  <c r="E61" i="16"/>
  <c r="B125" i="16"/>
  <c r="F125" i="16"/>
  <c r="C125" i="16"/>
  <c r="H125" i="16"/>
  <c r="G125" i="16"/>
  <c r="E125" i="16"/>
  <c r="C33" i="16"/>
  <c r="H33" i="16"/>
  <c r="F33" i="16"/>
  <c r="E33" i="16"/>
  <c r="G33" i="16"/>
  <c r="B33" i="16"/>
  <c r="H45" i="16"/>
  <c r="E45" i="16"/>
  <c r="B45" i="16"/>
  <c r="G45" i="16"/>
  <c r="F45" i="16"/>
  <c r="C45" i="16"/>
  <c r="B38" i="16"/>
  <c r="F38" i="16"/>
  <c r="E38" i="16"/>
  <c r="H38" i="16"/>
  <c r="C38" i="16"/>
  <c r="G38" i="16"/>
  <c r="G16" i="16"/>
  <c r="E16" i="16"/>
  <c r="F16" i="16"/>
  <c r="H16" i="16"/>
  <c r="C16" i="16"/>
  <c r="B16" i="16"/>
  <c r="H66" i="16"/>
  <c r="E66" i="16"/>
  <c r="B66" i="16"/>
  <c r="F66" i="16"/>
  <c r="C66" i="16"/>
  <c r="G66" i="16"/>
  <c r="B93" i="16"/>
  <c r="E93" i="16"/>
  <c r="F93" i="16"/>
  <c r="C93" i="16"/>
  <c r="H93" i="16"/>
  <c r="G93" i="16"/>
  <c r="E43" i="16"/>
  <c r="H43" i="16"/>
  <c r="C43" i="16"/>
  <c r="G43" i="16"/>
  <c r="F43" i="16"/>
  <c r="B43" i="16"/>
  <c r="E14" i="16"/>
  <c r="C14" i="16"/>
  <c r="B14" i="16"/>
  <c r="H14" i="16"/>
  <c r="F14" i="16"/>
  <c r="G14" i="16"/>
  <c r="F4" i="16"/>
  <c r="B4" i="16"/>
  <c r="E4" i="16"/>
  <c r="H4" i="16"/>
  <c r="G4" i="16"/>
  <c r="C4" i="16"/>
  <c r="E130" i="16"/>
  <c r="F130" i="16"/>
  <c r="C130" i="16"/>
  <c r="H130" i="16"/>
  <c r="B130" i="16"/>
  <c r="G130" i="16"/>
  <c r="G51" i="16"/>
  <c r="F51" i="16"/>
  <c r="H51" i="16"/>
  <c r="E51" i="16"/>
  <c r="B51" i="16"/>
  <c r="C51" i="16"/>
  <c r="H119" i="16"/>
  <c r="G119" i="16"/>
  <c r="F119" i="16"/>
  <c r="C119" i="16"/>
  <c r="E119" i="16"/>
  <c r="B119" i="16"/>
  <c r="H44" i="16"/>
  <c r="E44" i="16"/>
  <c r="B44" i="16"/>
  <c r="C44" i="16"/>
  <c r="F44" i="16"/>
  <c r="G44" i="16"/>
  <c r="E57" i="16"/>
  <c r="C57" i="16"/>
  <c r="H57" i="16"/>
  <c r="F57" i="16"/>
  <c r="B57" i="16"/>
  <c r="G57" i="16"/>
  <c r="C73" i="16"/>
  <c r="G73" i="16"/>
  <c r="H73" i="16"/>
  <c r="F73" i="16"/>
  <c r="B73" i="16"/>
  <c r="E73" i="16"/>
  <c r="H64" i="16"/>
  <c r="F64" i="16"/>
  <c r="C64" i="16"/>
  <c r="E64" i="16"/>
  <c r="G64" i="16"/>
  <c r="B64" i="16"/>
  <c r="F54" i="16"/>
  <c r="C54" i="16"/>
  <c r="H54" i="16"/>
  <c r="B54" i="16"/>
  <c r="E54" i="16"/>
  <c r="G54" i="16"/>
  <c r="H67" i="16"/>
  <c r="B67" i="16"/>
  <c r="G67" i="16"/>
  <c r="E67" i="16"/>
  <c r="C67" i="16"/>
  <c r="F67" i="16"/>
  <c r="H101" i="16"/>
  <c r="E101" i="16"/>
  <c r="G101" i="16"/>
  <c r="C101" i="16"/>
  <c r="F101" i="16"/>
  <c r="B101" i="16"/>
  <c r="H92" i="16"/>
  <c r="B92" i="16"/>
  <c r="E92" i="16"/>
  <c r="C92" i="16"/>
  <c r="G92" i="16"/>
  <c r="F92" i="16"/>
  <c r="G58" i="16"/>
  <c r="F58" i="16"/>
  <c r="E58" i="16"/>
  <c r="C58" i="16"/>
  <c r="H58" i="16"/>
  <c r="B58" i="16"/>
  <c r="B85" i="16"/>
  <c r="G85" i="16"/>
  <c r="E85" i="16"/>
  <c r="F85" i="16"/>
  <c r="H85" i="16"/>
  <c r="C85" i="16"/>
  <c r="F30" i="16"/>
  <c r="E30" i="16"/>
  <c r="G30" i="16"/>
  <c r="C30" i="16"/>
  <c r="H30" i="16"/>
  <c r="B30" i="16"/>
  <c r="G146" i="16"/>
  <c r="F146" i="16"/>
  <c r="C146" i="16"/>
  <c r="B146" i="16"/>
  <c r="H146" i="16"/>
  <c r="E146" i="16"/>
  <c r="H99" i="16"/>
  <c r="G99" i="16"/>
  <c r="C99" i="16"/>
  <c r="E99" i="16"/>
  <c r="F99" i="16"/>
  <c r="B99" i="16"/>
  <c r="B69" i="16"/>
  <c r="F69" i="16"/>
  <c r="H69" i="16"/>
  <c r="G69" i="16"/>
  <c r="E69" i="16"/>
  <c r="C69" i="16"/>
  <c r="C39" i="16"/>
  <c r="E39" i="16"/>
  <c r="H39" i="16"/>
  <c r="G39" i="16"/>
  <c r="B39" i="16"/>
  <c r="F39" i="16"/>
  <c r="H53" i="16"/>
  <c r="G53" i="16"/>
  <c r="F53" i="16"/>
  <c r="B53" i="16"/>
  <c r="C53" i="16"/>
  <c r="E53" i="16"/>
  <c r="G11" i="16"/>
  <c r="E11" i="16"/>
  <c r="F11" i="16"/>
  <c r="C11" i="16"/>
  <c r="B11" i="16"/>
  <c r="H11" i="16"/>
  <c r="F47" i="16"/>
  <c r="G47" i="16"/>
  <c r="C47" i="16"/>
  <c r="B47" i="16"/>
  <c r="H47" i="16"/>
  <c r="E47" i="16"/>
  <c r="H104" i="16"/>
  <c r="E104" i="16"/>
  <c r="G104" i="16"/>
  <c r="B104" i="16"/>
  <c r="C104" i="16"/>
  <c r="F104" i="16"/>
  <c r="H32" i="16"/>
  <c r="G32" i="16"/>
  <c r="E32" i="16"/>
  <c r="C32" i="16"/>
  <c r="F32" i="16"/>
  <c r="B32" i="16"/>
  <c r="C152" i="16"/>
  <c r="H152" i="16"/>
  <c r="B152" i="16"/>
  <c r="G152" i="16"/>
  <c r="F152" i="16"/>
  <c r="E152" i="16"/>
  <c r="E122" i="16"/>
  <c r="G122" i="16"/>
  <c r="H122" i="16"/>
  <c r="F122" i="16"/>
  <c r="B122" i="16"/>
  <c r="C122" i="16"/>
  <c r="E116" i="16"/>
  <c r="F116" i="16"/>
  <c r="B116" i="16"/>
  <c r="C116" i="16"/>
  <c r="H116" i="16"/>
  <c r="G116" i="16"/>
  <c r="B128" i="16"/>
  <c r="G128" i="16"/>
  <c r="E128" i="16"/>
  <c r="F128" i="16"/>
  <c r="H128" i="16"/>
  <c r="C128" i="16"/>
  <c r="E96" i="16"/>
  <c r="G96" i="16"/>
  <c r="C96" i="16"/>
  <c r="H96" i="16"/>
  <c r="B96" i="16"/>
  <c r="F96" i="16"/>
  <c r="E129" i="16"/>
  <c r="G129" i="16"/>
  <c r="H129" i="16"/>
  <c r="C129" i="16"/>
  <c r="B129" i="16"/>
  <c r="F129" i="16"/>
  <c r="E159" i="16"/>
  <c r="G159" i="16"/>
  <c r="C159" i="16"/>
  <c r="F159" i="16"/>
  <c r="B159" i="16"/>
  <c r="H159" i="16"/>
  <c r="G50" i="16"/>
  <c r="B50" i="16"/>
  <c r="F50" i="16"/>
  <c r="C50" i="16"/>
  <c r="H50" i="16"/>
  <c r="E50" i="16"/>
  <c r="H136" i="16"/>
  <c r="G136" i="16"/>
  <c r="E136" i="16"/>
  <c r="C136" i="16"/>
  <c r="B136" i="16"/>
  <c r="F136" i="16"/>
  <c r="B150" i="16"/>
  <c r="H150" i="16"/>
  <c r="F150" i="16"/>
  <c r="G150" i="16"/>
  <c r="E150" i="16"/>
  <c r="C150" i="16"/>
  <c r="H109" i="16"/>
  <c r="F109" i="16"/>
  <c r="C109" i="16"/>
  <c r="B109" i="16"/>
  <c r="G109" i="16"/>
  <c r="E109" i="16"/>
  <c r="G127" i="16"/>
  <c r="C127" i="16"/>
  <c r="B127" i="16"/>
  <c r="F127" i="16"/>
  <c r="H127" i="16"/>
  <c r="E127" i="16"/>
  <c r="H148" i="16"/>
  <c r="G148" i="16"/>
  <c r="F148" i="16"/>
  <c r="B148" i="16"/>
  <c r="E148" i="16"/>
  <c r="C148" i="16"/>
  <c r="E41" i="16"/>
  <c r="G41" i="16"/>
  <c r="H41" i="16"/>
  <c r="B41" i="16"/>
  <c r="C41" i="16"/>
  <c r="F41" i="16"/>
  <c r="H24" i="16"/>
  <c r="G24" i="16"/>
  <c r="E24" i="16"/>
  <c r="B24" i="16"/>
  <c r="F24" i="16"/>
  <c r="C24" i="16"/>
  <c r="H78" i="16"/>
  <c r="E78" i="16"/>
  <c r="B78" i="16"/>
  <c r="G78" i="16"/>
  <c r="F78" i="16"/>
  <c r="C78" i="16"/>
  <c r="G124" i="16"/>
  <c r="H124" i="16"/>
  <c r="F124" i="16"/>
  <c r="E124" i="16"/>
  <c r="C124" i="16"/>
  <c r="B124" i="16"/>
  <c r="B149" i="16"/>
  <c r="E149" i="16"/>
  <c r="H149" i="16"/>
  <c r="G149" i="16"/>
  <c r="C149" i="16"/>
  <c r="F149" i="16"/>
  <c r="H72" i="16"/>
  <c r="C72" i="16"/>
  <c r="B72" i="16"/>
  <c r="F72" i="16"/>
  <c r="E72" i="16"/>
  <c r="G72" i="16"/>
  <c r="C155" i="16"/>
  <c r="H155" i="16"/>
  <c r="B155" i="16"/>
  <c r="E155" i="16"/>
  <c r="G155" i="16"/>
  <c r="F155" i="16"/>
  <c r="H95" i="16"/>
  <c r="E95" i="16"/>
  <c r="C95" i="16"/>
  <c r="G95" i="16"/>
  <c r="B95" i="16"/>
  <c r="F95" i="16"/>
  <c r="E74" i="16"/>
  <c r="C74" i="16"/>
  <c r="G74" i="16"/>
  <c r="H74" i="16"/>
  <c r="B74" i="16"/>
  <c r="F74" i="16"/>
  <c r="F59" i="16"/>
  <c r="C59" i="16"/>
  <c r="H59" i="16"/>
  <c r="E59" i="16"/>
  <c r="B59" i="16"/>
  <c r="G59" i="16"/>
  <c r="C8" i="16"/>
  <c r="B8" i="16"/>
  <c r="E8" i="16"/>
  <c r="H8" i="16"/>
  <c r="F8" i="16"/>
  <c r="G8" i="16"/>
  <c r="G79" i="16"/>
  <c r="F79" i="16"/>
  <c r="E79" i="16"/>
  <c r="H79" i="16"/>
  <c r="C79" i="16"/>
  <c r="B79" i="16"/>
  <c r="H105" i="16"/>
  <c r="E105" i="16"/>
  <c r="B105" i="16"/>
  <c r="F105" i="16"/>
  <c r="G105" i="16"/>
  <c r="C105" i="16"/>
  <c r="F110" i="16"/>
  <c r="E110" i="16"/>
  <c r="H110" i="16"/>
  <c r="G110" i="16"/>
  <c r="C110" i="16"/>
  <c r="B110" i="16"/>
  <c r="F34" i="16"/>
  <c r="E34" i="16"/>
  <c r="H34" i="16"/>
  <c r="G34" i="16"/>
  <c r="B34" i="16"/>
  <c r="C34" i="16"/>
  <c r="F80" i="16"/>
  <c r="B80" i="16"/>
  <c r="E80" i="16"/>
  <c r="H80" i="16"/>
  <c r="C80" i="16"/>
  <c r="G80" i="16"/>
  <c r="H133" i="16"/>
  <c r="G133" i="16"/>
  <c r="C133" i="16"/>
  <c r="B133" i="16"/>
  <c r="E133" i="16"/>
  <c r="F133" i="16"/>
  <c r="G113" i="16"/>
  <c r="F113" i="16"/>
  <c r="B113" i="16"/>
  <c r="C113" i="16"/>
  <c r="E113" i="16"/>
  <c r="H113" i="16"/>
  <c r="E19" i="16"/>
  <c r="G19" i="16"/>
  <c r="C19" i="16"/>
  <c r="F19" i="16"/>
  <c r="B19" i="16"/>
  <c r="H19" i="16"/>
  <c r="B107" i="16"/>
  <c r="H107" i="16"/>
  <c r="G107" i="16"/>
  <c r="E107" i="16"/>
  <c r="F107" i="16"/>
  <c r="C107" i="16"/>
  <c r="G81" i="16"/>
  <c r="F81" i="16"/>
  <c r="H81" i="16"/>
  <c r="E81" i="16"/>
  <c r="B81" i="16"/>
  <c r="C81" i="16"/>
  <c r="G140" i="16"/>
  <c r="E140" i="16"/>
  <c r="F140" i="16"/>
  <c r="C140" i="16"/>
  <c r="H140" i="16"/>
  <c r="B140" i="16"/>
  <c r="C49" i="16"/>
  <c r="F49" i="16"/>
  <c r="E49" i="16"/>
  <c r="H49" i="16"/>
  <c r="G49" i="16"/>
  <c r="B49" i="16"/>
  <c r="F65" i="16"/>
  <c r="B65" i="16"/>
  <c r="E65" i="16"/>
  <c r="G65" i="16"/>
  <c r="H65" i="16"/>
  <c r="C65" i="16"/>
  <c r="E9" i="16"/>
  <c r="C9" i="16"/>
  <c r="F9" i="16"/>
  <c r="B9" i="16"/>
  <c r="H9" i="16"/>
  <c r="G9" i="16"/>
  <c r="H117" i="16"/>
  <c r="G117" i="16"/>
  <c r="C117" i="16"/>
  <c r="F117" i="16"/>
  <c r="E117" i="16"/>
  <c r="B117" i="16"/>
  <c r="C154" i="16"/>
  <c r="B154" i="16"/>
  <c r="F154" i="16"/>
  <c r="E154" i="16"/>
  <c r="G154" i="16"/>
  <c r="H154" i="16"/>
  <c r="H134" i="16"/>
  <c r="G134" i="16"/>
  <c r="C134" i="16"/>
  <c r="E134" i="16"/>
  <c r="F134" i="16"/>
  <c r="B134" i="16"/>
  <c r="F63" i="16"/>
  <c r="H63" i="16"/>
  <c r="B63" i="16"/>
  <c r="G63" i="16"/>
  <c r="C63" i="16"/>
  <c r="E63" i="16"/>
  <c r="F20" i="16"/>
  <c r="E20" i="16"/>
  <c r="B20" i="16"/>
  <c r="C20" i="16"/>
  <c r="G20" i="16"/>
  <c r="H20" i="16"/>
  <c r="B115" i="16"/>
  <c r="F115" i="16"/>
  <c r="H115" i="16"/>
  <c r="G115" i="16"/>
  <c r="E115" i="16"/>
  <c r="C115" i="16"/>
  <c r="H88" i="16"/>
  <c r="C88" i="16"/>
  <c r="E88" i="16"/>
  <c r="G88" i="16"/>
  <c r="F88" i="16"/>
  <c r="B88" i="16"/>
  <c r="G37" i="16"/>
  <c r="H37" i="16"/>
  <c r="C37" i="16"/>
  <c r="E37" i="16"/>
  <c r="F37" i="16"/>
  <c r="B37" i="16"/>
  <c r="H76" i="16"/>
  <c r="B76" i="16"/>
  <c r="G76" i="16"/>
  <c r="C76" i="16"/>
  <c r="F76" i="16"/>
  <c r="E76" i="16"/>
  <c r="G131" i="16"/>
  <c r="C131" i="16"/>
  <c r="E131" i="16"/>
  <c r="F131" i="16"/>
  <c r="H131" i="16"/>
  <c r="B131" i="16"/>
  <c r="G108" i="16"/>
  <c r="H108" i="16"/>
  <c r="F108" i="16"/>
  <c r="B108" i="16"/>
  <c r="C108" i="16"/>
  <c r="E108" i="16"/>
  <c r="F42" i="16"/>
  <c r="C42" i="16"/>
  <c r="E42" i="16"/>
  <c r="H42" i="16"/>
  <c r="G42" i="16"/>
  <c r="B42" i="16"/>
  <c r="B15" i="16"/>
  <c r="E15" i="16"/>
  <c r="F15" i="16"/>
  <c r="H15" i="16"/>
  <c r="C15" i="16"/>
  <c r="G15" i="16"/>
  <c r="H25" i="16"/>
  <c r="C25" i="16"/>
  <c r="G25" i="16"/>
  <c r="F25" i="16"/>
  <c r="E25" i="16"/>
  <c r="B25" i="16"/>
  <c r="H13" i="16"/>
  <c r="F13" i="16"/>
  <c r="C13" i="16"/>
  <c r="G13" i="16"/>
  <c r="B13" i="16"/>
  <c r="E13" i="16"/>
  <c r="H52" i="16"/>
  <c r="B52" i="16"/>
  <c r="C52" i="16"/>
  <c r="F52" i="16"/>
  <c r="G52" i="16"/>
  <c r="E52" i="16"/>
  <c r="E48" i="16"/>
  <c r="C48" i="16"/>
  <c r="H48" i="16"/>
  <c r="F48" i="16"/>
  <c r="B48" i="16"/>
  <c r="G48" i="16"/>
  <c r="B75" i="16"/>
  <c r="C75" i="16"/>
  <c r="H75" i="16"/>
  <c r="F75" i="16"/>
  <c r="E75" i="16"/>
  <c r="G75" i="16"/>
  <c r="F10" i="16"/>
  <c r="G10" i="16"/>
  <c r="E10" i="16"/>
  <c r="C10" i="16"/>
  <c r="H10" i="16"/>
  <c r="B10" i="16"/>
  <c r="G77" i="16"/>
  <c r="E77" i="16"/>
  <c r="B77" i="16"/>
  <c r="C77" i="16"/>
  <c r="H77" i="16"/>
  <c r="F77" i="16"/>
  <c r="B87" i="16"/>
  <c r="F87" i="16"/>
  <c r="C87" i="16"/>
  <c r="G87" i="16"/>
  <c r="E87" i="16"/>
  <c r="H87" i="16"/>
  <c r="C145" i="16"/>
  <c r="B145" i="16"/>
  <c r="E145" i="16"/>
  <c r="G145" i="16"/>
  <c r="F145" i="16"/>
  <c r="H145" i="16"/>
  <c r="B82" i="16"/>
  <c r="C82" i="16"/>
  <c r="G82" i="16"/>
  <c r="F82" i="16"/>
  <c r="H82" i="16"/>
  <c r="E82" i="16"/>
  <c r="C102" i="16"/>
  <c r="F102" i="16"/>
  <c r="H102" i="16"/>
  <c r="E102" i="16"/>
  <c r="B102" i="16"/>
  <c r="G102" i="16"/>
  <c r="B55" i="16"/>
  <c r="H55" i="16"/>
  <c r="E55" i="16"/>
  <c r="C55" i="16"/>
  <c r="F55" i="16"/>
  <c r="G55" i="16"/>
  <c r="H112" i="16"/>
  <c r="C112" i="16"/>
  <c r="G112" i="16"/>
  <c r="E112" i="16"/>
  <c r="F112" i="16"/>
  <c r="B112" i="16"/>
  <c r="C156" i="16"/>
  <c r="B156" i="16"/>
  <c r="E156" i="16"/>
  <c r="H156" i="16"/>
  <c r="G156" i="16"/>
  <c r="F156" i="16"/>
  <c r="F6" i="16"/>
  <c r="C6" i="16"/>
  <c r="B6" i="16"/>
  <c r="H6" i="16"/>
  <c r="G6" i="16"/>
  <c r="E6" i="16"/>
  <c r="B158" i="16"/>
  <c r="F158" i="16"/>
  <c r="H158" i="16"/>
  <c r="G158" i="16"/>
  <c r="C158" i="16"/>
  <c r="E158" i="16"/>
  <c r="E91" i="16"/>
  <c r="H91" i="16"/>
  <c r="G91" i="16"/>
  <c r="B91" i="16"/>
  <c r="C91" i="16"/>
  <c r="F91" i="16"/>
  <c r="C71" i="16"/>
  <c r="E71" i="16"/>
  <c r="B71" i="16"/>
  <c r="H71" i="16"/>
  <c r="G71" i="16"/>
  <c r="F71" i="16"/>
  <c r="G103" i="16"/>
  <c r="H103" i="16"/>
  <c r="E103" i="16"/>
  <c r="F103" i="16"/>
  <c r="C103" i="16"/>
  <c r="B103" i="16"/>
  <c r="B18" i="16"/>
  <c r="H18" i="16"/>
  <c r="G18" i="16"/>
  <c r="E18" i="16"/>
  <c r="F18" i="16"/>
  <c r="C18" i="16"/>
  <c r="F86" i="16"/>
  <c r="G86" i="16"/>
  <c r="H86" i="16"/>
  <c r="B86" i="16"/>
  <c r="E86" i="16"/>
  <c r="C86" i="16"/>
  <c r="H138" i="16"/>
  <c r="B138" i="16"/>
  <c r="F138" i="16"/>
  <c r="E138" i="16"/>
  <c r="G138" i="16"/>
  <c r="C138" i="16"/>
  <c r="F40" i="16"/>
  <c r="G40" i="16"/>
  <c r="E40" i="16"/>
  <c r="C40" i="16"/>
  <c r="H40" i="16"/>
  <c r="B40" i="16"/>
  <c r="H26" i="16"/>
  <c r="F26" i="16"/>
  <c r="E26" i="16"/>
  <c r="C26" i="16"/>
  <c r="B26" i="16"/>
  <c r="G26" i="16"/>
  <c r="H141" i="16"/>
  <c r="F141" i="16"/>
  <c r="B141" i="16"/>
  <c r="G141" i="16"/>
  <c r="C141" i="16"/>
  <c r="E141" i="16"/>
  <c r="H121" i="16"/>
  <c r="G121" i="16"/>
  <c r="B121" i="16"/>
  <c r="E121" i="16"/>
  <c r="F121" i="16"/>
  <c r="C121" i="16"/>
  <c r="H153" i="16"/>
  <c r="G153" i="16"/>
  <c r="E153" i="16"/>
  <c r="C153" i="16"/>
  <c r="F153" i="16"/>
  <c r="B153" i="16"/>
  <c r="G68" i="16"/>
  <c r="F68" i="16"/>
  <c r="C68" i="16"/>
  <c r="H68" i="16"/>
  <c r="B68" i="16"/>
  <c r="E68" i="16"/>
  <c r="G56" i="16"/>
  <c r="H56" i="16"/>
  <c r="F56" i="16"/>
  <c r="E56" i="16"/>
  <c r="C56" i="16"/>
  <c r="B56" i="16"/>
  <c r="C142" i="16"/>
  <c r="H142" i="16"/>
  <c r="B142" i="16"/>
  <c r="G142" i="16"/>
  <c r="F142" i="16"/>
  <c r="E142" i="16"/>
  <c r="C90" i="16"/>
  <c r="F90" i="16"/>
  <c r="G90" i="16"/>
  <c r="H90" i="16"/>
  <c r="B90" i="16"/>
  <c r="E90" i="16"/>
  <c r="B17" i="16"/>
  <c r="H17" i="16"/>
  <c r="F17" i="16"/>
  <c r="G17" i="16"/>
  <c r="E17" i="16"/>
  <c r="C17" i="16"/>
  <c r="F5" i="16"/>
  <c r="G5" i="16"/>
  <c r="E5" i="16"/>
  <c r="H5" i="16"/>
  <c r="B5" i="16"/>
  <c r="C5" i="16"/>
  <c r="E31" i="16"/>
  <c r="H31" i="16"/>
  <c r="B31" i="16"/>
  <c r="G31" i="16"/>
  <c r="C31" i="16"/>
  <c r="F31" i="16"/>
  <c r="G94" i="16"/>
  <c r="C94" i="16"/>
  <c r="F94" i="16"/>
  <c r="H94" i="16"/>
  <c r="E94" i="16"/>
  <c r="B94" i="16"/>
  <c r="C151" i="16"/>
  <c r="B151" i="16"/>
  <c r="G151" i="16"/>
  <c r="F151" i="16"/>
  <c r="E151" i="16"/>
  <c r="H151" i="16"/>
  <c r="C84" i="16"/>
  <c r="H84" i="16"/>
  <c r="F84" i="16"/>
  <c r="E84" i="16"/>
  <c r="B84" i="16"/>
  <c r="G84" i="16"/>
  <c r="C60" i="16"/>
  <c r="E60" i="16"/>
  <c r="B60" i="16"/>
  <c r="H60" i="16"/>
  <c r="G60" i="16"/>
  <c r="F60" i="16"/>
  <c r="C118" i="16"/>
  <c r="H118" i="16"/>
  <c r="E118" i="16"/>
  <c r="G118" i="16"/>
  <c r="B118" i="16"/>
  <c r="F118" i="16"/>
  <c r="B97" i="16"/>
  <c r="F97" i="16"/>
  <c r="E97" i="16"/>
  <c r="G97" i="16"/>
  <c r="H97" i="16"/>
  <c r="C97" i="16"/>
  <c r="C46" i="16"/>
  <c r="F46" i="16"/>
  <c r="E46" i="16"/>
  <c r="B46" i="16"/>
  <c r="H46" i="16"/>
  <c r="G46" i="16"/>
  <c r="E35" i="16"/>
  <c r="H35" i="16"/>
  <c r="F35" i="16"/>
  <c r="B35" i="16"/>
  <c r="C35" i="16"/>
  <c r="G35" i="16"/>
  <c r="E123" i="16"/>
  <c r="B123" i="16"/>
  <c r="F123" i="16"/>
  <c r="H123" i="16"/>
  <c r="G123" i="16"/>
  <c r="C123" i="16"/>
  <c r="G160" i="16"/>
  <c r="C160" i="16"/>
  <c r="H160" i="16"/>
  <c r="F160" i="16"/>
  <c r="B160" i="16"/>
  <c r="E160" i="16"/>
  <c r="F139" i="16"/>
  <c r="H139" i="16"/>
  <c r="E139" i="16"/>
  <c r="B139" i="16"/>
  <c r="C139" i="16"/>
  <c r="G139" i="16"/>
  <c r="F126" i="16"/>
  <c r="C126" i="16"/>
  <c r="G126" i="16"/>
  <c r="B126" i="16"/>
  <c r="H126" i="16"/>
  <c r="E126" i="16"/>
  <c r="H23" i="16"/>
  <c r="C23" i="16"/>
  <c r="E23" i="16"/>
  <c r="B23" i="16"/>
  <c r="G23" i="16"/>
  <c r="F23" i="16"/>
  <c r="H83" i="16"/>
  <c r="G83" i="16"/>
  <c r="F83" i="16"/>
  <c r="E83" i="16"/>
  <c r="C83" i="16"/>
  <c r="B83" i="16"/>
  <c r="E157" i="16"/>
  <c r="H157" i="16"/>
  <c r="C157" i="16"/>
  <c r="F157" i="16"/>
  <c r="B157" i="16"/>
  <c r="G157" i="16"/>
  <c r="F89" i="16"/>
  <c r="B89" i="16"/>
  <c r="G89" i="16"/>
  <c r="E89" i="16"/>
  <c r="C89" i="16"/>
  <c r="H89" i="16"/>
  <c r="F143" i="16"/>
  <c r="E143" i="16"/>
  <c r="C143" i="16"/>
  <c r="H143" i="16"/>
  <c r="B143" i="16"/>
  <c r="G143" i="16"/>
  <c r="H135" i="16"/>
  <c r="E135" i="16"/>
  <c r="C135" i="16"/>
  <c r="B135" i="16"/>
  <c r="G135" i="16"/>
  <c r="F135" i="16"/>
  <c r="C29" i="16"/>
  <c r="B29" i="16"/>
  <c r="F29" i="16"/>
  <c r="E29" i="16"/>
  <c r="G29" i="16"/>
  <c r="H29" i="16"/>
  <c r="C22" i="16"/>
  <c r="B22" i="16"/>
  <c r="F22" i="16"/>
  <c r="G22" i="16"/>
  <c r="E22" i="16"/>
  <c r="H22" i="16"/>
  <c r="F62" i="16"/>
  <c r="E62" i="16"/>
  <c r="H62" i="16"/>
  <c r="B62" i="16"/>
  <c r="C62" i="16"/>
  <c r="G62" i="16"/>
  <c r="F27" i="16"/>
  <c r="H27" i="16"/>
  <c r="C27" i="16"/>
  <c r="B27" i="16"/>
  <c r="E27" i="16"/>
  <c r="G27" i="16"/>
  <c r="G147" i="16"/>
  <c r="E147" i="16"/>
  <c r="C147" i="16"/>
  <c r="F147" i="16"/>
  <c r="B147" i="16"/>
  <c r="H147" i="16"/>
  <c r="G70" i="16"/>
  <c r="C70" i="16"/>
  <c r="B70" i="16"/>
  <c r="H70" i="16"/>
  <c r="E70" i="16"/>
  <c r="F70" i="16"/>
  <c r="B144" i="16"/>
  <c r="E144" i="16"/>
  <c r="G144" i="16"/>
  <c r="C144" i="16"/>
  <c r="F144" i="16"/>
  <c r="H144" i="16"/>
  <c r="F111" i="16"/>
  <c r="B111" i="16"/>
  <c r="G111" i="16"/>
  <c r="H111" i="16"/>
  <c r="C111" i="16"/>
  <c r="E111" i="16"/>
  <c r="C21" i="16"/>
  <c r="F21" i="16"/>
  <c r="B21" i="16"/>
  <c r="H21" i="16"/>
  <c r="E21" i="16"/>
  <c r="G21" i="16"/>
  <c r="C100" i="16"/>
  <c r="H100" i="16"/>
  <c r="B100" i="16"/>
  <c r="E100" i="16"/>
  <c r="F100" i="16"/>
  <c r="G100" i="16"/>
  <c r="B3" i="44" l="1" a="1"/>
  <c r="B3" i="44" s="1"/>
  <c r="O56" i="16"/>
  <c r="N56" i="16"/>
  <c r="M56" i="16"/>
  <c r="N59" i="16"/>
  <c r="M59" i="16"/>
  <c r="O59" i="16"/>
  <c r="N54" i="16"/>
  <c r="O54" i="16"/>
  <c r="M54" i="16"/>
  <c r="O55" i="16"/>
  <c r="N55" i="16"/>
  <c r="M55" i="16"/>
  <c r="O58" i="16"/>
  <c r="M58" i="16"/>
  <c r="N58" i="16"/>
  <c r="O51" i="16"/>
  <c r="N51" i="16"/>
  <c r="M51" i="16"/>
  <c r="N60" i="16"/>
  <c r="M60" i="16"/>
  <c r="O60" i="16"/>
  <c r="N52" i="16"/>
  <c r="O52" i="16"/>
  <c r="M52" i="16"/>
  <c r="N57" i="16"/>
  <c r="O57" i="16"/>
  <c r="M57" i="16"/>
  <c r="M53" i="16"/>
  <c r="O53" i="16"/>
  <c r="N5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K2" authorId="0" shapeId="0" xr:uid="{AC4A3762-3803-400D-AC54-C0AA9B5D222D}">
      <text>
        <r>
          <rPr>
            <b/>
            <sz val="9"/>
            <color indexed="81"/>
            <rFont val="Tahoma"/>
            <family val="2"/>
            <charset val="204"/>
          </rPr>
          <t>0 — линии не занимают каналы (DALI: группы на одной шине шлюза); 2 — шторы (вверх / вниз). Пусто в «Модели» — модуль не подставляется.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13" authorId="0" shapeId="0" xr:uid="{7957D072-D23D-4C90-AAC0-5C14963CC879}">
      <text>
        <r>
          <rPr>
            <b/>
            <sz val="9"/>
            <color indexed="81"/>
            <rFont val="Tahoma"/>
            <family val="2"/>
            <charset val="204"/>
          </rPr>
          <t>Имя щита (как в «Линии» столбец «Щит»).</t>
        </r>
      </text>
    </comment>
    <comment ref="B13" authorId="0" shapeId="0" xr:uid="{DC93831C-83F9-4374-B201-51F8320AC033}">
      <text>
        <r>
          <rPr>
            <b/>
            <sz val="9"/>
            <color indexed="81"/>
            <rFont val="Tahoma"/>
            <family val="2"/>
            <charset val="204"/>
          </rPr>
          <t>Серое — по линии-фидеру в «Линиях» (номер линии = имя щита или столбец «Питает щит»). Своё — впишите, если фидера в книге нет. У ВРУ / ГРЩ — пусто.</t>
        </r>
      </text>
    </comment>
    <comment ref="C13" authorId="0" shapeId="0" xr:uid="{38B4AC33-0FF5-450B-B007-64DC43CC3349}">
      <text>
        <r>
          <rPr>
            <b/>
            <sz val="9"/>
            <color indexed="81"/>
            <rFont val="Tahoma"/>
            <family val="2"/>
            <charset val="204"/>
          </rPr>
          <t>Число вводов 1 / 2 / 3.</t>
        </r>
      </text>
    </comment>
    <comment ref="D13" authorId="0" shapeId="0" xr:uid="{319AF0DD-EF92-41E6-808D-F6F2A53E8BEF}">
      <text>
        <r>
          <rPr>
            <b/>
            <sz val="9"/>
            <color indexed="81"/>
            <rFont val="Tahoma"/>
            <family val="2"/>
            <charset val="204"/>
          </rPr>
          <t>да / нет</t>
        </r>
      </text>
    </comment>
    <comment ref="E13" authorId="0" shapeId="0" xr:uid="{AA21B90B-0EB8-43D6-9F54-1C2D87FA613A}">
      <text>
        <r>
          <rPr>
            <b/>
            <sz val="9"/>
            <color indexed="81"/>
            <rFont val="Tahoma"/>
            <family val="2"/>
            <charset val="204"/>
          </rPr>
          <t>Ввод 1 / 2 / 3 — от какого ввода питается ИБП (ЩГП).</t>
        </r>
      </text>
    </comment>
    <comment ref="F13" authorId="0" shapeId="0" xr:uid="{C597F88C-7821-4BB1-8921-7214C907EDF9}">
      <text>
        <r>
          <rPr>
            <b/>
            <sz val="9"/>
            <color indexed="81"/>
            <rFont val="Tahoma"/>
            <family val="2"/>
            <charset val="204"/>
          </rPr>
          <t>Сколько первых мест схемы (шаг 20 мм) занимает вводной узел — вводы, АВР, ИБП, байпас, учёт; его рисуете сами. Пусто — 17 (весь первый лист A3); 11 — узел на части листа, линии на том же листе; 34 — два листа. Строки узла на схеме не рисуются (режим «рисовать» — нарисовать).</t>
        </r>
      </text>
    </comment>
    <comment ref="G13" authorId="0" shapeId="0" xr:uid="{C84D5A05-F7F3-4407-BD95-C472DF5A486C}">
      <text>
        <r>
          <rPr>
            <b/>
            <sz val="9"/>
            <color indexed="81"/>
            <rFont val="Tahoma"/>
            <family val="2"/>
            <charset val="204"/>
          </rPr>
          <t>Только для ВРУ / ГРЩ: «ТП» — щит питается от своего трансформатора; иначе — от сети (введите Iкз).</t>
        </r>
      </text>
    </comment>
    <comment ref="I13" authorId="0" shapeId="0" xr:uid="{4738E78C-05FF-4F44-8608-8864B4F3C5E7}">
      <text>
        <r>
          <rPr>
            <b/>
            <sz val="9"/>
            <color indexed="81"/>
            <rFont val="Tahoma"/>
            <family val="2"/>
            <charset val="204"/>
          </rPr>
          <t>Iкз min (1ф) на вводе — от сетевой организации.</t>
        </r>
      </text>
    </comment>
    <comment ref="J13" authorId="0" shapeId="0" xr:uid="{58AEB34D-FC07-4011-BD85-F137D4AF8C20}">
      <text>
        <r>
          <rPr>
            <b/>
            <sz val="9"/>
            <color indexed="81"/>
            <rFont val="Tahoma"/>
            <family val="2"/>
            <charset val="204"/>
          </rPr>
          <t>Iкз max (3ф) на вводе — от сетевой организации.</t>
        </r>
      </text>
    </comment>
    <comment ref="L13" authorId="0" shapeId="0" xr:uid="{199C7C89-E80A-4CF0-8E78-3920959D9187}">
      <text>
        <r>
          <rPr>
            <b/>
            <sz val="9"/>
            <color indexed="81"/>
            <rFont val="Tahoma"/>
            <family val="2"/>
            <charset val="204"/>
          </rPr>
          <t>Д/Yн или Y/Yн</t>
        </r>
      </text>
    </comment>
    <comment ref="Q13" authorId="0" shapeId="0" xr:uid="{E91CB097-95DF-4C2B-9246-1AFFBD275BBE}">
      <text>
        <r>
          <rPr>
            <b/>
            <sz val="9"/>
            <color indexed="81"/>
            <rFont val="Tahoma"/>
            <family val="2"/>
            <charset val="204"/>
          </rPr>
          <t>медь / алюминий</t>
        </r>
      </text>
    </comment>
    <comment ref="S13" authorId="0" shapeId="0" xr:uid="{FEE6D87B-1B7D-4F9D-833E-B5C486D43206}">
      <text>
        <r>
          <rPr>
            <b/>
            <sz val="9"/>
            <color indexed="81"/>
            <rFont val="Tahoma"/>
            <family val="2"/>
            <charset val="204"/>
          </rPr>
          <t>B / C / D</t>
        </r>
      </text>
    </comment>
    <comment ref="T13" authorId="0" shapeId="0" xr:uid="{258A5EB3-0352-4019-BB84-394EE2451E6A}">
      <text>
        <r>
          <rPr>
            <b/>
            <sz val="9"/>
            <color indexed="81"/>
            <rFont val="Tahoma"/>
            <family val="2"/>
            <charset val="204"/>
          </rPr>
          <t>Для щита без вышестоящего в книге: какую категорию даёт питающая линия. Пусто — по своей схеме.</t>
        </r>
      </text>
    </comment>
    <comment ref="W13" authorId="0" shapeId="0" xr:uid="{03D76817-863F-4AF0-AE08-A05A9346097C}">
      <text>
        <r>
          <rPr>
            <b/>
            <sz val="9"/>
            <color indexed="81"/>
            <rFont val="Tahoma"/>
            <family val="2"/>
            <charset val="204"/>
          </rPr>
          <t>Сумма установленной мощности щита и всех нижестоящих (без группы «Нет»).</t>
        </r>
      </text>
    </comment>
    <comment ref="X13" authorId="0" shapeId="0" xr:uid="{9E939286-7D30-46C9-B889-7621EE9CE73D}">
      <text>
        <r>
          <rPr>
            <b/>
            <sz val="9"/>
            <color indexed="81"/>
            <rFont val="Tahoma"/>
            <family val="2"/>
            <charset val="204"/>
          </rPr>
          <t>Рр = kп.к·Руст быт·Кс + Ко·Рр сил + Руст пост + Р отоп + 0,7·Р ВНГ (СП 256 п. 7.1.10, Изм. 9).</t>
        </r>
      </text>
    </comment>
    <comment ref="Y13" authorId="0" shapeId="0" xr:uid="{35A82FC3-949D-4618-AA6E-3405DC0750FE}">
      <text>
        <r>
          <rPr>
            <b/>
            <sz val="9"/>
            <color indexed="81"/>
            <rFont val="Tahoma"/>
            <family val="2"/>
            <charset val="204"/>
          </rPr>
          <t>По наиболее нагруженной фазе.</t>
        </r>
      </text>
    </comment>
    <comment ref="AA13" authorId="0" shapeId="0" xr:uid="{B92C1C50-DF2B-4963-8013-CA70DEDA6E21}">
      <text>
        <r>
          <rPr>
            <b/>
            <sz val="9"/>
            <color indexed="81"/>
            <rFont val="Tahoma"/>
            <family val="2"/>
            <charset val="204"/>
          </rPr>
          <t>ΔU от ВРУ до шин щита = ΔU источника + Σ ΔU фидеров на пути.</t>
        </r>
      </text>
    </comment>
    <comment ref="AD13" authorId="0" shapeId="0" xr:uid="{D75258EB-D4AD-4652-85F6-E58E7425B55C}">
      <text>
        <r>
          <rPr>
            <b/>
            <sz val="9"/>
            <color indexed="81"/>
            <rFont val="Tahoma"/>
            <family val="2"/>
            <charset val="204"/>
          </rPr>
          <t>1 ввод — III (или II, если питающая линия I/II: один кабель не даёт I, ПУЭ 1.2.19); 2+ ввода без АВР — II; с АВР — I.</t>
        </r>
      </text>
    </comment>
    <comment ref="AE13" authorId="0" shapeId="0" xr:uid="{A958E861-9388-4CA3-A8E9-22903A0F73DC}">
      <text>
        <r>
          <rPr>
            <b/>
            <sz val="9"/>
            <color indexed="81"/>
            <rFont val="Tahoma"/>
            <family val="2"/>
            <charset val="204"/>
          </rPr>
          <t>Цепочка щитов от ГРЩ до этого щита.</t>
        </r>
      </text>
    </comment>
    <comment ref="AG13" authorId="0" shapeId="0" xr:uid="{969F04A0-6392-4F67-AE99-17316C727C73}">
      <text>
        <r>
          <rPr>
            <b/>
            <sz val="9"/>
            <color indexed="81"/>
            <rFont val="Tahoma"/>
            <family val="2"/>
            <charset val="204"/>
          </rPr>
          <t>Вышестоящий щит: вручную или по линии-фидеру.</t>
        </r>
      </text>
    </comment>
    <comment ref="AT13" authorId="0" shapeId="0" xr:uid="{47F5117F-4410-4B11-9CD1-3FA965F9BFA2}">
      <text>
        <r>
          <rPr>
            <b/>
            <sz val="9"/>
            <color indexed="81"/>
            <rFont val="Tahoma"/>
            <family val="2"/>
            <charset val="204"/>
          </rPr>
          <t>СП 256 табл. 7.2 по сумме Руст быт щита, линейная интерполяция.</t>
        </r>
      </text>
    </comment>
    <comment ref="AU13" authorId="0" shapeId="0" xr:uid="{16BAD6B6-30D7-45DA-93F4-F5DB7D1048B0}">
      <text>
        <r>
          <rPr>
            <b/>
            <sz val="9"/>
            <color indexed="81"/>
            <rFont val="Tahoma"/>
            <family val="2"/>
            <charset val="204"/>
          </rPr>
          <t>Σ P·Кс силовых линий.</t>
        </r>
      </text>
    </comment>
    <comment ref="AW13" authorId="0" shapeId="0" xr:uid="{80AC9AF1-94F3-49F3-A620-0D4EC8BE034B}">
      <text>
        <r>
          <rPr>
            <b/>
            <sz val="9"/>
            <color indexed="81"/>
            <rFont val="Tahoma"/>
            <family val="2"/>
            <charset val="204"/>
          </rPr>
          <t>Электроотопление, Кс = 1 (СП 256, Изм. 9).</t>
        </r>
      </text>
    </comment>
    <comment ref="AX13" authorId="0" shapeId="0" xr:uid="{F7CDC089-324D-4311-A196-4507EF270058}">
      <text>
        <r>
          <rPr>
            <b/>
            <sz val="9"/>
            <color indexed="81"/>
            <rFont val="Tahoma"/>
            <family val="2"/>
            <charset val="204"/>
          </rPr>
          <t>Водонагреватели × 0,7 (СП 256, Изм. 9).</t>
        </r>
      </text>
    </comment>
    <comment ref="AZ13" authorId="0" shapeId="0" xr:uid="{9BFF8C65-B114-431E-9CEE-834481988758}">
      <text>
        <r>
          <rPr>
            <b/>
            <sz val="9"/>
            <color indexed="81"/>
            <rFont val="Tahoma"/>
            <family val="2"/>
            <charset val="204"/>
          </rPr>
          <t>СП 256 табл. 7.5 по числу силовых линий щита (доля сантехники 100–85 %; таблица — лист «Объект»). Применяется в режиме «нормы 2026», если Кс линии не задан.</t>
        </r>
      </text>
    </comment>
    <comment ref="BA13" authorId="0" shapeId="0" xr:uid="{6ED55D3D-5B73-4364-886D-E87BB4510074}">
      <text>
        <r>
          <rPr>
            <b/>
            <sz val="9"/>
            <color indexed="81"/>
            <rFont val="Tahoma"/>
            <family val="2"/>
            <charset val="204"/>
          </rPr>
          <t>0,9 — совмещение бытовой и силовой нагрузки (СП 256 формула 6). В режиме «нормы 2026» — только если на щите есть обе.</t>
        </r>
      </text>
    </comment>
    <comment ref="BM13" authorId="0" shapeId="0" xr:uid="{6861CB99-86DE-4D3C-829B-AA2C9C257B31}">
      <text>
        <r>
          <rPr>
            <b/>
            <sz val="9"/>
            <color indexed="81"/>
            <rFont val="Tahoma"/>
            <family val="2"/>
            <charset val="204"/>
          </rPr>
          <t>Zшин = Zсети + Σ(петля фидеров + Rпер) на пути (ГОСТ 28249).</t>
        </r>
      </text>
    </comment>
    <comment ref="BY13" authorId="0" shapeId="0" xr:uid="{08E573EF-6FD0-49BE-9FB5-924C517351A7}">
      <text>
        <r>
          <rPr>
            <b/>
            <sz val="9"/>
            <color indexed="81"/>
            <rFont val="Tahoma"/>
            <family val="2"/>
            <charset val="204"/>
          </rPr>
          <t>Расклад фаз автоматов без ручной фазы (крупные первыми).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2" authorId="0" shapeId="0" xr:uid="{59A4D11D-5EB6-443E-9A3A-AD2888D027DB}">
      <text>
        <r>
          <rPr>
            <b/>
            <sz val="9"/>
            <color indexed="81"/>
            <rFont val="Tahoma"/>
            <family val="2"/>
            <charset val="204"/>
          </rPr>
          <t>Имя щита (как на листе «Щиты»). Строки щита — подряд, в порядке мест на схеме. Кнопки щитов над таблицей показывают один щит.</t>
        </r>
      </text>
    </comment>
    <comment ref="B2" authorId="0" shapeId="0" xr:uid="{2E60ECF9-75CD-4D20-ACA7-B4B137C90720}">
      <text>
        <r>
          <rPr>
            <b/>
            <sz val="9"/>
            <color indexed="81"/>
            <rFont val="Tahoma"/>
            <family val="2"/>
            <charset val="204"/>
          </rPr>
          <t>Код.Этаж.Помещение.Группа (пример: R.1.05.3). Код — лист «Коды». Номер приходит из чертежа (DLN).</t>
        </r>
      </text>
    </comment>
    <comment ref="C2" authorId="0" shapeId="0" xr:uid="{A1A0C077-22DC-4617-B278-F17A2456BFE9}">
      <text>
        <r>
          <rPr>
            <b/>
            <sz val="9"/>
            <color indexed="81"/>
            <rFont val="Tahoma"/>
            <family val="2"/>
            <charset val="204"/>
          </rPr>
          <t>Серое — по коду и помещению (как собирать — лист «Объект»). Впишите своё — станет синим. Сотрёте — вернётся серое.</t>
        </r>
      </text>
    </comment>
    <comment ref="D2" authorId="0" shapeId="0" xr:uid="{B6736041-76E6-410A-A288-7BE49C12E205}">
      <text>
        <r>
          <rPr>
            <b/>
            <sz val="9"/>
            <color indexed="81"/>
            <rFont val="Tahoma"/>
            <family val="2"/>
            <charset val="204"/>
          </rPr>
          <t>Число розеток, светильников… Приходит из DLN. Нужно для мощности (кВт на шт по коду) и для длины опусков.</t>
        </r>
      </text>
    </comment>
    <comment ref="E2" authorId="0" shapeId="0" xr:uid="{FE41309A-A94D-4DF0-9499-82479289B092}">
      <text>
        <r>
          <rPr>
            <b/>
            <sz val="9"/>
            <color indexed="81"/>
            <rFont val="Tahoma"/>
            <family val="2"/>
            <charset val="204"/>
          </rPr>
          <t>Серое — кВт на шт по коду × кол-во (розетки 0,06 кВт на шт). Фидер — Руст нижнего щита. Известную мощность впишите сами.</t>
        </r>
      </text>
    </comment>
    <comment ref="F2" authorId="0" shapeId="0" xr:uid="{5BBC63FF-74AB-4146-89E1-D8678BC44969}">
      <text>
        <r>
          <rPr>
            <b/>
            <sz val="9"/>
            <color indexed="81"/>
            <rFont val="Tahoma"/>
            <family val="2"/>
            <charset val="204"/>
          </rPr>
          <t>Пусто — у линии свой автомат. «гр» — линия на автомате строки выше (несколько линий на одном автомате). «узо» — линия со своим автоматом на шине УЗО: выше строка «УЗО.1» с «УЗО 2P 40А 30мА» в «Аппаратах». Строки группы и блока УЗО — подряд.</t>
        </r>
      </text>
    </comment>
    <comment ref="G2" authorId="0" shapeId="0" xr:uid="{C29BD4FE-4A27-4F07-BF93-82B2AE77C53D}">
      <text>
        <r>
          <rPr>
            <b/>
            <sz val="9"/>
            <color indexed="81"/>
            <rFont val="Tahoma"/>
            <family val="2"/>
            <charset val="204"/>
          </rPr>
          <t>Серое — подбор: полюса, характеристика, номинал по току группы и минимуму кода, ток утечки. В строке «гр» — «↑» и автомат группы. Свой автомат: 25, C25 или 2P C25А 30мА — таблица проверит.</t>
        </r>
      </text>
    </comment>
    <comment ref="H2" authorId="0" shapeId="0" xr:uid="{FC82F360-565A-4F3D-A6FA-2B89409422DD}">
      <text>
        <r>
          <rPr>
            <b/>
            <sz val="9"/>
            <color indexed="81"/>
            <rFont val="Tahoma"/>
            <family val="2"/>
            <charset val="204"/>
          </rPr>
          <t>Серое — по пометке в выноске (Relay, DIM, DALI) или по коду. Пусто — без модуля. Раскладка по модулям — следующий этап.</t>
        </r>
      </text>
    </comment>
    <comment ref="I2" authorId="0" shapeId="0" xr:uid="{E09E688A-0625-40FD-A9E5-FAED10C77A07}">
      <text>
        <r>
          <rPr>
            <b/>
            <sz val="9"/>
            <color indexed="81"/>
            <rFont val="Tahoma"/>
            <family val="2"/>
            <charset val="204"/>
          </rPr>
          <t>Аппараты после автомата через «;»: БП, КМ, МК, Т. Пример: КМ NCH8-40/40; БП 24V 75W. Серое — по коду.</t>
        </r>
      </text>
    </comment>
    <comment ref="J2" authorId="0" shapeId="0" xr:uid="{21EF2119-6DDA-4A61-8E5F-55825CFC55B4}">
      <text>
        <r>
          <rPr>
            <b/>
            <sz val="9"/>
            <color indexed="81"/>
            <rFont val="Tahoma"/>
            <family val="2"/>
            <charset val="204"/>
          </rPr>
          <t>Серое — подбор: наименьшее сечение не меньше минимума кода, при котором Iдоп·К ≥ In автомата (ПУЭ 1.3.10), ΔU от ВРУ в норме (СП 256 п. 8.23) и Iкз в конце отключает автомат за 0,4 с (ПУЭ 1.7.79). Своё — синим, таблица проверит.</t>
        </r>
      </text>
    </comment>
    <comment ref="K2" authorId="0" shapeId="0" xr:uid="{CC622C54-47C3-427D-8CB1-9E70931717E6}">
      <text>
        <r>
          <rPr>
            <b/>
            <sz val="9"/>
            <color indexed="81"/>
            <rFont val="Tahoma"/>
            <family val="2"/>
            <charset val="204"/>
          </rPr>
          <t>Серое — длина из чертежа (DLN: ПВХ + ПНД). Своя — синим. Итог с опусками и подъёмом — столбец «Длина, м».</t>
        </r>
      </text>
    </comment>
    <comment ref="L2" authorId="0" shapeId="0" xr:uid="{C6820A1A-0786-49B4-AA27-FF759F356A11}">
      <text>
        <r>
          <rPr>
            <b/>
            <sz val="9"/>
            <color indexed="81"/>
            <rFont val="Tahoma"/>
            <family val="2"/>
            <charset val="204"/>
          </rPr>
          <t>Серое — автобалансировка: каждому автомату (группе) — наименее загруженная фаза. Линии группы — на фазе своего автомата. Своя: 1, 2, 3 или 1,2,3.</t>
        </r>
      </text>
    </comment>
    <comment ref="M2" authorId="0" shapeId="0" xr:uid="{FF785557-5016-49E5-B57C-2DC5638EA28F}">
      <text>
        <r>
          <rPr>
            <b/>
            <sz val="9"/>
            <color indexed="81"/>
            <rFont val="Tahoma"/>
            <family val="2"/>
            <charset val="204"/>
          </rPr>
          <t>Серое — следующая XT по порядку. Своя — синим. «нет» — клемма без номера.</t>
        </r>
      </text>
    </comment>
    <comment ref="N2" authorId="0" shapeId="0" xr:uid="{03164372-F690-462C-A301-8337A47EB194}">
      <text>
        <r>
          <rPr>
            <b/>
            <sz val="9"/>
            <color indexed="81"/>
            <rFont val="Tahoma"/>
            <family val="2"/>
            <charset val="204"/>
          </rPr>
          <t>Что не так в строке. Пусто — в норме. Сводка по объекту — лист «Проверка».</t>
        </r>
      </text>
    </comment>
    <comment ref="O2" authorId="0" shapeId="0" xr:uid="{FA57E5F5-1075-4FA8-96AB-B484FACB3668}">
      <text>
        <r>
          <rPr>
            <b/>
            <sz val="9"/>
            <color indexed="81"/>
            <rFont val="Tahoma"/>
            <family val="2"/>
            <charset val="204"/>
          </rPr>
          <t>1ф: P/(Uф·cos φ); 3ф: P/(√3·Uн·cos φ); до 50 В (LED 24 В) — постоянный ток P/U. Фидер — Iр нижнего щита.</t>
        </r>
      </text>
    </comment>
    <comment ref="P2" authorId="0" shapeId="0" xr:uid="{ACC0E695-F0AB-4CC3-B337-6DFFD1B58DFB}">
      <text>
        <r>
          <rPr>
            <b/>
            <sz val="9"/>
            <color indexed="81"/>
            <rFont val="Tahoma"/>
            <family val="2"/>
            <charset val="204"/>
          </rPr>
          <t>Опуск·(2n−1) + длина по плану + подъём на этаж; n пусто — 1.</t>
        </r>
      </text>
    </comment>
    <comment ref="Q2" authorId="0" shapeId="0" xr:uid="{9173B83E-7E77-4D2D-A25A-155DF77D68B0}">
      <text>
        <r>
          <rPr>
            <b/>
            <sz val="9"/>
            <color indexed="81"/>
            <rFont val="Tahoma"/>
            <family val="2"/>
            <charset val="204"/>
          </rPr>
          <t>Потери линии + потери до шин щита. Норма — СП 256 п. 8.23: до светильников 3 %, до прочих 4 % (+0,005 %/м сверх 100 м). Линии до 50 В (LED 24 В) — потери от БП, допустимо — «Объект» (по умолчанию 5 %).</t>
        </r>
      </text>
    </comment>
    <comment ref="S2" authorId="0" shapeId="0" xr:uid="{BB8535E9-FAF6-44A4-B067-34B2CB6F6B86}">
      <text>
        <r>
          <rPr>
            <b/>
            <sz val="9"/>
            <color indexed="81"/>
            <rFont val="Tahoma"/>
            <family val="2"/>
            <charset val="204"/>
          </rPr>
          <t>Лист схемы A3 и место на нём. «узел» — вводной узел щита (рисуете сами).</t>
        </r>
      </text>
    </comment>
    <comment ref="T2" authorId="0" shapeId="0" xr:uid="{FC12C90B-FD09-4D98-82B4-1BC6CD49701B}">
      <text>
        <r>
          <rPr>
            <b/>
            <sz val="9"/>
            <color indexed="81"/>
            <rFont val="Tahoma"/>
            <family val="2"/>
            <charset val="204"/>
          </rPr>
          <t>ПУЭ 7.1.83: 0,4 мА на 1 А тока нагрузки + 10 мкА на 1 м линии; у группы — сумма по линиям. С дифзащитой должно быть не больше 1/3 уставки (30 мА → 10 мА), иначе — замечание.</t>
        </r>
      </text>
    </comment>
    <comment ref="U2" authorId="0" shapeId="0" xr:uid="{2B481F2E-A558-4627-9EED-2FB8AEC90A86}">
      <text>
        <r>
          <rPr>
            <b/>
            <sz val="9"/>
            <color indexed="81"/>
            <rFont val="Tahoma"/>
            <family val="2"/>
            <charset val="204"/>
          </rPr>
          <t>Строка автомата группы с линиями до 50 В: мощность БП, которая нужна = запас («Объект», 1,3) × Σ (Uвых·I) по линиям группы. Сравнивается с мощностью из «Аппаратов» (БП 24V 480W).</t>
        </r>
      </text>
    </comment>
    <comment ref="V2" authorId="0" shapeId="0" xr:uid="{E51FFC6A-7388-47D7-8263-F9BD79D8ECAB}">
      <text>
        <r>
          <rPr>
            <b/>
            <sz val="9"/>
            <color indexed="81"/>
            <rFont val="Tahoma"/>
            <family val="2"/>
            <charset val="204"/>
          </rPr>
          <t>Напряжение на выходе БП, при котором у самой нагруженной линии в конце остаётся номинал (U + потери). Если больше, чем даёт БП, — увеличьте сечение.</t>
        </r>
      </text>
    </comment>
    <comment ref="W2" authorId="0" shapeId="0" xr:uid="{462E5650-B68E-45BC-BF0E-0B9670535569}">
      <text>
        <r>
          <rPr>
            <b/>
            <sz val="9"/>
            <color indexed="81"/>
            <rFont val="Tahoma"/>
            <family val="2"/>
            <charset val="204"/>
          </rPr>
          <t>Наибольшая длина линии при этом сечении и автомате, когда Iкз в конце ещё отключает автомат за 0,4 с (Iкз ≥ кратность·In, ПУЭ 1.7.79). Сравните с «Длина, м»: видно, какой запас.</t>
        </r>
      </text>
    </comment>
    <comment ref="X2" authorId="0" shapeId="0" xr:uid="{1E7C7721-7BA8-4127-9D5C-4739475C598B}">
      <text>
        <r>
          <rPr>
            <b/>
            <sz val="9"/>
            <color indexed="81"/>
            <rFont val="Tahoma"/>
            <family val="2"/>
            <charset val="204"/>
          </rPr>
          <t>Обычно пусто: если номер линии = имя щита, фидер определяется сам. Пример, когда нужно: линия ЩСПЗ.1 питает щит ЩСПЗ.</t>
        </r>
      </text>
    </comment>
    <comment ref="Y2" authorId="0" shapeId="0" xr:uid="{23D49271-88AB-49BC-B727-07C9BE800634}">
      <text>
        <r>
          <rPr>
            <b/>
            <sz val="9"/>
            <color indexed="81"/>
            <rFont val="Tahoma"/>
            <family val="2"/>
            <charset val="204"/>
          </rPr>
          <t>Серое — по коду (лист «Коды»). Своё: 10, 30, 100, 300 или «нет». В группе берётся самая строгая уставка. Вид аппарата (дифавтомат / УЗО на группу) — в «Кодах».</t>
        </r>
      </text>
    </comment>
    <comment ref="Z2" authorId="0" shapeId="0" xr:uid="{9E561469-C77E-493B-B1DA-5D36914B2074}">
      <text>
        <r>
          <rPr>
            <b/>
            <sz val="9"/>
            <color indexed="81"/>
            <rFont val="Tahoma"/>
            <family val="2"/>
            <charset val="204"/>
          </rPr>
          <t>1 или 3. Серое — по коду (фидер — 3).</t>
        </r>
      </text>
    </comment>
    <comment ref="AA2" authorId="0" shapeId="0" xr:uid="{9A296D18-778B-4042-BF67-335A98290D7D}">
      <text>
        <r>
          <rPr>
            <b/>
            <sz val="9"/>
            <color indexed="81"/>
            <rFont val="Tahoma"/>
            <family val="2"/>
            <charset val="204"/>
          </rPr>
          <t>230 или 400. Серое — по коду.</t>
        </r>
      </text>
    </comment>
    <comment ref="AB2" authorId="0" shapeId="0" xr:uid="{743D5E52-AD4B-4666-8302-E1C134A040B5}">
      <text>
        <r>
          <rPr>
            <b/>
            <sz val="9"/>
            <color indexed="81"/>
            <rFont val="Tahoma"/>
            <family val="2"/>
            <charset val="204"/>
          </rPr>
          <t>Быт — табл. 7.2 по сумме; Сил — Кс линии или табл. 7.5; Пост — 1; Отоп — 1; ВНГ — 0,7 (СП 256, Изм. 9); Нет — не учитывается. Серое — по коду.</t>
        </r>
      </text>
    </comment>
    <comment ref="AC2" authorId="0" shapeId="0" xr:uid="{FD4DD2F0-ABB5-4400-A4A3-09C1C4BDEF40}">
      <text>
        <r>
          <rPr>
            <b/>
            <sz val="9"/>
            <color indexed="81"/>
            <rFont val="Tahoma"/>
            <family val="2"/>
            <charset val="204"/>
          </rPr>
          <t>Кс силовой линии (СП 256 табл. 7.5). Пусто — по таблице 7.5 (режим «нормы 2026») или 1.</t>
        </r>
      </text>
    </comment>
    <comment ref="AD2" authorId="0" shapeId="0" xr:uid="{482BFEB7-0F79-4799-8586-BE4142129912}">
      <text>
        <r>
          <rPr>
            <b/>
            <sz val="9"/>
            <color indexed="81"/>
            <rFont val="Tahoma"/>
            <family val="2"/>
            <charset val="204"/>
          </rPr>
          <t>Пусто — 0,95; двигатели — по таблице; силовые в режиме «нормы 2026» — 0,8.</t>
        </r>
      </text>
    </comment>
    <comment ref="AE2" authorId="0" shapeId="0" xr:uid="{71AA5E21-C08F-4440-ABB7-E0A4869AC847}">
      <text>
        <r>
          <rPr>
            <b/>
            <sz val="9"/>
            <color indexed="81"/>
            <rFont val="Tahoma"/>
            <family val="2"/>
            <charset val="204"/>
          </rPr>
          <t>Секция шин щита. Пусто — 1.</t>
        </r>
      </text>
    </comment>
    <comment ref="AF2" authorId="0" shapeId="0" xr:uid="{634769E0-CC11-42BC-BE7C-0AE85B1B91B5}">
      <text>
        <r>
          <rPr>
            <b/>
            <sz val="9"/>
            <color indexed="81"/>
            <rFont val="Tahoma"/>
            <family val="2"/>
            <charset val="204"/>
          </rPr>
          <t>Пусто — основная шина. Пишется в строке с автоматом. Имя с «ИБП» или «ДГУ» — шина этого источника.</t>
        </r>
      </text>
    </comment>
    <comment ref="AG2" authorId="0" shapeId="0" xr:uid="{7B768458-663B-4D02-BCE8-BBE2F9F35C6C}">
      <text>
        <r>
          <rPr>
            <b/>
            <sz val="9"/>
            <color indexed="81"/>
            <rFont val="Tahoma"/>
            <family val="2"/>
            <charset val="204"/>
          </rPr>
          <t>Только для строк «Ввод»: I особая / I / II / III. Пусто — по схеме щита (вводы, АВР) и шине (ИБП, ДГУ — I особая).</t>
        </r>
      </text>
    </comment>
    <comment ref="AH2" authorId="0" shapeId="0" xr:uid="{FDDAF7AD-7B64-44C5-8737-D851106A81FF}">
      <text>
        <r>
          <rPr>
            <b/>
            <sz val="9"/>
            <color indexed="81"/>
            <rFont val="Tahoma"/>
            <family val="2"/>
            <charset val="204"/>
          </rPr>
          <t>Пусто — по коду. Пожарные линии — кабель FRLS, в расчётный максимум не входят.</t>
        </r>
      </text>
    </comment>
    <comment ref="AI2" authorId="0" shapeId="0" xr:uid="{F5678138-8E2A-48A9-98DF-BFDD979B5585}">
      <text>
        <r>
          <rPr>
            <b/>
            <sz val="9"/>
            <color indexed="81"/>
            <rFont val="Tahoma"/>
            <family val="2"/>
            <charset val="204"/>
          </rPr>
          <t>Строка таблицы нагрузок для пояснительной записки. Пусто — по коду.</t>
        </r>
      </text>
    </comment>
    <comment ref="AJ2" authorId="0" shapeId="0" xr:uid="{80E6EA7E-F8D3-435F-89C6-7144402E792C}">
      <text>
        <r>
          <rPr>
            <b/>
            <sz val="9"/>
            <color indexed="81"/>
            <rFont val="Tahoma"/>
            <family val="2"/>
            <charset val="204"/>
          </rPr>
          <t>Пусто — как обычно. «вручную» — строка только в таблице, в схеме не рисуется. «рисовать» — нарисовать строку вводного узла.</t>
        </r>
      </text>
    </comment>
    <comment ref="AK2" authorId="0" shapeId="0" xr:uid="{AA5D2BAD-1F48-494A-ACA0-DF897C3D4D69}">
      <text>
        <r>
          <rPr>
            <b/>
            <sz val="9"/>
            <color indexed="81"/>
            <rFont val="Tahoma"/>
            <family val="2"/>
            <charset val="204"/>
          </rPr>
          <t>Серое — модуль по умолчанию для управления строки («Объект», таблица «Модули_умолч»): подряд идущие линии с одним управлением идут на каналы одного модуля, новый — когда каналы кончились; «-» — модуль закончился. Своё: модель в первой строке модуля (следующие строки — на его каналы), «-» — конец модуля.</t>
        </r>
      </text>
    </comment>
    <comment ref="AL2" authorId="0" shapeId="0" xr:uid="{CE911276-679D-4BC9-BC48-63816658529A}">
      <text>
        <r>
          <rPr>
            <b/>
            <sz val="9"/>
            <color indexed="81"/>
            <rFont val="Tahoma"/>
            <family val="2"/>
            <charset val="204"/>
          </rPr>
          <t>Пусто — авто; № вручную; = параллельно; + в тот же кабель; р — резерв; б/к — без клеммы.</t>
        </r>
      </text>
    </comment>
    <comment ref="AM2" authorId="0" shapeId="0" xr:uid="{CC33C3EF-1B68-477E-9849-29E8798E34C2}">
      <text>
        <r>
          <rPr>
            <b/>
            <sz val="9"/>
            <color indexed="81"/>
            <rFont val="Tahoma"/>
            <family val="2"/>
            <charset val="204"/>
          </rPr>
          <t>Пусто — следующее место после вводного узла. Число — своё место (пропуск = пустая колонка). «-» — строки нет на схеме.</t>
        </r>
      </text>
    </comment>
    <comment ref="AN2" authorId="0" shapeId="0" xr:uid="{AC3839A8-5E13-4324-978C-B537A1ED328F}">
      <text>
        <r>
          <rPr>
            <b/>
            <sz val="9"/>
            <color indexed="81"/>
            <rFont val="Tahoma"/>
            <family val="2"/>
            <charset val="204"/>
          </rPr>
          <t>Обозначение марки (лист «Коды», таблица «Кабели»): мс, мфр… Серое — по коду; пожарная линия — марка для пожарных (лист «Объект»).</t>
        </r>
      </text>
    </comment>
    <comment ref="AO2" authorId="0" shapeId="0" xr:uid="{7DCC3AD4-DCA8-48C7-AC13-8A59063BF78E}">
      <text>
        <r>
          <rPr>
            <b/>
            <sz val="9"/>
            <color indexed="81"/>
            <rFont val="Tahoma"/>
            <family val="2"/>
            <charset val="204"/>
          </rPr>
          <t>Серое — по коду, иначе 1ф — 3, 3ф — 5.</t>
        </r>
      </text>
    </comment>
    <comment ref="AP2" authorId="0" shapeId="0" xr:uid="{9FF195C1-DF5F-4042-8C44-85B892831B00}">
      <text>
        <r>
          <rPr>
            <b/>
            <sz val="9"/>
            <color indexed="81"/>
            <rFont val="Tahoma"/>
            <family val="2"/>
            <charset val="204"/>
          </rPr>
          <t>Поправочный коэффициент прокладки. Пусто — общий (лист «Таблицы_норм»).</t>
        </r>
      </text>
    </comment>
    <comment ref="AQ2" authorId="0" shapeId="0" xr:uid="{F686F636-3CAB-4838-ACCE-B6D083288BFB}">
      <text>
        <r>
          <rPr>
            <b/>
            <sz val="9"/>
            <color indexed="81"/>
            <rFont val="Tahoma"/>
            <family val="2"/>
            <charset val="204"/>
          </rPr>
          <t>Длина по лотку, м.</t>
        </r>
      </text>
    </comment>
    <comment ref="AR2" authorId="0" shapeId="0" xr:uid="{84A1952E-5916-4B0E-A925-3A6D49CD654A}">
      <text>
        <r>
          <rPr>
            <b/>
            <sz val="9"/>
            <color indexed="81"/>
            <rFont val="Tahoma"/>
            <family val="2"/>
            <charset val="204"/>
          </rPr>
          <t>Длина в гофре ПВХ, м. Пусто — из чертежа.</t>
        </r>
      </text>
    </comment>
    <comment ref="AS2" authorId="0" shapeId="0" xr:uid="{0F99E9B1-F9A2-4A49-992D-F1419D55C888}">
      <text>
        <r>
          <rPr>
            <b/>
            <sz val="9"/>
            <color indexed="81"/>
            <rFont val="Tahoma"/>
            <family val="2"/>
            <charset val="204"/>
          </rPr>
          <t>Длина в гофре ПНД, м. Пусто — из чертежа.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AH3" authorId="0" shapeId="0" xr:uid="{F2064AB6-FB7F-425E-B5C9-8EB8C00E13E9}">
      <text>
        <r>
          <rPr>
            <b/>
            <sz val="9"/>
            <color indexed="81"/>
            <rFont val="Tahoma"/>
            <family val="2"/>
            <charset val="204"/>
          </rPr>
          <t>Экспликация (по желанию): этаж и помещение — как в номере линии (R.1.05.3 → этаж 1, помещение 05). Включается на «Объекте»: «Наименование линии» = «по экспликации».</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marat</author>
  </authors>
  <commentList>
    <comment ref="Q3" authorId="0" shapeId="0" xr:uid="{66C68A8C-348A-47E5-B161-52E57ABF17DB}">
      <text>
        <r>
          <rPr>
            <b/>
            <sz val="9"/>
            <color indexed="81"/>
            <rFont val="Tahoma"/>
            <family val="2"/>
            <charset val="204"/>
          </rPr>
          <t>Модуль, к каналам которого подключены линии до 50 В (LED 24 В): допустимый ток канала. Пусто — не проверяется. Линии на одном канале («=») суммируются.</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<sst xmlns="http://schemas.openxmlformats.org/spreadsheetml/2006/main" count="4482" uniqueCount="2272">
  <si>
    <t>Номер линии</t>
  </si>
  <si>
    <t>Мощность, кВт</t>
  </si>
  <si>
    <t>Кол-во фаз</t>
  </si>
  <si>
    <t>Сечение</t>
  </si>
  <si>
    <t>Щит</t>
  </si>
  <si>
    <t>Ток</t>
  </si>
  <si>
    <t>Наименование</t>
  </si>
  <si>
    <t>Автомат</t>
  </si>
  <si>
    <t>Не исп</t>
  </si>
  <si>
    <t>Кабель</t>
  </si>
  <si>
    <t>Обознач</t>
  </si>
  <si>
    <t>мс</t>
  </si>
  <si>
    <t>ВВГнг(А)-LS</t>
  </si>
  <si>
    <t>мфр</t>
  </si>
  <si>
    <t>Кол-во жил</t>
  </si>
  <si>
    <t>Индуктивное, Ом/км</t>
  </si>
  <si>
    <t>Маркировка кабеля</t>
  </si>
  <si>
    <t>Трасса</t>
  </si>
  <si>
    <t>Испытания</t>
  </si>
  <si>
    <t>Начало</t>
  </si>
  <si>
    <t>Конец</t>
  </si>
  <si>
    <t>По проекту</t>
  </si>
  <si>
    <t>Проложено</t>
  </si>
  <si>
    <t>Длина трассы, м</t>
  </si>
  <si>
    <t>Марка</t>
  </si>
  <si>
    <t>Длина, м</t>
  </si>
  <si>
    <t>Дата прокладки</t>
  </si>
  <si>
    <t>R</t>
  </si>
  <si>
    <t>Розеточная группа</t>
  </si>
  <si>
    <t>L</t>
  </si>
  <si>
    <t>Группа освещения</t>
  </si>
  <si>
    <t>Этаж</t>
  </si>
  <si>
    <t>Третий этаж</t>
  </si>
  <si>
    <t>Цокольный этаж</t>
  </si>
  <si>
    <t>0</t>
  </si>
  <si>
    <t>1</t>
  </si>
  <si>
    <t>2</t>
  </si>
  <si>
    <t>3</t>
  </si>
  <si>
    <t>1 - этаж/2 - шлейф</t>
  </si>
  <si>
    <t>Длина линии (по плану)</t>
  </si>
  <si>
    <t>ютп</t>
  </si>
  <si>
    <t>Поз</t>
  </si>
  <si>
    <t>Наименование и техническая характеристика</t>
  </si>
  <si>
    <t>Тип, марка, обозначение документа</t>
  </si>
  <si>
    <t>Код оборудования, изделия, материала</t>
  </si>
  <si>
    <t>Завод изготовитель</t>
  </si>
  <si>
    <t>Кол-во</t>
  </si>
  <si>
    <t>Масса</t>
  </si>
  <si>
    <t>Примечание</t>
  </si>
  <si>
    <t>Ед. измерения</t>
  </si>
  <si>
    <t>Заполнить!!!</t>
  </si>
  <si>
    <t>Помещение</t>
  </si>
  <si>
    <t>Этаж/Шлейф</t>
  </si>
  <si>
    <t>Ввод</t>
  </si>
  <si>
    <t>Ввод питающей линии</t>
  </si>
  <si>
    <t>Вытяжной вентилятор</t>
  </si>
  <si>
    <t>ре</t>
  </si>
  <si>
    <t>ПУГВ</t>
  </si>
  <si>
    <t>Потолок - 1/Пол - 2</t>
  </si>
  <si>
    <t>ПТО</t>
  </si>
  <si>
    <t>Артикул</t>
  </si>
  <si>
    <t>МСК001</t>
  </si>
  <si>
    <t>МСК002</t>
  </si>
  <si>
    <t>МСК003</t>
  </si>
  <si>
    <t>МСК004</t>
  </si>
  <si>
    <t>МСК005</t>
  </si>
  <si>
    <t>МСК006</t>
  </si>
  <si>
    <t>МСК007</t>
  </si>
  <si>
    <t>МСК008</t>
  </si>
  <si>
    <t>МСК009</t>
  </si>
  <si>
    <t>МСК010</t>
  </si>
  <si>
    <t>МСК011</t>
  </si>
  <si>
    <t>МСК012</t>
  </si>
  <si>
    <t>МСК013</t>
  </si>
  <si>
    <t>МСК014</t>
  </si>
  <si>
    <t>МСК015</t>
  </si>
  <si>
    <t>МСК016</t>
  </si>
  <si>
    <t>МСК017</t>
  </si>
  <si>
    <t>МСК018</t>
  </si>
  <si>
    <t>МСК019</t>
  </si>
  <si>
    <t>МСК020</t>
  </si>
  <si>
    <t>МСК021</t>
  </si>
  <si>
    <t>МСК022</t>
  </si>
  <si>
    <t>МСК023</t>
  </si>
  <si>
    <t>МСК024</t>
  </si>
  <si>
    <t>МСК025</t>
  </si>
  <si>
    <t>МСК026</t>
  </si>
  <si>
    <t>МСК027</t>
  </si>
  <si>
    <t>МСК028</t>
  </si>
  <si>
    <t>МСК029</t>
  </si>
  <si>
    <t>МСК030</t>
  </si>
  <si>
    <t>МСК031</t>
  </si>
  <si>
    <t>МСК032</t>
  </si>
  <si>
    <t>МСК033</t>
  </si>
  <si>
    <t>МСК034</t>
  </si>
  <si>
    <t>МСК035</t>
  </si>
  <si>
    <t>МСК036</t>
  </si>
  <si>
    <t>МСК037</t>
  </si>
  <si>
    <t>МСК038</t>
  </si>
  <si>
    <t>МСК041</t>
  </si>
  <si>
    <t>МСК042</t>
  </si>
  <si>
    <t>МСК043</t>
  </si>
  <si>
    <t>МСК044</t>
  </si>
  <si>
    <t>МСК045</t>
  </si>
  <si>
    <t>МСК046</t>
  </si>
  <si>
    <t>МСК047</t>
  </si>
  <si>
    <t>МСК048</t>
  </si>
  <si>
    <t>МСК049</t>
  </si>
  <si>
    <t>МСК050</t>
  </si>
  <si>
    <t>МСК051</t>
  </si>
  <si>
    <t>МСК052</t>
  </si>
  <si>
    <t>МСК053</t>
  </si>
  <si>
    <t>МСК054</t>
  </si>
  <si>
    <t>МСК055</t>
  </si>
  <si>
    <t>МСК056</t>
  </si>
  <si>
    <t>МСК057</t>
  </si>
  <si>
    <t>МСК058</t>
  </si>
  <si>
    <t>МСК059</t>
  </si>
  <si>
    <t>МСК060</t>
  </si>
  <si>
    <t>МСК061</t>
  </si>
  <si>
    <t>МСК062</t>
  </si>
  <si>
    <t>МСК063</t>
  </si>
  <si>
    <t>МСК064</t>
  </si>
  <si>
    <t>МСК065</t>
  </si>
  <si>
    <t>МСК066</t>
  </si>
  <si>
    <t>МСК067</t>
  </si>
  <si>
    <t>МСК068</t>
  </si>
  <si>
    <t>МСК069</t>
  </si>
  <si>
    <t>МСК070</t>
  </si>
  <si>
    <t>МСК071</t>
  </si>
  <si>
    <t>МСК072</t>
  </si>
  <si>
    <t>МСК073</t>
  </si>
  <si>
    <t>МСК074</t>
  </si>
  <si>
    <t>МСК075</t>
  </si>
  <si>
    <t>мб</t>
  </si>
  <si>
    <t>ВБШвнг(А)-LS</t>
  </si>
  <si>
    <t>МСК040</t>
  </si>
  <si>
    <t>КГВВнг(А)-LS</t>
  </si>
  <si>
    <t>кмб</t>
  </si>
  <si>
    <t>кмс</t>
  </si>
  <si>
    <t>КВБбШвнг(А)-LS 14x2.5</t>
  </si>
  <si>
    <t>ППГнг(А)-FRHF</t>
  </si>
  <si>
    <t>мшф</t>
  </si>
  <si>
    <t>ППГнг(А)-HF</t>
  </si>
  <si>
    <t>Артикул ПТО</t>
  </si>
  <si>
    <t>Тип кабеля</t>
  </si>
  <si>
    <t>Пол/Потолок</t>
  </si>
  <si>
    <t>ВВГнг(А)-FRLS</t>
  </si>
  <si>
    <t>ВБШВнг(А)-LS</t>
  </si>
  <si>
    <t>КВБбШвнг(А)-LS</t>
  </si>
  <si>
    <t>ТП</t>
  </si>
  <si>
    <t>ВРУ</t>
  </si>
  <si>
    <t>Наименование линии</t>
  </si>
  <si>
    <t>C</t>
  </si>
  <si>
    <t>В</t>
  </si>
  <si>
    <t>Д</t>
  </si>
  <si>
    <t>медь</t>
  </si>
  <si>
    <t>КПД</t>
  </si>
  <si>
    <t>Cos(ф) 3ф</t>
  </si>
  <si>
    <t>Cos(ф) 1ф</t>
  </si>
  <si>
    <t>Двигатели</t>
  </si>
  <si>
    <t>Светодиоды</t>
  </si>
  <si>
    <t>Iп/Iн, 1ф</t>
  </si>
  <si>
    <t>Iп/Iн, 3ф</t>
  </si>
  <si>
    <t>Iп, А</t>
  </si>
  <si>
    <t>Iн 220, А</t>
  </si>
  <si>
    <t>Iн 380</t>
  </si>
  <si>
    <t>Iп 380</t>
  </si>
  <si>
    <t>Iн 220</t>
  </si>
  <si>
    <t>Iп 220</t>
  </si>
  <si>
    <t>КРМ</t>
  </si>
  <si>
    <t>Кабель_диаметр</t>
  </si>
  <si>
    <t>кол-во жил</t>
  </si>
  <si>
    <t>наружный диаметр</t>
  </si>
  <si>
    <t>ПуГВ</t>
  </si>
  <si>
    <t>Дн</t>
  </si>
  <si>
    <t>Дв</t>
  </si>
  <si>
    <t>гофра_ПНД</t>
  </si>
  <si>
    <t>гофра_ПВХ</t>
  </si>
  <si>
    <t>(Серая)</t>
  </si>
  <si>
    <t>(Черная)</t>
  </si>
  <si>
    <t>Расшифровка</t>
  </si>
  <si>
    <t>тпв</t>
  </si>
  <si>
    <t>тпн</t>
  </si>
  <si>
    <t>Труба жесткая ПВХ</t>
  </si>
  <si>
    <t>Труба жесткая ПНД</t>
  </si>
  <si>
    <t>гпв</t>
  </si>
  <si>
    <t>Труба гофрированная ПВХ</t>
  </si>
  <si>
    <t>гпн</t>
  </si>
  <si>
    <t>Труба гофрированная ПНД</t>
  </si>
  <si>
    <t>Напряжение</t>
  </si>
  <si>
    <t>Мин.диам. Трубы</t>
  </si>
  <si>
    <t>Лоток</t>
  </si>
  <si>
    <t>КПСнг?</t>
  </si>
  <si>
    <t>DAXX</t>
  </si>
  <si>
    <t>КСПВГ 4х0.35</t>
  </si>
  <si>
    <t>REXANT (акустика)</t>
  </si>
  <si>
    <t>МКЭШ 2х0.35</t>
  </si>
  <si>
    <t>МКЭШ 4х0.35</t>
  </si>
  <si>
    <t>Гофра ПНД</t>
  </si>
  <si>
    <t>Гофра ПВХ</t>
  </si>
  <si>
    <t>ПВХ</t>
  </si>
  <si>
    <t>ПНД</t>
  </si>
  <si>
    <t>не исп</t>
  </si>
  <si>
    <t>АСУ</t>
  </si>
  <si>
    <t>кн</t>
  </si>
  <si>
    <t>SH</t>
  </si>
  <si>
    <t>J-Y(St)Y 2х2х0.8</t>
  </si>
  <si>
    <t>кф</t>
  </si>
  <si>
    <t>КИПЭВ 2х2х0.6</t>
  </si>
  <si>
    <t>кс</t>
  </si>
  <si>
    <t>На ИБП</t>
  </si>
  <si>
    <t>От ИБП</t>
  </si>
  <si>
    <t>Питание на ИБП</t>
  </si>
  <si>
    <t>Питание от ИБП</t>
  </si>
  <si>
    <t>LED</t>
  </si>
  <si>
    <t>Светодиодное освещение</t>
  </si>
  <si>
    <t>R.ШТК</t>
  </si>
  <si>
    <t>Шкаф слаботочных систем</t>
  </si>
  <si>
    <t>R.ЩОПС</t>
  </si>
  <si>
    <t>Щит охранно-пожарной сигнализации</t>
  </si>
  <si>
    <t>Питание системы автоматизации</t>
  </si>
  <si>
    <t>PS-KNX</t>
  </si>
  <si>
    <t>Блок питания шины KNX</t>
  </si>
  <si>
    <t>Шаровый электрокран</t>
  </si>
  <si>
    <t xml:space="preserve">Управление сервоприводом отопления </t>
  </si>
  <si>
    <t xml:space="preserve">Моторзированная нагрузка </t>
  </si>
  <si>
    <t>FTP-Cat.6-4х2х0.52</t>
  </si>
  <si>
    <t>КГВВнг(А)-LS (5х1)</t>
  </si>
  <si>
    <t>кмс1</t>
  </si>
  <si>
    <t>DALI</t>
  </si>
  <si>
    <t>Контролер DALI</t>
  </si>
  <si>
    <t>АПС</t>
  </si>
  <si>
    <t>Реле АПС</t>
  </si>
  <si>
    <t>Внутренний блок кондиционера</t>
  </si>
  <si>
    <t>ПВ</t>
  </si>
  <si>
    <t>Приточно-вытяжная установка</t>
  </si>
  <si>
    <t>УВ</t>
  </si>
  <si>
    <t>Увлажнитель</t>
  </si>
  <si>
    <t>ПН</t>
  </si>
  <si>
    <t>Проточный водонагреватель</t>
  </si>
  <si>
    <t>WD</t>
  </si>
  <si>
    <t>Датчик протечки</t>
  </si>
  <si>
    <t>VK</t>
  </si>
  <si>
    <t>Выключатель нажимной</t>
  </si>
  <si>
    <t>КУП</t>
  </si>
  <si>
    <t>Коробка уравнивания потенциалов</t>
  </si>
  <si>
    <t>Заземляющая шина</t>
  </si>
  <si>
    <t>R.GSM</t>
  </si>
  <si>
    <t>Щит усиления соловой связи</t>
  </si>
  <si>
    <t>Теплый пол</t>
  </si>
  <si>
    <t>Управление сервоприводом теплого пола</t>
  </si>
  <si>
    <t>TE-ТП</t>
  </si>
  <si>
    <t>TE-O</t>
  </si>
  <si>
    <t>ЭK</t>
  </si>
  <si>
    <t>K</t>
  </si>
  <si>
    <t>ПУ</t>
  </si>
  <si>
    <t>Приточная установка</t>
  </si>
  <si>
    <t>PE</t>
  </si>
  <si>
    <t>Вводнораспределительное оборудование ЩР</t>
  </si>
  <si>
    <t>Крыша и основание RAL9005 с направляющими для корпусов CQE N, ШхГ 800х400 мм, комплект RAM block</t>
  </si>
  <si>
    <t>Стойки вертикальные RAL7035 для корпусов CQE N, В=1800 мм, комплект - 4 шт. RAM block</t>
  </si>
  <si>
    <t>Панель задняя для корпусов CQE N, ВхШ 1800х800 мм RAM block</t>
  </si>
  <si>
    <t>Углы цоколя с пластиковыми заглушками для корпусов CQE &amp; CQE N, В=200 мм, RAL9005, комплект - 4 шт. RAM block</t>
  </si>
  <si>
    <t>Панели цоколя для корпусов CQE &amp; CQE N, ШхГ 800 мм, В=200 мм, RAL9005, комплект - 2 шт. RAM block</t>
  </si>
  <si>
    <t>Фиксатор панели цоколя R5NFP, R5NFPB для корпусов CQE &amp; CQE N, комплект - 4 шт. RAM block</t>
  </si>
  <si>
    <t>Комплект</t>
  </si>
  <si>
    <t>Рейка широкая поперечная для корпусов CQE &amp; CQE N, Ш=800 мм, упаковка - 4 шт. RAM block</t>
  </si>
  <si>
    <t>Рейка для фиксации кабеля для корпусов CQE N, Ш=800 мм, упаковка - 2 шт. RAM block</t>
  </si>
  <si>
    <t>Комплект кабелей заземления CQE RAM block</t>
  </si>
  <si>
    <t>П-образный профиль для защиты кромок, для дверей и панелей RAM block</t>
  </si>
  <si>
    <t>Упаковка</t>
  </si>
  <si>
    <t>Метр</t>
  </si>
  <si>
    <t>Рейки широкие вертикальные для корпусов CQE N, В=1800 мм, упаковка - 2 шт. RAM block</t>
  </si>
  <si>
    <t>R5NPDV18</t>
  </si>
  <si>
    <t>R5NKTB84</t>
  </si>
  <si>
    <t>R5NKMN18</t>
  </si>
  <si>
    <t>R5NCRE1880</t>
  </si>
  <si>
    <t>R5NBP02B</t>
  </si>
  <si>
    <t>R5NFPB82</t>
  </si>
  <si>
    <t>R5NKFP02</t>
  </si>
  <si>
    <t>R5NPDF800</t>
  </si>
  <si>
    <t>R5NPAC800</t>
  </si>
  <si>
    <t>R5ES01</t>
  </si>
  <si>
    <t>R5PP01</t>
  </si>
  <si>
    <t>DKC</t>
  </si>
  <si>
    <t>Концевой выключатель с двумя контактами, нормально открытый + нормально закрытый (NO+NC). С поворотным регулируемым рычажным роликом</t>
  </si>
  <si>
    <t>R5MC131</t>
  </si>
  <si>
    <t>шт.</t>
  </si>
  <si>
    <t>Светодиодная лента COB-X480-4mm 24V Day4000 (4 W/m, IP20, CSP, 5m) (Arlight, -) 042031</t>
  </si>
  <si>
    <t>042031</t>
  </si>
  <si>
    <t>arlight</t>
  </si>
  <si>
    <t>Chint</t>
  </si>
  <si>
    <t>EKF</t>
  </si>
  <si>
    <t>256101</t>
  </si>
  <si>
    <t>643001</t>
  </si>
  <si>
    <t>179616</t>
  </si>
  <si>
    <t>179614</t>
  </si>
  <si>
    <t>982114</t>
  </si>
  <si>
    <t>203019</t>
  </si>
  <si>
    <t>256099</t>
  </si>
  <si>
    <t>Arlight</t>
  </si>
  <si>
    <t>028422</t>
  </si>
  <si>
    <t>Модуль защиты контактов MK-5-1</t>
  </si>
  <si>
    <t>EA06.002.001</t>
  </si>
  <si>
    <t>Россия</t>
  </si>
  <si>
    <t>5</t>
  </si>
  <si>
    <t>ZPSU640</t>
  </si>
  <si>
    <t>Zennio</t>
  </si>
  <si>
    <t>Многофункциональный актуатор KNX</t>
  </si>
  <si>
    <t>ZIOMB24V2</t>
  </si>
  <si>
    <t>ZDINDX4</t>
  </si>
  <si>
    <t>Интерфейс KNX-DALI</t>
  </si>
  <si>
    <t>ZDID64X2</t>
  </si>
  <si>
    <t>Модуль входов с 8 аналогово-цифровыми входами</t>
  </si>
  <si>
    <t>ZIO-RQUAD8</t>
  </si>
  <si>
    <t>VPR-4-GY</t>
  </si>
  <si>
    <t>Клемма проходная, зажим push-in, 2 точки подключения, 4 кв.мм, синяя</t>
  </si>
  <si>
    <t>VPR-4-BU</t>
  </si>
  <si>
    <t>Клемма заземления, зажим push-in, 2 точки подключения, 4 кв.мм</t>
  </si>
  <si>
    <t>VPR-4-PE-YG</t>
  </si>
  <si>
    <t>Изолятор торцевой для клеммы VPR-4</t>
  </si>
  <si>
    <t>D-VPR-4</t>
  </si>
  <si>
    <t>VPR-2.5-3L-GY</t>
  </si>
  <si>
    <t>Изолятор торцевой для клеммы VPR-2.5-3L</t>
  </si>
  <si>
    <t>D-VPR-2.5-3L</t>
  </si>
  <si>
    <t>Перемычка вставная, для клемм на 2.5 кв.мм, 10-и полюсная</t>
  </si>
  <si>
    <t>SBF-10-5</t>
  </si>
  <si>
    <t>Торцевой фиксатор на рейку 35мм, ширина 9,5 мм</t>
  </si>
  <si>
    <t>UK-E</t>
  </si>
  <si>
    <t xml:space="preserve">Провод ПуГВ 1,5 кв. мм красный, многопроволочный </t>
  </si>
  <si>
    <t>ПуГВ 1.5</t>
  </si>
  <si>
    <t>РЭК</t>
  </si>
  <si>
    <t>м.</t>
  </si>
  <si>
    <t>Провод ПуГВ 1,5 кв. мм белый, многопроволочный</t>
  </si>
  <si>
    <t xml:space="preserve">Провод ПуГВ 1,5 кв. мм черный, многопроволочный </t>
  </si>
  <si>
    <t xml:space="preserve">Провод ПуГВ 1,5 кв. мм синий, многопроволочный </t>
  </si>
  <si>
    <t xml:space="preserve">Провод ПуГВ 2,5 кв. мм красный, многопроволочный </t>
  </si>
  <si>
    <t>ПуГВ 2.5</t>
  </si>
  <si>
    <t>Провод ПуГВ 2,5 кв. мм белый, многопроволочный</t>
  </si>
  <si>
    <t xml:space="preserve">Провод ПуГВ 2,5 кв. мм черный, многопроволочный </t>
  </si>
  <si>
    <t xml:space="preserve">Провод ПуГВ 2,5 кв. мм синий, многопроволочный </t>
  </si>
  <si>
    <t xml:space="preserve">Провод ПуГВ 4 кв. мм красный, многопроволочный </t>
  </si>
  <si>
    <t>ПуГВ 4</t>
  </si>
  <si>
    <t>Провод ПуГВ 4 кв. мм белый, многопроволочный</t>
  </si>
  <si>
    <t xml:space="preserve">Провод ПуГВ 4 кв. мм черный, многопроволочный </t>
  </si>
  <si>
    <t xml:space="preserve">Провод ПуГВ 4 кв. мм синий, многопроволочный </t>
  </si>
  <si>
    <t>Наконечник НШВИ 1.5-12 (100шт)</t>
  </si>
  <si>
    <t>79441</t>
  </si>
  <si>
    <t>КВТ</t>
  </si>
  <si>
    <t>упак.</t>
  </si>
  <si>
    <t>Наконечник НШВИ(2) 1.5-12 (100шт)</t>
  </si>
  <si>
    <t>Наконечник НШВИ 2.5-12 (100шт)</t>
  </si>
  <si>
    <t>Наконечник НШВИ(2) 2.5-13 (100шт)</t>
  </si>
  <si>
    <t>79469</t>
  </si>
  <si>
    <t>Наконечник НШВИ 4.0–12 (100шт)</t>
  </si>
  <si>
    <t>79447</t>
  </si>
  <si>
    <t>Наконечник НШВИ(2) 4.0-12 (100шт)</t>
  </si>
  <si>
    <t>79470</t>
  </si>
  <si>
    <t>Огнетушитель порошковый самосрабатывающий</t>
  </si>
  <si>
    <t>ОСП-1</t>
  </si>
  <si>
    <t>Термостат модульный с регулируемым диапазоном температуры -10…+80°C, NO-контакт</t>
  </si>
  <si>
    <t>R5MTHNO</t>
  </si>
  <si>
    <t>Вентилятор с фильтром RV 44/46 м3/ч, 230 В, 150x150 мм, IP54</t>
  </si>
  <si>
    <t>R5RV12230</t>
  </si>
  <si>
    <t>Вентиляционная решетка с фильтром RF 150x150 мм, IP54</t>
  </si>
  <si>
    <t>R5RF12</t>
  </si>
  <si>
    <t xml:space="preserve">Расходные материалы (наконечники для кабелей ПуГВ, бирки, термоусадка 4-х цветов (Б,Ч,К,С)стяжки, изолента и т. д.) </t>
  </si>
  <si>
    <t>комп.</t>
  </si>
  <si>
    <t>040231</t>
  </si>
  <si>
    <t>Реле контроля напряжения и тока NJVA1-100 3P+N 100А</t>
  </si>
  <si>
    <t>508572</t>
  </si>
  <si>
    <t>LD</t>
  </si>
  <si>
    <t>Питание подсветок</t>
  </si>
  <si>
    <t>816139</t>
  </si>
  <si>
    <t>Шина нулевая в корпусе (4x15)</t>
  </si>
  <si>
    <t>sn0-4x15</t>
  </si>
  <si>
    <t>Шина нулевая в корпусе (4x7)</t>
  </si>
  <si>
    <t>sn0-4x7</t>
  </si>
  <si>
    <t xml:space="preserve">Провод ПуГВ 1,5 кв. мм Ж/З, многопроволочный </t>
  </si>
  <si>
    <t xml:space="preserve">Провод ПуГВ 2,5 кв. мм Ж/З, многопроволочный </t>
  </si>
  <si>
    <t xml:space="preserve">Провод ПуГВ 4 кв. мм Ж/З, многопроволочный </t>
  </si>
  <si>
    <t xml:space="preserve">Провод ПуГВ 16 кв. мм красный, многопроволочный </t>
  </si>
  <si>
    <t>Провод ПуГВ 16 кв. мм белый, многопроволочный</t>
  </si>
  <si>
    <t xml:space="preserve">Провод ПуГВ 16 кв. мм черный, многопроволочный </t>
  </si>
  <si>
    <t xml:space="preserve">Провод ПуГВ 16 кв. мм синий, многопроволочный </t>
  </si>
  <si>
    <t xml:space="preserve">Провод ПуГВ 16 кв. мм Ж/З, многопроволочный </t>
  </si>
  <si>
    <t>ПуГВ 16</t>
  </si>
  <si>
    <t>Наконечник НШВИ 16–12 (100шт)</t>
  </si>
  <si>
    <t>Наконечник НШВИ(2) 16–14 (100шт)</t>
  </si>
  <si>
    <t>203296</t>
  </si>
  <si>
    <t>VPR-6-GY</t>
  </si>
  <si>
    <t>Клемма проходная, зажим push-in, 2 точки подключения, 6 кв.мм, синяя</t>
  </si>
  <si>
    <t>VPR-6-BU</t>
  </si>
  <si>
    <t>Клемма заземления, зажим push-in, 2 точки подключения, 6 кв.мм</t>
  </si>
  <si>
    <t>VPR-6-PE-YG</t>
  </si>
  <si>
    <t>Изолятор торцевой для клеммы VPR-6</t>
  </si>
  <si>
    <t>D-VPR-6</t>
  </si>
  <si>
    <t>VPR-16-GY</t>
  </si>
  <si>
    <t>Клемма проходная, зажим push-in, 2 точки подключения, 16 кв.мм, синяя</t>
  </si>
  <si>
    <t>VPR-16-BU</t>
  </si>
  <si>
    <t>Клемма заземления, зажим push-in, 2 точки подключения, 16 кв.мм</t>
  </si>
  <si>
    <t>VPR-16-PE-YG</t>
  </si>
  <si>
    <t>Изолятор торцевой для клемм VPR-16</t>
  </si>
  <si>
    <t>D-VPR-16</t>
  </si>
  <si>
    <t>VPR-2.5-QUATTRO-GY</t>
  </si>
  <si>
    <t>Дверь стеклянная для корпусов CQE N, ВхШ 1800x800 мм RAM block</t>
  </si>
  <si>
    <t>R5NCPTE1880</t>
  </si>
  <si>
    <t>Профиль: Arlight MIC-M-2000 ANOD, алюминий, накладной, 2 м</t>
  </si>
  <si>
    <t>Рассеиватель: Arlight Экран матовый для PDS, MIC, 2 м</t>
  </si>
  <si>
    <t>044541</t>
  </si>
  <si>
    <t>012037</t>
  </si>
  <si>
    <t>Блок питания ARV-DRP75-24 (24V, 3.15A, 75W)</t>
  </si>
  <si>
    <t>040232</t>
  </si>
  <si>
    <t>Блок питания ARV-DR135-12 (12V, 11.3A, 135W)</t>
  </si>
  <si>
    <t>035699</t>
  </si>
  <si>
    <t>Блок питания ARV-DR15-12 (12V, 1.25A, 15W)</t>
  </si>
  <si>
    <t>034670</t>
  </si>
  <si>
    <t>КМН</t>
  </si>
  <si>
    <t>Электрокамин</t>
  </si>
  <si>
    <t>МЕСТО</t>
  </si>
  <si>
    <t>ШИНА</t>
  </si>
  <si>
    <t>АВТОМАТ</t>
  </si>
  <si>
    <t>АППАРАТЫ (по порядку после автомата)</t>
  </si>
  <si>
    <t>МОДУЛЬ / КАНАЛ</t>
  </si>
  <si>
    <t>КЛЕММА</t>
  </si>
  <si>
    <t>КАБЕЛЬ</t>
  </si>
  <si>
    <t>ОТХОДЯЩАЯ ЛИНИЯ</t>
  </si>
  <si>
    <t>ПРОВЕРКИ</t>
  </si>
  <si>
    <t>СЛУЖЕБНОЕ — сюда можно не смотреть</t>
  </si>
  <si>
    <t>расчётные (скрыты, «+» над столбцами)</t>
  </si>
  <si>
    <t>SX_DATA</t>
  </si>
  <si>
    <t>№
места</t>
  </si>
  <si>
    <t>Лист
схемы</t>
  </si>
  <si>
    <t>Шина
(пусто =
основная)</t>
  </si>
  <si>
    <t>Автомат
«авто» или текст
(1-я строка группы)</t>
  </si>
  <si>
    <t>QF</t>
  </si>
  <si>
    <t>Аппарат 1
(МК-5-1, КМ,
T 24V 100W, БП…)</t>
  </si>
  <si>
    <t>Аппарат 2</t>
  </si>
  <si>
    <t>Аппарат 3</t>
  </si>
  <si>
    <t>Модуль
(модель в начале,
«-» = конец)</t>
  </si>
  <si>
    <t>Модуль</t>
  </si>
  <si>
    <t>Канал
(пусто = авто,
№, + = р б/к)</t>
  </si>
  <si>
    <t>Канал</t>
  </si>
  <si>
    <t>Клемма</t>
  </si>
  <si>
    <t>Линия</t>
  </si>
  <si>
    <t>Р, кВт</t>
  </si>
  <si>
    <t>Ток, А</t>
  </si>
  <si>
    <t>Фаза</t>
  </si>
  <si>
    <t>Режим
(«вручную» —
не рисовать)</t>
  </si>
  <si>
    <t>Ток
группы, А</t>
  </si>
  <si>
    <t>Номинал
по току, А</t>
  </si>
  <si>
    <t>Модель
модуля</t>
  </si>
  <si>
    <t>Цепь одной строкой</t>
  </si>
  <si>
    <t>гр.</t>
  </si>
  <si>
    <t>QF гр.</t>
  </si>
  <si>
    <t>модуль гр.</t>
  </si>
  <si>
    <t>модель гр.</t>
  </si>
  <si>
    <t>QF нач.</t>
  </si>
  <si>
    <t>фаз</t>
  </si>
  <si>
    <t>код</t>
  </si>
  <si>
    <t>30мА лин.</t>
  </si>
  <si>
    <t>в кабель выше</t>
  </si>
  <si>
    <t>по току</t>
  </si>
  <si>
    <t>мин. по кабелям</t>
  </si>
  <si>
    <t>номинал</t>
  </si>
  <si>
    <t>фаз гр.</t>
  </si>
  <si>
    <t>30мА гр.</t>
  </si>
  <si>
    <t>полюса</t>
  </si>
  <si>
    <t>номинал итог</t>
  </si>
  <si>
    <t>префикс</t>
  </si>
  <si>
    <t>модуль нач.</t>
  </si>
  <si>
    <t>посл. канал</t>
  </si>
  <si>
    <t>клемма</t>
  </si>
  <si>
    <t>аппараты гр.</t>
  </si>
  <si>
    <t>БП/тр-р</t>
  </si>
  <si>
    <t>draw</t>
  </si>
  <si>
    <t>bus2</t>
  </si>
  <si>
    <t>rcd</t>
  </si>
  <si>
    <t>chtype</t>
  </si>
  <si>
    <t>dev1</t>
  </si>
  <si>
    <t>dev2</t>
  </si>
  <si>
    <t>dev3</t>
  </si>
  <si>
    <t>sym</t>
  </si>
  <si>
    <t>hasline</t>
  </si>
  <si>
    <t>ZIO-MB24</t>
  </si>
  <si>
    <t>ZIOMB8V3</t>
  </si>
  <si>
    <t>уточнить-Z</t>
  </si>
  <si>
    <t>уточнить-R</t>
  </si>
  <si>
    <t>Модель</t>
  </si>
  <si>
    <t>Каналов</t>
  </si>
  <si>
    <t>УГО</t>
  </si>
  <si>
    <t>SOCKET</t>
  </si>
  <si>
    <t>нет</t>
  </si>
  <si>
    <t>Мин. автомат перед БП / трансформатором, А</t>
  </si>
  <si>
    <t>ZIOMB16V3</t>
  </si>
  <si>
    <t>реле</t>
  </si>
  <si>
    <t>да</t>
  </si>
  <si>
    <t>Автоматов всего</t>
  </si>
  <si>
    <t>ZCL-8HT230</t>
  </si>
  <si>
    <t>клапаны 230В</t>
  </si>
  <si>
    <t>LAMP</t>
  </si>
  <si>
    <t xml:space="preserve">  из них с 30 мА (QFD)</t>
  </si>
  <si>
    <t>Di</t>
  </si>
  <si>
    <t>диммер</t>
  </si>
  <si>
    <t>DA</t>
  </si>
  <si>
    <t>Z</t>
  </si>
  <si>
    <t>MOTOR</t>
  </si>
  <si>
    <t>Модулей всего</t>
  </si>
  <si>
    <t>К</t>
  </si>
  <si>
    <t>HEAT</t>
  </si>
  <si>
    <t>1. Ток группы = сумма токов линий группы (линия в нескольких строках считается один раз).</t>
  </si>
  <si>
    <t>VALVE</t>
  </si>
  <si>
    <t>ЭК</t>
  </si>
  <si>
    <t>TE</t>
  </si>
  <si>
    <t>SERVO</t>
  </si>
  <si>
    <t>ТЕ</t>
  </si>
  <si>
    <t>BOX</t>
  </si>
  <si>
    <t>DWG: гофра ПВХ по плану, м</t>
  </si>
  <si>
    <t>DWG: гофра ПНД по плану, м</t>
  </si>
  <si>
    <t>DWG: хэндлы полилиний</t>
  </si>
  <si>
    <t>DWG: примечание</t>
  </si>
  <si>
    <t>авто</t>
  </si>
  <si>
    <t>Доп информация из выноски</t>
  </si>
  <si>
    <t>Relay</t>
  </si>
  <si>
    <t>Марка кабеля</t>
  </si>
  <si>
    <t>Макс. автомат
по кабелю, А</t>
  </si>
  <si>
    <t>мин. по типу</t>
  </si>
  <si>
    <t>Мин. автомат, А</t>
  </si>
  <si>
    <t>Способ управления</t>
  </si>
  <si>
    <t>Ключ в выноске</t>
  </si>
  <si>
    <t>Цвет номера группы</t>
  </si>
  <si>
    <t>Реле</t>
  </si>
  <si>
    <t>кнопк</t>
  </si>
  <si>
    <t>С кнопки</t>
  </si>
  <si>
    <t>Ключ из AQ ищется в AY. Цвет AS — образец для номера в D.</t>
  </si>
  <si>
    <t>-</t>
  </si>
  <si>
    <t>МК-5-1</t>
  </si>
  <si>
    <t>Кс</t>
  </si>
  <si>
    <t>ЗНАЧКИ УГО ДЛЯ ОДНОЛИНЕЙКИ</t>
  </si>
  <si>
    <t>НАСТРОЙКИ ОДНОЛИНЕЙКИ И СВОДКА (перенесено с листа «Справочник_схемы»)</t>
  </si>
  <si>
    <t>КОЭФФИЦИЕНТ СПРОСА (СП 256.1325800.2016, расчётные нагрузки)</t>
  </si>
  <si>
    <t>ДОПУСТИМЫЙ ДЛИТЕЛЬНЫЙ ТОК, А (ПУЭ табл. 1.3.6, медь, в воздухе)</t>
  </si>
  <si>
    <t>ρ при рабочей t° (ГОСТ Р 50571.5.52 прил. G), Ом·мм²/м</t>
  </si>
  <si>
    <t>Группа Кс</t>
  </si>
  <si>
    <t>УГО (выбирается в AV)</t>
  </si>
  <si>
    <t>Блок AutoCAD (из 02_Однолинейка.dwg)</t>
  </si>
  <si>
    <t>Код программы (не менять)</t>
  </si>
  <si>
    <t>НАСТРОЙКИ (жёлтые — можно менять)</t>
  </si>
  <si>
    <t>МОДУЛИ В ПРОЕКТЕ — СВОБОДНЫЕ КАНАЛЫ</t>
  </si>
  <si>
    <t>Руст быт, кВт</t>
  </si>
  <si>
    <t>Квартиры/дома повышенной комфортности (СП 31-110-2003 табл. 6.2, те же значения в СП 256). Между точками — линейная интерполяция.</t>
  </si>
  <si>
    <t>Сечение, мм²</t>
  </si>
  <si>
    <t>Одножильные</t>
  </si>
  <si>
    <t>Двухжильные (1ф: L+N, PE не нагружен)</t>
  </si>
  <si>
    <t>Трёхжильные (3ф); 4–5 жил ×0,92</t>
  </si>
  <si>
    <t>Нет</t>
  </si>
  <si>
    <t>Розетка</t>
  </si>
  <si>
    <t>Розетка1</t>
  </si>
  <si>
    <t>Мест (столбцов схемы) на лист A3</t>
  </si>
  <si>
    <t>Занято (посл. №)</t>
  </si>
  <si>
    <t>Резерв «р»</t>
  </si>
  <si>
    <t>Свободно</t>
  </si>
  <si>
    <t>до 14 кВт — 0,8 (строка 0 кВт нужна для интерполяции)</t>
  </si>
  <si>
    <t>Рабочее освещение</t>
  </si>
  <si>
    <t>Светильник</t>
  </si>
  <si>
    <t>$RECOVER_230831092053-0</t>
  </si>
  <si>
    <t>Сервопривод</t>
  </si>
  <si>
    <t>Сервопривод-1</t>
  </si>
  <si>
    <t>Розеточная сеть и бытовые приборы</t>
  </si>
  <si>
    <t>Быт</t>
  </si>
  <si>
    <t>Клапан</t>
  </si>
  <si>
    <t>EK.1</t>
  </si>
  <si>
    <t>ИТОГИ ПО ОДНОЛИНЕЙКЕ</t>
  </si>
  <si>
    <t>Привод (двигатель)</t>
  </si>
  <si>
    <t>Привод</t>
  </si>
  <si>
    <t>Электрический тёплый пол</t>
  </si>
  <si>
    <t>Нагреватель</t>
  </si>
  <si>
    <t>(условный значок программы)</t>
  </si>
  <si>
    <t>Электроотопление (конвекторы, камины)</t>
  </si>
  <si>
    <t>Слаботочные системы, автоматизация, KNX</t>
  </si>
  <si>
    <t>Пост</t>
  </si>
  <si>
    <t>Прочее (прямоуг. с подписью)</t>
  </si>
  <si>
    <t>Клемм XT (номеров)</t>
  </si>
  <si>
    <t>Кондиционирование и увлажнение</t>
  </si>
  <si>
    <t>Системы безопасности и связи</t>
  </si>
  <si>
    <t xml:space="preserve">  трёхуровневых блоков</t>
  </si>
  <si>
    <t>70 кВт и более — 0,45</t>
  </si>
  <si>
    <t>Вентиляция</t>
  </si>
  <si>
    <t xml:space="preserve">  доп. проходных</t>
  </si>
  <si>
    <t>Водонагреватели</t>
  </si>
  <si>
    <t>НАСТРОЙКИ</t>
  </si>
  <si>
    <t>Приводы (шторы, ворота, краны)</t>
  </si>
  <si>
    <t>Строк с ошибками (красные в AE)</t>
  </si>
  <si>
    <t>Ко сил.</t>
  </si>
  <si>
    <t>Коэффициент участия силовой нагрузки в максимуме: Рр = Рр.быт + 0,9·Рр.сил (СП 256, расчёт жилого дома)</t>
  </si>
  <si>
    <t>Строк с предупреждениями (жёлтые в AE)</t>
  </si>
  <si>
    <t>ГРУППЫ</t>
  </si>
  <si>
    <t>«Исходные данные»: AZ — группа (пусто = по коду, столбец AZ этой страницы), BA — Кс для «Сил», BB — секция (1/2)</t>
  </si>
  <si>
    <t>Бытовая нагрузка дома/квартиры: розетки, свет, тёплый пол, кондиционеры, бытовые щиты ЩР. Кс — по таблице выше по СУММЕ Руст быт щита (не перемножать с Кс нижних щитов).</t>
  </si>
  <si>
    <t>КАК ПОДБИРАЕТСЯ АВТОМАТ («авто»)</t>
  </si>
  <si>
    <t>Сил</t>
  </si>
  <si>
    <t>Силовая: вентиляция, насосы, пищеблок, бассейн, хаммам… Кс — свой у каждой линии («Исходные данные» BA; пусто = 1). Вентиляция и насосы — по табл. СП 256 для сантехнического и вентиляционного оборудования (по числу двигателей, резервные не учитывать); пищеблок — по табл. для теплового оборудования.</t>
  </si>
  <si>
    <t>Постоянная, Кс = 1 и без Ко: обогрев кровли/воронок, слаботочные шкафы, АСУ, питание KNX, СПЗ.</t>
  </si>
  <si>
    <t>Насосы (водоснабжение, дренаж)</t>
  </si>
  <si>
    <t>2. Номинал по току — по таблице «Автомат_номиналы» (эта страница, F:G).</t>
  </si>
  <si>
    <t>Не учитывается в Руст и Рр: вводы, резервные линии и двигатели, транзит.</t>
  </si>
  <si>
    <t>Сечение подбирается как наименьшее, у которого Iдоп·k ≥ In автомата (ГОСТ Р 50571.4.43: Ib ≤ In ≤ Iz); k = 0,92 для 4–5-жильных в 3ф (ПУЭ 1.3.10) × «К прокл.». 240 мм² — только одножильные (в табл. 1.3.6 для многожильных нет).</t>
  </si>
  <si>
    <t>3. Итог = наибольший из: по току, «Мин. автомат» по коду (AX: розетки 16 А, свет 10 А) и ручного автомата из «Исходных данных».</t>
  </si>
  <si>
    <t>4. «Макс. автомат по кабелю» — по сечению (I:J). Если итог больше — «КАБЕЛЬ НЕ ЗАЩИЩЁН».</t>
  </si>
  <si>
    <t>ФОРМУЛА</t>
  </si>
  <si>
    <t>5. Если после автомата БП/трансформатор — берётся ток и мин. номинал BF5.</t>
  </si>
  <si>
    <t>Рр = Руст.быт · Кс(табл.) + Ко · Σ(Pсил · Кс) + Σ Pпост;   Кс итоговый = Рр / Руст — он идёт в «Нагрузка_щитов» V9 и в «В Акад».</t>
  </si>
  <si>
    <t>Прочее</t>
  </si>
  <si>
    <t>6. Полюса: 3 фазы → 3P (4P с 30 мА), 1 фаза → 1P (2P с 30 мА).</t>
  </si>
  <si>
    <t>Iр — по наиболее нагруженной фазе: Iр = Pф.max · Кс итог / (0,22 · cos φ), но не меньше симметричного Рр / (√3 · 0,38 · cos φ).</t>
  </si>
  <si>
    <t>7. 30 мА: столбец F «Однолинейки» или по коду (AW).</t>
  </si>
  <si>
    <t>Секции: «Весь щит» = аварийный режим (все линии на одном вводе) — по нему выбирать вводные аппараты при АВР/секционном; «Секция 1» и «Секция 2» — нормальный режим.</t>
  </si>
  <si>
    <t>8. Свой текст в «Автомат» (например «2P С20А 30мА») — используется как есть и проверяется.</t>
  </si>
  <si>
    <t>Многоуровневое питание: в ВРУ/ГРЩ линия к бытовому ЩР — группа «Быт» с Руст этого щита; Кс считается заново по сумме, Кс нижних щитов не перемножается.</t>
  </si>
  <si>
    <t>НАСТРОЙКИ СЕТИ</t>
  </si>
  <si>
    <t>Uн, кВ</t>
  </si>
  <si>
    <t>Номинальное линейное напряжение (ГОСТ 29322-2014: 230/400 В). Фазное = Uн/√3. Для 380 В впишите 0,38.</t>
  </si>
  <si>
    <t>К прокл.</t>
  </si>
  <si>
    <t>Общий коэффициент снижения допустимого тока (пучок, многослойно в лотке/коробе — ПУЭ табл. 1.3.12, температура). В воздухе/лотке однорядно — 1.</t>
  </si>
  <si>
    <t>ΔU до шин щита теперь считается на листе «Питание_щита».</t>
  </si>
  <si>
    <t>Свой значок: впишите название в BA и точное имя блока в BB (код оставьте пустым) — блок возьмётся из библиотеки DWG.</t>
  </si>
  <si>
    <t>Свободных каналов всего</t>
  </si>
  <si>
    <t>Доп. коды (нет в списке P — латиница/кириллица и т.п.)</t>
  </si>
  <si>
    <t>КАТАЛОГ ОБОРУДОВАНИЯ. Спецификация собирается отсюда: N — посчитано по однолинейке, O — впишите вручную (корпус, провод, запас). Добавляйте строки вниз.</t>
  </si>
  <si>
    <t>список автоматов</t>
  </si>
  <si>
    <t>список аппаратов</t>
  </si>
  <si>
    <t>список модулей</t>
  </si>
  <si>
    <t>список произв.</t>
  </si>
  <si>
    <t>Категория (раздел)</t>
  </si>
  <si>
    <t>Производитель</t>
  </si>
  <si>
    <t>Модель (как в таблице)</t>
  </si>
  <si>
    <t>Префикс модуля</t>
  </si>
  <si>
    <t>Тип каналов</t>
  </si>
  <si>
    <t>Наименование для спецификации</t>
  </si>
  <si>
    <t>Полюса</t>
  </si>
  <si>
    <t>Номинал, А</t>
  </si>
  <si>
    <t>Ширина, мод. DIN</t>
  </si>
  <si>
    <t>Ед.</t>
  </si>
  <si>
    <t>Вручную / запас (+)</t>
  </si>
  <si>
    <t>ИТОГО в спецификацию</t>
  </si>
  <si>
    <t>Значение</t>
  </si>
  <si>
    <t>обозначение</t>
  </si>
  <si>
    <t>ключ</t>
  </si>
  <si>
    <t>№ авт.</t>
  </si>
  <si>
    <t>№ апп.</t>
  </si>
  <si>
    <t>№ мод.</t>
  </si>
  <si>
    <t>№ произв.</t>
  </si>
  <si>
    <t>(все)</t>
  </si>
  <si>
    <t>ключ сортировки</t>
  </si>
  <si>
    <t>№ в спецификации</t>
  </si>
  <si>
    <t>нет в каталоге</t>
  </si>
  <si>
    <t>№</t>
  </si>
  <si>
    <t>NB1-63 1P C10</t>
  </si>
  <si>
    <t>Автоматический выключатель NB1-63 1P 10А 6кА х-ка C (DB)</t>
  </si>
  <si>
    <t>1P</t>
  </si>
  <si>
    <t>Производитель автоматов</t>
  </si>
  <si>
    <t>NB1-63 1P C16</t>
  </si>
  <si>
    <t>Автоматический выключатель NB1-63 1P 16А 6кА х-ка C (DB)</t>
  </si>
  <si>
    <t>Производитель аппаратов</t>
  </si>
  <si>
    <t>NB1-63 3P C20</t>
  </si>
  <si>
    <t>Автоматический выключатель NB1-63 3P 20А 6кА х-ка C (DB)</t>
  </si>
  <si>
    <t>179702</t>
  </si>
  <si>
    <t>3P</t>
  </si>
  <si>
    <t>Производитель модулей</t>
  </si>
  <si>
    <t>NB1-63 4P C50</t>
  </si>
  <si>
    <t>Автоматический выключатель NB1-63 4P 50А 6кА х-ка C (DB)</t>
  </si>
  <si>
    <t>179750</t>
  </si>
  <si>
    <t>4P</t>
  </si>
  <si>
    <t>Клемма трёхуровневая (модель)</t>
  </si>
  <si>
    <t>NXB-125 3P C80</t>
  </si>
  <si>
    <t>Автоматический выключатель NXB-125 3P C80 10кА х-ка C</t>
  </si>
  <si>
    <t>Клемма проходная доп. (модель)</t>
  </si>
  <si>
    <t>Дифавтомат</t>
  </si>
  <si>
    <t>NB1L 1P+N C16 30мА</t>
  </si>
  <si>
    <t>Дифавтомат (АВДТ) NB1L 1P+N C16 30мА тип A 6кА</t>
  </si>
  <si>
    <t>2P</t>
  </si>
  <si>
    <t>Трёхуровневых на 4–5-жильную линию, если по коду не задано</t>
  </si>
  <si>
    <t>NB1L 1P+N C20 30мА</t>
  </si>
  <si>
    <t>Дифавтомат (АВДТ) NB1L 1P+N C20 30мА тип A 6кА</t>
  </si>
  <si>
    <t>NB1L 1P+N C32 30мА</t>
  </si>
  <si>
    <t>Дифавтомат (АВДТ) NB1L 1P+N C32 30мА тип A 6кА</t>
  </si>
  <si>
    <t>ПОРЯДОК РАЗДЕЛОВ СПЕЦИФИКАЦИИ (можно менять и дописывать)</t>
  </si>
  <si>
    <t>Аппарат</t>
  </si>
  <si>
    <t>Корпус</t>
  </si>
  <si>
    <t>КМ NCH8-63/40</t>
  </si>
  <si>
    <t>Контактор модульный NCH8-63/40 63А 4НО AC220/230В</t>
  </si>
  <si>
    <t>КМ NCH8-40/40</t>
  </si>
  <si>
    <t>Контактор модульный NCH8-40/40 40А 4НО AC220/230В</t>
  </si>
  <si>
    <t>NJVA1-100</t>
  </si>
  <si>
    <t>NZK1-32 2P</t>
  </si>
  <si>
    <t>Модульный переключатель NZK1-32 2P 32А 3 положения</t>
  </si>
  <si>
    <t>БП 24V 480W</t>
  </si>
  <si>
    <t>Блок питания ARV-DRP480-PFC-24 (24V, 20A, 480W)</t>
  </si>
  <si>
    <t>Шины</t>
  </si>
  <si>
    <t>БП 24V 75W</t>
  </si>
  <si>
    <t>БП 12V 135W</t>
  </si>
  <si>
    <t>Провод</t>
  </si>
  <si>
    <t>БП 12V 15W</t>
  </si>
  <si>
    <t>Универсальный источник питания KNX</t>
  </si>
  <si>
    <t>Актуатор клапанов отопления 230В</t>
  </si>
  <si>
    <t>Универсальный 4-канальный диммер 220V</t>
  </si>
  <si>
    <t>ЕСТЬ В ОДНОЛИНЕЙКЕ, НО НЕТ В КАТАЛОГЕ — добавьте строку:</t>
  </si>
  <si>
    <t>IN</t>
  </si>
  <si>
    <t>входы</t>
  </si>
  <si>
    <t>SMART-DALI-104</t>
  </si>
  <si>
    <t>диммер DALI</t>
  </si>
  <si>
    <t>Диммер SMART-DALI-104-62-ADDR-DIM-DT6-DIN White (12-24V, 4x5A)</t>
  </si>
  <si>
    <t>—</t>
  </si>
  <si>
    <t>Модель уточнить</t>
  </si>
  <si>
    <t>датчики</t>
  </si>
  <si>
    <t>Клемма трёхуровневая push-in, 6 точек, 2.5 кв.мм</t>
  </si>
  <si>
    <t>Клемма проходная push-in, 4 точки, 2.5 кв.мм, серая</t>
  </si>
  <si>
    <t>Клемма проходная push-in, 2 точки, 4 кв.мм, серая</t>
  </si>
  <si>
    <t>Клемма проходная push-in, 2 точки, 6 кв.мм, серая</t>
  </si>
  <si>
    <t>Клемма проходная push-in, 2 точки, 16 кв.мм, серая</t>
  </si>
  <si>
    <t>79467</t>
  </si>
  <si>
    <t>79444</t>
  </si>
  <si>
    <t>79452</t>
  </si>
  <si>
    <t>79473</t>
  </si>
  <si>
    <t>Расходные материалы (наконечни</t>
  </si>
  <si>
    <t>Кс (для Сил)</t>
  </si>
  <si>
    <t>Группа Кс (итог)</t>
  </si>
  <si>
    <t>ΔU от ВРУ, %</t>
  </si>
  <si>
    <t>Iкз min в конце линии, А</t>
  </si>
  <si>
    <t>Iкз / In</t>
  </si>
  <si>
    <t>Zпетли в конце, Ом</t>
  </si>
  <si>
    <t>Iкз max в конце, кА</t>
  </si>
  <si>
    <t>Статус строки
(что проверить)</t>
  </si>
  <si>
    <t>тип автомата №</t>
  </si>
  <si>
    <t>аппарат 1 №</t>
  </si>
  <si>
    <t>аппарат 2 №</t>
  </si>
  <si>
    <t>аппарат 3 №</t>
  </si>
  <si>
    <t>кабель клеммы</t>
  </si>
  <si>
    <t>вид клеммы №</t>
  </si>
  <si>
    <t>модуль №</t>
  </si>
  <si>
    <t>модель №</t>
  </si>
  <si>
    <t>уровень</t>
  </si>
  <si>
    <t>№ линии</t>
  </si>
  <si>
    <t>3L клемм</t>
  </si>
  <si>
    <t>доп. проходных</t>
  </si>
  <si>
    <t>УГО (рус)</t>
  </si>
  <si>
    <t>Кабелей параллельно</t>
  </si>
  <si>
    <t>м</t>
  </si>
  <si>
    <t>Показатель</t>
  </si>
  <si>
    <t>cos φ</t>
  </si>
  <si>
    <t>ΔU питающей линии</t>
  </si>
  <si>
    <t>Руст, кВт</t>
  </si>
  <si>
    <t>Руст пост, кВт</t>
  </si>
  <si>
    <t>Iр, А</t>
  </si>
  <si>
    <t>≈ 1,5·ρ20</t>
  </si>
  <si>
    <t>Рр сил, кВт</t>
  </si>
  <si>
    <t>Секция</t>
  </si>
  <si>
    <t>Объект:</t>
  </si>
  <si>
    <t>(название и адрес объекта)</t>
  </si>
  <si>
    <t>II</t>
  </si>
  <si>
    <t>Режим:</t>
  </si>
  <si>
    <t>tg φ</t>
  </si>
  <si>
    <t>Категория</t>
  </si>
  <si>
    <t>Напряжение сети</t>
  </si>
  <si>
    <t>Система заземления</t>
  </si>
  <si>
    <t>TN-C-S</t>
  </si>
  <si>
    <t>Категория надёжности электроснабжения</t>
  </si>
  <si>
    <t>Установленная мощность Руст, кВт</t>
  </si>
  <si>
    <t>Расчётная мощность Рр, кВт / Sр, кВА / cos φ</t>
  </si>
  <si>
    <t>Расчётный ток Iр, А</t>
  </si>
  <si>
    <t>Компенсация реактивной мощности</t>
  </si>
  <si>
    <t>ПОДСЧЁТ ПО ЛИСТУ «ОДНОЛИНЕЙКА» (считается сам)</t>
  </si>
  <si>
    <t>Трёхуровн.</t>
  </si>
  <si>
    <t>Доп. проходных</t>
  </si>
  <si>
    <t>Автоматы и дифавтоматы (полюса, номинал, 30 мА)</t>
  </si>
  <si>
    <t xml:space="preserve">  всего автоматов</t>
  </si>
  <si>
    <t>Аппараты после автоматов (трансформаторы, БП, МК, КМ)</t>
  </si>
  <si>
    <t>Модули умного дома (по модели)</t>
  </si>
  <si>
    <t>Клеммы XT по кабелю линии (жилы × сечение)</t>
  </si>
  <si>
    <t xml:space="preserve">  всего клемм XT</t>
  </si>
  <si>
    <t>Клемма трёхуровневая (по настройке Каталога)</t>
  </si>
  <si>
    <t>Клемма проходная доп. (по настройке Каталога)</t>
  </si>
  <si>
    <t>Трёхуровневая = L/N/PE одной линии; у 5-жильных ещё 2 проходные на доп. жилы.</t>
  </si>
  <si>
    <t>Линий с необеспеченной категорией (v3.12)</t>
  </si>
  <si>
    <t>Ввод 1</t>
  </si>
  <si>
    <t>Тип шины</t>
  </si>
  <si>
    <t>Пожарная (итог)</t>
  </si>
  <si>
    <t>Источник для режимов</t>
  </si>
  <si>
    <t>Пожарная</t>
  </si>
  <si>
    <t>Кс быт</t>
  </si>
  <si>
    <t>Рр, кВт</t>
  </si>
  <si>
    <t>Qр, квар</t>
  </si>
  <si>
    <t>Sр, кВА</t>
  </si>
  <si>
    <t>Ввод 2</t>
  </si>
  <si>
    <t>Ввод 3</t>
  </si>
  <si>
    <t>ИБП</t>
  </si>
  <si>
    <t>ДГУ</t>
  </si>
  <si>
    <t>Итого</t>
  </si>
  <si>
    <t>I особая</t>
  </si>
  <si>
    <t>I</t>
  </si>
  <si>
    <t>III</t>
  </si>
  <si>
    <t>Шина</t>
  </si>
  <si>
    <t>Допустимая загрузка ИБП</t>
  </si>
  <si>
    <t>Проверка</t>
  </si>
  <si>
    <t>мин</t>
  </si>
  <si>
    <t>КПД инвертора</t>
  </si>
  <si>
    <t>Место</t>
  </si>
  <si>
    <t>Группа</t>
  </si>
  <si>
    <t>4</t>
  </si>
  <si>
    <t>6</t>
  </si>
  <si>
    <t>7</t>
  </si>
  <si>
    <t>8</t>
  </si>
  <si>
    <t>9</t>
  </si>
  <si>
    <t>10</t>
  </si>
  <si>
    <t>Схема</t>
  </si>
  <si>
    <t>1 ввод, питающая линия пусто или III</t>
  </si>
  <si>
    <t>2–3 ввода без АВР</t>
  </si>
  <si>
    <t>2–3 ввода с АВР</t>
  </si>
  <si>
    <t>Лист</t>
  </si>
  <si>
    <t>Бирки</t>
  </si>
  <si>
    <t>Спецификация</t>
  </si>
  <si>
    <t>ОБЪЕКТ: настройки</t>
  </si>
  <si>
    <t>Объект</t>
  </si>
  <si>
    <t>название и адрес</t>
  </si>
  <si>
    <t>ρ меди для Iкз min, Ом·мм²/м</t>
  </si>
  <si>
    <t>≈ 1,5·ρ20 (ГОСТ 28249 п. 2.4.2)</t>
  </si>
  <si>
    <t>ρ алюминия для Iкз min, Ом·мм²/м</t>
  </si>
  <si>
    <t>Переходные сопротивления на щит, Ом</t>
  </si>
  <si>
    <t>контакты и аппараты на каждый щит</t>
  </si>
  <si>
    <t>c_min для Iкз min</t>
  </si>
  <si>
    <t>МЭК 60909-0</t>
  </si>
  <si>
    <t>Методика расчёта</t>
  </si>
  <si>
    <t>нормы 2026</t>
  </si>
  <si>
    <t>v3.12 — как старая книга (для сверки); нормы 2026 — СП 256 с Изм. 9 (см. «Методика»)</t>
  </si>
  <si>
    <t>kп.к — региональный коэффициент</t>
  </si>
  <si>
    <t>СП 256 табл. 7.5а (ЦФО 0,81, СЗФО 0,91…); для частного дома по умолчанию 1</t>
  </si>
  <si>
    <t>по коду и № помещения</t>
  </si>
  <si>
    <t>«по коду и № помещения» — «Розеточная группа, пом. 105»; «по экспликации» — название из листа «Экспликация»</t>
  </si>
  <si>
    <t>Писать «пом.» в наименовании</t>
  </si>
  <si>
    <t>да — «…, пом. 105»; нет — «… 105»</t>
  </si>
  <si>
    <t>Марка кабеля для пожарных линий</t>
  </si>
  <si>
    <t>обозначение из «Коды» → «Кабели» (мфр = ВВГнг(А)-FRLS)</t>
  </si>
  <si>
    <t>Запас мощности БП</t>
  </si>
  <si>
    <t>линии до 50 В: мощность БП ≥ запас × Σ (Uвых·I) — как в листе «Расчет_БП» v1.05</t>
  </si>
  <si>
    <t>Допустимо ΔU в линиях до 50 В, %</t>
  </si>
  <si>
    <t>от выхода БП до конца линии (LED 24 В, 12 В)</t>
  </si>
  <si>
    <t>МОДУЛИ ПО УМОЛЧАНИЮ (для «Управления» линии; модель — из «Каталога»)</t>
  </si>
  <si>
    <t>Управление</t>
  </si>
  <si>
    <t>Каналов на линию</t>
  </si>
  <si>
    <t>DIM</t>
  </si>
  <si>
    <t>шторы</t>
  </si>
  <si>
    <t>клапан</t>
  </si>
  <si>
    <t>Число силовых ЭП</t>
  </si>
  <si>
    <t>Кс (СП 256 табл. 7.5)</t>
  </si>
  <si>
    <t>КОДЫ = ТИПОВЫЕ ПОТРЕБИТЕЛИ (одна строка на код: марка, жилы, мин. сечение, кВт на шт, характеристика, утечка, управление, аппараты, УГО, мин. автомат). Справа — этажи, кабели, экспликация (по желанию). Новая строка — сразу под таблицей.</t>
  </si>
  <si>
    <t>Код</t>
  </si>
  <si>
    <t>Опуск, м</t>
  </si>
  <si>
    <t>Пуск: 1 нет/2 двигатель/3 свет</t>
  </si>
  <si>
    <t>Жил</t>
  </si>
  <si>
    <t>Фаз</t>
  </si>
  <si>
    <t>Вид нагрузки</t>
  </si>
  <si>
    <t>кВт на шт</t>
  </si>
  <si>
    <t>Характеристика (B/C/D)</t>
  </si>
  <si>
    <t>Вид аппарата утечки</t>
  </si>
  <si>
    <t>Аппараты</t>
  </si>
  <si>
    <t>Дифзащита, мА (да = 30)</t>
  </si>
  <si>
    <t>3L клемм на линию</t>
  </si>
  <si>
    <t>НВК</t>
  </si>
  <si>
    <t>Насос</t>
  </si>
  <si>
    <t>УЗО</t>
  </si>
  <si>
    <t>Шина УЗО (линии со своими автоматами, «узо» в «Группе»)</t>
  </si>
  <si>
    <t>УЗО 2P 40А 30мА</t>
  </si>
  <si>
    <t>Название этажа</t>
  </si>
  <si>
    <t>Подъём, м</t>
  </si>
  <si>
    <t>По другим этажам, м</t>
  </si>
  <si>
    <t>Обозначение</t>
  </si>
  <si>
    <t>Сечение в марке (1 да / 2 нет)</t>
  </si>
  <si>
    <t>Название</t>
  </si>
  <si>
    <t>Питается от</t>
  </si>
  <si>
    <t>Вводов</t>
  </si>
  <si>
    <t>АВР</t>
  </si>
  <si>
    <t>ИБП от</t>
  </si>
  <si>
    <t>Мест под вводной узел</t>
  </si>
  <si>
    <t>Питание: от (ТП / сеть)</t>
  </si>
  <si>
    <t>ΔU до питающего, %</t>
  </si>
  <si>
    <t>Iкз min от сети, А</t>
  </si>
  <si>
    <t>Iкз max от сети, кА</t>
  </si>
  <si>
    <t>Sтр, кВА</t>
  </si>
  <si>
    <t>Схема тр-ра</t>
  </si>
  <si>
    <t>Питающий кабель: S, мм²</t>
  </si>
  <si>
    <t>Материал</t>
  </si>
  <si>
    <t>In питающего аппарата, А</t>
  </si>
  <si>
    <t>Хар-ка аппарата</t>
  </si>
  <si>
    <t>Кат. питающей линии (ручн.)</t>
  </si>
  <si>
    <t>Замечания щита</t>
  </si>
  <si>
    <t>Линия фидера</t>
  </si>
  <si>
    <t>ΔU до шин, %</t>
  </si>
  <si>
    <t>Iкз min на шинах, А</t>
  </si>
  <si>
    <t>Iкз max на шинах, кА</t>
  </si>
  <si>
    <t>Категория шины «Ввод»</t>
  </si>
  <si>
    <t>Путь</t>
  </si>
  <si>
    <t>Корень</t>
  </si>
  <si>
    <t>Питается от (итог)</t>
  </si>
  <si>
    <t>Уровень</t>
  </si>
  <si>
    <t>_строка фидера</t>
  </si>
  <si>
    <t>_авто питается от</t>
  </si>
  <si>
    <t>_Руст собств</t>
  </si>
  <si>
    <t>_быт собств</t>
  </si>
  <si>
    <t>_сил собств</t>
  </si>
  <si>
    <t>_пост собств</t>
  </si>
  <si>
    <t>_P собств</t>
  </si>
  <si>
    <t>_Pcos собств</t>
  </si>
  <si>
    <t>_отоп собств</t>
  </si>
  <si>
    <t>_внг собств</t>
  </si>
  <si>
    <t>Р отопления, кВт</t>
  </si>
  <si>
    <t>Рр ВНГ, кВт</t>
  </si>
  <si>
    <t>_n силовых</t>
  </si>
  <si>
    <t>Кс силовых (табл. 7.5)</t>
  </si>
  <si>
    <t>Ко</t>
  </si>
  <si>
    <t>Кс итог</t>
  </si>
  <si>
    <t>P L1, кВт</t>
  </si>
  <si>
    <t>P L2, кВт</t>
  </si>
  <si>
    <t>P L3, кВт</t>
  </si>
  <si>
    <t>_ΔU фидера</t>
  </si>
  <si>
    <t>_ΔU пит. линии</t>
  </si>
  <si>
    <t>_ΔU источника</t>
  </si>
  <si>
    <t>_петля пит. кабеля</t>
  </si>
  <si>
    <t>_Zсети</t>
  </si>
  <si>
    <t>_Zисточника</t>
  </si>
  <si>
    <t>_Zфидера</t>
  </si>
  <si>
    <t>Zпетли на шинах, Ом</t>
  </si>
  <si>
    <t>_Zmax сети</t>
  </si>
  <si>
    <t>_Zmax источника</t>
  </si>
  <si>
    <t>_Zmax фидера</t>
  </si>
  <si>
    <t>Zmax на шинах, Ом</t>
  </si>
  <si>
    <t>_ΔU фидера (подбор)</t>
  </si>
  <si>
    <t>ΔU до шин (подбор), %</t>
  </si>
  <si>
    <t>_Zфидера (подбор)</t>
  </si>
  <si>
    <t>Zпетли на шинах (подбор), Ом</t>
  </si>
  <si>
    <t>Iпуск max, А</t>
  </si>
  <si>
    <t>Источник фидера</t>
  </si>
  <si>
    <t>Пожарный фидер</t>
  </si>
  <si>
    <t>_фазы авто</t>
  </si>
  <si>
    <t>сеть</t>
  </si>
  <si>
    <t>ЩБП</t>
  </si>
  <si>
    <t>ЩГП</t>
  </si>
  <si>
    <t>ЩР-1</t>
  </si>
  <si>
    <t>ЩС</t>
  </si>
  <si>
    <t>ЩСПЗ</t>
  </si>
  <si>
    <t>ШИНЫ — только если тип шины не определяется по имени (ИБП, ДГУ) или по секции</t>
  </si>
  <si>
    <t>Тип</t>
  </si>
  <si>
    <t>Насосная</t>
  </si>
  <si>
    <t>Одиночная</t>
  </si>
  <si>
    <t>Кол-во потребителей, шт</t>
  </si>
  <si>
    <t>Длина линии (по плану), м</t>
  </si>
  <si>
    <t>Замечания</t>
  </si>
  <si>
    <t>Лист / место</t>
  </si>
  <si>
    <t>Ток утечки, мА</t>
  </si>
  <si>
    <t>БП: нужно, Вт</t>
  </si>
  <si>
    <t>Uвых БП, В</t>
  </si>
  <si>
    <t>Lмакс по КЗ, м</t>
  </si>
  <si>
    <t>Питает щит</t>
  </si>
  <si>
    <t>Утечка, мА</t>
  </si>
  <si>
    <t>cos φ (ручн.)</t>
  </si>
  <si>
    <t>Секция (1/2/3)</t>
  </si>
  <si>
    <t>Категория ввода (строки «Ввод»)</t>
  </si>
  <si>
    <t>Пожарная (да / нет)</t>
  </si>
  <si>
    <t>Режим</t>
  </si>
  <si>
    <t>№ места</t>
  </si>
  <si>
    <t>К прокл. линии</t>
  </si>
  <si>
    <t>_n</t>
  </si>
  <si>
    <t>_ключ упорядочивания</t>
  </si>
  <si>
    <t>_часть1</t>
  </si>
  <si>
    <t>_часть2</t>
  </si>
  <si>
    <t>_фидер</t>
  </si>
  <si>
    <t>_авто наименование</t>
  </si>
  <si>
    <t>Наименование (итог)</t>
  </si>
  <si>
    <t>_№ щита</t>
  </si>
  <si>
    <t>_мест узла</t>
  </si>
  <si>
    <t>_№ места (итог)</t>
  </si>
  <si>
    <t>_зона</t>
  </si>
  <si>
    <t>_кВт на шт</t>
  </si>
  <si>
    <t>_ввод щита</t>
  </si>
  <si>
    <t>_авто Р</t>
  </si>
  <si>
    <t>_Р (ввод итог)</t>
  </si>
  <si>
    <t>_Р линии, кВт</t>
  </si>
  <si>
    <t>_авто U</t>
  </si>
  <si>
    <t>U, В</t>
  </si>
  <si>
    <t>_до 50 В</t>
  </si>
  <si>
    <t>_авто фаз</t>
  </si>
  <si>
    <t>_авто марка</t>
  </si>
  <si>
    <t>Марка (итог)</t>
  </si>
  <si>
    <t>_авто жил</t>
  </si>
  <si>
    <t>_мин. сечение кода</t>
  </si>
  <si>
    <t>_тип пуска</t>
  </si>
  <si>
    <t>_гр (на автомате выше)</t>
  </si>
  <si>
    <t>_свой автомат</t>
  </si>
  <si>
    <t>_на шине УЗО</t>
  </si>
  <si>
    <t>_ток на 230 В</t>
  </si>
  <si>
    <t>_ток ниже в группе</t>
  </si>
  <si>
    <t>_Р ниже в группе</t>
  </si>
  <si>
    <t>_фаз ниже в группе</t>
  </si>
  <si>
    <t>_мин. номинал ниже</t>
  </si>
  <si>
    <t>_мА ниже в группе</t>
  </si>
  <si>
    <t>_дифзащита по коду, мА</t>
  </si>
  <si>
    <t>_авто утечка</t>
  </si>
  <si>
    <t>_вид аппарата утечки</t>
  </si>
  <si>
    <t>_УЗО строки</t>
  </si>
  <si>
    <t>_блок УЗО</t>
  </si>
  <si>
    <t>_УЗО, А</t>
  </si>
  <si>
    <t>_УЗО, мА</t>
  </si>
  <si>
    <t>_мА блока УЗО</t>
  </si>
  <si>
    <t>_блок УЗО на 1 фазе</t>
  </si>
  <si>
    <t>_ток блока УЗО</t>
  </si>
  <si>
    <t>_утечка блока УЗО</t>
  </si>
  <si>
    <t>_мА линии</t>
  </si>
  <si>
    <t>_мА группы</t>
  </si>
  <si>
    <t>_мин. по типу</t>
  </si>
  <si>
    <t>_авто аппараты</t>
  </si>
  <si>
    <t>_аппараты (итог)</t>
  </si>
  <si>
    <t>Аппарат 1</t>
  </si>
  <si>
    <t>_БП после автомата</t>
  </si>
  <si>
    <t>_авто управление</t>
  </si>
  <si>
    <t>_управление (итог)</t>
  </si>
  <si>
    <t>_авто номинал</t>
  </si>
  <si>
    <t>_фаз группы</t>
  </si>
  <si>
    <t>_полюса</t>
  </si>
  <si>
    <t>_характеристика</t>
  </si>
  <si>
    <t>_авто автомат</t>
  </si>
  <si>
    <t>_автомат (итог ввода)</t>
  </si>
  <si>
    <t>Автомат (схема)</t>
  </si>
  <si>
    <t>_номинал итог</t>
  </si>
  <si>
    <t>_группа от</t>
  </si>
  <si>
    <t>_In гр.</t>
  </si>
  <si>
    <t>_автомат гр.</t>
  </si>
  <si>
    <t>_мА гр. (строки)</t>
  </si>
  <si>
    <t>_дифзащита гр. (строки)</t>
  </si>
  <si>
    <t>_БП в группе</t>
  </si>
  <si>
    <t>_ток группы</t>
  </si>
  <si>
    <t>_k жил</t>
  </si>
  <si>
    <t>_К прокл</t>
  </si>
  <si>
    <t>_столбец Iдоп</t>
  </si>
  <si>
    <t>_сечение в марке</t>
  </si>
  <si>
    <t>_ΔU до шин</t>
  </si>
  <si>
    <t>_Zпетли шин</t>
  </si>
  <si>
    <t>_ΔU до шин (подбор)</t>
  </si>
  <si>
    <t>_Zпетли шин (подбор)</t>
  </si>
  <si>
    <t>_авто длина по плану</t>
  </si>
  <si>
    <t>_Lплан</t>
  </si>
  <si>
    <t>_b</t>
  </si>
  <si>
    <t>_sin</t>
  </si>
  <si>
    <t>Допустимо ΔU, %</t>
  </si>
  <si>
    <t>_авто сечение</t>
  </si>
  <si>
    <t>_сечение по току</t>
  </si>
  <si>
    <t>_ΔU по току, %</t>
  </si>
  <si>
    <t>_Zкабеля по току</t>
  </si>
  <si>
    <t>_ρ</t>
  </si>
  <si>
    <t>_x</t>
  </si>
  <si>
    <t>_гофра ПВХ</t>
  </si>
  <si>
    <t>_гофра ПНД</t>
  </si>
  <si>
    <t>_ΔU, В</t>
  </si>
  <si>
    <t>ΔU, %</t>
  </si>
  <si>
    <t>_кабель</t>
  </si>
  <si>
    <t>_кабель с сечением</t>
  </si>
  <si>
    <t>_кабель полный</t>
  </si>
  <si>
    <t>_Zкабеля</t>
  </si>
  <si>
    <t>_Zmax кабеля</t>
  </si>
  <si>
    <t>_авто группа Кс</t>
  </si>
  <si>
    <t>_Руст (без Нет)</t>
  </si>
  <si>
    <t>_Руст быт</t>
  </si>
  <si>
    <t>_Рр сил</t>
  </si>
  <si>
    <t>_Руст пост</t>
  </si>
  <si>
    <t>_Р отопления</t>
  </si>
  <si>
    <t>_Рр ВНГ</t>
  </si>
  <si>
    <t>_Р для вводов</t>
  </si>
  <si>
    <t>_P для cos</t>
  </si>
  <si>
    <t>_P·cos</t>
  </si>
  <si>
    <t>_Р группы</t>
  </si>
  <si>
    <t>_фаза вручную</t>
  </si>
  <si>
    <t>_авто фаза</t>
  </si>
  <si>
    <t>_фаза итог</t>
  </si>
  <si>
    <t>_фаза группы</t>
  </si>
  <si>
    <t>_Iпуск двиг.</t>
  </si>
  <si>
    <t>_Iпуск LED</t>
  </si>
  <si>
    <t>Iпуск, А</t>
  </si>
  <si>
    <t>_шина группы</t>
  </si>
  <si>
    <t>Шина (итог)</t>
  </si>
  <si>
    <t>_секция №</t>
  </si>
  <si>
    <t>Категория ввода (итог)</t>
  </si>
  <si>
    <t>_путь щита</t>
  </si>
  <si>
    <t>Вид нагрузки (итог)</t>
  </si>
  <si>
    <t>Лист схемы</t>
  </si>
  <si>
    <t>Кабель (строкой)</t>
  </si>
  <si>
    <t>_Р схемы</t>
  </si>
  <si>
    <t>_Ток схемы</t>
  </si>
  <si>
    <t>_фаз</t>
  </si>
  <si>
    <t>_в кабель выше</t>
  </si>
  <si>
    <t>_draw</t>
  </si>
  <si>
    <t>_гр.</t>
  </si>
  <si>
    <t>_гр. (перенос)</t>
  </si>
  <si>
    <t>_макс. автомат по кабелю</t>
  </si>
  <si>
    <t>_QF нач.</t>
  </si>
  <si>
    <t>_QF гр.</t>
  </si>
  <si>
    <t>_аппараты гр.</t>
  </si>
  <si>
    <t>_БП/тр-р</t>
  </si>
  <si>
    <t>_модуль по умолч.</t>
  </si>
  <si>
    <t>_каналов на линию</t>
  </si>
  <si>
    <t>_модуль вручную</t>
  </si>
  <si>
    <t>_блок модуля</t>
  </si>
  <si>
    <t>_модель авто-блока</t>
  </si>
  <si>
    <t>_каналов модели</t>
  </si>
  <si>
    <t>_авто модуль</t>
  </si>
  <si>
    <t>_модуль (итог)</t>
  </si>
  <si>
    <t>_префикс</t>
  </si>
  <si>
    <t>_модуль нач.</t>
  </si>
  <si>
    <t>_модуль гр.</t>
  </si>
  <si>
    <t>_модель гр.</t>
  </si>
  <si>
    <t>Канал (итог)</t>
  </si>
  <si>
    <t>_посл. канал</t>
  </si>
  <si>
    <t>_клемма</t>
  </si>
  <si>
    <t>_авто клемма</t>
  </si>
  <si>
    <t>Клемма (итог)</t>
  </si>
  <si>
    <t>_Модуль (схема)</t>
  </si>
  <si>
    <t>Проверка автомата</t>
  </si>
  <si>
    <t>Проверка канала</t>
  </si>
  <si>
    <t>_кратность</t>
  </si>
  <si>
    <t>Отключение ≤ 0,4 с</t>
  </si>
  <si>
    <t>_ток утечки линии, мА</t>
  </si>
  <si>
    <t>_утечка ниже в группе</t>
  </si>
  <si>
    <t>_Uвых БП для линии, В</t>
  </si>
  <si>
    <t>_мощность от БП, Вт</t>
  </si>
  <si>
    <t>_мощность от БП ниже</t>
  </si>
  <si>
    <t>_Uвых ниже</t>
  </si>
  <si>
    <t>_линий до 50 В ниже</t>
  </si>
  <si>
    <t>_БП группы</t>
  </si>
  <si>
    <t>_БП, Вт</t>
  </si>
  <si>
    <t>_БП, В</t>
  </si>
  <si>
    <t>_ток канала модуля, А</t>
  </si>
  <si>
    <t>_ток канала, А</t>
  </si>
  <si>
    <t>_статус</t>
  </si>
  <si>
    <t>Icu автомата, кА</t>
  </si>
  <si>
    <t>Проверка Icu</t>
  </si>
  <si>
    <t>_целость</t>
  </si>
  <si>
    <t>_цепь для бирок</t>
  </si>
  <si>
    <t>_цепь с кабелем</t>
  </si>
  <si>
    <t>_бирка 1</t>
  </si>
  <si>
    <t>_бирка 1 линия</t>
  </si>
  <si>
    <t>_бирка 2</t>
  </si>
  <si>
    <t>_бирка 2 линия</t>
  </si>
  <si>
    <t>_бирка 3</t>
  </si>
  <si>
    <t>_бирка 3 линия</t>
  </si>
  <si>
    <t>_бирка 4</t>
  </si>
  <si>
    <t>_бирка 4 линия</t>
  </si>
  <si>
    <t>_бирка 5</t>
  </si>
  <si>
    <t>_бирка 5 линия</t>
  </si>
  <si>
    <t>_бирка 6</t>
  </si>
  <si>
    <t>_бирка 6 линия</t>
  </si>
  <si>
    <t>_модель (схема)</t>
  </si>
  <si>
    <t>_цепь</t>
  </si>
  <si>
    <t>_bus2</t>
  </si>
  <si>
    <t>_rcd</t>
  </si>
  <si>
    <t>_chtype</t>
  </si>
  <si>
    <t>_dev1</t>
  </si>
  <si>
    <t>_dev2</t>
  </si>
  <si>
    <t>_dev3</t>
  </si>
  <si>
    <t>_УГО (рус)</t>
  </si>
  <si>
    <t>_sym</t>
  </si>
  <si>
    <t>_hasline</t>
  </si>
  <si>
    <t>_тип автомата №</t>
  </si>
  <si>
    <t>_аппарат 1 №</t>
  </si>
  <si>
    <t>_аппарат 2 №</t>
  </si>
  <si>
    <t>_аппарат 3 №</t>
  </si>
  <si>
    <t>_кабель клеммы</t>
  </si>
  <si>
    <t>_вид клеммы №</t>
  </si>
  <si>
    <t>_модуль №</t>
  </si>
  <si>
    <t>_модель №</t>
  </si>
  <si>
    <t>_уровень</t>
  </si>
  <si>
    <t>_№ линии</t>
  </si>
  <si>
    <t>_3L клемм</t>
  </si>
  <si>
    <t>_доп. проходных</t>
  </si>
  <si>
    <t>_автомат для схемы</t>
  </si>
  <si>
    <t>_мА для схемы</t>
  </si>
  <si>
    <t>_дифзащита гр. (0/1)</t>
  </si>
  <si>
    <t>_видна</t>
  </si>
  <si>
    <t>Ввод.1</t>
  </si>
  <si>
    <t>вручную</t>
  </si>
  <si>
    <t>Ввод.2</t>
  </si>
  <si>
    <t>АСУ.0.001.1</t>
  </si>
  <si>
    <t>рисовать</t>
  </si>
  <si>
    <t>R.0.004.1</t>
  </si>
  <si>
    <t>ЩСПЗ.1</t>
  </si>
  <si>
    <t>ЩСПЗ.2</t>
  </si>
  <si>
    <t>КМН.0.001.1</t>
  </si>
  <si>
    <t>ПН.0.002.1</t>
  </si>
  <si>
    <t>LD.0.003.1</t>
  </si>
  <si>
    <t>LD.1.01.1</t>
  </si>
  <si>
    <t>LD.1.01.2</t>
  </si>
  <si>
    <t>гр</t>
  </si>
  <si>
    <t>LD.1.02.1</t>
  </si>
  <si>
    <t>LD.1.03.1</t>
  </si>
  <si>
    <t>LD.1.04.1</t>
  </si>
  <si>
    <t>LD.1.04.2</t>
  </si>
  <si>
    <t>АПС.0.01.1</t>
  </si>
  <si>
    <t>L.0.02.1</t>
  </si>
  <si>
    <t>R.1.01.1</t>
  </si>
  <si>
    <t>R.1.02.1</t>
  </si>
  <si>
    <t>R.1.02.2</t>
  </si>
  <si>
    <t>R.1.03.1</t>
  </si>
  <si>
    <t>L.1.01.1</t>
  </si>
  <si>
    <t>L.1.02.1</t>
  </si>
  <si>
    <t>L.1.02.2</t>
  </si>
  <si>
    <t>=</t>
  </si>
  <si>
    <t>р</t>
  </si>
  <si>
    <t>L.1.03.1</t>
  </si>
  <si>
    <t>LED.1.01.1</t>
  </si>
  <si>
    <t>ТП.1.01.1</t>
  </si>
  <si>
    <t>+</t>
  </si>
  <si>
    <t>ПВ.1.01.1</t>
  </si>
  <si>
    <t>K.1.01.1</t>
  </si>
  <si>
    <t>КУП.1.01.1</t>
  </si>
  <si>
    <t>б/к</t>
  </si>
  <si>
    <t>УВ.1.01.1</t>
  </si>
  <si>
    <t>R.1.04.1</t>
  </si>
  <si>
    <t>УЗО.1</t>
  </si>
  <si>
    <t>R.1.05.1</t>
  </si>
  <si>
    <t>узо</t>
  </si>
  <si>
    <t>R.1.05.2</t>
  </si>
  <si>
    <t>L.1.04.1</t>
  </si>
  <si>
    <t>ПУ.0.01.1</t>
  </si>
  <si>
    <t>ПВ.0.02.1</t>
  </si>
  <si>
    <t>НВК.0.03.1</t>
  </si>
  <si>
    <t>НВК.0.04.1</t>
  </si>
  <si>
    <t>ПУ.0.05.1</t>
  </si>
  <si>
    <t>АПС.0.02.1</t>
  </si>
  <si>
    <t>ПУ.0.03.1</t>
  </si>
  <si>
    <t>Ввод 1 от ТП</t>
  </si>
  <si>
    <t>Ввод 2 от ТП</t>
  </si>
  <si>
    <t>Питание автоматики АВР</t>
  </si>
  <si>
    <t>Розетки техпомещения</t>
  </si>
  <si>
    <t>Щит СПЗ, ввод 1</t>
  </si>
  <si>
    <t>Щит СПЗ, ввод 2 (резерв)</t>
  </si>
  <si>
    <t>Щит блоков питания LED</t>
  </si>
  <si>
    <t>LED-лента 24 В, пом. 01</t>
  </si>
  <si>
    <t>LED-лента 24 В, пом. 02</t>
  </si>
  <si>
    <t>LED-лента 24 В, пом. 03</t>
  </si>
  <si>
    <t>LED-подсветка ниши, пом. 04</t>
  </si>
  <si>
    <t>Аварийное освещение (шина ИБП)</t>
  </si>
  <si>
    <t>Розетки ванной (дифзащита 10 мА)</t>
  </si>
  <si>
    <t>Кондиционер (cos φ вручную)</t>
  </si>
  <si>
    <t>Розетки гаража (длинная линия)</t>
  </si>
  <si>
    <t>Шина УЗО1</t>
  </si>
  <si>
    <t>Дренажный насос (шина ДГУ)</t>
  </si>
  <si>
    <t>Дренажный насос резервный</t>
  </si>
  <si>
    <t>Вентилятор насосной (шина «Насосная» — Одиночная)</t>
  </si>
  <si>
    <t>Прибор пожарной сигнализации</t>
  </si>
  <si>
    <t>Вентилятор подпора воздуха</t>
  </si>
  <si>
    <t>МК-5-1; БП 24V 480W</t>
  </si>
  <si>
    <t>МК-5-1; БП 24V 75W</t>
  </si>
  <si>
    <t>Отоп</t>
  </si>
  <si>
    <t>ВНГ</t>
  </si>
  <si>
    <t>ИБП (для щитов с шиной ИБП)</t>
  </si>
  <si>
    <t>cos φ на выходе ИБП</t>
  </si>
  <si>
    <t>Автономия, мин</t>
  </si>
  <si>
    <t>Напряжение АКБ, В</t>
  </si>
  <si>
    <t>Коэффициент разряда / старения АКБ</t>
  </si>
  <si>
    <t>Заряд АКБ, доля мощности</t>
  </si>
  <si>
    <t>cos φ на входе ИБП</t>
  </si>
  <si>
    <t>Ряд типоразмеров ИБП, кВА</t>
  </si>
  <si>
    <t>РЕЖИМЫ: нагрузка выбранного щита (вместе со всеми нижестоящими) по вводам в разных режимах</t>
  </si>
  <si>
    <t>Как читать: столбцы — источники (Ввод 1/2/3, ИБП, ДГУ), блоки — режимы. На «Нормальный» и «Аварийный» проверяются вводы, аппараты и кабели (берётся больший). Пожарные — отдельно, в максимум не входят. Итоги по каждому вводу щита — лист «Щит».</t>
  </si>
  <si>
    <t>Щит:</t>
  </si>
  <si>
    <t>в составе</t>
  </si>
  <si>
    <t>нижний щит</t>
  </si>
  <si>
    <t>источник</t>
  </si>
  <si>
    <t>пожарная</t>
  </si>
  <si>
    <t>Вход ИБП, кВт / квар:</t>
  </si>
  <si>
    <t>1. НОРМАЛЬНЫЙ РЕЖИМ (секционный выключатель отключён, пожарные не входят; ИБП — нагрузка на выходе, справочно)</t>
  </si>
  <si>
    <t>Итого (вводы)</t>
  </si>
  <si>
    <t>Кс (Рр / Руст)</t>
  </si>
  <si>
    <t>2. АВАРИЙНЫЙ: потерян Ввод 1 (его нагрузка и вход ИБП — на Ввод 2)</t>
  </si>
  <si>
    <t>3. АВАРИЙНЫЙ: потерян Ввод 2 (его нагрузка и вход ИБП — на Ввод 1)</t>
  </si>
  <si>
    <t>4. ПОТЕРЯНЫ ВСЕ ВВОДЫ: работают только ИБП и ДГУ</t>
  </si>
  <si>
    <t>5. ПОЖАР: пожарные нагрузки (в расчётный максимум не входят, СП 256 п. 7.1.9; Кс пожарных = 1)</t>
  </si>
  <si>
    <t>6. НОРМАЛЬНЫЙ + ПОЖАРНЫЕ (проверка вводов при пожаре)</t>
  </si>
  <si>
    <t>7. ИБП ВЫБРАННОГО ЩИТА (нагрузка шин ИБП, без пожарных)</t>
  </si>
  <si>
    <t>P на выходе, кВт</t>
  </si>
  <si>
    <t>Требуемая S по загрузке, кВА</t>
  </si>
  <si>
    <t>Типоразмер ИБП, кВА</t>
  </si>
  <si>
    <t>Загрузка принятого ИБП</t>
  </si>
  <si>
    <t>Ёмкость АКБ, А·ч</t>
  </si>
  <si>
    <t>Вход ИБП, кВт (на ввод)</t>
  </si>
  <si>
    <t>ТАБЛИЦА НАГРУЗОК ДЛЯ ПОЯСНИТЕЛЬНОЙ ЗАПИСКИ</t>
  </si>
  <si>
    <t>Щит (ВРУ):</t>
  </si>
  <si>
    <t>Весь щит</t>
  </si>
  <si>
    <t>ОСНОВНЫЕ ПОКАЗАТЕЛИ</t>
  </si>
  <si>
    <t>ΔU от ВРУ до шин щита, %</t>
  </si>
  <si>
    <t>Iкз min (1ф) / Iкз max (3ф) на шинах</t>
  </si>
  <si>
    <t>Наименование электроприёмника (вид нагрузки)</t>
  </si>
  <si>
    <t>Итого (сумма строк)</t>
  </si>
  <si>
    <t>Расчётная нагрузка щита: Рр = kп.к·Руст быт·Кс + Ко·Рр сил + Руст пост + Р отоп + 0,7·Р ВНГ (СП 256)</t>
  </si>
  <si>
    <t>Как считается: строка = вид нагрузки (столбец «Вид нагрузки» в «Линиях», пусто — по коду). Кс бытовой нагрузки — по таблице СП 256 по сумме Руст быт ВСЕГО щита, поэтому строки складываются в «Итого». Строка «Расчётная нагрузка» учитывает Ко = 0,9 и kп.к. Пожарные нагрузки не входят (СП 256 п. 7.1.9). Для записки: выберите щит и режим, скопируйте A14:J… и вставьте как значения.</t>
  </si>
  <si>
    <t>МКЭШнг(А)-LS</t>
  </si>
  <si>
    <t>FTP 5e 4x2x0.51</t>
  </si>
  <si>
    <t>↓ добавлено v5: крупные сечения, FRLS, ВБШв, МКЭШ, слаботочка — диаметры ориентировочные, уточните по производителю</t>
  </si>
  <si>
    <t>КАБЕЛЬНЫЙ ЖУРНАЛ</t>
  </si>
  <si>
    <t>все</t>
  </si>
  <si>
    <t>все — весь объект. Для AutoCAD — кнопка «Выгрузить для AutoCAD» на листе «Щит».</t>
  </si>
  <si>
    <t>Запас длины:</t>
  </si>
  <si>
    <t>Для подсчёта (числа)</t>
  </si>
  <si>
    <t>Количество кабелей и сечение</t>
  </si>
  <si>
    <t>Потолок / пол</t>
  </si>
  <si>
    <t>1 / 2</t>
  </si>
  <si>
    <t>Ø</t>
  </si>
  <si>
    <t>СВОДКА ПО ЖУРНАЛУ (выбранный щит; запас — L1)</t>
  </si>
  <si>
    <t>Кабель (марка, сечение)</t>
  </si>
  <si>
    <t>С запасом, м</t>
  </si>
  <si>
    <t>В спецификацию, м (вверх до 10)</t>
  </si>
  <si>
    <t>Гофра</t>
  </si>
  <si>
    <t>В спецификацию, м (по бухтам)</t>
  </si>
  <si>
    <t>Лоток, м</t>
  </si>
  <si>
    <t>ГОФРА (бухты — «Спецификация», таблица «Гофра_изделия»)</t>
  </si>
  <si>
    <t>СВОДКА ПТО (кабель + потолок / пол → артикул ПТО, «Таблицы_норм» AJ:AK)</t>
  </si>
  <si>
    <t>Спецификация для щита (все — весь объект):</t>
  </si>
  <si>
    <t>По однолинейке (авто; щит — «Спецификация» D1)</t>
  </si>
  <si>
    <t>все — весь объект. Корпус и комплект щита — таблица справа; нормы крепежа и бухты гофры — там же.</t>
  </si>
  <si>
    <t>КОРПУС И КОМПЛЕКТ ЩИТА — вручную: строка на позицию; «Щит» — для какого щита; раздел 2 — прочие кабельные изделия</t>
  </si>
  <si>
    <t>Раздел (1/2)</t>
  </si>
  <si>
    <t>Тип, марка</t>
  </si>
  <si>
    <t>Завод</t>
  </si>
  <si>
    <t>НОРМЫ РАСХОДА: количество = база (м, после округления) × на 1 м, вверх до кратности</t>
  </si>
  <si>
    <t>База</t>
  </si>
  <si>
    <t>На 1 м</t>
  </si>
  <si>
    <t>Кратность</t>
  </si>
  <si>
    <t>Держатель-клипса для монтажного пистолета, д.20мм, серый</t>
  </si>
  <si>
    <t>51020M</t>
  </si>
  <si>
    <t>ПВХ Ø20</t>
  </si>
  <si>
    <t>Держатель с защелкой, д.25мм</t>
  </si>
  <si>
    <t>ПВХ Ø25</t>
  </si>
  <si>
    <t>Держатель с защелкой, д.32мм</t>
  </si>
  <si>
    <t>ПВХ Ø32</t>
  </si>
  <si>
    <t>Гвозди кассетные для гвоздезабивного пистолета 3,05х32 мм, упак. 1000 шт.</t>
  </si>
  <si>
    <t>30532stepEG</t>
  </si>
  <si>
    <t>TOUA</t>
  </si>
  <si>
    <t>ПВХ все</t>
  </si>
  <si>
    <t>Баллон газовый на 1000 гвоздей</t>
  </si>
  <si>
    <t>toua-fcg</t>
  </si>
  <si>
    <t>Лента монтажная перфорированная, 25х0,8</t>
  </si>
  <si>
    <t>CM610050</t>
  </si>
  <si>
    <t>ПНД все</t>
  </si>
  <si>
    <t>ГОФРА: изделия и бухты (количество в спецификации — вверх до целой бухты)</t>
  </si>
  <si>
    <t>Бухта, м</t>
  </si>
  <si>
    <t>Труба ПВХ гибкая гофр. д.16мм, тяжёлая с протяжкой, 100м, цвет серый</t>
  </si>
  <si>
    <t>Труба ПВХ гибкая гофр. д.20мм, тяжёлая с протяжкой, 100м, цвет серый</t>
  </si>
  <si>
    <t>Труба ПВХ гибкая гофр. д.25мм, тяжёлая с протяжкой, 50м, цвет серый</t>
  </si>
  <si>
    <t>Труба ПВХ гибкая гофр. д.32мм, тяжёлая с протяжкой, 25м, цвет серый</t>
  </si>
  <si>
    <t>Труба ПВХ гибкая гофр. д.40мм, тяжёлая с протяжкой, 15м, цвет серый</t>
  </si>
  <si>
    <t>Труба ПВХ гибкая гофр. д.50мм, тяжёлая с протяжкой, 15м, цвет серый</t>
  </si>
  <si>
    <t>Труба ПНД гибкая гофр. д.16мм, тяжёлая с протяжкой, 100м, цвет оранжевый</t>
  </si>
  <si>
    <t>Труба ПНД гибкая гофр. д.20мм, тяжёлая с протяжкой, 100м, цвет оранжевый</t>
  </si>
  <si>
    <t>Труба ПНД гибкая гофр. д.25мм, тяжёлая с протяжкой, 50м, цвет оранжевый</t>
  </si>
  <si>
    <t>Труба ПНД гибкая гофр. д.32мм, тяжёлая с протяжкой, 25м, цвет оранжевый</t>
  </si>
  <si>
    <t>Труба ПНД гибкая гофр. д.40мм, тяжёлая с протяжкой, 15м, цвет оранжевый</t>
  </si>
  <si>
    <t>Труба ПНД гибкая гофр. д.50мм, тяжёлая с протяжкой, 15м, цвет оранжевый</t>
  </si>
  <si>
    <t>Ток канала, А (модули: диммер, DALI)</t>
  </si>
  <si>
    <t>ЩИТ: данные под однолинейку — таблица под схемой и итоги по каждому вводу (то, что уходит в AutoCAD)</t>
  </si>
  <si>
    <t>ввод в щите</t>
  </si>
  <si>
    <t>ТАБЛИЦА ПОД СХЕМОЙ (строка = место на схеме, шаг 20 мм; в AutoCAD таблица поворачивается)</t>
  </si>
  <si>
    <t>Обозначение на плане</t>
  </si>
  <si>
    <t>Рн, кВт</t>
  </si>
  <si>
    <t>Iн, А</t>
  </si>
  <si>
    <t>Наименование электроприёмника</t>
  </si>
  <si>
    <t>ИТОГИ ПО ВВОДАМ (под схемой)</t>
  </si>
  <si>
    <t>L1р, кВт</t>
  </si>
  <si>
    <t>L2р, кВт</t>
  </si>
  <si>
    <t>L3р, кВт</t>
  </si>
  <si>
    <t>Ввод = строки с кодом «Ввод» этого щита. Линии ввода — по шине и секции (столбцы «Шина», «Секция» в «Линиях»); нижние щиты — по своему фидеру; шина ИБП — к вводу из «ИБП от» на листе «Щиты» (если у щита нет отдельного ввода с шины ИБП). Итоги — нормальный режим. При АВР у строки «Ввод» в таблице слева — вся нагрузка щита (один ввод тянет всё): по ней подобраны автомат и кабель ввода. Категория — у строки «Ввод» (столбец «Категория ввода» в «Ещё») или по схеме щита.</t>
  </si>
  <si>
    <t>БИРКИ: строка на каждый провод — от автомата до устройства, от устройства до клеммы, от клеммы — кабель к потребителю</t>
  </si>
  <si>
    <t>Откуда</t>
  </si>
  <si>
    <t>Куда</t>
  </si>
  <si>
    <t>Дифзащита, мА</t>
  </si>
  <si>
    <t>ПРОВЕРКА ОБЪЕКТА</t>
  </si>
  <si>
    <t>Перейти</t>
  </si>
  <si>
    <t>Изменение</t>
  </si>
  <si>
    <t>Дата</t>
  </si>
  <si>
    <t>история выдач (№ | дата | линий)</t>
  </si>
  <si>
    <t>ИЗМЕНЕНИЯ ПОСЛЕ ВЫДАЧИ</t>
  </si>
  <si>
    <t>Выдача №</t>
  </si>
  <si>
    <t>от</t>
  </si>
  <si>
    <t>Снимок — кнопка «Зафиксировать выдачу» (над «Линиями»). После неё здесь видно, что изменилось; в «Линиях» изменённые ячейки — оранжевые, новые линии — зелёные.</t>
  </si>
  <si>
    <t>Что</t>
  </si>
  <si>
    <t>Было</t>
  </si>
  <si>
    <t>Стало</t>
  </si>
  <si>
    <t>Листы схемы (для таблицы изменений)</t>
  </si>
  <si>
    <t>Изменений</t>
  </si>
  <si>
    <t>НАКЛЕЙКИ — кнопка «Наклейки (A4)» на листе «Щит» (щит в ячейке C3)</t>
  </si>
  <si>
    <t>Модулей на рейку:</t>
  </si>
  <si>
    <t>Ячейка = 1 модуль DIN, 18 мм на бумаге (ширина подгоняется под принтер при каждом нажатии кнопки). Печать: A4 альбомная, масштаб 100 %, нарезать по линиям; длинная рейка — несколькими полосами. Ширина аппарата — «Каталог», столбец L.</t>
  </si>
  <si>
    <t>Столбец</t>
  </si>
  <si>
    <t>Формула (R1C1)</t>
  </si>
  <si>
    <t>Вид</t>
  </si>
  <si>
    <t>Серое из</t>
  </si>
  <si>
    <t>=Линии[@[_авто наименование]]</t>
  </si>
  <si>
    <t>a</t>
  </si>
  <si>
    <t>=Линии[@[_авто Р]]</t>
  </si>
  <si>
    <t>=Линии[@[_авто автомат]]</t>
  </si>
  <si>
    <t>=Линии[@[_авто управление]]</t>
  </si>
  <si>
    <t>=Линии[@[_авто аппараты]]</t>
  </si>
  <si>
    <t>=Линии[@[_авто сечение]]</t>
  </si>
  <si>
    <t>=Линии[@[_авто длина по плану]]</t>
  </si>
  <si>
    <t>=Линии[@[_авто фаза]]</t>
  </si>
  <si>
    <t>=Линии[@[_авто клемма]]</t>
  </si>
  <si>
    <t>=TEXTJOIN("; ",TRUE,RC[231],RC[228],IF(LEFT(RC[230],3)="Icu",RC[230],""),IF(AND(RC[-12]&lt;&gt;"",RC[130]="не подобрано"),"сечение не подобрано: проверьте длину и автомат или впишите сечение",""))</t>
  </si>
  <si>
    <t>c</t>
  </si>
  <si>
    <t>=IF(RC[-13]="","",IF(RC[45]&lt;&gt;"",IFERROR(XLOOKUP(RC[45],Щиты[Щит],Щиты[Iр, А]),""),IF(RC[53]=1,IF(OR(N(XLOOKUP(RC[-14],Щиты[Щит],Щиты[Вводов],1))&lt;=1,LOWER(TRIM(XLOOKUP(RC[-14],Щиты[Щит],Щиты[АВР],"")&amp;""))="да"),IFERROR(XLOOKUP(RC[-14],Щиты[Щит],Щиты[Iр, А]),""),IFERROR(N(RC[56])*XLOOKUP(RC[-14],Щиты[Щит],Щиты[Кс итог])/(SQRT(3)*Uн_лин*XLOOKUP(RC[-14],Щиты[Щит],Щиты[cos φ])),"")),IF(RC[59]=1,IFERROR(RC[56]*1000/RC[58],""),IFERROR(IFS(RC[61]=1,RC[56]/((Uн_лин/SQRT(3))*RC[68]),RC[61]=3,RC[56]/(SQRT(3)*Uн_лин*RC[68])),"")))))</t>
  </si>
  <si>
    <t>=IF(RC[-14]="","",IFERROR(IF(VLOOKUP(RC[39],Потребители_обозначение,4,FALSE)=1,VLOOKUP(RC[39],Потребители_обозначение,3,FALSE)*(MAX(1,N(RC[-12]))*2-1)+RC[123]+VLOOKUP(RC[41],Этаж_обозначение,3,FALSE)+VLOOKUP(RC[41],Этаж_обозначение,4,FALSE),VLOOKUP(RC[39],Потребители_обозначение,3,FALSE)*(MAX(1,N(RC[-12]))*2-1)+RC[123]),RC[123]))</t>
  </si>
  <si>
    <t>=IF(ISNUMBER(RC[136]),RC[136]+IF(RC[57]=1,0,RC[117]),"")</t>
  </si>
  <si>
    <t>=IF(OR(RC[-16]="",RC[136]=""),"",IF(RC[126]="не подобрано",RC[136]&amp;" — сечение не подобрано",RC[137]))</t>
  </si>
  <si>
    <t>=IF(RC[46]="","",IF(RC[47]="вводной узел","узел ","")&amp;"л."&amp;(INT((RC[46]-1)/Столбцов_на_лист)+1)&amp;" / "&amp;(MOD(RC[46]-1,Столбцов_на_лист)+1))</t>
  </si>
  <si>
    <t>=IF(OR(RC[65]=0,RC[40]&lt;&gt;"",RC[48]=1),"",IF(AND(RC[77]&lt;&gt;"",RC[77]=RC[33]),ROUND(N(RC[83]),1),ROUND(N(RC[210])+N(RC[211]),1)))</t>
  </si>
  <si>
    <t>=IF(OR(RC[64]=0,N(RC[53])+N(RC[215])=0),"",ROUNDUP(Запас_БП*(N(RC[212])+N(RC[213])),0))</t>
  </si>
  <si>
    <t>=IF(OR(RC[63]=0,N(RC[52])+N(RC[214])=0),"",ROUND(MAX(N(RC[210]),N(RC[213])),1))</t>
  </si>
  <si>
    <t>=IFERROR(IF(OR(RC[-21]="",RC[45]=1,RC[51]=1,NOT(ISNUMBER(RC[121])),N(RC[101])=0),"",MAX(0,ROUNDDOWN((c_min*(Uн_лин*1000/SQRT(3))/(RC[205]*N(RC[101]))-XLOOKUP(RC[-22],Щиты[Щит],Щиты[Zпетли на шинах, Ом]))*RC[121]/(2*ρкз_Cu),0))),"")</t>
  </si>
  <si>
    <t>=Линии[@[_авто утечка]]</t>
  </si>
  <si>
    <t>xa</t>
  </si>
  <si>
    <t>=Линии[@[_авто фаз]]</t>
  </si>
  <si>
    <t>=Линии[@[_авто U]]</t>
  </si>
  <si>
    <t>=Линии[@[_авто группа Кс]]</t>
  </si>
  <si>
    <t>=Линии[@[_авто модуль]]</t>
  </si>
  <si>
    <t>=Линии[@[_авто марка]]</t>
  </si>
  <si>
    <t>=Линии[@[_авто жил]]</t>
  </si>
  <si>
    <t>=ROW()-ROW(Линии[#Headers])</t>
  </si>
  <si>
    <t>h</t>
  </si>
  <si>
    <t>=IF(RC[-53]="","",IFERROR(LEFT(RC[-53],SEARCH(".",RC[-53])-1),RC[-53]))</t>
  </si>
  <si>
    <t>=IFERROR(RIGHT(RC[-54],LEN(RC[-54])-SEARCH(".",RC[-54])),"")</t>
  </si>
  <si>
    <t>=IFERROR(LEFT(RC[-1],SEARCH(".",RC[-1])-1),RC[-1])</t>
  </si>
  <si>
    <t>=IFERROR(RIGHT(RC[-2],LEN(RC[-2])-SEARCH(".",RC[-2])),"")</t>
  </si>
  <si>
    <t>=IF(RC[-36]&lt;&gt;"",RC[-36],IF(AND(RC[-58]&lt;&gt;"",RC[-58]&lt;&gt;RC[-59],ISNUMBER(XMATCH(RC[-58],Щиты[Щит]))),RC[-58],""))</t>
  </si>
  <si>
    <t>=IF(RC[-59]="","",IF(RC[-1]&lt;&gt;"","Щит "&amp;RC[-1],LET(nm,IFERROR(XLOOKUP(RC[-6],Коды_код,Коды_имя)&amp;"",""),md,IFERROR(N(XLOOKUP(RC[-6],Коды_код,Коды_режим)),1),ex,IF(Имя_режим="по экспликации",IFERROR(XLOOKUP(RC[-4]&amp;"|"&amp;RC[-2],Экспликация[Этаж]&amp;"|"&amp;Экспликация[Помещение],Экспликация[Название])&amp;"",""),""),rm,IF(RC[-2]="","",IF(ex&lt;&gt;"",". "&amp;ex&amp;IF(Имя_пом="нет"," ("&amp;RC[-2]&amp;")"," (пом. "&amp;RC[-2]&amp;")"),IF(Имя_пом="нет"," ",", пом. ")&amp;RC[-2])),IF(nm="","",IF(md=2,nm&amp;" шлейф "&amp;RC[-4],nm&amp;rm)))))</t>
  </si>
  <si>
    <t>=IF(TRIM(RC[-59]&amp;"")="",RC[-1],RC[-59])</t>
  </si>
  <si>
    <t>=IFERROR(XMATCH(RC[-62],Щиты[Щит]),0)</t>
  </si>
  <si>
    <t>=LET(k,IFERROR(XLOOKUP(RC[-63],Щиты[Щит],Щиты[Мест под вводной узел]),""),IF(k="",Столбцов_на_лист,N(k)))</t>
  </si>
  <si>
    <t>=IF(RC[-26]="-","",IF(ISNUMBER(RC[-26]),RC[-26],LET(prev,IF(OR(RC[-12]=1,RC[-64]&lt;&gt;R[-1]C[-64]),0,N(IF(RC[-12]=1,"",R[-1]C))),nx,prev+1,IF(AND(RC[-29]&lt;&gt;"вручную",nx&lt;=RC[-1]),RC[-1]+1,nx))))</t>
  </si>
  <si>
    <t>=IF(RC[-1]="","",IF(RC[-1]&lt;=RC[-2],"вводной узел","линии"))</t>
  </si>
  <si>
    <t>=IFERROR(N(XLOOKUP(RC[-12],Коды_код,Коды_квт)),0)</t>
  </si>
  <si>
    <t>=IF(AND(RC[-66]&lt;&gt;"",RC[-13]="Ввод"),1,0)</t>
  </si>
  <si>
    <t>=IF(RC[-67]="","",IF(RC[-9]&lt;&gt;"",IFERROR(XLOOKUP(RC[-9],Щиты[Щит],Щиты[Руст, кВт]),0),IF(RC[-1]=1,IF(OR(N(XLOOKUP(RC[-68],Щиты[Щит],Щиты[Вводов],1))&lt;=1,LOWER(TRIM(XLOOKUP(RC[-68],Щиты[Щит],Щиты[АВР],"")&amp;""))="да"),IFERROR(XLOOKUP(RC[-68],Щиты[Щит],Щиты[Руст, кВт]),0),SUMIFS([_Р для вводов],[Щит],RC[-68],[Источник для режимов],RC[119])),IF(RC[-2]&gt;0,ROUND(RC[-2]*MAX(1,N(RC[-65])),3),""))))</t>
  </si>
  <si>
    <t>=IF(TRIM(RC[-65]&amp;"")="",RC[-1],RC[-65])</t>
  </si>
  <si>
    <t>=IF(RC[-69]="","",IF(RC[-11]&lt;&gt;"",IFERROR(XLOOKUP(RC[-11],Щиты[Щит],Щиты[Руст, кВт]),0),N(RC[-1])))</t>
  </si>
  <si>
    <t>=IF(RC[-70]="","",IFERROR(IF(VLOOKUP(RC[-17],Потребители_обозначение,8,FALSE)=0,"",VLOOKUP(RC[-17],Потребители_обозначение,8,FALSE)),""))</t>
  </si>
  <si>
    <t>=IF(TRIM(RC[-46]&amp;"")="",RC[-1],RC[-46])</t>
  </si>
  <si>
    <t>=IF(RC[-72]="",0,IF(AND(N(RC[-1])&gt;0,N(RC[-1])&lt;=50),1,0))</t>
  </si>
  <si>
    <t>=IF(RC[-73]="","",IF(RC[-15]&lt;&gt;"",3,IFERROR(IF(N(VLOOKUP(RC[-20],Потребители_обозначение,9,FALSE))=0,1,VLOOKUP(RC[-20],Потребители_обозначение,9,FALSE)),1)))</t>
  </si>
  <si>
    <t>=IF(RC[-74]="","",IF(TRIM(RC[-50]&amp;"")="",RC[-1],N(RC[-50])))</t>
  </si>
  <si>
    <t>=IF(RC[-75]="","",LET(bc,IFERROR(IF(VLOOKUP(RC[-22],Потребители_обозначение,6,FALSE)=0,"",VLOOKUP(RC[-22],Потребители_обозначение,6,FALSE)&amp;""),""),IF(AND(RC[106]="да",OR(bc="",bc="мс")),Марка_пож,IF(AND(bc="",RC[-17]&lt;&gt;""),"мс",bc))))</t>
  </si>
  <si>
    <t>=IF(TRIM(RC[-38]&amp;"")="",RC[-1],RC[-38])</t>
  </si>
  <si>
    <t>=IF(RC[-77]="","",LET(cc,IFERROR(N(VLOOKUP(RC[-24],Потребители_обозначение,7,FALSE)),0),IF(cc&gt;0,cc,IF(RC[-1]="","",IF(RC[-5]=1,2,IF(N(RC[-3])=3,5,3))))))</t>
  </si>
  <si>
    <t>=IF(TRIM(RC[-39]&amp;"")="",RC[-1],RC[-39])</t>
  </si>
  <si>
    <t>=IFERROR(N(VLOOKUP(RC[-26],Потребители_обозначение,10,FALSE)),0)</t>
  </si>
  <si>
    <t>=IFERROR(VLOOKUP(RC[-27],Потребители_обозначение,5,FALSE),0)</t>
  </si>
  <si>
    <t>=IF(RC[-81]="","",IF(RC[-23]&lt;&gt;"",IFERROR(XLOOKUP(RC[-23],Щиты[Щит],Щиты[cos φ]),0.95),IF(RC[-15]=1,IFERROR(XLOOKUP(RC[-82],Щиты[Щит],Щиты[cos φ]),0.95),IF(ISNUMBER(RC[-53]),RC[-53],IFERROR(IF(RC[-1]=2,IFS(RC[-7]=3,VLOOKUP(RC[-12],Справочная_двигатели,8,FALSE),RC[-7]=1,VLOOKUP(RC[-12],Справочная_двигатели,10,TRUE)),IF(AND(Методика="нормы 2026",RC[80]="Сил"),0.8,0.95)),0.95)))))</t>
  </si>
  <si>
    <t>=IF(OR(TRIM(RC[-78]&amp;"")="гр",TRIM(RC[-78]&amp;"")="=",TRIM(RC[-78]&amp;"")="^",TRIM(RC[-78]&amp;"")="↑"),1,0)</t>
  </si>
  <si>
    <t>=IF(AND(RC[-83]&lt;&gt;"",RC[-1]=0),1,0)</t>
  </si>
  <si>
    <t>=IF(RC[-84]="",0,IF(TRIM(RC[-80]&amp;"")="узо",1,0))</t>
  </si>
  <si>
    <t>=IF(RC[-85]="","",IF(RC[-13]=1,IFERROR(RC[-16]/((Uн_лин/SQRT(3))*MAX(0.5,N(RC[-4]))),0),N(RC[-72])))</t>
  </si>
  <si>
    <t>=IF(AND(R[1]C[-87]=RC[-87],R[1]C[-52]&lt;&gt;"вручную",OR(R[1]C[-86]="",R[1]C[-4]=1)),IF(R[1]C[-86]="",0,N(R[1]C[-1]))+N(R[1]C),0)</t>
  </si>
  <si>
    <t>=IF(AND(R[1]C[-88]=RC[-88],R[1]C[-53]&lt;&gt;"вручную",OR(R[1]C[-87]="",R[1]C[-5]=1)),IF(R[1]C[-87]="",0,N(R[1]C[-18]))+N(R[1]C),0)</t>
  </si>
  <si>
    <t>=IF(AND(R[1]C[-89]=RC[-89],R[1]C[-54]&lt;&gt;"вручную",OR(R[1]C[-88]="",R[1]C[-6]=1)),MAX(IF(R[1]C[-88]="",0,N(R[1]C[-14])),N(R[1]C)),0)</t>
  </si>
  <si>
    <t>=IF(AND(R[1]C[-90]=RC[-90],R[1]C[-55]&lt;&gt;"вручную",OR(R[1]C[-89]="",R[1]C[-7]=1)),MAX(IF(R[1]C[-89]="",0,N(R[1]C[15])),N(R[1]C)),0)</t>
  </si>
  <si>
    <t>=IF(AND(R[1]C[-91]=RC[-91],R[1]C[-56]&lt;&gt;"вручную",OR(R[1]C[-90]="",R[1]C[-8]=1)),LET(a_,IF(R[1]C[-90]="",0,N(R[1]C[12])),b_,N(R[1]C),IF(a_=0,b_,IF(b_=0,a_,MIN(a_,b_)))),0)</t>
  </si>
  <si>
    <t>=IF(RC[-38]="",0,LET(v,IFERROR(XLOOKUP(RC[-91],Коды_код,Коды_мА),IFERROR(XLOOKUP(RC[-38],Коды_код,Коды_мА),IFERROR(XLOOKUP(LEFT(RC[-38],2),Коды_код,Коды_мА),""))),IF(v="да",30,IF(ISNUMBER(v),v,0))))</t>
  </si>
  <si>
    <t>=IF(RC[-92]="","",IF(N(RC[-1])&gt;0,RC[-1],""))</t>
  </si>
  <si>
    <t>=LET(k,IFERROR(XLOOKUP(RC[-40],Коды_код,Коды_утечка)&amp;"",""),IF(k="","дифавтомат",k))</t>
  </si>
  <si>
    <t>=IF(RC[-11]=0,"",LET(sg,TRIM(TEXTSPLIT(RC[12]&amp;"",";")),f_,FILTER(sg,LEFT(sg,3)="УЗО",""),IFERROR(INDEX(f_,1)&amp;"","")))</t>
  </si>
  <si>
    <t>=IF(RC[-95]="",IF(OR(OR(RC[-44]=1,RC[-96]&lt;&gt;R[-1]C[-96]),RC[-61]="вручную"),"",IF(RC[-44]=1,"",R[-1]C)),IF(RC[-12]=1,IF(RC[-11]=1,IF(OR(RC[-44]=1,RC[-96]&lt;&gt;R[-1]C[-96]),"",IF(RC[-44]=1,"",R[-1]C)),IF(RC[-1]&lt;&gt;"",RC[-44],"")),IF(AND(NOT(OR(RC[-44]=1,RC[-96]&lt;&gt;R[-1]C[-96])),RC[-61]&lt;&gt;"вручную",IF(RC[-44]=1,"",R[-1]C[26])="ok"),IF(RC[-44]=1,"",R[-1]C),"")))</t>
  </si>
  <si>
    <t>=IF(RC[-2]="","",LET(tk,TEXTSPLIT(UPPER(RC[-2])," ",,TRUE),a_,FILTER(tk,ISNUMBER(--LEFT(tk,1))*((ISNUMBER(SEARCH("А",tk))+ISNUMBER(SEARCH("A",tk)))&gt;0)*NOT(ISNUMBER(SEARCH("МА",tk)))*NOT(ISNUMBER(SEARCH("MA",tk))),""),IFERROR(--SUBSTITUTE(SUBSTITUTE(INDEX(a_,1),"А",""),"A",""),"")))</t>
  </si>
  <si>
    <t>=IF(RC[-3]="","",LET(tk,TEXTSPLIT(UPPER(RC[-3])," ",,TRUE),a_,FILTER(tk,ISNUMBER(--LEFT(tk,1))*((ISNUMBER(SEARCH("МА",tk))+ISNUMBER(SEARCH("MA",tk)))&gt;0),""),IFERROR(--SUBSTITUTE(SUBSTITUTE(INDEX(a_,1),"МА",""),"MA",""),30)))</t>
  </si>
  <si>
    <t>=IF(RC[-3]="","",IFERROR(XLOOKUP(RC[-3],[_n],[_УЗО, мА]),30))</t>
  </si>
  <si>
    <t>=IF(RC[-4]="",0,IF(ISNUMBER(SEARCH("4P",IFERROR(XLOOKUP(RC[-4],[_n],[_УЗО строки])&amp;"",""))),0,1))</t>
  </si>
  <si>
    <t>=IF(AND(RC[-5]&lt;&gt;"",RC[-5]=RC[-49]),SUMIFS([_ток на 230 В],[_блок УЗО],RC[-49],[Щит],RC[-101]),"")</t>
  </si>
  <si>
    <t>=IF(AND(RC[-6]&lt;&gt;"",RC[-6]=RC[-50]),SUMIFS([_ток утечки линии, мА],[_блок УЗО],RC[-50],[Щит],RC[-102]),"")</t>
  </si>
  <si>
    <t>=IF(RC[-102]="",0,LET(v,IF(TRIM(RC[-79]&amp;"")="",RC[-10],RC[-79]),nm,IF(v&amp;""="нет",0,IF(v&amp;""="да",30,IFERROR(--v,0))),IF(OR(RC[-9]="УЗО на группу",RC[-7]&lt;&gt;""),0,nm)))</t>
  </si>
  <si>
    <t>=IF(RC[-20]=0,"",LET(a_,N(RC[-1]),b_,IF(RC[-69]="вручную",0,N(RC[-13])),IF(a_=0,b_,IF(b_=0,a_,MIN(a_,b_)))))</t>
  </si>
  <si>
    <t>=IF(RC[-104]="",0,IFERROR(--XLOOKUP(RC[-104],Коды_код,Коды_минавт),IFERROR(--XLOOKUP(RC[-51],Коды_код,Коды_минавт),IFERROR(--XLOOKUP(LEFT(RC[-51],2),Коды_код,Коды_минавт),0))))</t>
  </si>
  <si>
    <t>=IF(RC[-105]="","",IFERROR(XLOOKUP(RC[-52],Коды_код,Коды_апп)&amp;"",""))</t>
  </si>
  <si>
    <t>=IF(TRIM(RC[-99]&amp;"")="",RC[-1],RC[-99])</t>
  </si>
  <si>
    <t>=IF(TRIM(RC[-1]&amp;"")="","",IFERROR(TRIM(INDEX(TEXTSPLIT(RC[-1]&amp;";;;",";"),1)),""))</t>
  </si>
  <si>
    <t>=IF(TRIM(RC[-2]&amp;"")="","",IFERROR(TRIM(INDEX(TEXTSPLIT(RC[-2]&amp;";;;",";"),2)),""))</t>
  </si>
  <si>
    <t>=IF(TRIM(RC[-3]&amp;"")="","",IFERROR(TRIM(INDEX(TEXTSPLIT(RC[-3]&amp;";;;",";"),3)),""))</t>
  </si>
  <si>
    <t>=IF(RC[-4]="",0,IF(OR(LEFT(RC[-3],2)="T ",LEFT(RC[-3],2)="Т ",ISNUMBER(SEARCH("БП",RC[-4])),ISNUMBER(SEARCH("; T ",RC[-4])),ISNUMBER(SEARCH("; Т ",RC[-4]))),1,0))</t>
  </si>
  <si>
    <t>=IF(RC[-111]="","",LET(t,LOWER(RC[-61]&amp;""),IF(ISNUMBER(SEARCH("dim",t)),"DIM",IF(ISNUMBER(SEARCH("dali",t)),"DALI",IF(OR(ISNUMBER(SEARCH("relay",t)),ISNUMBER(SEARCH("реле",t))),"Relay",IF(ISNUMBER(SEARCH("кнопк",t)),"",IFERROR(XLOOKUP(RC[-58],Коды_код,Коды_упр)&amp;"","")))))))</t>
  </si>
  <si>
    <t>=IF(TRIM(RC[-106]&amp;"")="",RC[-1],RC[-106])</t>
  </si>
  <si>
    <t>=IF(RC[-113]="","",LET(ig,IF(N(RC[-13])&gt;0,N(RC[-13]),N(RC[-28])+IF(RC[-79]="вручную",0,N(RC[-27]))),n0,IFERROR(VLOOKUP(ig,Автомат_номиналы,2,TRUE),0),mn,MAX(RC[-9],IF(RC[-79]="вручную",0,N(RC[-24]))),MAX(n0,mn,IF(RC[-3]=1,Мин_автомат_БП,0))))</t>
  </si>
  <si>
    <t>=IF(RC[-114]="","",MAX(N(RC[-40]),IF(RC[-80]="вручную",0,N(RC[-26]))))</t>
  </si>
  <si>
    <t>=IF(RC[-115]="","",IF(N(RC[-1])&gt;=3,IF(N(RC[-12])&gt;0,"4P","3P"),IF(N(RC[-12])&gt;0,"2P","1P")))</t>
  </si>
  <si>
    <t>=LET(cc,UPPER(TRIM(IFERROR(XLOOKUP(RC[-63],Коды_код,Коды_хар)&amp;"",""))),IF(OR(cc="B",cc="В"),"B",IF(cc="D","D","С")))</t>
  </si>
  <si>
    <t>=IF(RC[-117]="","",IF(RC[-34]=0,IF(AND(AND(NOT(OR(RC[-66]=1,RC[-118]&lt;&gt;R[-1]C[-118])),RC[-83]&lt;&gt;"вручную",IF(RC[-66]=1,"",R[-1]C[4])="ok"),IF(RC[-66]=1,"",R[-1]C[6])&lt;&gt;""),"↑ "&amp;IF(RC[-66]=1,"",R[-1]C[6]),""),IF(N(RC[-4])=0,"",RC[-2]&amp;" "&amp;RC[-1]&amp;RC[-4]&amp;"А"&amp;IF(N(RC[-14])&gt;0," "&amp;RC[-14]&amp;"мА",""))))</t>
  </si>
  <si>
    <t>=IF(TRIM(RC[-113]&amp;"")="",RC[-1],RC[-113])</t>
  </si>
  <si>
    <t>=IF(RC[-36]=0,"",LET(v,TRIM(RC[-1]&amp;""),IF(v="","",IF(ISNUMBER(--v),RC[-4]&amp;" "&amp;RC[-3]&amp;(--v)&amp;"А"&amp;IF(N(RC[-16])&gt;0," "&amp;RC[-16]&amp;"мА",""),IF(ISNUMBER(SEARCH("P",UPPER(v))),v,RC[-4]&amp;" "&amp;v)))))</t>
  </si>
  <si>
    <t>=IF(RC[-1]="","",LET(t,SUBSTITUTE(SUBSTITUTE(SUBSTITUTE(UPPER(RC[-1]),"С","C"),"А","A"),"В","B"),tk,TEXTSPLIT(t," "),f,FILTER(tk,ISNUMBER(--MID(tk,2,1))*ISNUMBER(SEARCH(LEFT(tk,1)&amp;"#","B#C#D#"))*(LEN(tk)&gt;1),""),x,INDEX(f,1),IFERROR(--SUBSTITUTE(MID(x,2,9),"A",""),IFERROR(--SUBSTITUTE(INDEX(FILTER(tk,ISNUMBER(--SUBSTITUTE(tk,"A","")),""),1),"A",""),""))))</t>
  </si>
  <si>
    <t>=IF(RC[-38]=1,IF(RC[-87]="вручную","узел","ok"),IF(OR(OR(RC[-70]=1,RC[-122]&lt;&gt;R[-1]C[-122]),RC[-87]="вручную"),"",IF(RC[-70]=1,"",R[-1]C)))</t>
  </si>
  <si>
    <t>=IF(RC[-39]=1,RC[-2],IF(AND(NOT(OR(RC[-71]=1,RC[-123]&lt;&gt;R[-1]C[-123])),RC[-88]&lt;&gt;"вручную",IF(RC[-71]=1,"",R[-1]C[-1])="ok"),IF(RC[-71]=1,"",R[-1]C),""))</t>
  </si>
  <si>
    <t>=IF(RC[-40]=1,RC[-4],IF(AND(NOT(OR(RC[-72]=1,RC[-124]&lt;&gt;R[-1]C[-124])),RC[-89]&lt;&gt;"вручную",IF(RC[-72]=1,"",R[-1]C[-2])="ok"),IF(RC[-72]=1,"",R[-1]C),""))</t>
  </si>
  <si>
    <t>=IF(RC[-41]=1,RC[-21],IF(AND(NOT(OR(RC[-73]=1,RC[-125]&lt;&gt;R[-1]C[-125])),RC[-90]&lt;&gt;"вручную",IF(RC[-73]=1,"",R[-1]C[-3])="ok"),IF(RC[-73]=1,"",R[-1]C),""))</t>
  </si>
  <si>
    <t>=IF(OR(N(RC[-1])&gt;0,RC[-30]&lt;&gt;""),1,0)</t>
  </si>
  <si>
    <t>=IF(RC[-43]=1,RC[-16],IF(AND(NOT(OR(RC[-75]=1,RC[-127]&lt;&gt;R[-1]C[-127])),RC[-92]&lt;&gt;"вручную",IF(RC[-75]=1,"",R[-1]C[-5])="ok"),N(IF(RC[-75]=1,"",R[-1]C)),0))</t>
  </si>
  <si>
    <t>=IF(RC[-44]=1,IF(N(RC[-27])&gt;0,N(RC[-27]),N(RC[-42])+IF(RC[-93]="вручную",0,N(RC[-41]))),"")</t>
  </si>
  <si>
    <t>=IF(N(RC[-50])=1,1,IF(RC[-54]=1,1,IF(N(RC[-50])&gt;=4,0.92,1)))</t>
  </si>
  <si>
    <t>=IF(ISNUMBER(RC[-89]),RC[-89],К_прокл)</t>
  </si>
  <si>
    <t>=IF(N(RC[-52])=1,1,IF(RC[-56]=1,2,3))</t>
  </si>
  <si>
    <t>=IFERROR(N(VLOOKUP(RC[-55],Кабель_обозначение,3,FALSE)),1)</t>
  </si>
  <si>
    <t>=IFERROR(N(XLOOKUP(RC[-133],Щиты[Щит],Щиты[ΔU до шин, %])),0)</t>
  </si>
  <si>
    <t>=IFERROR(XLOOKUP(RC[-134],Щиты[Щит],Щиты[Zпетли на шинах, Ом]),"")</t>
  </si>
  <si>
    <t>=IFERROR(N(XLOOKUP(RC[-135],Щиты[Щит],Щиты[ΔU до шин (подбор), %])),0)</t>
  </si>
  <si>
    <t>=IFERROR(XLOOKUP(RC[-136],Щиты[Щит],Щиты[Zпетли на шинах (подбор), Ом]),"")</t>
  </si>
  <si>
    <t>=IF(COUNT(RC[-90],RC[-89])=0,"",ROUNDUP(SUM(RC[-90],RC[-89]),0))</t>
  </si>
  <si>
    <t>=IF(TRIM(RC[-128]&amp;"")="",RC[-1],RC[-128])</t>
  </si>
  <si>
    <t>=IF(RC[-64]=1,2,IF(RC[-64]=3,1,""))</t>
  </si>
  <si>
    <t>=IFERROR(ROUND(SIN(ACOS(RC[-58])),2),"")</t>
  </si>
  <si>
    <t>=IF(RC[-140]="","",IF(RC[-68]=1,dU_LED,IF(IFERROR(XLOOKUP(RC[-87],Коды_код,Коды_уго),"")="Светильник",3,4)+IF(Методика="нормы 2026",MIN(0.5,MAX(0,N(RC[-126])-100)*0.005),0)))</t>
  </si>
  <si>
    <t>=IF(OR(RC[-141]="",RC[-65]="",RC[-10]&lt;&gt;1),"",LET(sz,Iдоп_S,t_,CHOOSE(RC[-11],Iдоп_1ж,Iдоп_2ж,Iдоп_3ж)*RC[-13]*RC[-12],dcx,RC[-69]=1,inn,IF(dcx,N(RC[-128]),N(RC[-19])),smin,MAX(1.5,RC[-62]),L_,N(RC[-127]),rho,XLOOKUP(sz,INDEX(Кабель_сопротивление,0,1),INDEX(Кабель_сопротивление,0,3),""),xx,XLOOKUP(sz,INDEX(Кабель_сопротивление,0,1),INDEX(Кабель_сопротивление,0,2),""),du_,IF(dcx,IFERROR(2*rho*L_/sz*N(RC[-128])/N(RC[-70])*100,999),IFERROR(N(RC[-3])*(rho*L_/sz*N(RC[-60])+xx*L_*N(RC[-2])/1000)*N(RC[-128])/((Uн_лин/SQRT(3))*1000)*100,999)),kz,IF(OR(dcx,RC[-16]=1,NOT(ISNUMBER(RC[-6])),L_=0,inn=0),1,IFERROR(--(c_min*(Uн_лин*1000/SQRT(3))/(RC[-6]+2*ρкз_Cu*L_/sz)&gt;=RC[85]*inn),0)),ok,IFERROR((sz&gt;=smin)*(t_&gt;=inn)*IF(L_&gt;0,(du_+IF(dcx,0,RC[-7])&lt;=RC[-1]+0.00001),1)*kz,0),r_,FILTER(sz,ok,"не подобрано"),INDEX(r_,1)))</t>
  </si>
  <si>
    <t>=IF(RC[-142]="","",IF(TRIM(RC[-134]&amp;"")="",RC[-1],RC[-134]))</t>
  </si>
  <si>
    <t>=IF(OR(RC[-143]="",RC[-67]="",RC[-12]&lt;&gt;1),"",LET(sz,Iдоп_S,t_,CHOOSE(RC[-13],Iдоп_1ж,Iдоп_2ж,Iдоп_3ж)*RC[-15]*RC[-14],ok,IFERROR((sz&gt;=MAX(1.5,RC[-64]))*(t_&gt;=N(RC[-21])),0),r_,FILTER(sz,ok,""),INDEX(r_,1)))</t>
  </si>
  <si>
    <t>=IFERROR(ROUNDUP(N(RC[-6])*(XLOOKUP(RC[-1],INDEX(Кабель_сопротивление,0,1),INDEX(Кабель_сопротивление,0,3))*N(RC[-130])/RC[-1]*N(RC[-63])+XLOOKUP(RC[-1],INDEX(Кабель_сопротивление,0,1),INDEX(Кабель_сопротивление,0,2))*N(RC[-130])*N(RC[-5])/1000)*N(RC[-131])/((Uн_лин/SQRT(3))*1000)*100,2),"")</t>
  </si>
  <si>
    <t>=IFERROR(2*ρкз_Cu*N(RC[-131])/RC[-2],"")</t>
  </si>
  <si>
    <t>=IFERROR(VLOOKUP(RC[-4],Кабель_сопротивление,3,FALSE),"")</t>
  </si>
  <si>
    <t>=IFERROR(VLOOKUP(RC[-5],Кабель_сопротивление,2,FALSE),"")</t>
  </si>
  <si>
    <t>=IF(RC[-106]&lt;&gt;"",RC[-106],IF(OR(RC[-11]="",RC[-104]=""),"",IF(RC[-104]=1,MAX(0,RC[-134]-ROUNDUP(N(RC[-101]),0)-4),ROUNDUP(N(RC[-102]),0))))</t>
  </si>
  <si>
    <t>=IF(RC[-106]&lt;&gt;"",RC[-106],IF(OR(RC[-12]="",RC[-105]=""),"",IF(RC[-105]=2,MAX(0,RC[-135]-ROUNDUP(N(RC[-103]),0)-4),ROUNDUP(N(RC[-102]),0))))</t>
  </si>
  <si>
    <t>=IFERROR(IF(RC[-78]=1,2*RC[-4]*RC[-136]/RC[-8]*RC[-137],RC[-12]*(RC[-4]*RC[-136]/RC[-8]*RC[-69]+RC[-3]*RC[-136]*RC[-11]/1000)*RC[-137]),"")</t>
  </si>
  <si>
    <t>=IFERROR(ROUNDUP(RC[-1]/IF(RC[-79]=1,RC[-80],(Uн_лин/SQRT(3))*1000)*100,2),"")</t>
  </si>
  <si>
    <t>=IFERROR(VLOOKUP(RC[-76],Кабель_обозначение,2,FALSE),"")</t>
  </si>
  <si>
    <t>=IFERROR(IF(RC[-22]=1,IF(ISNUMBER(RC[-11]),RC[-1]&amp;" ("&amp;RC[-75]&amp;"х"&amp;RC[-11]&amp;")",RC[-1]),RC[-1]),"")</t>
  </si>
  <si>
    <t>=IF(OR(RC[-154]="",RC[-2]="",AND(RC[-86]&lt;&gt;"",NOT(ISNUMBER(RC[-86])))),"",IF(N(RC[-12])=0,RC[-2],RC[-1]&amp;IF(N(RC[-140])=0,"",CHAR(10)&amp;"L="&amp;RC[-140]&amp;"-"&amp;RC[-3]&amp;"%")))</t>
  </si>
  <si>
    <t>=IFERROR(2*ρкз_Cu*RC[-141]/RC[-13],"")</t>
  </si>
  <si>
    <t>=IFERROR(0.0175*N(RC[-142])/RC[-14],"")</t>
  </si>
  <si>
    <t>=IFERROR(IF(OR(RC[-157]="",RC[-85]=1,NOT(ISNUMBER(RC[-15])),N(RC[-143])=0),"",XLOOKUP(RC[-158],Щиты[Щит],Щиты[Zпетли на шинах, Ом])+RC[-2]),"")</t>
  </si>
  <si>
    <t>=IF(ISNUMBER(RC[-1]),c_min*(Uн_лин*1000/SQRT(3))/RC[-1],"")</t>
  </si>
  <si>
    <t>=IFERROR(IF(OR(RC[-159]="",NOT(ISNUMBER(RC[-17]))),"",1.05*(Uн_лин*1000/SQRT(3))/(XLOOKUP(RC[-160],Щиты[Щит],Щиты[Zmax на шинах, Ом])+RC[-3])/1000),"")</t>
  </si>
  <si>
    <t>=IF(RC[-160]="","",IF(ISNUMBER(RC[-133]),"Сил",IF(IFERROR(XLOOKUP(RC[-107],Коды_код,Коды_группа)&amp;"","")="","Быт",XLOOKUP(RC[-107],Коды_код,Коды_группа)&amp;"")))</t>
  </si>
  <si>
    <t>=IF(RC[-161]="","",IF(RC[-103]&lt;&gt;"","Щит",IF(TRIM(RC[-135]&amp;"")="",RC[-1],RC[-135])))</t>
  </si>
  <si>
    <t>=IF(RC[-1]="Щит","щит",IF(RC[-1]="","",IF(RC[-1]="Быт",IFERROR(XLOOKUP(RC[-163],Щиты[Щит],Щиты[Кс быт]),1),IF(RC[-1]="Сил",IF(ISNUMBER(RC[-135]),RC[-135],IF(Методика="нормы 2026",IFERROR(XLOOKUP(RC[-163],Щиты[Щит],Щиты[Кс силовых (табл. 7.5)]),1),1)),IF(OR(RC[-1]="Пост",RC[-1]="Отоп"),1,IF(RC[-1]="ВНГ",0.7,0))))))</t>
  </si>
  <si>
    <t>=IF(RC[-2]="","",IF(AND(RC[-97]=1,TRIM(RC[-134]&amp;"")=""),IF(COUNTIFS([Щит],RC[-164],[Секция (1/2/3)],"&gt;=2")&gt;0,MIN(3,MAX(1,IFERROR(--RC[-109],1))),1),IFERROR(MIN(3,MAX(1,INT(--RC[-134]))),1)))</t>
  </si>
  <si>
    <t>=IF(OR(RC[-3]="",RC[-3]="Нет",RC[-3]="Щит"),0,N(RC[-95]))</t>
  </si>
  <si>
    <t>=IF(RC[-4]="Быт",N(RC[-96]),0)</t>
  </si>
  <si>
    <t>=IF(RC[-5]="Сил",N(RC[-97])*N(RC[-4]),0)</t>
  </si>
  <si>
    <t>=IF(RC[-6]="Пост",N(RC[-98]),0)</t>
  </si>
  <si>
    <t>=IF(RC[-7]="Отоп",N(RC[-99]),0)</t>
  </si>
  <si>
    <t>=IF(RC[-8]="ВНГ",N(RC[-100])*0.7,0)</t>
  </si>
  <si>
    <t>=IF(OR(RC[-170]="",RC[-9]="Нет"),0,N(RC[-101]))</t>
  </si>
  <si>
    <t>=IF(OR(RC[-171]="",RC[-10]="Щит",RC[-10]="Нет"),0,N(RC[-102]))</t>
  </si>
  <si>
    <t>=IF(OR(RC[-172]="",RC[-11]="Щит",RC[-11]="Нет"),0,N(RC[-103])*N(RC[-91]))</t>
  </si>
  <si>
    <t>=IF(RC[-90]=1,IF(AND(RC[-89]=1,RC[-74]=1),0,IF(AND(RC[-78]&lt;&gt;"",RC[-78]=RC[-122],RC[-74]=1),SUMIFS([_Р линии, кВт],[_блок УЗО],RC[-122],[Щит],RC[-174]),N(RC[-104])+IF(RC[-139]="вручную",0,N(RC[-86])))),0)</t>
  </si>
  <si>
    <t>=IF(RC[-174]="","",IF(ISFORMULA(RC[-164]),"",LET(v,UPPER(SUBSTITUTE(TRIM(RC[-164]&amp;"")," ","")),IF(v="","",IF(OR(v="1,2,3",v="L1,L2,L3",v="123",v="3Ф"),"L1,L2,L3",IF(OR(v="1",v="2",v="3"),"L"&amp;v,IF(OR(v="L1",v="L2",v="L3"),v,"")))))))</t>
  </si>
  <si>
    <t>=IF(RC[-175]="","",IF(RC[-92]=0,IF(RC[-124]=1,"",R[-1]C[2]),IF(AND(RC[-91]=1,RC[-76]=1,RC[-80]&lt;&gt;""),IFERROR(XLOOKUP(RC[-80],[_n],[_фаза итог]),"L1"),IF(OR(N(RC[-61])&gt;=3,N(RC[-101])&gt;=3),"L1,L2,L3",IFERROR(TEXTBEFORE(TEXTAFTER(XLOOKUP(RC[-176],Щиты[Щит],Щиты[_фазы авто]),";"&amp;RC[-124]&amp;":"),";"),"L1")))))</t>
  </si>
  <si>
    <t>=IF(RC[-176]="","",LET(v,UPPER(SUBSTITUTE(TRIM(RC[-166]&amp;"")," ","")),IF(v="",RC[-1],IF(OR(v="1,2,3",v="L1,L2,L3",v="123",v="3Ф"),"L1,L2,L3",IF(OR(v="1",v="2",v="3"),"L"&amp;v,IF(OR(v="L1",v="L2",v="L3"),v,IF(v="УПР","",v)))))))</t>
  </si>
  <si>
    <t>=IF(RC[-94]=1,RC[-1],IF(AND(NOT(OR(RC[-126]=1,RC[-178]&lt;&gt;R[-1]C[-178])),RC[-143]&lt;&gt;"вручную",IF(RC[-126]=1,"",R[-1]C[-56])="ok"),IF(RC[-126]=1,"",R[-1]C),""))</t>
  </si>
  <si>
    <t>=IFERROR(IF(RC[-98]=2,IFS(RC[-104]=3,VLOOKUP(RC[-109],Справочная_двигатели,3,FALSE),RC[-104]=1,VLOOKUP(RC[-109],Справочная_двигатели,5,TRUE)),0),0)</t>
  </si>
  <si>
    <t>=IFERROR(IF(RC[-99]=3,VLOOKUP(RC[-110],Справочная_ЛЭД,2,TRUE),0),0)</t>
  </si>
  <si>
    <t>=IF(RC[-180]="","",IF(RC[-2]=0,RC[-1],RC[-2]))</t>
  </si>
  <si>
    <t>=IF(RC[-181]="","",IF(TRIM(RC[-149]&amp;"")&lt;&gt;"",IF(LOWER(TRIM(RC[-149]&amp;""))="да","да","нет"),IF(IFERROR(XLOOKUP(RC[-128],Коды_код,Коды_пожарная),"")="да","да","нет")))</t>
  </si>
  <si>
    <t>=IF(RC[-152]&lt;&gt;"",RC[-152],IF(RC[-99]=1,"",IF(RC[19]="","",IF(RC[-131]=1,"",R[-1]C))))</t>
  </si>
  <si>
    <t>=IF(RC[-183]="","",IF(RC[-1]="","основная",RC[-1]))</t>
  </si>
  <si>
    <t>=IF(AND(RC[-118]=1,TRIM(RC[-155]&amp;"")=""),IF(COUNTIFS([Щит],RC[-185],[Секция (1/2/3)],"&gt;=2")&gt;0,MIN(3,MAX(1,IFERROR(--RC[-130],1))),1),IFERROR(MIN(3,MAX(1,INT(--RC[-155]))),1))</t>
  </si>
  <si>
    <t>=IF(RC[-185]="","",LET(t,IFERROR(XLOOKUP(1,(Шины[Шина]=RC[-2])*(((Шины[Щит]=RC[-186])+(Шины[Щит]=""))&gt;0),Шины[Тип]),"")&amp;"",IF(t&lt;&gt;"",t,IF(ISNUMBER(SEARCH("ИБП",RC[-2])),"ИБП",IF(ISNUMBER(SEARCH("ДГУ",RC[-2])),"ДГУ","Ввод "&amp;RC[-1])))))</t>
  </si>
  <si>
    <t>=IF(RC[-186]="","",IF(OR(RC[-1]="ИБП",RC[-1]="ДГУ"),RC[-1],IF(LEFT(RC[-1],5)="Ввод ",RC[-1],"Ввод "&amp;RC[-2])))</t>
  </si>
  <si>
    <t>=IF(RC[-121]=0,"",IF(TRIM(RC[-156]&amp;"")&lt;&gt;"",TRIM(RC[-156]&amp;""),IF(OR(RC[-2]="ИБП",RC[-2]="ДГУ"),"I особая",XLOOKUP(RC[-188],Щиты[Щит],Щиты[Категория шины «Ввод»],"III"))))</t>
  </si>
  <si>
    <t>=IF(RC[-189]="","",XLOOKUP(RC[-189],Щиты[Щит],Щиты[Путь],""))</t>
  </si>
  <si>
    <t>=IF(RC[-189]="","",IF(RC[-156]&lt;&gt;"",RC[-156],IF(IFERROR(XLOOKUP(RC[-136],Коды_код,Коды_вид)&amp;"","")="","Прочее",XLOOKUP(RC[-136],Коды_код,Коды_вид)&amp;"")))</t>
  </si>
  <si>
    <t>=IF(RC[-127]="","",INT((RC[-127]-1)/Столбцов_на_лист)+1)</t>
  </si>
  <si>
    <t>=IF(RC[-191]="","",SUBSTITUTE(RC[-37],CHAR(10)," "))</t>
  </si>
  <si>
    <t>=IF(RC[-192]="","",IFERROR(--RC[-123],""))</t>
  </si>
  <si>
    <t>=IF(RC[-193]="","",IFERROR(ROUNDUP(RC[-180],2),""))</t>
  </si>
  <si>
    <t>=IF(RC[-194]="","",IFERROR(--RC[-120],1))</t>
  </si>
  <si>
    <t>=IF(OR(RC[-159]="+",AND(RC[-195]&lt;&gt;"",RC[-195]=IF(RC[-144]=1,"",R[-1]C[-195]))),1,0)</t>
  </si>
  <si>
    <t>=IF(OR(RC[-133]="",RC[-162]="вручную",AND(RC[-132]="вводной узел",RC[-162]&lt;&gt;"рисовать")),0,1)</t>
  </si>
  <si>
    <t>=IF(RC[-134]="","",IF(AND(RC[-114]=1,RC[-1]=1),COUNTIFS(R3C[-198]:RC[-198],RC[-198],R3C[-114]:RC[-114],1,R3C[-1]:RC[-1],1),IF(OR(OR(RC[-146]=1,RC[-198]&lt;&gt;R[-1]C[-198]),RC[-163]="вручную",RC[-1]=0),"",IF(RC[-146]=1,"",R[-1]C[1]))))</t>
  </si>
  <si>
    <t>=IF(RC[-135]="",IF(OR(RC[-147]=1,RC[-199]&lt;&gt;R[-1]C[-199]),"",IF(RC[-147]=1,"",R[-1]C)),RC[-1])</t>
  </si>
  <si>
    <t>=IF(RC[-199]="","",IFERROR(LOOKUP(INDEX(CHOOSE(RC[-69],Iдоп_1ж,Iдоп_2ж,Iдоп_3ж),MATCH(RC[-57],Iдоп_S,0))*RC[-71]*RC[-70],{6,10,16,20,25,32,40,50,63,80,100,125,160,200,250,315,400,500,630}),""))</t>
  </si>
  <si>
    <t>=IF(AND(RC[-117]=1,RC[-4]=1,RC[-3]&lt;&gt;""),IF(N(RC[-97])&gt;0,"QFD","QF")&amp;RC[-3],"")</t>
  </si>
  <si>
    <t>=IF(RC[-1]&lt;&gt;"",RC[-1],IF(OR(OR(RC[-150]=1,RC[-202]&lt;&gt;R[-1]C[-202]),RC[-167]="вручную"),"",IF(RC[-150]=1,"",R[-1]C)))</t>
  </si>
  <si>
    <t>=IF(RC[-2]&lt;&gt;"",TEXTJOIN(" → ",TRUE,RC[-95],RC[-94],RC[-93]),IF(RC[-1]="","",IF(RC[-151]=1,"",R[-1]C)))</t>
  </si>
  <si>
    <t>=IF(RC[-1]="",0,IF(OR(LEFT(RC[-1],2)="T ",LEFT(RC[-1],2)="Т ",ISNUMBER(SEARCH("→ T ",RC[-1])),ISNUMBER(SEARCH("→ Т ",RC[-1])),ISNUMBER(SEARCH("БП",RC[-1]))),1,0))</t>
  </si>
  <si>
    <t>=IF(OR(RC[-204]="",RC[-92]=""),"",IFERROR(XLOOKUP(RC[-92],Модули_умолч[Управление],Модули_умолч[Модель])&amp;"",""))</t>
  </si>
  <si>
    <t>=IF(RC[-93]="",1,IFERROR(MAX(0,N(XLOOKUP(RC[-93],Модули_умолч[Управление],Модули_умолч[Каналов на линию]))),1))</t>
  </si>
  <si>
    <t>=IF(ISFORMULA(RC[-171]),"",TRIM(RC[-171]&amp;""))</t>
  </si>
  <si>
    <t>=IF(RC[-1]="-","",IF(RC[-1]&lt;&gt;"","M",IF(AND(NOT(OR(RC[-156]=1,RC[-208]&lt;&gt;R[-1]C[-208])),IF(RC[-156]=1,"",R[-1]C)="M"),"M",IF(RC[-3]&lt;&gt;"","A",IF(AND(NOT(OR(RC[-156]=1,RC[-208]&lt;&gt;R[-1]C[-208])),IF(RC[-156]=1,"",R[-1]C)="A",RC[-207]="",OR(RC[-171]="р",RC[-171]="+",RC[-171]="=")),"A","")))))</t>
  </si>
  <si>
    <t>=IF(RC[-1]="A",IF(RC[-4]&lt;&gt;"",RC[-4],IF(RC[-157]=1,"",R[-1]C)),"")</t>
  </si>
  <si>
    <t>=IF(RC[-1]="",0,IFERROR(N(VLOOKUP(RC[-1],Модули_спр,3,FALSE)),0))</t>
  </si>
  <si>
    <t>=IF(RC[-3]="A",IF(OR(OR(RC[-159]=1,RC[-211]&lt;&gt;R[-1]C[-211]),IF(RC[-159]=1,"",R[-1]C[-3])&lt;&gt;"A",IF(RC[-159]=1,"",R[-1]C[-2])&lt;&gt;RC[-2],AND(RC[-1]&gt;0,RC[-5]&gt;0,N(IF(RC[-159]=1,"",R[-1]C[7]))+RC[-5]&gt;RC[-1])),RC[-2],""),IF(AND(RC[-3]="",NOT(OR(RC[-159]=1,RC[-211]&lt;&gt;R[-1]C[-211])),IF(RC[-159]=1,"",R[-1]C[-3])="A",RC[-4]=""),"-",""))</t>
  </si>
  <si>
    <t>=IF(RC[-5]&lt;&gt;"",RC[-5],RC[-1])</t>
  </si>
  <si>
    <t>=IF(OR(RC[-1]="",RC[-1]="-"),"",IFERROR(VLOOKUP(RC[-1],Модули_спр,2,FALSE),"R"))</t>
  </si>
  <si>
    <t>=IF(RC[-1]="","",RC[-1]&amp;"."&amp;COUNTIFS(R3C[-214]:RC[-214],RC[-214],R3C[-1]:RC[-1],RC[-1]))</t>
  </si>
  <si>
    <t>=IF(RC[-3]="-","",IF(RC[-1]&lt;&gt;"",RC[-1],IF(OR(RC[-163]=1,RC[-215]&lt;&gt;R[-1]C[-215]),"",IF(RC[-163]=1,"",R[-1]C))))</t>
  </si>
  <si>
    <t>=IF(RC[-1]="","",IF(AND(RC[-4]&lt;&gt;"",RC[-4]&lt;&gt;"-"),RC[-4],IF(RC[-164]=1,"",R[-1]C)))</t>
  </si>
  <si>
    <t>=IF(RC[-180]="=",IF(RC[-165]=1,"",R[-1]C[1]),IF(ISNUMBER(RC[-180]),RC[-180],IF(RC[-2]="","",IF(OR(RC[-216]&lt;&gt;"",RC[-180]="+",RC[-180]="р"),IF(OR(RC[-3]&lt;&gt;"",IF(RC[-165]=1,"",R[-1]C[1])=""),1,IF(RC[-165]=1,"",R[-1]C[1])+IF(RC[-11]=0,0,1)),""))))</t>
  </si>
  <si>
    <t>=IF(RC[-1]&lt;&gt;"",MAX(RC[-1],RC[-1]+RC[-12]-1),IF(OR(OR(RC[-166]=1,RC[-218]&lt;&gt;R[-1]C[-218]),RC[-6]="-",RC[-4]&lt;&gt;""),"",IF(RC[-166]=1,"",R[-1]C)))</t>
  </si>
  <si>
    <t>=IF(OR(RC[-182]="б/к",RC[-184]="вручную"),0,IF(OR(RC[-64]&lt;&gt;"",RC[-182]="+",RC[-182]="="),1,0))</t>
  </si>
  <si>
    <t>=IF(RC[-1]=1,"XT"&amp;COUNTIFS(R3C[-220]:RC[-220],RC[-220],R3C[-1]:RC[-1],1),"")</t>
  </si>
  <si>
    <t>=LET(v,TRIM(RC[-209]&amp;""),IF(v="нет","",IF(v="",RC[-1],v)))</t>
  </si>
  <si>
    <t>=IF(OR(RC[-221]&lt;&gt;"",RC[-5]&lt;&gt;"",RC[-3]=1),RC[-20],"")</t>
  </si>
  <si>
    <t>=IF(OR(RC[-6]&lt;&gt;"",AND(RC[-11]&lt;&gt;"",RC[-11]&lt;&gt;"-")),RC[-8],"")</t>
  </si>
  <si>
    <t>=IF(RC[-223]="","",IF(AND(RC[-140]=1,RC[-104]&lt;&gt;"",RC[-103]=""),"номинал автомата не распознан",IF(RC[-101]="",IF(RC[-141]=1,"«гр»: нет автомата выше",""),IF(AND(RC[-140]=1,N(RC[-96])&gt;N(RC[-101])),"ПЕРЕГРУЗ",IF(AND(N(RC[-97])=0,ISNUMBER(RC[-24]),N(RC[-24])&lt;N(RC[-101])),"КАБЕЛЬ НЕ ЗАЩИЩЁН","ok")))))</t>
  </si>
  <si>
    <t>=IF(OR(RC[-8]="",RC[-10]=""),"",IF(RC[-8]+MAX(0,RC[-19]-1)&gt;IFERROR(VLOOKUP(RC[-9],Модули_спр,3,FALSE),99),"ЛИШНИЙ КАНАЛ",IF(AND(RC[-188]&lt;&gt;"=",RC[-19]&gt;0,COUNTIFS([_модуль гр.],RC[-10],[Канал (итог)],RC[-8],[Канал],"&lt;&gt;=",[Щит],RC[-225])&gt;1),"ДУБЛЬ КАНАЛА","")))</t>
  </si>
  <si>
    <t>=IFERROR(IF(ISNUMBER(RC[-67]),RC[-67]/N(RC[-103]),""),"")</t>
  </si>
  <si>
    <t>=IF(OR(ISNUMBER(SEARCH(" B"," "&amp;RC[-103])),ISNUMBER(SEARCH(" В"," "&amp;RC[-103]))),5,IF(ISNUMBER(SEARCH(" D"," "&amp;RC[-103])),20,10))</t>
  </si>
  <si>
    <t>=IF(NOT(ISNUMBER(RC[-2])),"",IF(RC[-2]&gt;=RC[-1],"ok",IF(N(RC[-102])=1,"ok (дифзащита "&amp;IF(RC[-132]&lt;&gt;"",RC[-129],RC[-103])&amp;" мА)","мало: Iкз &lt; "&amp;RC[-1]&amp;"·In")))</t>
  </si>
  <si>
    <t>=IF(OR(RC[-228]="",RC[-170]&lt;&gt;"",RC[-162]=1),0,0.4*N(RC[-143])+IF(RC[-156]=1,0,0.01*N(RC[-214])))</t>
  </si>
  <si>
    <t>=IF(AND(R[1]C[-230]=RC[-230],R[1]C[-195]&lt;&gt;"вручную",OR(R[1]C[-229]="",R[1]C[-147]=1)),IF(R[1]C[-229]="",0,N(R[1]C[-1]))+N(R[1]C),0)</t>
  </si>
  <si>
    <t>=IF(RC[-158]=1,N(RC[-159])+N(RC[-80]),0)</t>
  </si>
  <si>
    <t>=IF(RC[-159]=1,(N(RC[-160])+N(RC[-81]))*N(RC[-218]),0)</t>
  </si>
  <si>
    <t>=IF(AND(R[1]C[-233]=RC[-233],R[1]C[-198]&lt;&gt;"вручную",OR(R[1]C[-232]="",R[1]C[-150]=1)),IF(R[1]C[-232]="",0,N(R[1]C[-1]))+N(R[1]C),0)</t>
  </si>
  <si>
    <t>=IF(AND(R[1]C[-234]=RC[-234],R[1]C[-199]&lt;&gt;"вручную",OR(R[1]C[-233]="",R[1]C[-151]=1)),MAX(IF(R[1]C[-233]="",0,N(R[1]C[-3])),N(R[1]C)),0)</t>
  </si>
  <si>
    <t>=IF(AND(R[1]C[-235]=RC[-235],R[1]C[-200]&lt;&gt;"вручную",OR(R[1]C[-234]="",R[1]C[-152]=1)),IF(R[1]C[-234]="",0,N(R[1]C[-162]))+N(R[1]C),0)</t>
  </si>
  <si>
    <t>=IF(RC[-152]=0,"",IFERROR(TRIM(MID(RC[-129],SEARCH("БП",RC[-129]),40)),""))</t>
  </si>
  <si>
    <t>=IF(RC[-1]="","",LET(tk,TEXTSPLIT(SUBSTITUTE(SUBSTITUTE(RC[-1],";"," "),"→"," ")," ",,TRUE),w_,FILTER(tk,ISNUMBER(--LEFT(tk,1))*((ISNUMBER(SEARCH("W",tk))+ISNUMBER(SEARCH("Вт",tk)))&gt;0),""),IFERROR(--SUBSTITUTE(SUBSTITUTE(UPPER(INDEX(w_,1)),"W",""),"ВТ",""),"")))</t>
  </si>
  <si>
    <t>=IF(RC[-2]="","",LET(tk,TEXTSPLIT(SUBSTITUTE(SUBSTITUTE(RC[-2],";"," "),"→"," ")," ",,TRUE),v_,FILTER(tk,ISNUMBER(--LEFT(tk,1))*((ISNUMBER(SEARCH("V",tk))+(RIGHT(UPPER(tk))="В"))&gt;0),""),IFERROR(--SUBSTITUTE(SUBSTITUTE(UPPER(INDEX(v_,1)),"V",""),"В",""),"")))</t>
  </si>
  <si>
    <t>=IF(OR(RC[-166]=0,RC[-23]="",RC[-22]=""),"",IFERROR(N(XLOOKUP(RC[-23],Каталог!R4C3:R500C3,Каталог!R4C17:R500C17)),""))</t>
  </si>
  <si>
    <t>=IF(N(RC[-1])=0,"",SUMIFS([Iр, А],[Щит],RC[-240],[_модуль гр.],RC[-25],[Канал (итог)],RC[-23]))</t>
  </si>
  <si>
    <t>=IF(AND(RC[-240]="",RC[-19]=""),"",TEXTJOIN("; ",TRUE,IF(AND(RC[-240]&lt;&gt;"",RC[-64]=""),"нет фазы",""),IF(AND(RC[-240]&lt;&gt;"",N(RC[-48])=0,RC[-79]&lt;&gt;"Нет"),"нет мощности",""),IF(AND(RC[-20]&lt;&gt;"",COUNTIFS([Щит],RC[-241],[Клемма (итог)],RC[-20])&gt;1),"дубль клеммы "&amp;RC[-20],""),IF(AND(RC[-17]&lt;&gt;"",RC[-17]&lt;&gt;"ok"),RC[-17],""),IF(RC[-16]&lt;&gt;"",RC[-16],""),IF(AND(N(RC[-162])&gt;=4,N(RC[-166])=1),RC[-162]&amp;" жил на 1 фазе",""),IF(AND(RC[-187]="R",RC[-157]=1,IF(RC[-145]&lt;&gt;"",N(RC[-142])&gt;30,OR(N(RC[-137])=0,N(RC[-137])&gt;30))),"розетка без дифзащиты до 30 мА",""),IF(AND(RC[-157]=1,N(RC[-137])&gt;0,ISNUMBER(RC[-222])),IF(RC[-222]&gt;N(RC[-137])/3,"ток утечки "&amp;FIXED(RC[-222],1)&amp;" мА &gt; 1/3 уставки ("&amp;RC[-137]&amp;" мА)",""),""),IF(AND(RC[-156]=1,RC[-145]=""),"«узо»: нет строки с УЗО выше (УЗО 2P 40А 30мА в «Аппаратах»)",""),IF(AND(RC[-145]&lt;&gt;"",RC[-145]=RC[-189]),IF(RC[-144]="","впишите номинал УЗО (УЗО 2P 40А 30мА)",IF(N(RC[-144])&lt;N(RC[-118]),"УЗО "&amp;RC[-144]&amp;" А &lt; автомата "&amp;RC[-118]&amp;" А перед ним",IF(N(RC[-144])&lt;N(RC[-140]),"УЗО "&amp;RC[-144]&amp;" А &lt; тока блока "&amp;FIXED(RC[-140],1)&amp;" А",""))),""),IF(AND(RC[-145]&lt;&gt;"",RC[-145]=RC[-189],ISNUMBER(RC[-139])),IF(RC[-139]&gt;N(RC[-142])/3,"ток утечки блока УЗО "&amp;FIXED(RC[-139],1)&amp;" мА &gt; 1/3 уставки ("&amp;RC[-142]&amp;" мА)",""),""),IF(AND(RC[-157]=1,N(RC[-168])+N(RC[-6])&gt;0,RC[-5]=""),"линии до 50 В без БП: впишите в «Аппараты» (БП 24V 480W)",""),IF(AND(RC[-157]=1,ISNUMBER(RC[-4]),ISNUMBER(RC[-221])),IF(RC[-221]&gt;RC[-4],"БП "&amp;RC[-4]&amp;" Вт &lt; нужно "&amp;RC[-221]&amp;" Вт (×"&amp;Запас_БП&amp;")",""),""),IF(AND(RC[-157]=1,ISNUMBER(RC[-3]),N(RC[-168])=1),IF(RC[-3]&lt;&gt;N(RC[-169]),"БП на "&amp;RC[-3]&amp;" В, линия "&amp;RC[-169]&amp;" В",""),""),IF(AND(N(RC[-2])&gt;0,N(RC[-1])&gt;N(RC[-2])),RC[-26]&amp;" канал "&amp;RC[-24]&amp;": "&amp;FIXED(RC[-1],1)&amp;" А &gt; "&amp;RC[-2]&amp;" А",""),IFERROR(IF(AND(ISNUMBER(RC[-225]),RC[-225]&gt;RC[-100]),"потери "&amp;FIXED(RC[-225],1)&amp;" % &gt; "&amp;RC[-100]&amp;" %",""),""),IFERROR(IF(LEFT(RC[-13],4)="мало","Iкз мало — отключение &gt; 0,4 с",""),""),IF(AND(RC[-240]&lt;&gt;"",RC[-177]=""),"не на схеме",""),IF(AND(RC[-157]=0,RC[-240]&lt;&gt;"",RC[-64]&lt;&gt;"",IF(RC[-189]=1,"",R[-1]C[-63])&lt;&gt;"",RC[-64]&lt;&gt;IF(RC[-189]=1,"",R[-1]C[-63])),"фаза не как у автомата группы ("&amp;IF(RC[-189]=1,"",R[-1]C[-63])&amp;")","")))</t>
  </si>
  <si>
    <t>=IF(OR(RC[-158]=0,RC[-122]=""),"",LET(t,IFERROR(XLOOKUP(RC[-122],Каталог!R4C21:R500C21,Каталог!R4C7:R500C7),""),k,SEARCH("кА",t),IFERROR(--TRIM(RIGHT(SUBSTITUTE(MID(t,MAX(1,k-4),k-MAX(1,k-4))," ",REPT(" ",9)),5)),"")))</t>
  </si>
  <si>
    <t>=IF(OR(RC[-1]="",RC[-159]=0),"",IF(XLOOKUP(RC[-243],Щиты[Щит],Щиты[Iкз max на шинах, кА],"")="","",IF(RC[-1]&lt;XLOOKUP(RC[-243],Щиты[Щит],Щиты[Iкз max на шинах, кА]),"Icu "&amp;RC[-1]&amp;" кА &lt; Iкз max","ok")))</t>
  </si>
  <si>
    <t>=IF(OR(AND(RC[-192]&gt;1,N(R[-1]C[-192])&lt;&gt;RC[-192]-1),AND(R[1]C[-192]&lt;&gt;"",N(R[1]C[-192])&lt;&gt;RC[-192]+1)),"строки сдвинуты (вставка или удаление) — нажмите «Починить формулы»","")</t>
  </si>
  <si>
    <t>=IF(OR(RC[-210]="вручную",RC[-181]="",AND(RC[-244]="",RC[-24]="")),"",TEXTJOIN("|",TRUE,RC[-43],SUBSTITUTE(RC[-42]," → ","|"),IF(RC[-30]&lt;&gt;"",RC[-30]&amp;IF(RC[-28]&lt;&gt;""," к."&amp;RC[-28],""),""),RC[-24]))</t>
  </si>
  <si>
    <t>=IF(RC[-1]="","",RC[-1]&amp;IF(RC[-245]&lt;&gt;"","|кабель "&amp;RC[-92]&amp;" → "&amp;RC[-185],""))</t>
  </si>
  <si>
    <t>=IF(RC[-1]="","",LET(nd,TEXTSPLIT(RC[-1],"|"),IF(COLUMNS(nd)&gt;1,RC[-247]&amp;"¦"&amp;INDEX(nd,1)&amp;"¦"&amp;INDEX(nd,2),"")))</t>
  </si>
  <si>
    <t>=IF(RC[-1]="","",RC[-247]&amp;"¦"&amp;RC[-187])</t>
  </si>
  <si>
    <t>=IF(RC[-3]="","",LET(nd,TEXTSPLIT(RC[-3],"|"),IF(COLUMNS(nd)&gt;2,RC[-249]&amp;"¦"&amp;INDEX(nd,2)&amp;"¦"&amp;INDEX(nd,3),"")))</t>
  </si>
  <si>
    <t>=IF(RC[-1]="","",RC[-249]&amp;"¦"&amp;RC[-189])</t>
  </si>
  <si>
    <t>=IF(RC[-5]="","",LET(nd,TEXTSPLIT(RC[-5],"|"),IF(COLUMNS(nd)&gt;3,RC[-251]&amp;"¦"&amp;INDEX(nd,3)&amp;"¦"&amp;INDEX(nd,4),"")))</t>
  </si>
  <si>
    <t>=IF(RC[-1]="","",RC[-251]&amp;"¦"&amp;RC[-191])</t>
  </si>
  <si>
    <t>=IF(RC[-7]="","",LET(nd,TEXTSPLIT(RC[-7],"|"),IF(COLUMNS(nd)&gt;4,RC[-253]&amp;"¦"&amp;INDEX(nd,4)&amp;"¦"&amp;INDEX(nd,5),"")))</t>
  </si>
  <si>
    <t>=IF(RC[-1]="","",RC[-253]&amp;"¦"&amp;RC[-193])</t>
  </si>
  <si>
    <t>=IF(RC[-9]="","",LET(nd,TEXTSPLIT(RC[-9],"|"),IF(COLUMNS(nd)&gt;5,RC[-255]&amp;"¦"&amp;INDEX(nd,5)&amp;"¦"&amp;INDEX(nd,6),"")))</t>
  </si>
  <si>
    <t>=IF(RC[-1]="","",RC[-255]&amp;"¦"&amp;RC[-195])</t>
  </si>
  <si>
    <t>=IF(RC[-11]="","",LET(nd,TEXTSPLIT(RC[-11],"|"),IF(COLUMNS(nd)&gt;6,RC[-257]&amp;"¦"&amp;INDEX(nd,6)&amp;"¦"&amp;INDEX(nd,7),"")))</t>
  </si>
  <si>
    <t>=IF(RC[-1]="","",RC[-257]&amp;"¦"&amp;RC[-197])</t>
  </si>
  <si>
    <t>=IF(RC[-36]="","",RC[-43])</t>
  </si>
  <si>
    <t>=IF(AND(RC[-259]="",RC[-43]="",RC[-39]=""),"",TEXTJOIN(" → ",TRUE,RC[-58],RC[-57],IF(RC[-45]&lt;&gt;"",RC[-45]&amp;IF(RC[-43]&lt;&gt;""," к."&amp;RC[-43],""),IF(RC[-43]&lt;&gt;"","к."&amp;RC[-43],"")),RC[-39],IF(RC[-64]=1,"(в кабель выше)","")))</t>
  </si>
  <si>
    <t>=IF(RC[-230]="",0,1)</t>
  </si>
  <si>
    <t>=IF(RC[-61]="",0,IF(LEFT(RC[-61],3)="QFD",1,0))</t>
  </si>
  <si>
    <t>=IF(RC[-226]="=","=",IF(RC[-226]="+","+",IF(RC[-226]="р","R","")))</t>
  </si>
  <si>
    <t>=IF(RC[-156]="","",IF(OR(LEFT(RC[-156],1)="T",LEFT(RC[-156],1)="Т"),"T",IF(LEFT(UPPER(RC[-156]),2)="БП","PS",IF(OR(LEFT(UPPER(RC[-156]),2)="МК",LEFT(UPPER(RC[-156]),2)="MK"),"MK",IF(OR(LEFT(UPPER(RC[-156]),2)="КМ",LEFT(UPPER(RC[-156]),2)="KM"),"KM","X")))))</t>
  </si>
  <si>
    <t>=IF(RC[-266]="","",IFERROR(XLOOKUP(RC[-266],Коды_код,Коды_уго),IFERROR(XLOOKUP(RC[-213],Коды_код,Коды_уго),IFERROR(XLOOKUP(LEFT(RC[-213],2),Коды_код,Коды_уго),""))))</t>
  </si>
  <si>
    <t>=IF(RC[-267]="","",IF(OR(RC[-1]="",RC[-1]=0),"BOX",IFERROR(IF(VLOOKUP(RC[-1],УГО_блоки,3,FALSE)&amp;""&lt;&gt;"",VLOOKUP(RC[-1],УГО_блоки,3,FALSE),VLOOKUP(RC[-1],УГО_блоки,2,FALSE)),RC[-1])))</t>
  </si>
  <si>
    <t>=IF(RC[-268]="",0,1)</t>
  </si>
  <si>
    <t>=IF(RC[-150]="","",IF(COUNTIF(R3C[-150]:RC[-150],RC[-150])=1,MAX(R2C:R[-1]C)+1,""))</t>
  </si>
  <si>
    <t>=IF(RC[-163]="","",IF(COUNTIF(R3C[-163]:RC[-163],RC[-163])+COUNTIF(R2C[-162]:R[-1]C[-162],RC[-163])+COUNTIF(R2C[-161]:R[-1]C[-161],RC[-163])=1,MAX(R2C:R[-1]C[2])+1,""))</t>
  </si>
  <si>
    <t>=IF(RC[-163]="","",IF(COUNTIF(R3C[-164]:RC[-164],RC[-163])+COUNTIF(R3C[-163]:RC[-163],RC[-163])+COUNTIF(R2C[-162]:R[-1]C[-162],RC[-163])=1,MAX(R2C[-1]:R[-1]C[1],RC[-1])+1,""))</t>
  </si>
  <si>
    <t>=IF(RC[-163]="","",IF(COUNTIF(R3C[-165]:RC[-165],RC[-163])+COUNTIF(R3C[-164]:RC[-164],RC[-163])+COUNTIF(R3C[-163]:RC[-163],RC[-163])=1,MAX(R2C[-2]:R[-1]C,RC[-2],RC[-1])+1,""))</t>
  </si>
  <si>
    <t>=IF(RC[-55]=1,IFERROR(MID(RC[-82],FIND(" (",RC[-82])+2,FIND(")",RC[-82],FIND(" (",RC[-82]))-FIND(" (",RC[-82])-2),"?"),"")</t>
  </si>
  <si>
    <t>=IF(RC[-1]="","",IF(COUNTIF(R3C[-1]:RC[-1],RC[-1])=1,MAX(R2C:R[-1]C)+1,""))</t>
  </si>
  <si>
    <t>=IF(RC[-62]="","",COUNTIF(R3C[-62]:RC[-62],"?*"))</t>
  </si>
  <si>
    <t>=IF(OR(RC[-63]="",RC[-61]=""),"",IF(COUNTIFS(R3C[-63]:RC[-63],"?*",R3C[-61]:RC[-61],RC[-61])=1,MAX(R2C:R[-1]C)+1,""))</t>
  </si>
  <si>
    <t>=IF(RC[-37]="",0,IF(OR(ISNUMBER(SEARCH("дубль",RC[-37])),ISNUMBER(SEARCH("ПЕРЕГРУЗ",RC[-37])),ISNUMBER(SEARCH("ЗАЩИЩ",RC[-37])),ISNUMBER(SEARCH("КАНАЛ",RC[-37])),ISNUMBER(SEARCH("без диф",RC[-37]))),2,1))</t>
  </si>
  <si>
    <t>=IF(RC[-278]="","",COUNTIF(R3C[-278]:RC[-278],"?*"))</t>
  </si>
  <si>
    <t>=IF(RC[-61]&lt;&gt;1,0,LET(k,MAX(IFERROR(--XLOOKUP(RC[-279],Коды_код,Коды_3L),0),IFERROR(--XLOOKUP(RC[-226],Коды_код,Коды_3L),0),IFERROR(--XLOOKUP(LEFT(RC[-226],2),Коды_код,Коды_3L),0)),IF(k&gt;0,k,IF(IFERROR(--LEFT(SUBSTITUTE(RC[-6],"x","х"),FIND("х",SUBSTITUTE(RC[-6],"x","х"))-1),3)&gt;3,Каталог!R9C19,1))))</t>
  </si>
  <si>
    <t>=IF(RC[-62]&lt;&gt;1,0,MAX(0,IFERROR(--LEFT(SUBSTITUTE(RC[-7],"x","х"),FIND("х",SUBSTITUTE(RC[-7],"x","х"))-1),3)-3*RC[-1]))</t>
  </si>
  <si>
    <t>=IF(RC[-198]=1,"авто","")</t>
  </si>
  <si>
    <t>=IF(RC[-199]=1,IF(N(RC[-179])&gt;0,RC[-179],""),"")</t>
  </si>
  <si>
    <t>=IF(RC[-200]=1,IF(N(RC[-180])&gt;0,1,0),"")</t>
  </si>
  <si>
    <t>=SUBTOTAL(103,RC[-285])</t>
  </si>
  <si>
    <t>ГАЙД ПО ОДНОЛИНЕЙКЕ v5 (бета)</t>
  </si>
  <si>
    <t>Одна книга — один объект: все щиты, все линии, все расчёты. После DLN строка почти готова: таблица сама подбирает наименование, мощность, автомат, сечение, фазу и клемму. Вы проверяете и правите только то, что нужно.</t>
  </si>
  <si>
    <t>ОСТОРОЖНО: Включите макросы (кнопка «Включить содержимое» при открытии). Без макросов книга считает правильно, но серые значения не возвращаются после стирания, а после вставки строк нужно нажать «Починить формулы».</t>
  </si>
  <si>
    <t>1. ГЛАВНОЕ ПРАВИЛО: СЕРОЕ И СИНЕЕ</t>
  </si>
  <si>
    <t>Что видите</t>
  </si>
  <si>
    <t>Что это значит</t>
  </si>
  <si>
    <t>Серый курсив</t>
  </si>
  <si>
    <t>Значение выбрала таблица (по коду, по расчёту, по чертежу). Его можно не трогать.</t>
  </si>
  <si>
    <t>Синий жирный</t>
  </si>
  <si>
    <t>Значение вписали вы. Таблица его не меняет и проверяет.</t>
  </si>
  <si>
    <t>Стёрли синее</t>
  </si>
  <si>
    <t>Вернулось серое (выбор таблицы).</t>
  </si>
  <si>
    <t>Жёлтая шапка</t>
  </si>
  <si>
    <t>Столбец для ввода. Курсив в шапке — в столбце есть серые значения.</t>
  </si>
  <si>
    <t>Серая шапка</t>
  </si>
  <si>
    <t>Результат. Вводить не нужно.</t>
  </si>
  <si>
    <t>Красная ячейка «Замечания»</t>
  </si>
  <si>
    <t>В строке есть ошибка. Текст говорит, что исправить.</t>
  </si>
  <si>
    <t>2. ЛИСТЫ КНИГИ</t>
  </si>
  <si>
    <t>Что на нём</t>
  </si>
  <si>
    <t>Ввод. Название, методика расчёта, как собирать наименования, марки кабелей.</t>
  </si>
  <si>
    <t>Щиты</t>
  </si>
  <si>
    <t>Ввод. Строка на щит: вводы, АВР, ИБП, место под вводной узел. Справа — таблица «Шины» (обычно пустая).</t>
  </si>
  <si>
    <t>Линии</t>
  </si>
  <si>
    <t>Ввод. Все линии всех щитов. Кнопки щитов показывают один щит.</t>
  </si>
  <si>
    <t>Коды</t>
  </si>
  <si>
    <t>Ввод. Типовые потребители (коды и УГО одной таблицей), этажи, кабели, экспликация. Стандарт отдела — правьте под объект.</t>
  </si>
  <si>
    <t>Результат. Все замечания книги.</t>
  </si>
  <si>
    <t>Результат. Выбранный щит: таблица под схемой и итоги по каждому вводу.</t>
  </si>
  <si>
    <t>Кабельный_журнал, Спецификация</t>
  </si>
  <si>
    <t>Результат. По выбранному щиту или по всему объекту (выбор вверху листа).</t>
  </si>
  <si>
    <t>Результат. Строка на провод — для сборки щита.</t>
  </si>
  <si>
    <t>Изменения</t>
  </si>
  <si>
    <t>Результат. Что изменилось после «Зафиксировать выдачу»: было → стало и листы схемы для таблицы изменений.</t>
  </si>
  <si>
    <t>Наклейки</t>
  </si>
  <si>
    <t>Результат. Лента под аппаратами на A4 (кнопка на листе «Щит»).</t>
  </si>
  <si>
    <t>Гайд, Каталог, Методика, Таблицы_норм</t>
  </si>
  <si>
    <t>Справка.</t>
  </si>
  <si>
    <t>Режимы, Расчёт_нагрузок</t>
  </si>
  <si>
    <t>В конце книги, нужны не всегда: режимы вводов (АВР, ИБП, пожар) и таблица нагрузок для пояснительной записки.</t>
  </si>
  <si>
    <t>3. ПОРЯДОК РАБОТЫ</t>
  </si>
  <si>
    <t>Лист «Объект»: название, методика, как собирать наименования (по номеру помещения или по экспликации).</t>
  </si>
  <si>
    <t>Объект!C3</t>
  </si>
  <si>
    <t>Лист «Щиты»: строка на щит. Вводов, АВР, ИБП от, «Мест под вводной узел» (пусто — 17, весь первый лист; 11 — узел на части листа). «Питается от» книга находит сама (серое). Для ВРУ — данные сети.</t>
  </si>
  <si>
    <t>Щиты!A13</t>
  </si>
  <si>
    <t>AutoCAD, DLN: номера линий, длины, число потребителей, пометки выносок (Relay, DIM, DALI) приходят в «Линии».</t>
  </si>
  <si>
    <t>Лист «Линии»: проверьте серое. Впишите то, что знаете точно (мощность оборудования, свой автомат). Отметьте группы: «гр».</t>
  </si>
  <si>
    <t>Линии!B3</t>
  </si>
  <si>
    <t>Столбец «Замечания» и лист «Проверка»: исправьте ошибки.</t>
  </si>
  <si>
    <t>Проверка!A1</t>
  </si>
  <si>
    <t>Лист «Щит»: выберите щит. Проверьте таблицу под схемой и итоги по вводам — они идут на схему.</t>
  </si>
  <si>
    <t>Щит!C3</t>
  </si>
  <si>
    <t>SXDRAW рисует схему по скрытому листу «Однолинейка». Вводной узел (места под узел) рисуете сами.</t>
  </si>
  <si>
    <t>Спецификация: корпус и комплект щита впишите в таблицу справа (один раз на щит). Остальное книга считает сама.</t>
  </si>
  <si>
    <t>Спецификация!M2</t>
  </si>
  <si>
    <t>Лист «Щит», кнопка «Выгрузить для AutoCAD»: лёгкий файл рядом с книгой для Data Link (схема, итоги, журнал, спецификация по каждому щиту).</t>
  </si>
  <si>
    <t>Щит!L1</t>
  </si>
  <si>
    <t>Перед выдачей: «Упорядочить щит» (по желанию) и «Зафиксировать выдачу» (заодно закрепить фазы). После правок — лист «Изменения».</t>
  </si>
  <si>
    <t>Изменения!B4</t>
  </si>
  <si>
    <t>4. ЛИСТ «ЛИНИИ»: СТОЛБЦЫ</t>
  </si>
  <si>
    <t>Что делает таблица / что вводите вы</t>
  </si>
  <si>
    <t>Имя щита. Строки щита — подряд, в порядке мест на схеме.</t>
  </si>
  <si>
    <t>Код.Этаж.Помещение.Группа (R.1.05.3). Приходит из DLN. Строка с кодом «Ввод» — ввод щита.</t>
  </si>
  <si>
    <t>Серое: название кода + помещение. Своё — впишите.</t>
  </si>
  <si>
    <t>Кол-во потребителей</t>
  </si>
  <si>
    <t>Из DLN. Нужно для мощности и опусков.</t>
  </si>
  <si>
    <t>Серое: кВт на шт по коду × кол-во (розетки 0,06 кВт). Фидер — Руст нижнего щита. Ввод — нагрузка щита.</t>
  </si>
  <si>
    <t>Пусто — свой автомат. «гр» — линия на автомате строки выше. «узо» — свой автомат на шине УЗО (выше строка «УЗО.1»).</t>
  </si>
  <si>
    <t>Серое: полюса, характеристика, номинал, ток утечки. В строке «гр» — «↑» и автомат группы. Свой: 25, C25 или 2P C25А 30мА.</t>
  </si>
  <si>
    <t>Серое: по пометке выноски (Relay, DIM, DALI) или коду. По управлению подставляется модуль («Ещё» → «Модуль»).</t>
  </si>
  <si>
    <t>Аппараты после автомата через «;» (КМ, МК, Т, БП 24V 480W — мощность и напряжение БП читаются из названия).</t>
  </si>
  <si>
    <t>Серое: подбор (см. раздел 11). Своё — впишите, таблица проверит.</t>
  </si>
  <si>
    <t>Серое: из чертежа (DLN). Итог с опусками — «Длина, м».</t>
  </si>
  <si>
    <t>Серое: автобалансировка по автоматам. Своя: 1, 2, 3 или 1,2,3.</t>
  </si>
  <si>
    <t>Серое: следующая XT. «нет» — без номера.</t>
  </si>
  <si>
    <t>Замечания, Iр, Длина, ΔU, Кабель, Лист / место</t>
  </si>
  <si>
    <t>Результаты строки.</t>
  </si>
  <si>
    <t>5. КНОПКИ ЩИТОВ, КАРТОЧКА И «ЕЩЁ»</t>
  </si>
  <si>
    <t>Над таблицей — кнопки щитов. Нажмите кнопку — видны только строки этого щита. Слева вверху — карточка щита: откуда питается, Руст, Рр, Iр, cos φ, ΔU до шин, сколько листов схемы, сколько замечаний. Чтобы снова видеть все щиты — нажмите значок «очистить фильтр» на кнопках.</t>
  </si>
  <si>
    <t>Редкие столбцы свёрнуты в «Ещё» (кнопка «+» над столбцом «Лист / место»): «Питает щит», утечка (мА), фазы, напряжение, группа Кс, Кс, cos φ, секция, шина, категория ввода, пожарная, вид нагрузки, режим строки, модуль, канал, № места, марка, жилы, К прокладки, лоток и гофра, примечание, столбцы DLN. Первые два столбца «Ещё» — результаты: «Ток утечки, мА» и «Lмакс по КЗ, м».</t>
  </si>
  <si>
    <t>6. ЛИСТ «ЩИТ»: ТО, ЧТО ИДЁТ НА СХЕМУ</t>
  </si>
  <si>
    <t>Выберите щит в ячейке C3. Слева — таблица под схемой: строка на место (шаг 20 мм), лист схемы, обозначение, фаза, Рн, Iн, наименование, кабель, автомат. Справа — итоги по каждому вводу: категория, Руст, Рр, Iр, cos φ, Кс, нагрузка фаз.</t>
  </si>
  <si>
    <t>Какие линии в каком вводе</t>
  </si>
  <si>
    <t>Линии щита — по шине и секции («Шина», «Секция» в «Ещё»). Нижние щиты — по своему фидеру. Шина ИБП — к вводу из «ИБП от» на листе «Щиты».</t>
  </si>
  <si>
    <t>Щит с АВР</t>
  </si>
  <si>
    <t>Итоги — нормальный режим. В строке «Ввод» — вся нагрузка щита (один ввод тянет всё): по ней подобраны автомат и кабель ввода.</t>
  </si>
  <si>
    <t>7. ЖУРНАЛ, СПЕЦИФИКАЦИЯ, ВЫГРУЗКА</t>
  </si>
  <si>
    <t>Кабельный журнал</t>
  </si>
  <si>
    <t>Раскладка отдела: линия, откуда — куда, кабель, лоток, гофра «Ø20 L=…», длина. Справа — числа для подсчёта и сводки: кабели с запасом (L1, по умолчанию 20 %) и вверх до 10 м, гофра по диаметрам (вверх до бухты), лоток, сводка ПТО (кабель + потолок / пол → артикул).</t>
  </si>
  <si>
    <t>Раздел 1 — корпус и комплект (вручную, таблица справа) + аппараты по схеме из «Каталога»; чего нет в «Каталоге» — строкой с пометкой «впишите артикул». Раздел 2 — кабели (по марке, от крупных к мелким), гофра, крепёж по нормам расхода (таблица справа).</t>
  </si>
  <si>
    <t>Нормы расхода</t>
  </si>
  <si>
    <t>Крепёж = база × «на 1 м», вверх до кратности. База — метры гофры (по диаметру, «ПВХ все», «ПНД все») или кабеля после округления. По умолчанию — как в проекте «Жуковка»: клипсы 2 шт/м, гвозди и баллоны — 1 упаковка на 1000 клипс.</t>
  </si>
  <si>
    <t>Выгрузка для AutoCAD</t>
  </si>
  <si>
    <t>Файл «&lt;книга&gt;_AutoCAD.xlsx» рядом с книгой: на каждый щит листы «&lt;щит&gt; схема», «итоги», «журнал», «спец». Имена постоянные — Data Link в AutoCAD после новой выгрузки только обновите.</t>
  </si>
  <si>
    <t>8. LED 24 В: ЛИНИИ ПОСЛЕ БЛОКА ПИТАНИЯ</t>
  </si>
  <si>
    <t>Строка автомата: в «Аппаратах» — «МК-5-1; БП 24V 480W»; диммер — в «Модуле» («Ещё»).</t>
  </si>
  <si>
    <t>Ниже — линии 24 В с «гр» в «Группе». Напряжение 24 — по коду или в «Ещё» → «Напряжение».</t>
  </si>
  <si>
    <t>Таблица считает постоянный ток (I = P/U), потери от БП (допустимо 5 %, «Объект» C14) и подбирает сечение; автомат — по стороне 230 В.</t>
  </si>
  <si>
    <t>Проверяет БП: нужно = 1,3 × Σ (Uвых·I) («Объект» C13) — столбцы «БП: нужно, Вт» и «Uвых БП, В» в «Ещё»; ток канала диммера — если в «Каталоге» вписан «Ток канала, А».</t>
  </si>
  <si>
    <t>9. МОДУЛИ, УЗО НА ГРУППУ, ПОРЯДОК, ВЫДАЧА, НАКЛЕЙКИ</t>
  </si>
  <si>
    <t>Модули</t>
  </si>
  <si>
    <t>Серое в «Модуле»: модель по управлению («Объект», таблица «Модули_умолч»: Relay и шторы — ZIOMB24V2, шторы — 2 выхода на линию; DIM — ZDINDX4; DALI — ZDID64X2, линии на одной шине; клапаны — ZCL-8HT230). Подряд идущие линии с одним управлением — на каналы одного модуля, новый — когда каналы кончились. Своя модель — синим, «-» — конец модуля.</t>
  </si>
  <si>
    <t>УЗО на группу</t>
  </si>
  <si>
    <t>Строка «УЗО.1» (код УЗО, в «Аппаратах» «УЗО 2P 40А 30мА»), ниже линии со своими автоматами и «узо» в «Группе». Автомат строки УЗО — по току блока, линии — обычные автоматы. Проверки: номинал УЗО ≥ автомата перед ним и тока блока, ток утечки блока ≤ 1/3 уставки. Шину УЗО на схеме пока рисуете сами.</t>
  </si>
  <si>
    <t>Упорядочить щит</t>
  </si>
  <si>
    <t>Кнопка над «Линиями» — для щита активной ячейки: вводной узел на месте, дальше по управлению (Relay, DIM, DALI, шторы, клапаны, без управления), коду и помещению. Группы «гр», блоки УЗО и свои модули не разрываются.</t>
  </si>
  <si>
    <t>Закрепить фазы</t>
  </si>
  <si>
    <t>Серые фазы щита становятся синими — правки больше не переставят фазы.</t>
  </si>
  <si>
    <t>Зафиксировать выдачу</t>
  </si>
  <si>
    <t>Снимок с номером изменения (предлагает закрепить фазы). «Изменения»: добавлено / удалено / было → стало по щитам и листы схемы для таблицы изменений; в «Линиях» изменённое — оранжевым, новые линии — зелёным.</t>
  </si>
  <si>
    <t>Лист «Щит», кнопка «Наклейки (A4)» → лист «Наклейки»: ячейка = 1 модуль DIN (18 мм), под каждым аппаратом — обозначение, линия, наименование. Модулей на рейку — C2; рейка длиннее листа — несколькими полосами (над каждой — «Рейка N»). Печать A4, масштаб 100 %: ширина ячейки подгоняется под текущий принтер при нажатии кнопки.</t>
  </si>
  <si>
    <t>10. КАТЕГОРИИ НАДЁЖНОСТИ — ТОЛЬКО У ВВОДОВ</t>
  </si>
  <si>
    <t>У линий категории нет. Категория ввода берётся по схеме щита (столбец «Категория шины «Ввод»» на «Щитах»; шины ИБП и ДГУ — I особая). Своя категория — в строке «Ввод», столбец «Категория ввода» в «Ещё». Категория идёт в итоги по вводам на листе «Щит».</t>
  </si>
  <si>
    <t>11. КАК ТАБЛИЦА ПОДБИРАЕТ И ПРОВЕРЯЕТ</t>
  </si>
  <si>
    <t>Номинал — наименьший из ряда, не меньше тока группы (Iр ≤ 0,9·In) и минимума кода (свет 10 А, розетки 16 А); перед БП — не меньше 10 А. Полюса: 1ф — 1P, 3ф — 3P, с утечкой — 2P / 4P (дифавтомат). Характеристика — по коду (C).</t>
  </si>
  <si>
    <t>Наименьшее сечение, не меньше минимума кода, при котором: Iдоп·К ≥ In автомата (ПУЭ 1.3.10); потери от ВРУ не больше 3 % до светильников и 4 % до прочих (СП 256 п. 8.23); Iкз в конце линии отключает автомат за 0,4 с (ПУЭ 1.7.79).</t>
  </si>
  <si>
    <t>Автоматы щита от крупных к мелким: каждому — фаза с наименьшей нагрузкой. Линии группы — на фазе своего автомата. Ручная фаза не меняется. Перед выдачей можно вписать фазы вручную, чтобы они не менялись при правках.</t>
  </si>
  <si>
    <t>Ввод щита</t>
  </si>
  <si>
    <t>Нагрузка щита. Щит с АВР или с одним вводом — вся нагрузка; два ввода без АВР — нагрузка своей секции.</t>
  </si>
  <si>
    <t>Линии 24 В</t>
  </si>
  <si>
    <t>Постоянный ток: I = P/U, потери 2·ρ·L·I/S от выхода БП, не больше 5 %. Сечение — по току линии и потерям, без проверки Iкз (кабель защищает БП). Жил по умолчанию 2.</t>
  </si>
  <si>
    <t>Ток утечки</t>
  </si>
  <si>
    <t>ПУЭ 7.1.83: 0,4 мА на 1 А тока + 10 мкА на 1 м линии, у группы — сумма. С дифзащитой — не больше 1/3 уставки (30 мА → 10 мА, 10 мА → 3,3 мА), иначе замечание.</t>
  </si>
  <si>
    <t>Lмакс по КЗ</t>
  </si>
  <si>
    <t>Наибольшая длина линии, при которой Iкз в конце ещё отключает автомат за 0,4 с. Если «Длина, м» близка к Lмакс — увеличьте сечение.</t>
  </si>
  <si>
    <t>Название кода + «, пом. 105» (или «по экспликации» — название помещения).</t>
  </si>
  <si>
    <t>ПРИМЕЧАНИЕ: Подробно — лист «Методика».</t>
  </si>
  <si>
    <t>12. ВСТАВКА И УДАЛЕНИЕ СТРОК</t>
  </si>
  <si>
    <t>Строки вставляйте внутри таблицы (правая кнопка → Вставить → Строки таблицы выше). Макрос сам чинит формулы. Если в «Замечаниях» видно «строки сдвинуты» — нажмите кнопку «Починить формулы» над таблицей.</t>
  </si>
  <si>
    <t>ВНИМАНИЕ: Не сортируйте таблицу кнопками Excel: порядок строк — это порядок мест на схеме.</t>
  </si>
  <si>
    <t>13. ЧТО ЕЩЁ БУДЕТ</t>
  </si>
  <si>
    <t>AutoCAD: SXDRAW — с места после вводного узла, шина УЗО вниз-вправо, типовые вводные узлы по «Типу вводного узла», обновление готовой схемы по номеру линии, DLN для v5.</t>
  </si>
  <si>
    <t>Методика расчёта однолинейки и проверка по нормам РФ</t>
  </si>
  <si>
    <t>Версия книги: v3.12 → v4. Дата проверки: 03.10.2026, дополнено 04.10.2026.</t>
  </si>
  <si>
    <t>Пояснительная записка (ПЗ) — текстовая часть проекта; в книге v4 сокращение «ПЗ» не используется.</t>
  </si>
  <si>
    <t>Документ описывает каждый расчёт книги: формулу, исходные данные, место в книге, норму и вердикт. Он же — техническое задание на v4: раздел «В v4» у каждого расчёта говорит, что исправить.</t>
  </si>
  <si>
    <t>Как читать вердикт у каждого расчёта:</t>
  </si>
  <si>
    <t>•  ✅ соответствует — книга считает так, как требует норма. Ничего делать не нужно.</t>
  </si>
  <si>
    <t>•  ⚠️ упрощение / уточнить — расчёт допустим, но упрощён (например, не учтено сопротивление дуги) или зависит от решения инженера (например, какой Кс принять). Что именно упрощено — в столбце «Суть», что сделано или надо сделать — в столбце «В v4». Результат пользоваться можно, но прочитайте пояснение.</t>
  </si>
  <si>
    <t>•  ❌ расхождение — книга v3.12 могла дать результат не по норме. В v4 это исправлено или вынесено в проверку (лист «Проверка»).</t>
  </si>
  <si>
    <t>Нормы и редакции, по которым проверено:</t>
  </si>
  <si>
    <t>Документ</t>
  </si>
  <si>
    <t>Редакция</t>
  </si>
  <si>
    <t>Что из него берём</t>
  </si>
  <si>
    <t>ПУЭ, 7-е изд.</t>
  </si>
  <si>
    <t>гл. 1.2, 1.3, 1.7</t>
  </si>
  <si>
    <t>категории, допустимые токи, автоматическое отключение</t>
  </si>
  <si>
    <t>СП 256.1325800.2016</t>
  </si>
  <si>
    <t>ред. 01.03.2022 (изм. 1–5) + Изменение № 6 (2023) + Изменение № 9 (введено 26.01.2026)</t>
  </si>
  <si>
    <t>расчётные нагрузки, потери напряжения, КРМ, схемы</t>
  </si>
  <si>
    <t>ГОСТ Р 50571.4.43-2012</t>
  </si>
  <si>
    <t>защита от сверхтока: Iр ≤ In ≤ Iдоп, термическая стойкость</t>
  </si>
  <si>
    <t>ГОСТ Р 50571.5.52-2011</t>
  </si>
  <si>
    <t>потери напряжения (прил. G), способы прокладки, поправочные коэффициенты</t>
  </si>
  <si>
    <t>ГОСТ 31996-2012</t>
  </si>
  <si>
    <t>допустимые токи кабелей с ПВХ-изоляцией (ВВГнг и т. п.)</t>
  </si>
  <si>
    <t>ГОСТ 28249-93</t>
  </si>
  <si>
    <t>токи КЗ в установках до 1 кВ</t>
  </si>
  <si>
    <t>ГОСТ IEC 60898-1</t>
  </si>
  <si>
    <t>зоны мгновенного расцепления B / C / D</t>
  </si>
  <si>
    <t>СП 6.13130.2021</t>
  </si>
  <si>
    <t>электроснабжение систем противопожарной защиты</t>
  </si>
  <si>
    <t>ВНИМАНИЕ: формулировки Изменения № 9 к СП 256 проверены по пересказу официального текста. Перед внедрением в v4 сверьте табл. 7.2 и подраздел 7.5 с официальной публикацией.</t>
  </si>
  <si>
    <t>---</t>
  </si>
  <si>
    <t>1. Сводка проверки</t>
  </si>
  <si>
    <t>Расчёт</t>
  </si>
  <si>
    <t>Вердикт</t>
  </si>
  <si>
    <t>Суть</t>
  </si>
  <si>
    <t>В v4</t>
  </si>
  <si>
    <t>Ток линии</t>
  </si>
  <si>
    <t>✅</t>
  </si>
  <si>
    <t>I = P / (U·cos φ)</t>
  </si>
  <si>
    <t>без изменений</t>
  </si>
  <si>
    <t>cos φ линии</t>
  </si>
  <si>
    <t>⚠️</t>
  </si>
  <si>
    <t>по умолчанию 0,95 для всех, кроме кодов «двигатель»</t>
  </si>
  <si>
    <t>cos φ по типу нагрузки (СП 256 п. 7.1.12: насосы и вентиляция 0,8)</t>
  </si>
  <si>
    <t>Автомат линии по току</t>
  </si>
  <si>
    <t>ближайший стандартный с Iр ≤ 0,9·In (запас 10 %)</t>
  </si>
  <si>
    <t>без изменений, запас вынести в настройку</t>
  </si>
  <si>
    <t>Сечение кабеля</t>
  </si>
  <si>
    <t>ПУЭ табл. 1.3.7 (подписано «1.3.6»), один общий К прокладки</t>
  </si>
  <si>
    <t>ГОСТ 31996 / паспорт производителя, способ прокладки и коэффициенты по ГОСТ Р 50571.5.52</t>
  </si>
  <si>
    <t>Согласование автомат ↔ кабель</t>
  </si>
  <si>
    <t>In ≤ Iдоп·k, проверка «кабель не защищён»</t>
  </si>
  <si>
    <t>Длина линии</t>
  </si>
  <si>
    <t>✅ (проектный приём)</t>
  </si>
  <si>
    <t>план + опуски + подъём на этаж</t>
  </si>
  <si>
    <t>Потери напряжения</t>
  </si>
  <si>
    <t>формула ГОСТ Р 50571.5.52 прил. G, пределы 3 % / 4 % СП 256 п. 8.23</t>
  </si>
  <si>
    <t>добавить +0,005 %/м после 100 м и проверку 7,5 % от ТП</t>
  </si>
  <si>
    <t>Iкз min, отключение 0,4 с</t>
  </si>
  <si>
    <t>без сопротивления дуги, PE = фазе, только медь</t>
  </si>
  <si>
    <t>дуга по ГОСТ 28249, сечение PE, алюминий</t>
  </si>
  <si>
    <t>Iкз max, отключающая способность</t>
  </si>
  <si>
    <t>❌</t>
  </si>
  <si>
    <t>Iкз max считается, но с Icu аппарата не сравнивается</t>
  </si>
  <si>
    <t>автоматическая проверка Icu ≥ Iкз max</t>
  </si>
  <si>
    <t>Кс бытовой нагрузки</t>
  </si>
  <si>
    <t>⚠️ / ❌</t>
  </si>
  <si>
    <t>табл. 7.2 верна, но отопление и тёплые полы снижаются Кс (по Изм. 9 — отдельно, Кс 1 и 0,7)</t>
  </si>
  <si>
    <t>группы «Отопление» и «ВНГ / тёплый пол»</t>
  </si>
  <si>
    <t>Кс силовой нагрузки</t>
  </si>
  <si>
    <t>вводится вручную (в объекте ЖД везде 0,5)</t>
  </si>
  <si>
    <t>автоматически по табл. 7.5 по числу электроприёмников</t>
  </si>
  <si>
    <t>Ко = 0,9</t>
  </si>
  <si>
    <t>применяется к любому щиту, в т. ч. чисто силовому</t>
  </si>
  <si>
    <t>только там, где сходятся квартиры и силовая нагрузка (ВРУ дома)</t>
  </si>
  <si>
    <t>kп.к (региональный)</t>
  </si>
  <si>
    <t>отсутствует (СП 256 формула 6, табл. 7.5а: ЦФО 0,81)</t>
  </si>
  <si>
    <t>настройка объекта + решение о применимости</t>
  </si>
  <si>
    <t>Пожарные нагрузки</t>
  </si>
  <si>
    <t>не входят в расчётный максимум (СП 256 п. 7.1.9)</t>
  </si>
  <si>
    <t>исправить ссылку (в книге — СП 31-110)</t>
  </si>
  <si>
    <t>cos φ и Iр щита</t>
  </si>
  <si>
    <t>cos φ щита — средневзвешенный по P, а не через Q</t>
  </si>
  <si>
    <t>Q = Σ P·tg φ, cos φ = P / S</t>
  </si>
  <si>
    <t>СП 256 п. 7.3.1–7.3.2: не требуется при ≤ 50 квар на ввод</t>
  </si>
  <si>
    <t>Категории надёжности</t>
  </si>
  <si>
    <t>ПУЭ 1.2.17–1.2.21, СП 256 табл. 6.1, п. 6.13, 8.10</t>
  </si>
  <si>
    <t>Питающая линия щита</t>
  </si>
  <si>
    <t>uк трансформатора 5,5 % константой, Y/Yн — «×3»</t>
  </si>
  <si>
    <t>uк и Zт(1) из паспорта трансформатора</t>
  </si>
  <si>
    <t>Лист «ТКЗ»</t>
  </si>
  <si>
    <t>старый расчёт (220 / Z, без коэффициентов), в основной не входит</t>
  </si>
  <si>
    <t>удалить, всё считает «Питание_щита»</t>
  </si>
  <si>
    <t>Запас кабеля 20 % в журнале</t>
  </si>
  <si>
    <t>не норма, проектный приём</t>
  </si>
  <si>
    <t>настройка объекта</t>
  </si>
  <si>
    <t>2. Исходные данные линии и значения «по коду»</t>
  </si>
  <si>
    <t>Одна линия = одна строка «Исходных данных». Номер линии имеет вид Код.Помещение.№ (пример: K.1.002A.1).</t>
  </si>
  <si>
    <t>Код (часть до первой точки) ищется в «Справочной» P4:P51. Из строки кода берутся значения по умолчанию:</t>
  </si>
  <si>
    <t>Столбец кода в «Справочной»</t>
  </si>
  <si>
    <t>Куда идёт</t>
  </si>
  <si>
    <t>Q</t>
  </si>
  <si>
    <t>«Исходные данные» B</t>
  </si>
  <si>
    <t>длина линии</t>
  </si>
  <si>
    <t>Этаж / шлейф</t>
  </si>
  <si>
    <t>S</t>
  </si>
  <si>
    <t>способ подписи и подъём на этаж</t>
  </si>
  <si>
    <t>Тип пускового тока: 1 — нет, 2 — двигатель, 3 — светодиоды</t>
  </si>
  <si>
    <t>T</t>
  </si>
  <si>
    <t>cos φ и Iпуск</t>
  </si>
  <si>
    <t>Марка кабеля, жилы, напряжение, фазы, сечение</t>
  </si>
  <si>
    <t>U, V, W, X, Y</t>
  </si>
  <si>
    <t>N, O, F, H, Q</t>
  </si>
  <si>
    <t>Вид нагрузки (строка таблицы для пояснительной записки)</t>
  </si>
  <si>
    <t>«Исходные данные» BE</t>
  </si>
  <si>
    <t>AZ</t>
  </si>
  <si>
    <t>«Исходные данные» BC</t>
  </si>
  <si>
    <t>BD</t>
  </si>
  <si>
    <t>«Исходные данные» BQ</t>
  </si>
  <si>
    <t>УГО, 30 мА, мин. автомат, клемм 3L</t>
  </si>
  <si>
    <t>AV, AW, AX, AY</t>
  </si>
  <si>
    <t>«Однолинейка»</t>
  </si>
  <si>
    <t>Ручной ввод в «Исходных данных» всегда важнее значения по коду.</t>
  </si>
  <si>
    <t>3. Ток линии</t>
  </si>
  <si>
    <t>Формула ('Исходные данные'!T):</t>
  </si>
  <si>
    <t>•  однофазная линия: I = P / (Uф · cos φ), где Uф = Uн / √3 = 0,4 / 1,732 = 0,231 кВ;</t>
  </si>
  <si>
    <t>•  трёхфазная линия: I = P / (√3 · Uн · cos φ), Uн = 0,4 кВ.</t>
  </si>
  <si>
    <t>P — кВт, U — кВ, I — А. Uн берётся из «Справочной» BQ29.</t>
  </si>
  <si>
    <t>Для линии, которая питает нижестоящий щит, ток берётся из файла этого щита («Нижестоящие_щиты» J).</t>
  </si>
  <si>
    <t>Норма: закон Ома для активной мощности, без особых требований. Вердикт: ✅.</t>
  </si>
  <si>
    <t>cos φ линии ('Исходные данные'!P)</t>
  </si>
  <si>
    <t>•  код с типом «двигатель» (T = 2): cos φ по мощности из «Справочная_потребители» B:K (3ф — столбец I, 1ф — столбец K);</t>
  </si>
  <si>
    <t>•  все остальные: 0,95;</t>
  </si>
  <si>
    <t>•  фидер нижестоящего щита: cos φ из его файла.</t>
  </si>
  <si>
    <t>Норма: СП 256 п. 7.1.12 даёт коэффициенты мощности питающих линий: квартиры с электроплитами 0,98 (с кондиционерами 0,93), с газовыми плитами 0,96 (0,92), хозяйственные насосы, вентиляционные установки и другие сантехнические устройства — 0,8.</t>
  </si>
  <si>
    <t>Вердикт: ⚠️. Вентиляция, ККБ и насосы с кодом не «двигатель» получают 0,95. Ток таких линий занижен до 16 % (0,95 / 0,8 = 1,19).</t>
  </si>
  <si>
    <t>В v4: cos φ по типу нагрузки из справочника кодов; значение 0,8 для вентиляции и насосов по умолчанию.</t>
  </si>
  <si>
    <t>4. Аппарат защиты</t>
  </si>
  <si>
    <t>4.1 Номинал по току линии ('Исходные данные'!U)</t>
  </si>
  <si>
    <t>In = наименьший номинал ряда, для которого Iр ≤ 0,9 · In.</t>
  </si>
  <si>
    <t>Таблица «Справочная» F4:G23: пороги тока = 0,9 × предыдущего номинала (6 А до 5,4 А; 10 А до 9 А; 16 А до 14,4 А …).</t>
  </si>
  <si>
    <t>Если введён автомат вручную (R), берётся он.</t>
  </si>
  <si>
    <t>Норма: ГОСТ Р 50571.4.43, п. 433.1: Iр ≤ In ≤ Iдоп. Запас 10 % нормой не требуется, это проектный запас.</t>
  </si>
  <si>
    <t>Вердикт: ✅ (в запас).</t>
  </si>
  <si>
    <t>4.2 Групповой автомат (Однолинейка!Z:AU)</t>
  </si>
  <si>
    <t>Если на один автомат подключено несколько линий (группа), номинал считается так:</t>
  </si>
  <si>
    <t>1. Ток группы Z = сумма токов линий группы (линии «в тот же кабель» не суммируются).</t>
  </si>
  <si>
    <t>2. Номинал по току AA — по той же таблице с запасом 10 %.</t>
  </si>
  <si>
    <t>3. Минимальный номинал по типу BB = больший из: автомат вручную («Исходные данные» R) и минимальный автомат кода («Справочная» AX).</t>
  </si>
  <si>
    <t>4. Номинал AO = max(AA, max BB по группе).</t>
  </si>
  <si>
    <t>5. Если в группе есть блок питания или трансформатор — не меньше «Справочная» BF5.</t>
  </si>
  <si>
    <t>6. Итог AU берётся из текста автомата (H), например «1P С16А» → 16.</t>
  </si>
  <si>
    <t>Проверки (Однолинейка!W):</t>
  </si>
  <si>
    <t>•  «ПЕРЕГРУЗ», если ток группы &gt; In;</t>
  </si>
  <si>
    <t>•  «КАБЕЛЬ НЕ ЗАЩИЩЁН», если In &gt; наименьшего «максимального автомата по кабелю» среди линий группы (AB, AP). Проверка не делается за БП / трансформатором.</t>
  </si>
  <si>
    <t>Вердикт: ✅. Требование Iр ≤ In ≤ Iдоп (ГОСТ Р 50571.4.43, п. 433.1) выполнено. Условие I2 ≤ 1,45·Iдоп для модульных автоматов по ГОСТ IEC 60898-1 выполняется автоматически (I2 = 1,45·In).</t>
  </si>
  <si>
    <t>ПРИМЕЧАНИЕ: сечение линии подбирается по её собственному автомату (4.1), а не по групповому. Если групповой автомат больше, сработает проверка «КАБЕЛЬ НЕ ЗАЩИЩЁН». Это правильно, но в v4 сечение лучше подбирать сразу по групповому автомату.</t>
  </si>
  <si>
    <t>4.3 Полюса и 30 мА (Однолинейка!AR:AT)</t>
  </si>
  <si>
    <t>•  30 мА: текст автомата содержит «мА», или F = «да», или хотя бы у одной линии группы код требует 30 мА («Справочная» AW); F = «нет» отменяет.</t>
  </si>
  <si>
    <t>•  Полюса: 3ф — 3P (с 30 мА 4P), 1ф — 1P (с 30 мА 2P).</t>
  </si>
  <si>
    <t>•  Предупреждение «розетка без 30 мА» для кода R.</t>
  </si>
  <si>
    <t>Норма: ПУЭ 7.1.79 и СП 256 (применение ВДТ для розеточных сетей). Вердикт: ✅.</t>
  </si>
  <si>
    <t>5. Сечение кабеля ('Исходные данные'!V)</t>
  </si>
  <si>
    <t>Алгоритм:</t>
  </si>
  <si>
    <t>1. Требуемый допустимый ток: Iтреб = In / (k_жил · К_прокл).</t>
  </si>
  <si>
    <t>•  k_жил = 0,92 для 3ф кабеля с 4–5 жилами, иначе 1;</t>
  </si>
  <si>
    <t>•  К_прокл — из «Исходные данные» BH, иначе общий («Справочная» BQ30, сейчас 1).</t>
  </si>
  <si>
    <t>2. Столбец таблицы: одножильные (O = 1), двухжильные (1ф, нагружены L и N), трёхжильные (3ф).</t>
  </si>
  <si>
    <t>3. Берётся наименьшее сечение с Iдоп ≥ Iтреб. Больше 240 мм² — «Не исп».</t>
  </si>
  <si>
    <t>4. Сечение вручную (Q) важнее расчёта.</t>
  </si>
  <si>
    <t>Таблица («Справочная» BX:CA) — медь, прокладка в воздухе. Значения совпадают с ПУЭ табл. 1.3.7 (кабели с медными жилами в ПВХ / резиновой оболочке): 1,5 мм² — 23 / 19 / 19 А; 2,5 — 30 / 27 / 25 А; 25 — 140 / 115 / 95 А и т. д. В книге таблица подписана «ПУЭ табл. 1.3.6» — это ошибка подписи. Коэффициент 0,92 для четырёхжильных кабелей — ПУЭ п. 1.3.10.</t>
  </si>
  <si>
    <t>Норма: ГОСТ Р 50571.4.43 (In ≤ Iдоп); допустимые токи кабелей с ПВХ-изоляцией по ГОСТ 31996-2012 или по документации изготовителя; поправки на способ прокладки, группу и температуру — ГОСТ Р 50571.5.52.</t>
  </si>
  <si>
    <t>Вердикт: ⚠️.</t>
  </si>
  <si>
    <t>•  Таблица ПУЭ 1.3.7 исторически для резиновой изоляции. Для ВВГнг и ППГнг первичны данные изготовителя, затем ГОСТ 31996-2012, затем ГОСТ Р 50571.5.52.</t>
  </si>
  <si>
    <t>•  Поправочные коэффициенты на совместную прокладку (группу) и температуру не учитываются: только один общий К прокладки на линию. При пучке кабелей в лотке результат может быть завышен.</t>
  </si>
  <si>
    <t>•  Алюминиевые жилы не поддерживаются.</t>
  </si>
  <si>
    <t>В v4: таблица допустимых токов по ГОСТ 31996 (медь и алюминий, воздух и земля); способ прокладки на линию; коэффициент группы и температуры по ГОСТ Р 50571.5.52; подпись источника в заголовке.</t>
  </si>
  <si>
    <t>6. Длина линии ('Исходные данные'!M)</t>
  </si>
  <si>
    <t>L = Опуск · (2·n − 1) + Lплан + Подъём_этажа + По_другим_этажам</t>
  </si>
  <si>
    <t>•  Опуск — «Справочная» R по коду (м), n — число потребителей G: к каждому потребителю кабель опускается и поднимается, кроме последнего;</t>
  </si>
  <si>
    <t>•  Lплан — «Исходные данные» I (заполняет DLN.lsp из чертежа);</t>
  </si>
  <si>
    <t>•  подъём — «Справочная» AF:AG по этажу (только для кодов «этаж»).</t>
  </si>
  <si>
    <t>Разбивка по способу прокладки: лоток J, гофра ПВХ K, гофра ПНД L (K, L — из чертежа минус 4 м на опуски).</t>
  </si>
  <si>
    <t>Норма: не нормируется, проектный приём. Вердикт: ✅.</t>
  </si>
  <si>
    <t>7. Потери напряжения ('Исходные данные'!AA:AB, BG)</t>
  </si>
  <si>
    <t>Формула (ГОСТ Р 50571.5.52, прил. G):</t>
  </si>
  <si>
    <t>ΔU = b · (ρ · L / S · cos φ + x · L · sin φ / 1000) · I, В</t>
  </si>
  <si>
    <t>•  b = 2 для однофазной линии (фаза + нейтраль), 1 для трёхфазной;</t>
  </si>
  <si>
    <t>•  ρ = 0,0225 Ом·мм²/м — медь при рабочей температуре (1,25·ρ20), «Справочная» D;</t>
  </si>
  <si>
    <t>•  x — индуктивное сопротивление, Ом/км, по сечению («Справочная» C, 0,13…0,059);</t>
  </si>
  <si>
    <t>•  L — м, S — мм², I — А.</t>
  </si>
  <si>
    <t>ΔU% = ΔU / Uф · 100 (Uф = 231 В). Для трёхфазной линии это равно отношению линейных величин.</t>
  </si>
  <si>
    <t>Итог от ВРУ (BG) = ΔU линии + ΔU от ВРУ до шин щита («Питание_щита» стр. 33).</t>
  </si>
  <si>
    <t>Пределы (BF): светильники — 3 %, прочие — 4 %.</t>
  </si>
  <si>
    <t>Норма: СП 256 п. 8.23: потери от ВРУ здания до наиболее удалённых светильников не более 3 %, до прочих потребителей не более 4 %. При длине более 100 м допускается +0,005 % на каждый метр сверх 100, но не более +0,5 %. Суммарно от шин 0,4 кВ ТП до наиболее удалённого светильника — не более 7,5 %. (ГОСТ Р 50571.5.52 табл. G.52.1 даёт 3 % / 5 % — СП 256 строже, книга берёт СП 256.)</t>
  </si>
  <si>
    <t>Вердикт: ✅ формула и пределы. Не реализованы: надбавка за длину &gt; 100 м (в запас) и проверка 7,5 % от ТП.</t>
  </si>
  <si>
    <t>В v4: надбавка 0,005 %/м; ΔU внешней сети (от ТП до ВРУ) как исходное данное объекта и проверка 7,5 %.</t>
  </si>
  <si>
    <t>8. Токи КЗ и автоматическое отключение</t>
  </si>
  <si>
    <t>8.1 Сопротивление петли на шинах щита (Питание_щита!C34)</t>
  </si>
  <si>
    <t>•  если щит связан с вышестоящим: Zшин = Zшин вышестоящего (по связи) + Rпер;</t>
  </si>
  <si>
    <t>•  если щит — ВРУ от ТП: Zт = uк · Uн² / Sт (uк = 5,5 %, для Y/Yн ×3) + петля питающего кабеля + Rпер;</t>
  </si>
  <si>
    <t>•  если известен Iкз min от сетевой организации: Z = c_min · Uф / Iкз min.</t>
  </si>
  <si>
    <t>Петля питающего кабеля: 2 · ρкз · L / (S · n), ρкз(Cu) = 0,0263, ρкз(Al) = 0,042 Ом·мм²/м (≈1,5·ρ20).</t>
  </si>
  <si>
    <t>Rпер = 0,015 Ом на каждый щит («Питание_щита» C53).</t>
  </si>
  <si>
    <t>8.2 Iкз min в конце линии ('Исходные данные'!BL, BI)</t>
  </si>
  <si>
    <t>Zпетли = Zшин + 2 · ρкз(Cu) · L / S</t>
  </si>
  <si>
    <t>Iкз min = c_min · Uф / Zпетли, c_min = 0,95.</t>
  </si>
  <si>
    <t>8.3 Проверка отключения ('Исходные данные'!BJ, BK)</t>
  </si>
  <si>
    <t>Iкз min / In ≥ 5 (характеристика B), ≥ 10 (C), ≥ 20 (D) → «ok». Иначе «ok (УЗО 30 мА)», если у группы есть 30 мА, или «мало».</t>
  </si>
  <si>
    <t>Нормы:</t>
  </si>
  <si>
    <t>•  ПУЭ п. 1.7.79, табл. 1.7.1: время автоматического отключения в системе TN при Uф = 220 В — не более 0,4 с для групповых цепей; для распределительных цепей — не более 5 с;</t>
  </si>
  <si>
    <t>•  ГОСТ IEC 60898-1: зона мгновенного расцепления B — 3…5·In, C — 5…10·In, D — 10…20·In. Книга берёт верхнюю границу (в запас);</t>
  </si>
  <si>
    <t>•  ГОСТ 28249-93: п. 2.4.2 — нагрев проводников при КЗ, коэффициент 1,5 допускается при приближённых расчётах (совпадает с ρкз); п. 1.5 — рекомендуется учитывать сопротивление дуги и нагрев; п. 2.6 — переходные сопротивления контактов: 0,1 мОм на кабельное соединение, 1,0 мОм на коммутационный аппарат.</t>
  </si>
  <si>
    <t>•  Сопротивление дуги не учитывается: расчётный Iкз min получается выше реального. Это не в запас.</t>
  </si>
  <si>
    <t>•  Rпер 15 мОм на щит взят из справочной практики, а не из ГОСТ 28249. Частично компенсирует отсутствие дуги.</t>
  </si>
  <si>
    <t>•  Сечение PE принимается равным сечению фазы. Для кабелей с уменьшенным PE (например, 4×95+1×50) петля занижена.</t>
  </si>
  <si>
    <t>•  Индуктивное сопротивление линий не учитывается (существенно только от 50–70 мм²).</t>
  </si>
  <si>
    <t>•  В линиях только медь.</t>
  </si>
  <si>
    <t>•  c_min = 0,95 взят из МЭК 60909-0 (коэффициент напряжения для минимального тока КЗ в сетях до 1 кВ), в ГОСТ 28249 такого коэффициента нет. Допустимо.</t>
  </si>
  <si>
    <t>В v4: сопротивление дуги по ГОСТ 28249; сечение PE отдельно; материал жил; x линии от 35 мм².</t>
  </si>
  <si>
    <t>8.4 Iкз max и отключающая способность ('Исходные данные'!BM, Питание_щита!C36)</t>
  </si>
  <si>
    <t>Iкз max = 1,05 · Uф / (Zшин(3ф) + ρ20 · L / S), ρ20 = 0,0175.</t>
  </si>
  <si>
    <t>Норма: ГОСТ Р 50571.4.43 и СП 256 (в линиях I категории аппараты проверяются по режиму КЗ, ГОСТ IEC 60898-2 п. 8.8): отключающая способность аппарата ≥ Iкз max в месте установки.</t>
  </si>
  <si>
    <t>Вердикт: ❌. Iкз max считается, но с отключающей способностью (Icu, например 6 кА) не сравнивается. Сравнение оставлено инженеру (подсказка на «Питание_щита» стр. 36).</t>
  </si>
  <si>
    <t>В v4: Icu аппарата в «Каталоге»; автоматическая проверка Icu ≥ Iкз max на шинах.</t>
  </si>
  <si>
    <t>8.5 Данные для ТКЗ в объекте ЖД</t>
  </si>
  <si>
    <t>ВНИМАНИЕ: в объекте ЖД ТКЗ не считаются ни в одном щите. В ГРЩ‑ЖД на «Питание_щита» не введены Iкз от сетевой организации или данные трансформатора. Поэтому Zшин пусты, и столбцы BI:BM (Iкз, отключение 0,4 с) у всех нижних щитов пустые. Запросите у сетевой организации Iкз min / max на вводе и введите их в ГРЩ, раздел 2.</t>
  </si>
  <si>
    <t>9. Расчётная нагрузка щита (Нагрузка_щитов!AE:AH)</t>
  </si>
  <si>
    <t>9.1 Группы нагрузки</t>
  </si>
  <si>
    <t>Что относится</t>
  </si>
  <si>
    <t>Как считается</t>
  </si>
  <si>
    <t>розетки, свет, кондиционеры, тёплый пол, бытовые щиты</t>
  </si>
  <si>
    <t>Кс по табл. СП 256 по сумме Руст быт щита</t>
  </si>
  <si>
    <t>вентиляция, насосы, пищеблок, бассейн, хаммам</t>
  </si>
  <si>
    <t>Кс своей линии («Исходные данные» BA; пусто = 1), затем × Ко</t>
  </si>
  <si>
    <t>обогрев кровли, слаботочные шкафы, АСУ, СПЗ</t>
  </si>
  <si>
    <t>Кс = 1, без Ко</t>
  </si>
  <si>
    <t>вводы, резерв, транзит</t>
  </si>
  <si>
    <t>не учитывается</t>
  </si>
  <si>
    <t>фидер нижестоящего щита</t>
  </si>
  <si>
    <t>составляющие берутся из файла щита</t>
  </si>
  <si>
    <t>9.2 Формула</t>
  </si>
  <si>
    <t>Рр = Руст.быт · Кс.быт + Ко · Σ(Pсил · Кс) + Руст.пост, Ко = 0,9 («Справочная» BQ14).</t>
  </si>
  <si>
    <t>Кс быт — линейная интерполяция по таблице «Справочная» BP4:BQ11:</t>
  </si>
  <si>
    <t>≤14</t>
  </si>
  <si>
    <t>0,8</t>
  </si>
  <si>
    <t>0,65</t>
  </si>
  <si>
    <t>0,6</t>
  </si>
  <si>
    <t>0,55</t>
  </si>
  <si>
    <t>Считается для всего щита (аварийный режим) и по секциям 1 и 2. «Кс итоговый» = Рр / Руст.</t>
  </si>
  <si>
    <t>•  СП 256 табл. 7.2 (Кс для квартир повышенной комфортности по заявленной мощности) — значения совпадают ✅;</t>
  </si>
  <si>
    <t>•  СП 256 табл. 7.1, прим. 4 и 11: квартиры повышенной комфортности — по заданию или по заявленной мощности с Кс (табл. 7.2) и Ко (табл. 7.3); одноквартирный дом 55–300 м² — по удельным нагрузкам табл. 7.1;</t>
  </si>
  <si>
    <t>•  СП 256 п. 7.1.10, формула (6): Рр.ж.д = kп.к · Ркв + 0,9 · Рс; kп.к — табл. 7.5а (ЦФО 0,81, СЗФО 0,91 …);</t>
  </si>
  <si>
    <t>•  СП 256 п. 7.1.8, табл. 7.5: Кс для сантехнического оборудования и холодильных машин по числу электроприёмников (доля 100–85 %: 2 — 1,0; 3 — 0,9; 5 — 0,8; 8 — 0,75; 10 — 0,7; 15–20 — 0,65; 30 — 0,6; 50–100 — 0,55; 200 — 0,5; резервные не учитываются);</t>
  </si>
  <si>
    <t>•  Изменение № 9 к СП 256 (с 26.01.2026): к нагрузке квартир (домов) повышенной комфортности электроотопление прибавляется отдельно с Кс = 1, электроводонагреватели (и, по пересказу, тёплые полы) — с коэффициентом 0,7. Новый подраздел 7.5 — расчёт для ОИЖС (формула 17, табл. 7.19: 1 дом — 12 кВт с газовой плитой, 16,2 кВт с электроплитой + отопление, ВНГ, обогрев кровли отдельными слагаемыми).</t>
  </si>
  <si>
    <t>Вердикт:</t>
  </si>
  <si>
    <t>•  Кс быт по табл. 7.2 — ✅;</t>
  </si>
  <si>
    <t>•  отопление и тёплые полы в группе «Быт» снижаются табличным Кс — ❌ по Изм. 9 (должны идти отдельно с 1 и 0,7);</t>
  </si>
  <si>
    <t>•  Кс силовой нагрузки вводится вручную — ⚠️ (в объекте ЖД у всех линий ЩОВ‑001 стоит 0,5; по табл. 7.5 для 34 электроприёмников ≈ 0,59);</t>
  </si>
  <si>
    <t>•  Ко = 0,9 применяется на любом щите — ⚠️: по формуле (6) это коэффициент совмещения квартирной и силовой нагрузки на вводе дома. На чисто силовом щите (ЩОВ) он занижает Рр на 10 %;</t>
  </si>
  <si>
    <t>•  kп.к отсутствует — ⚠️ (нужно решение: применим ли он к дому повышенной комфортности; для многоквартирных домов обязателен).</t>
  </si>
  <si>
    <t>В v4:</t>
  </si>
  <si>
    <t>•  выбор метода на объект: «квартира / дом повышенной комфортности (табл. 7.2 + 7.3)», «ОИЖС (п. 7.5)», «многоквартирный дом (табл. 7.1 + kп.к)», «общественное здание»;</t>
  </si>
  <si>
    <t>•  группы «Отопление» (Кс 1) и «ВНГ / тёплый пол» (0,7);</t>
  </si>
  <si>
    <t>•  Кс сантехники и вентиляции — автоматически по табл. 7.5 по числу работающих электроприёмников и доле;</t>
  </si>
  <si>
    <t>•  Ко только на щите, где есть и бытовая, и силовая нагрузка (флажок «ВРУ дома»).</t>
  </si>
  <si>
    <t>9.3 Ток щита, cos φ, фазы</t>
  </si>
  <si>
    <t>•  Фаза линии назначается по кругу L1 → L2 → L3 для однофазных линий, трёхфазные — на все фазы («Разбивка_по_щитам» S:T). Вручную — «Нагрузка_щитов» E.</t>
  </si>
  <si>
    <t>•  Мощность фазы = Σ однофазных этой фазы + Σ трёхфазных / 3.</t>
  </si>
  <si>
    <t>•  Iр = max( Pфазы.max · Кс.итог / (Uф · cos φ) ; Рр / (√3 · Uн · cos φ) ) — по наиболее нагруженной фазе.</t>
  </si>
  <si>
    <t>•  cos φ щита = Σ(P · cos φ) / ΣP.</t>
  </si>
  <si>
    <t>Вердикт: ⚠️. Ток по наиболее нагруженной фазе — правильный инженерный приём. cos φ щита правильнее считать через реактивную мощность: Q = Σ P·tg φ, cos φ = P / √(P² + Q²). При смеси 0,95 и 0,8 ошибка — 1–2 %.</t>
  </si>
  <si>
    <t>9.4 Пожарные нагрузки</t>
  </si>
  <si>
    <t>Пожарные линии (BO = «да» или код с признаком «пожарная») идут отдельным режимом «Пожар» и в расчётный максимум не входят.</t>
  </si>
  <si>
    <t>Норма: СП 256 п. 7.1.9: мощность электроприёмников противопожарных устройств и резервных двигателей при расчёте нагрузок питающих линий и вводов не учитывается, кроме случаев, когда она определяет выбор аппаратов и сечений; для линий одновременно работающих противопожарных устройств Кс = 1.</t>
  </si>
  <si>
    <t>Вердикт: ✅. В книге ссылка на «СП 31-110-2003 п. 6.9» — заменить на СП 256 п. 7.1.9.</t>
  </si>
  <si>
    <t>10. Питающая линия и шины щита (Питание_щита, раздел 3)</t>
  </si>
  <si>
    <t>Строка</t>
  </si>
  <si>
    <t>Величина</t>
  </si>
  <si>
    <t>Формула</t>
  </si>
  <si>
    <t>Норма</t>
  </si>
  <si>
    <t>29–31</t>
  </si>
  <si>
    <t>Рр, Iр, cos φ щита</t>
  </si>
  <si>
    <t>из «Нагрузка_щитов»</t>
  </si>
  <si>
    <t>см. разд. 9</t>
  </si>
  <si>
    <t>(ρ·L/(S·n)·cos φ + 0,08·L/n·sin φ /1000)·Iр / Uф·100, ρ = 0,0225 (Cu) / 0,036 (Al)</t>
  </si>
  <si>
    <t>ГОСТ Р 50571.5.52 прил. G (x = 0,08 мОм/м)</t>
  </si>
  <si>
    <t>ΔU от ВРУ до шин</t>
  </si>
  <si>
    <t>ΔU вышестоящего + ΔU питающей; для ВРУ = 0</t>
  </si>
  <si>
    <t>СП 256 п. 8.23</t>
  </si>
  <si>
    <t>34–36</t>
  </si>
  <si>
    <t>Zпетли, Iкз min, Iкз max на шинах</t>
  </si>
  <si>
    <t>см. разд. 8</t>
  </si>
  <si>
    <t>ГОСТ 28249</t>
  </si>
  <si>
    <t>Iдоп питающего кабеля</t>
  </si>
  <si>
    <t>ПУЭ 1.3.7 × 0,92 (4–5 жил) × n × К прокл; для Al — «ПУЭ 1.3.7» вручную</t>
  </si>
  <si>
    <t>ГОСТ 31996</t>
  </si>
  <si>
    <t>Iр ≤ In ≤ Iдоп</t>
  </si>
  <si>
    <t>ГОСТ Р 50571.4.43 п. 433.1</t>
  </si>
  <si>
    <t>Отключение КЗ на шинах</t>
  </si>
  <si>
    <t>Iкз min ≥ 5 / 10 / 20 · In</t>
  </si>
  <si>
    <t>ПУЭ 1.7.79 (распред. цепи ≤ 5 с)</t>
  </si>
  <si>
    <t>Термическая стойкость кабеля</t>
  </si>
  <si>
    <t>t = (k·S / Iкз max)², k = 115 (Cu, ПВХ) / 76 (Al); если t &lt; 0,1 с — проверить по I²t аппарата</t>
  </si>
  <si>
    <t>ГОСТ Р 50571.4.43 п. 434.5.2</t>
  </si>
  <si>
    <t>Селективность</t>
  </si>
  <si>
    <t>In ≥ 1,6 · max In отходящих</t>
  </si>
  <si>
    <t>ориентир; подтверждать картами селективности изготовителя</t>
  </si>
  <si>
    <t>Трансформатор: Zт = uк · Uн² / Sт, uк = 5,5 % константой; для Y/Yн сопротивление петли ×3.</t>
  </si>
  <si>
    <t>Вердикт: ⚠️. ГОСТ 28249 требует сопротивления нулевой последовательности по данным изготовителя. Множитель 3 — грубая оценка.</t>
  </si>
  <si>
    <t>В v4: uк, Sт и схема из паспорта; Zт(1) / 3 по таблице изготовителя.</t>
  </si>
  <si>
    <t>11. Категории надёжности, режимы, ИБП</t>
  </si>
  <si>
    <t>Обеспечиваемая категория шины:</t>
  </si>
  <si>
    <t>1 ввод, питающая линия I особая / I / II</t>
  </si>
  <si>
    <t>шина ИБП или ДГУ</t>
  </si>
  <si>
    <t>•  ПУЭ 1.2.17–1.2.21: категория определяется последствиями перерыва питания; I — два независимых взаимно резервирующих источника, перерыв только на время автоматического восстановления (1.2.19); II — допускается перерыв на время ручного переключения (1.2.20);</t>
  </si>
  <si>
    <t>•  СП 256 табл. 6.1 — категории электроприёмников жилых и общественных зданий; п. 6.13 и 8.10 — АВР на вводе или самостоятельный щит с АВР у электроприёмников I категории;</t>
  </si>
  <si>
    <t>•  СП 6.13130.2021 — системы противопожарной защиты по I категории.</t>
  </si>
  <si>
    <t>Вердикт: ✅. Ограничение «один кабель — не выше II» соответствует ПУЭ 1.2.19 и СП 256 п. 8.10.</t>
  </si>
  <si>
    <t>Режимы («Режимы»): нормальный (СВ отключён), аварийный (потеря ввода 1 или 2), максимум аварийного, потеряны все вводы (только ИБП и ДГУ), пожар (вне максимума), нормальный + пожарные. Рр каждого набора линий считается по формуле разд. 9.2 заново (Кс быт — по сумме своего набора).</t>
  </si>
  <si>
    <t>Вердикт: ✅ (методика СП 256 п. 7.1.9 и разд. 9.2).</t>
  </si>
  <si>
    <t>ИБП («ИБП»):</t>
  </si>
  <si>
    <t>•  требуемая S = P / cos φ вых / допустимая загрузка (0,75);</t>
  </si>
  <si>
    <t>•  ёмкость АКБ, А·ч = P · 1000 · t / 60 / (U · КПД · k), k = 0,8 (разряд и старение);</t>
  </si>
  <si>
    <t>•  вход ИБП: P вх = P / КПД · (1 + заряд АКБ 10 %).</t>
  </si>
  <si>
    <t>Норма: не нормируется; время автономии для систем противопожарной защиты — по СП 6.13130 и СП 484.1311500. Вердикт: ⚠️ (инженерная методика, автономию задаёт проектировщик по нормам на конкретную систему).</t>
  </si>
  <si>
    <t>12. Таблица нагрузок для пояснительной записки и компенсация</t>
  </si>
  <si>
    <t>«Расчёт_нагрузок»: строки по видам нагрузки («Справочная» BT:BV, в v4 — столбец «Вид нагрузки»), для каждой — Руст, Кс = Рр / Руст, cos φ (средневзвешенный или из «Справочной» BU), tg φ, Рр, Qр = Рр·tg φ, Sр, Iр = Sр / (√3·Uн). Итог щита — с Ко = 0,9.</t>
  </si>
  <si>
    <t>Компенсация: Qку = Рр · (tg φ − 0,35); если &lt; 50 квар — «не требуется».</t>
  </si>
  <si>
    <t>Норма: СП 256 п. 7.3.1: для жилых и общественных зданий КРМ, как правило, не требуется; п. 7.3.2: для тепловых пунктов, насосных и т. п. — не требуется, если мощность КУ на рабочем вводе ≤ 50 квар (≈ 250 кВт нагрузки). Целевой tg φ = 0,35 — из приказа Минэнерго № 380 (предельные значения для потребителей), в СП 256 не задан.</t>
  </si>
  <si>
    <t>Вердикт: ✅.</t>
  </si>
  <si>
    <t>13. Кабельный журнал и спецификация</t>
  </si>
  <si>
    <t>•  Длина кабеля в журнале = длина трассы × (1 + запас 20 %) («Кабельный_журнал» D3). Запас — проектный приём, не норма. ⚠️ Вынести в настройку объекта.</t>
  </si>
  <si>
    <t>•  Спецификация считает автоматы, аппараты, модули, клеммы по «Однолинейке» (Каталог N) + ручной запас (O). Расчётом не является.</t>
  </si>
  <si>
    <t>14. Лист «ТКЗ»</t>
  </si>
  <si>
    <t>Старый ручной расчёт по участкам: Iкз = 220 / Zпетли, без c_min, без нагрева, свой справочник автоматов. В основной расчёт не входит (v1.04: «для тестирования»).</t>
  </si>
  <si>
    <t>Вердикт: ❌ (дублирует и противоречит «Питание_щита»). В v4: удалить.</t>
  </si>
  <si>
    <t>15. Пример: линия ККБ‑1 щита ЩОВ‑001 (объект ЖД)</t>
  </si>
  <si>
    <t>Исходные данные: P = 28 кВт, 3ф, 400 В, кабель ВВГнг(А)-LS 5×25 (сечение задано вручную), L = 34 м, автомат вручную 63 А, cos φ = 0,95, группа «Сил», Кс = 0,5.</t>
  </si>
  <si>
    <t>Шаг</t>
  </si>
  <si>
    <t>Результат</t>
  </si>
  <si>
    <t>В книге</t>
  </si>
  <si>
    <t>28 / (1,732 · 0,4 · 0,95)</t>
  </si>
  <si>
    <t>42,54 А</t>
  </si>
  <si>
    <t>T = 42,54 ✅</t>
  </si>
  <si>
    <t>Номинал по току</t>
  </si>
  <si>
    <t>42,54 &gt; 36 и ≤ 45 → 50 А (Iр ≤ 0,9·In)</t>
  </si>
  <si>
    <t>50 А</t>
  </si>
  <si>
    <t>«Однолинейка» AA = 50 ✅</t>
  </si>
  <si>
    <t>Номинал итог</t>
  </si>
  <si>
    <t>max(50; ручной 63)</t>
  </si>
  <si>
    <t>63 А</t>
  </si>
  <si>
    <t>AU = 63 ✅</t>
  </si>
  <si>
    <t>Iдоп кабеля</t>
  </si>
  <si>
    <t>ПУЭ 1.3.7, 3-жил., 25 мм² = 95 А × 0,92</t>
  </si>
  <si>
    <t>87,4 А ≥ 63 А</t>
  </si>
  <si>
    <t>«Однолинейка» AB = 80 (ближайший номинал ≤ 87,4) ✅</t>
  </si>
  <si>
    <t>ΔU</t>
  </si>
  <si>
    <t>1 · (0,0225·34/25·0,95 + 0,0662·34·0,31/1000) · 42,54 = 1,27 В</t>
  </si>
  <si>
    <t>0,55 %</t>
  </si>
  <si>
    <t>AB = 0,55 ✅</t>
  </si>
  <si>
    <t>ΔU от ВРУ</t>
  </si>
  <si>
    <t>0,55 + 0,5 (до шин ЩОВ‑001)</t>
  </si>
  <si>
    <t>1,05 % ≤ 4 %</t>
  </si>
  <si>
    <t>BG = 1,05 ✅</t>
  </si>
  <si>
    <t>Iкз, 0,4 с</t>
  </si>
  <si>
    <t>нет данных сети в ГРЩ</t>
  </si>
  <si>
    <t>пусто ⚠️ (разд. 8.5)</t>
  </si>
  <si>
    <t>Что даст проверка по нормам для этой линии:</t>
  </si>
  <si>
    <t>•  cos φ ККБ по СП 256 п. 7.1.12 — 0,8 → I = 28 / (1,732·0,4·0,8) = 50,5 А. Номинал по току с запасом 10 % → 63 А (совпадает с ручным), Iдоп 87,4 А — сечение достаточно.</t>
  </si>
  <si>
    <t>Щит ЩОВ‑001 целиком: Руст = 211,22 кВт (вся нагрузка «Сил»), Σ P·Кс = 105,61 кВт, Рр = 0,9 · 105,61 = 95,05 кВт, Iр = 146,4 А (по наиболее нагруженной фазе 71,36 кВт).</t>
  </si>
  <si>
    <t>По нормам: Кс по табл. 7.5 для 34 электроприёмников ≈ 0,59 (вместо 0,5), без Ко (щит чисто силовой), cos φ 0,8 → Рр ≈ 211,22 · 0,59 ≈ 125 кВт (+31 %), Iр ≈ 125 / (1,732·0,4·0,8) ≈ 225 А (+54 %).</t>
  </si>
  <si>
    <t>ВНИМАНИЕ: это оценка для иллюстрации. Точный Кс зависит от числа одновременно работающих электроприёмников без резервных (табл. 7.5, прим. 3) и доли сантехнической нагрузки. Решение — за инженером. Питающая линия ЩОВ‑001 защищена аппаратом 400 А, поэтому вывод по аппарату не меняется, но расчётная нагрузка объекта для ТУ вырастет.</t>
  </si>
  <si>
    <t>16. Что решить инженеру до v4</t>
  </si>
  <si>
    <t>1. Метод расчёта бытовой нагрузки объекта ЖД: дом повышенной комфортности (табл. 7.2) или ОИЖС (п. 7.5, Изм. 9).</t>
  </si>
  <si>
    <t>2. kп.к: применять ли региональный коэффициент к отдельному дому.</t>
  </si>
  <si>
    <t>3. Таблица допустимых токов: ГОСТ 31996 или данные конкретного изготовителя кабеля.</t>
  </si>
  <si>
    <t>4. cos φ вентиляции и насосов: 0,8 по СП 256 или паспортные значения.</t>
  </si>
  <si>
    <t>5. Кс силовой нагрузки: автоматически по табл. 7.5 или вручную по заданию технологов.</t>
  </si>
  <si>
    <t>6. Данные сети для ТКЗ: запросить у сетевой организации Iкз min / max на вводе ГРЩ.</t>
  </si>
  <si>
    <t>17. Что реализовано в v4</t>
  </si>
  <si>
    <t>Книга v4 — один файл на объект. Методика выбирается на листе «Объект» (C8): «v3.12» — формулы как в старой книге (для сверки), «нормы 2026» — с исправлениями ниже. Расчёт в обоих режимах одинаков, кроме перечисленного.</t>
  </si>
  <si>
    <t>v3.12</t>
  </si>
  <si>
    <t>нормы 2026 (v4)</t>
  </si>
  <si>
    <t>cos φ силовых линий без ручного значения</t>
  </si>
  <si>
    <t>0,95</t>
  </si>
  <si>
    <t>0,8 (СП 256 п. 7.1.12)</t>
  </si>
  <si>
    <t>Кс силовых линий без ручного значения</t>
  </si>
  <si>
    <t>по табл. 7.5 СП 256 по числу силовых линий щита (таблица на листе «Объект»)</t>
  </si>
  <si>
    <t>на любом щите</t>
  </si>
  <si>
    <t>только если на щите есть и бытовая, и силовая нагрузка (формула 6)</t>
  </si>
  <si>
    <t>Электроотопление</t>
  </si>
  <si>
    <t>в группе «Быт» (снижается Кс)</t>
  </si>
  <si>
    <t>группа «Отоп», Кс = 1, отдельным слагаемым (Изм. 9)</t>
  </si>
  <si>
    <t>Водонагреватели (тёплые полы)</t>
  </si>
  <si>
    <t>в группе «Быт»</t>
  </si>
  <si>
    <t>группа «ВНГ», × 0,7 отдельным слагаемым (Изм. 9)</t>
  </si>
  <si>
    <t>kп.к</t>
  </si>
  <si>
    <t>настройка объекта (C9), по умолчанию 1</t>
  </si>
  <si>
    <t>Допустимая ΔU</t>
  </si>
  <si>
    <t>3 % / 4 %</t>
  </si>
  <si>
    <t>3 % / 4 % + 0,005 %/м после 100 м, не более +0,5 % (СП 256 п. 8.23)</t>
  </si>
  <si>
    <t>Отключающая способность</t>
  </si>
  <si>
    <t>не проверялась</t>
  </si>
  <si>
    <t>Icu автомата (из «Каталога») ≥ Iкз max на шинах — замечание в «Проверке»</t>
  </si>
  <si>
    <t>Сборка нагрузки по щитам. Для каждого щита вычисляется путь от ВРУ (лист «Щиты», столбец «Путь»). Нагрузка щита = составляющие всех линий щита и нижестоящих щитов (Руст быт, Σ P·Кс силовых, Руст пост, Р отоп, 0,7·Р ВНГ, Σ P·cos φ); Кс быт и Ко применяются к сумме. ΔU до шин и Zпетли нижнего щита = ΔU / петля источника + Σ по фидерам на пути (+ Rпер на каждый щит).</t>
  </si>
  <si>
    <t>Режимы (лист «Нагрузки»): линии нижних щитов относятся к источнику своего фидера в выбранном щите; линия на шине ИБП/ДГУ нижнего щита в текущей версии относится к источнику фидера (подстановка входа ИБП нижнего щита — в следующей версии). Пожарная линия-фидер делает пожарной всю нагрузку нижнего щита.</t>
  </si>
  <si>
    <t>Сверка v4 с v3.12 на объекте ЖД (режим «v3.12»): автоматы 348/349, сечения 346/350, cos φ 350/350, длины 331/350, 12 щитов из 17 — полностью. Остальные расхождения — исправления v3.12: ошибка шаблона в формуле фаз (строки 29–127 листа «Нагрузка_щитов» брали фазу соседней строки), подключение ЩГП и ЩО‑001, учёт линии вне схемы, объединение справочников кодов.</t>
  </si>
  <si>
    <t>18. Что меняется в v5 (бета): автоподбор, фазы, категории и итоги по вводам</t>
  </si>
  <si>
    <t>В v5 таблица сама предлагает значения (серым) и проверяет ручные (синим). Расчётные формулы разделов 1–17 те же; ниже — как выбираются значения, которые раньше вводились вручную.</t>
  </si>
  <si>
    <t>Мощность линии. Если мощность не вписана: Р = «кВт на шт» кода (лист «Коды») × число потребителей из DLN. Для розеток в шаблоне 0,06 кВт на розетку (правило отдела; пункт СП сверить при выпуске). Фидер — Руст нижнего щита. Ввод щита (код «Ввод»): щит с одним вводом или с АВР — Руст, Iр и cos φ всего щита (при потере ввода оставшийся тянет всё — по этому режиму подбираются автомат и кабель ввода); два–три ввода без АВР — сумма линий своей секции (тот же источник, раздел 11).</t>
  </si>
  <si>
    <t>Группа. «гр» в столбце «Группа» — линия на автомате строки выше. Ток группы = сумма токов линий группы. Полюса, ток утечки и минимальный номинал берутся по всем линиям группы (ток утечки — самый строгий). Строки без номера линии (резерв канала, «+») относятся к группе выше; строка «вручную» группу прерывает.</t>
  </si>
  <si>
    <t>Автомат. In = наименьший номинал ряда с Iр.гр ≤ 0,9·In (ГОСТ Р 50571.4.43 п. 433.1, запас 10 %), но не меньше минимума кода (свет 10 А, розетки 16 А — таблица «Коды», столбец «Мин. автомат, А») и не меньше 10 А перед БП и трансформатором. Полюса: 1ф — 1P, 3ф — 3P; с дифзащитой (вид аппарата кода «дифавтомат») — 2P / 4P и «… 30мА». Характеристика — по коду (по умолчанию C). Ручное значение: число (номинал), «C25» или полная запись «2P C25А 30мА».</t>
  </si>
  <si>
    <t>Сечение. Наименьшее сечение из ряда, не меньше минимума кода и 1,5 мм², при котором одновременно:</t>
  </si>
  <si>
    <t>1. Iдоп·Kж·Kпрокл ≥ In автомата группы (ПУЭ табл. 1.3.4–1.3.7, п. 1.3.10; ГОСТ Р 50571.4.43 п. 433.1). Линии группы подбираются по автомату группы, а не по своему току (в v3.12 и v4 — по своему току);</t>
  </si>
  <si>
    <t>2. ΔU от ВРУ ≤ 3 % до светильников и 4 % до прочих (+0,005 %/м после 100 м, СП 256 п. 8.23);</t>
  </si>
  <si>
    <t>3. Iкз min в конце линии ≥ 5·In (B), 10·In (C), 20·In (D) — отключение за 0,4 с (ПУЭ 1.7.79, ГОСТ IEC 60898-1). Если в группе есть дифзащита, условие считается выполненным.</t>
  </si>
  <si>
    <t>Для условий 2 и 3 потери и сопротивление петли до шин щита берутся по сечениям питающих фидеров, подобранным по току (иначе подбор зациклится: сечение фидера → ΔU щита → сечение фидера). Точная проверка по фактическим сечениям — в столбце «Замечания» и на листе «Проверка».</t>
  </si>
  <si>
    <t>Фазы. Автоматы щита без ручной фазы раскладываются так: сначала учитываются заданные нагрузки (ручные фазы, трёхфазные линии — по 1/3 на фазу), затем группы по убыванию мощности, каждая — на наименее нагруженную фазу. Линии группы получают фазу своего автомата. Ручная фаза не меняется; если линия группы стоит на другой фазе — замечание. Iр щита по-прежнему считается по наиболее нагруженной фазе.</t>
  </si>
  <si>
    <t>Категории. У линий категории нет — категория есть только у вводов (шин) щита. Категория ввода: своя (строка «Ввод», столбец «Категория ввода» в «Ещё»), иначе по шине — ИБП и ДГУ дают I особую, остальные — «Категория шины «Ввод»» щита по таблице раздела 11. Проверка v4 «категория линии не выше категории шины» убрана: какие нагрузки какой категории, инженер решает по заданию (СП 256 табл. 6.1) и выбирает для них ввод.</t>
  </si>
  <si>
    <t>Итоги по вводам (лист «Щит», под схемой). Набор линий каждого ввода: линии щита с источником этого ввода (столбцы «Шина», «Секция»), нижние щиты — по источнику своего фидера, шина ИБП — к вводу из «ИБП от» (если у щита нет отдельного ввода с шины ИБП). Руст, Рр, Iр, cos φ, Кс считаются по набору формулой раздела 9.2 заново (Кс быт — по сумме своего набора). Нагрузка фаз L1–L3 — Рр ввода, разнесённая пропорционально Р линий по фазам. Итоги — нормальный режим; у щита с АВР строка «Ввод» в таблице под схемой показывает всю нагрузку щита (аварийный режим).</t>
  </si>
  <si>
    <t>Сверка v5 (режим «v3.12»): ЖК «Остров» — мощность, ток, сечение, длина, ΔU, группа Кс, cos φ 52/52. Объект ЖД: cos φ 350/350, сечения 344/350, мощность 333/350; разница по токам щитов — из-за ручных фаз (в v3.12 их сдвигала ошибка шаблона) и автобалансировки, по автоматам — из-за подбора на группу.</t>
  </si>
  <si>
    <t>19. Документы и проверки v5 (пункт 2): ток утечки, Lмакс, журнал, спецификация</t>
  </si>
  <si>
    <t>Ток утечки (столбец «Ток утечки, мА» в «Ещё»). ПУЭ 7.1.83: суммарный ток утечки сети с электроприёмниками в нормальном режиме — не больше 1/3 номинального тока УЗО; без данных ток утечки электроприёмников — 0,4 мА на 1 А тока нагрузки, сети — 10 мкА на 1 м длины фазного проводника. В книге: Iут = 0,4·Iр + 0,01·L, мА; у группы на одном автомате — сумма по линиям группы. Если у группы дифзащита IΔn и Iут &gt; IΔn/3 — замечание. Фидеры и вводы не считаются.</t>
  </si>
  <si>
    <t>Вердикт: ✅ по формуле ПУЭ. ⚠️ Для трёхфазных линий берётся длина линии, а не сумма длин трёх фазных проводников (токи утечки фаз в УЗО частично компенсируются) — при сомнении считать по паспортным токам утечки оборудования.</t>
  </si>
  <si>
    <t>Lмакс по КЗ (столбец «Lмакс по КЗ, м»). Из формулы Iкз min раздела 10: L = (c_min·Uф / (k·In) − Zпетли на шинах)·S / (2·ρкз), k — кратность (B 5, C 10, D 20), ρкз = 1,5·ρ20; для линии группы — In автомата группы. Нет данных сети на шинах — пусто. Если «Длина, м» близка к Lмакс — запаса нет: больше сечение или другая характеристика.</t>
  </si>
  <si>
    <t>Вердикт: ✅ (ПУЭ 1.7.79, ГОСТ 28249; та же модель, что у проверки «Отключение ≤ 0,4 с»).</t>
  </si>
  <si>
    <t>Кабельный журнал. Строки — линии с кабелем выбранного щита или всего объекта (ячейка E1). Ввод щита в журнал не попадает, если фидер щита есть в книге (иначе кабель учтётся дважды). Размер гофры — справочник «Кабель_диаметр» (лист «Справочная_потребители»): мин. внутренний диаметр трубы = max(14 мм; 1,2·Dнаруж), ближайший размер гофры ПВХ или ПНД по таблицам внутренних диаметров (как в v1.05 и v3.12). В v5 справочник дополнен сечениями от 10 мм², FRLS, ВБШв, МКЭШ и слаботочными кабелями — диаметры ориентировочные (каталоги производителей), уточняйте в столбце U. «Ø?» — кабеля нет в справочнике.</t>
  </si>
  <si>
    <t>Сводки справа: кабели — сумма длин трассы, «с запасом» = вверх до 1 м от L·(1 + запас), «в спецификацию» — вверх до 10 м; гофра — по типу и диаметру, «в спецификацию» — вверх до целой бухты (таблица «Гофра_изделия»); лоток; сводка ПТО — ключ «кабель + потолок/пол (1/2)» → артикул ПТО по таблице «Таблицы_норм» AJ:AK. Запас по умолчанию 20 % (ячейка L1).</t>
  </si>
  <si>
    <t>Спецификация. Раздел 1: корпус и комплект — вручную (таблица «Спец_вручную», строка на позицию, столбец «Щит»); аппараты — из «Каталога» по схеме (как в v3.12, через «Спецификация_авто»); автоматы и аппараты, которых нет в «Каталоге», — отдельными строками с пометкой «впишите артикул» (в v3.12 и v4 они терялись). Раздел 2: кабели по марке и сечению (линия «5хВВГнг… (1х185)» — пять кабелей × длина), количество — вверх до 10 м от L·(1 + запас); гофра — вверх до бухты; крепёж — нормы расхода: количество = вверх до кратности от (база × норма на 1 м), база — метры гофры (по диаметру, «ПВХ все», «ПНД все») или кабеля после округления.</t>
  </si>
  <si>
    <t>Нормы по умолчанию — по спецификации ЩР-1.1 проекта «Жуковка»: клипсы и держатели — 2 шт. на 1 м гофры ПВХ; гвозди и газовые баллоны — 1 упаковку на 1000 клипс; лента перфорированная — 1 на ~330 м гофры ПНД.</t>
  </si>
  <si>
    <t>Вердикт: ⚠️ нормы крепежа — практика отдела, не норматив; правьте в таблице «Нормы_расхода» под объект.</t>
  </si>
  <si>
    <t>Выгрузка для AutoCAD (кнопка на листе «Щит»): значения без формул в файл «&lt;книга&gt;_AutoCAD.xlsx» рядом с книгой; на каждый щит — листы «&lt;щит&gt; схема», «&lt;щит&gt; итоги», «&lt;щит&gt; журнал», «&lt;щит&gt; спец». Имена листов постоянные, поэтому Data Link в AutoCAD после новой выгрузки достаточно обновить.</t>
  </si>
  <si>
    <t>20. Линии до 50 В (LED 24 В, 12 В) — пункт 3</t>
  </si>
  <si>
    <t>Признак: напряжение линии ≤ 50 В (столбец «Напряжение» в «Ещё» или «Напряжение» кода). Это линии после блока питания: в таблице — группа «автомат → МК → БП (→ диммер)», линии 24 В идут с «гр» под строкой автомата.</t>
  </si>
  <si>
    <t>Ток и потери. I = P/U (постоянный ток). ΔU = 2·ρ·L·I / S (два провода), в % — от U линии. Допустимо — «Объект» C14, по умолчанию 5 %; считается от выхода БП (потери до шин щита не прибавляются: БП стабилизирует выход). Раньше (таблицы 1.05, проект «Жуковка») в основной таблице потери 24 В считались как для 230 В — ошибка исправлена.</t>
  </si>
  <si>
    <t>Сечение. Наименьшее из ряда, не меньше минимума кода и 1,5 мм², при котором Iдоп·К ≥ I линии и ΔU ≤ допустимого. Проверка Iкз и «Отключение ≤ 0,4 с» для таких линий не выполняется: кабель после БП, ток ограничивает БП, автомат стоит на стороне 230 В. Жил по умолчанию 2.</t>
  </si>
  <si>
    <t>Автомат группы — по току на стороне 230 В: I = P / (Uф·cos φ), не меньше «минимального автомата перед БП».</t>
  </si>
  <si>
    <t>Блок питания. Мощность и напряжение — из «Аппаратов» строки автомата («БП 24V 480W»). Нужно = запас («Объект» C13, 1,3) × Σ (U + ΔU)·I по линиям группы — как в листе «Расчет_БП» v1.05. «Uвых БП» = max (U + ΔU) — напряжение на выходе, при котором у самой нагруженной линии в конце остаётся номинал. Замечания: БП меньше нужного; напряжение БП не совпадает с линией; линии до 50 В без БП в «Аппаратах».</t>
  </si>
  <si>
    <t>Ток канала модуля (диммер, DALI): «Каталог», столбец Q «Ток канала, А»; линии на одном канале («=») суммируются.</t>
  </si>
  <si>
    <t>Вердикт: ⚠️ допуск 5 % — практика (производители LED-лент обычно допускают 5–10 %), СП и ПУЭ для таких сетей потерь не нормируют; запас 1,3 — правило отдела.</t>
  </si>
  <si>
    <t>Длина линии (поправка v5): если «Кол-во потребителей» пусто, число опусков считается за 1 (раньше один опуск вычитался).</t>
  </si>
  <si>
    <t>21. Модули, УЗО на группу, порядок щита, выдача и изменения — пункт 4</t>
  </si>
  <si>
    <t>Модули по умолчанию. «Объект», таблица «Модули_умолч»: управление → модель («Каталог») и каналов на линию. По умолчанию — как в проекте «Жуковка»: Relay и шторы — ZIOMB24V2 (шторы — 2 выхода: вверх/вниз), DIM — ZDINDX4, DALI — ZDID64X2 (0 каналов: группы на одной шине шлюза), клапаны — ZCL-8HT230. Подряд идущие линии с одним управлением (или одной моделью) идут на каналы одного модуля; новый модуль — когда каналы кончились. Свой модуль (модель в строке) — блок до «-», как в v3.12.</t>
  </si>
  <si>
    <t>УЗО на группу автоматов. Строка «УЗО.1» (код «УЗО», без кабеля и нагрузки), в «Аппаратах» — «УЗО 2P 40А 30мА»; ниже — линии со своими автоматами и «узо» в «Группе». Номинал и уставка УЗО читаются из текста. Автомат строки УЗО подбирается по сумме токов блока; линии блока — обычные автоматы (дифзащиту даёт УЗО), «Отключение ≤ 0,4 с» и «розетка без дифзащиты» учитывают уставку УЗО. Проверки: номинал УЗО ≥ номинала автомата перед ним и ≥ тока блока; ток утечки блока (ПУЭ 7.1.83, сумма по линиям) ≤ 1/3 уставки. Блок с УЗО 2P — на одной фазе (в расклад фаз идёт строкой УЗО с мощностью блока); с 4P — линии раскладываются как обычно.</t>
  </si>
  <si>
    <t>Вердикт: ✅ (ПУЭ 7.1.83; согласование номиналов — практика проектирования). Шина УЗО на схеме — пункт 5 (SXDRAW).</t>
  </si>
  <si>
    <t>«Упорядочить щит» (макрос): вводной узел (строки «вручную» и места узла) остаётся на месте; остальное — блоками (автомат с «гр», блок УЗО, свой модуль) по управлению (Relay, DIM, DALI, шторы, клапаны, без управления), коду, помещению, номеру линии. Формулы соседних строк после сортировки остаются верными (ссылки «строка выше» относительные), затем макрос чинит формулы.</t>
  </si>
  <si>
    <t>«Зафиксировать выдачу» и «Изменения». Снимок ключевых полей каждой линии (наименование, Р, автомат, сечение, длина, фаза, кабель, модуль, канал, клемма, место, лист схемы) — на скрытый лист «_выдача» с номером изменения и датой. «Изменения»: добавленные, удалённые и изменённые линии (было → стало) по щитам; по каждому щиту — листы схемы с изменениями (для таблицы изменений в основной надписи). В «Линиях» изменённые ячейки подсвечены. Автофазы после правок могут переставиться — поэтому перед выдачей их закрепляют.</t>
  </si>
  <si>
    <t>Источники</t>
  </si>
  <si>
    <t>•  СП 256.1325800.2016, ред. 01.03.2022 — полный текст (КонсультантПлюс, опубликован на сайте ГУ МЧС): https://22.mchs.gov.ru/uploads/resource/2023-03-02/8cd1efa9150e03022668bf3a9b3922e2.docx</t>
  </si>
  <si>
    <t>•  Изменение № 9 к СП 256.1325800.2016 (приказ Минстроя от 25.12.2025 № 846/пр): https://meganorm.ru/mega_doc/norm_update_01032026/prikaz/0/izmenenie_N_9_k_sp_256_1325800_2016_elektroustanovki_zhilykh.html</t>
  </si>
  <si>
    <t>•  Изменение № 6 к СП 256.1325800.2016: https://meganorm.ru/mega_doc/norm/prikaz/13/izmenenie_N_6_k_sp_256_1325800_2016_elektroustanovki_zhilykh.html</t>
  </si>
  <si>
    <t>•  ГОСТ 28249-93: https://dnaop.com/html/65618/doc-%D0%93%D0%9E%D0%A1%D0%A2_28249-93</t>
  </si>
  <si>
    <t>•  ГОСТ Р 50571.5.52-2011, прил. G: https://www.normacs.info/answers/5995, https://meganorm.ru/Data2/1/4293792/4293792410.htm</t>
  </si>
  <si>
    <t>•  Выбор допустимых токов кабелей (изготовитель → ГОСТ 31996 → ГОСТ Р 50571.5.52), ответ эксперта NormaCS: https://www.normacs.info/answers/6099</t>
  </si>
  <si>
    <t>•  ПУЭ 7-е изд. (табл. 1.3.7, п. 1.3.10, п. 1.7.79, п. 1.2.17–1.2.21, п. 7.1.83 — ток утечки), ГОСТ Р 50571.4.43-2012, ГОСТ IEC 60898-1 — по тексту норм, номера пунктов сверить при выпуске v4.</t>
  </si>
  <si>
    <t>КАК НАСТРАИВАТЬ ЛИСТ «ОБЪЕКТ»</t>
  </si>
  <si>
    <t>Лист задаёт настройки ВСЕГО объекта. Обычно меняют только C3 (название), C8 (методика), C9 (kп.к) и C10–C12 (наименования, марка для пожарных линий).</t>
  </si>
  <si>
    <t>C10 Наименование линии: «по коду и № помещения» — «Розеточная группа, пом. 105»; «по экспликации» — название помещения из таблицы «Экспликация» (лист «Коды»). C11 — писать ли «пом.». C12 — марка кабеля для пожарных линий (обозначение из «Коды» → «Кабели»). C13–C14 — линии до 50 В (LED 24 В): запас мощности БП (1,3) и допустимые потери от БП (5 %).</t>
  </si>
  <si>
    <t>C3 Объект — название и адрес. Идёт в таблицу для пояснительной записки.</t>
  </si>
  <si>
    <t>C4–C7 Ток КЗ: ρ меди/алюминия при нагреве, переходные сопротивления на каждый щит, c_min. Влияют на Iкз min в конце линий и проверку отключения ≤ 0,4 с. Значения по ГОСТ 28249 — не меняйте без причины.</t>
  </si>
  <si>
    <t>C8 Методика: «нормы 2026» — расчёт по СП 256 с Изм. 9 (cos φ силовых 0,8, Кс силовых по табл. 7.5, Ко только при бытовой + силовой нагрузке, отопление и ВНГ отдельно). «v3.12» — как старая книга, только для сверки.</t>
  </si>
  <si>
    <t>C9 kп.к — региональный коэффициент к бытовой нагрузке (СП 256 табл. 7.5а). Частный дом — 1. Многоквартирный дом — значение региона (ЦФО 0,81).</t>
  </si>
  <si>
    <t>F2:G14 Кс силовых по числу электроприёмников (СП 256 табл. 7.5, доля сантехники 100–85 %). Применяется к силовым линиям без ручного Кс в режиме «нормы 2026».</t>
  </si>
  <si>
    <t>B15:C22 ИБП — допустимая загрузка, cos φ, автономия, напряжение АКБ, КПД, разряд, заряд. Влияют на подбор ИБП и на нагрузку входа ИБП на вводе (лист «Режимы»).</t>
  </si>
  <si>
    <t>Где ещё настройки: Uн, общий К прокладки, таблица Кс быт, мест на лист схемы — лист «Таблицы_норм» (BF4, BQ29, BQ30, BP4:BQ11).</t>
  </si>
  <si>
    <t>КАК ЗАПОЛНЯТЬ ЛИСТ «ЩИТЫ» (и таблицу «Шины» справа)</t>
  </si>
  <si>
    <t>ЩИТЫ: одна строка — один щит объекта. Жёлтые столбцы — ввод, серые — результат. Серый курсив во вводе — выбор книги, синее — ваше. Свёрнутые столбцы (кнопка «+») — подробности расчёта.</t>
  </si>
  <si>
    <t>Для КАЖДОГО щита: Щит (имя, как в «Линиях»), Вводов (1/2/3), АВР (да/нет), ИБП от (Ввод 1/2/3), Мест под вводной узел (17 — весь первый лист, 11 — узел на части листа).</t>
  </si>
  <si>
    <t>«Питается от» серым книга находит сама по линии-фидеру в «Линиях» (номер линии = имя щита, или столбец «Питает щит»). Вписывайте, только если фидера в книге нет.</t>
  </si>
  <si>
    <t>Только для ВРУ / ГРЩ (щит без вышестоящего): данные сети — Iкз min и Iкз max от сетевой организации, или «ТП» и мощность трансформатора; питающий кабель и аппарат. Без них ток КЗ не считается ни в одном щите.</t>
  </si>
  <si>
    <t>Результат: Руст, Рр, Iр, cos φ — щит вместе со всеми нижестоящими; ΔU до шин и Iкз — от ВРУ по фидерам; «Категория шины «Ввод»» — какую категорию дают вводы щита; «Замечания щита» — что исправить. Итоги по каждому вводу — лист «Щит».</t>
  </si>
  <si>
    <t>ТАБЛИЦА «ШИНЫ» (справа от таблицы щитов): нужна, только если тип шины НЕ определяется сам. Обычно пустая.</t>
  </si>
  <si>
    <t>Как определяется сам: в «Линиях» в столбце «Шина» (в строке с автоматом) пишется имя шины. Имя содержит «ИБП» → шина ИБП (категория I особая); «ДГУ» → шина ДГУ; иначе — основная шина секции линии (Ввод 1/2/3 по столбцу «Секция»).</t>
  </si>
  <si>
    <t>Когда заполнять: имя шины не говорит о её типе. Пример: шина «ЩГП» питается от ИБП → строка: Шина = ЩГП, Щит = ЩР-1 (или пусто — для всех щитов), Тип = ИБП. Пример: «Шина вентиляции» без резерва → Тип = Одиночная (категория III).</t>
  </si>
  <si>
    <t>Типы: Ввод 1 / Ввод 2 / Ввод 3 — источник по секции; ИБП, ДГУ — отдельный источник (I особая); Одиночная — без резерва (III). Тип влияет на категорию ввода и на режимы (лист «Режимы»).</t>
  </si>
  <si>
    <t>ТАБЛИЦЫ НОРМ: допустимые токи кабелей (BX:CA), сопротивления (B:D), номиналы автоматов (F:G), Кс быт (BP:BQ), настройки сети (BQ29:BQ31), мест на лист схемы (BF4), УГО → блоки AutoCAD (BA:BC). Коды потребителей, УГО, этажи, кабели — на листе «Коды».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</si>
</sst>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8"/>
      <name val="Calibri"/>
      <family val="2"/>
      <scheme val="minor"/>
    </font>
    <font>
      <sz val="11"/>
      <color theme="1"/>
      <name val="GOST 2.304 type A"/>
      <family val="2"/>
      <charset val="204"/>
    </font>
    <font>
      <sz val="11"/>
      <color theme="1"/>
      <name val="Calibri"/>
      <family val="2"/>
      <scheme val="minor"/>
    </font>
    <font>
      <sz val="11"/>
      <color rgb="FF9C6500"/>
      <name val="Calibri"/>
      <family val="2"/>
      <charset val="204"/>
      <scheme val="minor"/>
    </font>
    <font>
      <sz val="10"/>
      <color theme="1"/>
      <name val="Arial"/>
      <family val="2"/>
      <charset val="204"/>
    </font>
    <font>
      <b/>
      <sz val="11"/>
      <color theme="1"/>
      <name val="GOST 2.304 type A"/>
      <family val="2"/>
      <charset val="204"/>
    </font>
    <font>
      <sz val="10"/>
      <color theme="1"/>
      <name val="Calibri"/>
      <family val="2"/>
      <charset val="204"/>
      <scheme val="minor"/>
    </font>
    <font>
      <b/>
      <sz val="10"/>
      <color theme="1"/>
      <name val="Calibri"/>
      <family val="2"/>
      <charset val="204"/>
      <scheme val="minor"/>
    </font>
    <font>
      <b/>
      <sz val="11"/>
      <color theme="1"/>
      <name val="Calibri"/>
      <family val="2"/>
      <charset val="204"/>
      <scheme val="minor"/>
    </font>
    <font>
      <sz val="9"/>
      <color rgb="FF7F7F7F"/>
      <name val="Calibri"/>
      <family val="2"/>
      <charset val="204"/>
      <scheme val="minor"/>
    </font>
    <font>
      <sz val="11"/>
      <color theme="1"/>
      <name val="Calibri"/>
      <scheme val="minor"/>
    </font>
    <font>
      <b/>
      <sz val="11"/>
      <color rgb="FFFFFFFF"/>
      <name val="Calibri"/>
      <family val="2"/>
      <scheme val="minor"/>
    </font>
    <font>
      <sz val="11"/>
      <color rgb="FF0000FF"/>
      <name val="Calibri"/>
      <family val="2"/>
      <scheme val="minor"/>
    </font>
    <font>
      <i/>
      <sz val="9"/>
      <color rgb="FF0000FF"/>
      <name val="Calibri"/>
      <family val="2"/>
      <scheme val="minor"/>
    </font>
    <font>
      <i/>
      <sz val="9"/>
      <color rgb="FF666666"/>
      <name val="Calibri"/>
      <family val="2"/>
      <scheme val="minor"/>
    </font>
    <font>
      <sz val="8"/>
      <color rgb="FF808080"/>
      <name val="Calibri"/>
      <family val="2"/>
      <scheme val="minor"/>
    </font>
    <font>
      <b/>
      <sz val="10"/>
      <color theme="1"/>
      <name val="Arial"/>
      <family val="2"/>
      <charset val="204"/>
    </font>
    <font>
      <sz val="11"/>
      <color rgb="FF808080"/>
      <name val="Calibri"/>
      <family val="2"/>
      <scheme val="minor"/>
    </font>
    <font>
      <sz val="9"/>
      <color rgb="FF808080"/>
      <name val="Calibri"/>
      <family val="2"/>
      <scheme val="minor"/>
    </font>
    <font>
      <b/>
      <sz val="12"/>
      <color theme="1"/>
      <name val="Arial"/>
      <family val="2"/>
      <charset val="204"/>
    </font>
    <font>
      <b/>
      <sz val="11"/>
      <color theme="1"/>
      <name val="Arial"/>
      <family val="2"/>
      <charset val="204"/>
    </font>
    <font>
      <b/>
      <sz val="16"/>
      <color rgb="FF002060"/>
      <name val="Arial"/>
      <family val="2"/>
      <charset val="204"/>
    </font>
    <font>
      <u/>
      <sz val="11"/>
      <color theme="10"/>
      <name val="Calibri"/>
      <family val="2"/>
      <scheme val="minor"/>
    </font>
    <font>
      <u/>
      <sz val="9"/>
      <color theme="10"/>
      <name val="Calibri"/>
      <family val="2"/>
      <scheme val="minor"/>
    </font>
    <font>
      <i/>
      <sz val="10"/>
      <color theme="1"/>
      <name val="Arial"/>
      <family val="2"/>
      <charset val="204"/>
    </font>
    <font>
      <b/>
      <sz val="14"/>
      <color theme="1"/>
      <name val="Calibri"/>
      <family val="2"/>
      <charset val="204"/>
      <scheme val="minor"/>
    </font>
    <font>
      <b/>
      <sz val="9"/>
      <color indexed="81"/>
      <name val="Tahoma"/>
      <family val="2"/>
      <charset val="204"/>
    </font>
    <font>
      <i/>
      <sz val="11"/>
      <color theme="1"/>
      <name val="Calibri"/>
      <family val="2"/>
      <charset val="204"/>
      <scheme val="minor"/>
    </font>
    <font>
      <sz val="11"/>
      <color rgb="FFFFFFFF"/>
      <name val="Calibri"/>
      <family val="2"/>
      <scheme val="minor"/>
    </font>
    <font>
      <sz val="10"/>
      <color theme="1"/>
      <name val="Calibri"/>
      <family val="2"/>
      <scheme val="minor"/>
    </font>
    <font>
      <b/>
      <sz val="16"/>
      <color theme="1"/>
      <name val="Arial"/>
      <family val="2"/>
      <charset val="204"/>
    </font>
    <font>
      <b/>
      <sz val="12"/>
      <color theme="1"/>
      <name val="Calibri"/>
      <family val="2"/>
      <charset val="204"/>
      <scheme val="minor"/>
    </font>
    <font>
      <b/>
      <sz val="11"/>
      <color rgb="FFFF0000"/>
      <name val="Calibri"/>
      <family val="2"/>
      <charset val="204"/>
      <scheme val="minor"/>
    </font>
  </fonts>
  <fills count="27">
    <fill>
      <patternFill patternType="none"/>
    </fill>
    <fill>
      <patternFill patternType="gray125"/>
    </fill>
    <fill>
      <patternFill patternType="solid">
        <fgColor rgb="FFFFC000"/>
        <bgColor indexed="64"/>
      </patternFill>
    </fill>
    <fill>
      <patternFill patternType="solid">
        <fgColor rgb="FF00B050"/>
        <bgColor indexed="64"/>
      </patternFill>
    </fill>
    <fill>
      <patternFill patternType="solid">
        <fgColor rgb="FF0070C0"/>
        <bgColor indexed="64"/>
      </patternFill>
    </fill>
    <fill>
      <patternFill patternType="solid">
        <fgColor rgb="FFFFEB9C"/>
      </patternFill>
    </fill>
    <fill>
      <patternFill patternType="solid">
        <fgColor rgb="FFFFF2CC"/>
        <bgColor indexed="64"/>
      </patternFill>
    </fill>
    <fill>
      <patternFill patternType="solid">
        <fgColor rgb="FFDDEBF7"/>
        <bgColor indexed="64"/>
      </patternFill>
    </fill>
    <fill>
      <patternFill patternType="solid">
        <fgColor rgb="FFFAFAFA"/>
        <bgColor indexed="64"/>
      </patternFill>
    </fill>
    <fill>
      <patternFill patternType="solid">
        <fgColor rgb="FFF2F2F2"/>
        <bgColor indexed="64"/>
      </patternFill>
    </fill>
    <fill>
      <patternFill patternType="solid">
        <fgColor rgb="FFFCE4D6"/>
        <bgColor indexed="64"/>
      </patternFill>
    </fill>
    <fill>
      <patternFill patternType="solid">
        <fgColor rgb="FFDDEBF7"/>
        <bgColor indexed="64"/>
      </patternFill>
    </fill>
    <fill>
      <patternFill patternType="solid">
        <fgColor rgb="FFEDE7F6"/>
        <bgColor indexed="64"/>
      </patternFill>
    </fill>
    <fill>
      <patternFill patternType="solid">
        <fgColor rgb="FFE2EFDA"/>
        <bgColor indexed="64"/>
      </patternFill>
    </fill>
    <fill>
      <patternFill patternType="solid">
        <fgColor rgb="FFFFF2CC"/>
        <bgColor indexed="64"/>
      </patternFill>
    </fill>
    <fill>
      <patternFill patternType="solid">
        <fgColor rgb="FFF7F7F7"/>
        <bgColor indexed="64"/>
      </patternFill>
    </fill>
    <fill>
      <patternFill patternType="solid">
        <fgColor rgb="FFF4B183"/>
        <bgColor indexed="64"/>
      </patternFill>
    </fill>
    <fill>
      <patternFill patternType="solid">
        <fgColor rgb="FF2F5496"/>
        <bgColor indexed="64"/>
      </patternFill>
    </fill>
    <fill>
      <patternFill patternType="solid">
        <fgColor rgb="FFE6F0FA"/>
        <bgColor indexed="64"/>
      </patternFill>
    </fill>
    <fill>
      <patternFill patternType="solid">
        <fgColor rgb="FF9DC3E6"/>
        <bgColor indexed="64"/>
      </patternFill>
    </fill>
    <fill>
      <patternFill patternType="solid">
        <fgColor rgb="FFC6EFCE"/>
        <bgColor indexed="64"/>
      </patternFill>
    </fill>
    <fill>
      <patternFill patternType="solid">
        <fgColor rgb="FFD9D9D9"/>
        <bgColor indexed="64"/>
      </patternFill>
    </fill>
    <fill>
      <patternFill patternType="solid">
        <fgColor rgb="FFFFF2CC"/>
        <bgColor indexed="64"/>
      </patternFill>
    </fill>
    <fill>
      <patternFill patternType="solid">
        <fgColor rgb="FF8DB4E2"/>
        <bgColor indexed="64"/>
      </patternFill>
    </fill>
    <fill>
      <patternFill patternType="solid">
        <fgColor rgb="FFFFC7CE"/>
        <bgColor indexed="64"/>
      </patternFill>
    </fill>
    <fill>
      <patternFill patternType="solid">
        <fgColor rgb="FFFFEB9C"/>
        <bgColor indexed="64"/>
      </patternFill>
    </fill>
    <fill>
      <patternFill patternType="solid">
        <fgColor rgb="FFE6E6E6"/>
        <bgColor indexed="64"/>
      </patternFill>
    </fill>
  </fills>
  <borders count="13">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
      <left style="medium">
        <color rgb="FF7F7F7F"/>
      </left>
      <right style="thin">
        <color rgb="FFD9D9D9"/>
      </right>
      <top style="thin">
        <color rgb="FFD9D9D9"/>
      </top>
      <bottom style="thin">
        <color rgb="FFD9D9D9"/>
      </bottom>
      <diagonal/>
    </border>
    <border>
      <left style="thin">
        <color auto="1"/>
      </left>
      <right style="thin">
        <color auto="1"/>
      </right>
      <top style="thin">
        <color auto="1"/>
      </top>
      <bottom style="thin">
        <color indexed="64"/>
      </bottom>
      <diagonal/>
    </border>
  </borders>
  <cellStyleXfs count="6">
    <xf numFmtId="0" fontId="0" fillId="0" borderId="0"/>
    <xf numFmtId="0" fontId="2" fillId="0" borderId="0"/>
    <xf numFmtId="0" fontId="6" fillId="5" borderId="0" applyNumberFormat="0" applyBorder="0" applyAlignment="0" applyProtection="0"/>
    <xf numFmtId="0" fontId="5" fillId="0" borderId="0"/>
    <xf numFmtId="0" fontId="1" fillId="0" borderId="0"/>
    <xf numFmtId="0" fontId="25" fillId="0" borderId="0" applyNumberFormat="0" applyFill="0" applyBorder="0" applyAlignment="0" applyProtection="0"/>
  </cellStyleXfs>
  <cellXfs count="153">
    <xf numFmtId="0" fontId="0" fillId="0" borderId="0" xfId="0"/>
    <xf numFmtId="0" fontId="0" fillId="0" borderId="2" xfId="0" applyBorder="1" applyAlignment="1">
      <alignment horizontal="center" vertical="center" wrapText="1"/>
    </xf>
    <xf numFmtId="0" fontId="0" fillId="2" borderId="3" xfId="0" applyFill="1" applyBorder="1"/>
    <xf numFmtId="0" fontId="0" fillId="0" borderId="3" xfId="0" applyBorder="1" applyAlignment="1">
      <alignment horizontal="center" vertical="center"/>
    </xf>
    <xf numFmtId="0" fontId="0" fillId="0" borderId="0" xfId="0" applyAlignment="1">
      <alignment wrapText="1"/>
    </xf>
    <xf numFmtId="0" fontId="0" fillId="0" borderId="3" xfId="0" applyBorder="1"/>
    <xf numFmtId="2" fontId="0" fillId="0" borderId="0" xfId="0" applyNumberFormat="1"/>
    <xf numFmtId="1" fontId="0" fillId="0" borderId="0" xfId="0" applyNumberFormat="1"/>
    <xf numFmtId="0" fontId="0" fillId="0" borderId="4" xfId="0" applyBorder="1"/>
    <xf numFmtId="2" fontId="0" fillId="0" borderId="1" xfId="0" applyNumberFormat="1" applyBorder="1" applyAlignment="1">
      <alignment horizontal="center" vertical="center" wrapText="1"/>
    </xf>
    <xf numFmtId="0" fontId="0" fillId="0" borderId="5" xfId="0" applyBorder="1" applyAlignment="1">
      <alignment horizontal="center" vertical="center" wrapText="1"/>
    </xf>
    <xf numFmtId="0" fontId="0" fillId="2" borderId="4" xfId="0" applyFill="1" applyBorder="1"/>
    <xf numFmtId="0" fontId="0" fillId="2" borderId="4" xfId="0" applyFill="1" applyBorder="1" applyAlignment="1">
      <alignment wrapText="1"/>
    </xf>
    <xf numFmtId="0" fontId="0" fillId="4" borderId="3" xfId="0" applyFill="1" applyBorder="1" applyAlignment="1">
      <alignment horizontal="left" vertical="center"/>
    </xf>
    <xf numFmtId="0" fontId="0" fillId="4" borderId="3" xfId="0" applyFill="1" applyBorder="1" applyAlignment="1">
      <alignment horizontal="center" vertical="center"/>
    </xf>
    <xf numFmtId="0" fontId="0" fillId="4" borderId="3" xfId="0" applyFill="1" applyBorder="1"/>
    <xf numFmtId="0" fontId="0" fillId="0" borderId="3" xfId="0" applyBorder="1" applyAlignment="1" applyProtection="1">
      <alignment horizontal="center" vertical="center"/>
      <protection locked="0"/>
    </xf>
    <xf numFmtId="0" fontId="0" fillId="0" borderId="0" xfId="0" applyProtection="1">
      <protection locked="0"/>
    </xf>
    <xf numFmtId="49" fontId="0" fillId="0" borderId="3" xfId="0" applyNumberFormat="1"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0" xfId="0" applyAlignment="1">
      <alignment horizontal="center" vertical="center"/>
    </xf>
    <xf numFmtId="0" fontId="0" fillId="0" borderId="3" xfId="0" applyBorder="1" applyAlignment="1">
      <alignment horizontal="left" vertical="center"/>
    </xf>
    <xf numFmtId="0" fontId="0" fillId="0" borderId="0" xfId="0" applyAlignment="1">
      <alignment horizontal="left" vertical="center"/>
    </xf>
    <xf numFmtId="0" fontId="0" fillId="0" borderId="0" xfId="0" applyAlignment="1" applyProtection="1">
      <alignment horizontal="center" vertical="center"/>
      <protection locked="0"/>
    </xf>
    <xf numFmtId="0" fontId="0" fillId="2" borderId="4" xfId="0"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pplyProtection="1">
      <alignment horizontal="center" vertical="center"/>
      <protection locked="0"/>
    </xf>
    <xf numFmtId="0" fontId="8" fillId="0" borderId="4" xfId="0" applyFont="1" applyBorder="1" applyAlignment="1">
      <alignment horizontal="center" vertical="center" wrapText="1"/>
    </xf>
    <xf numFmtId="49" fontId="8" fillId="0" borderId="4" xfId="0" applyNumberFormat="1" applyFont="1" applyBorder="1" applyAlignment="1">
      <alignment horizontal="center" vertical="center"/>
    </xf>
    <xf numFmtId="49" fontId="4" fillId="0" borderId="3" xfId="0" applyNumberFormat="1" applyFont="1" applyBorder="1" applyAlignment="1">
      <alignment horizontal="center" vertical="center"/>
    </xf>
    <xf numFmtId="0" fontId="4" fillId="0" borderId="3" xfId="0" applyFont="1" applyFill="1" applyBorder="1" applyAlignment="1">
      <alignment horizontal="left" vertical="center" wrapText="1"/>
    </xf>
    <xf numFmtId="49" fontId="4" fillId="0" borderId="4" xfId="0" applyNumberFormat="1" applyFont="1" applyFill="1" applyBorder="1" applyAlignment="1">
      <alignment horizontal="center" vertical="center"/>
    </xf>
    <xf numFmtId="49" fontId="4" fillId="0" borderId="3" xfId="0" applyNumberFormat="1" applyFont="1" applyFill="1" applyBorder="1" applyAlignment="1">
      <alignment horizontal="center" vertical="center"/>
    </xf>
    <xf numFmtId="0" fontId="0" fillId="0" borderId="3" xfId="0" applyFill="1" applyBorder="1"/>
    <xf numFmtId="0" fontId="12" fillId="8" borderId="10" xfId="0" applyNumberFormat="1" applyFont="1" applyFill="1" applyBorder="1" applyAlignment="1">
      <alignment horizontal="center" vertical="center"/>
    </xf>
    <xf numFmtId="0" fontId="10" fillId="7" borderId="10" xfId="0" applyNumberFormat="1" applyFont="1" applyFill="1" applyBorder="1" applyAlignment="1">
      <alignment horizontal="center" vertical="center" wrapText="1"/>
    </xf>
    <xf numFmtId="0" fontId="11" fillId="0" borderId="0" xfId="0" applyFont="1"/>
    <xf numFmtId="0" fontId="9" fillId="0" borderId="10" xfId="0" applyNumberFormat="1" applyFont="1" applyFill="1" applyBorder="1" applyAlignment="1">
      <alignment vertical="center"/>
    </xf>
    <xf numFmtId="0" fontId="9" fillId="6" borderId="10" xfId="0" applyNumberFormat="1" applyFont="1" applyFill="1" applyBorder="1" applyAlignment="1">
      <alignment vertical="center"/>
    </xf>
    <xf numFmtId="0" fontId="9" fillId="9" borderId="11" xfId="0" applyNumberFormat="1" applyFont="1" applyFill="1" applyBorder="1" applyAlignment="1">
      <alignment horizontal="center" vertical="center"/>
    </xf>
    <xf numFmtId="0" fontId="10" fillId="9" borderId="11" xfId="0" applyNumberFormat="1" applyFont="1" applyFill="1" applyBorder="1" applyAlignment="1">
      <alignment horizontal="center" vertical="center" wrapText="1"/>
    </xf>
    <xf numFmtId="0" fontId="11" fillId="9" borderId="11" xfId="0" applyNumberFormat="1" applyFont="1" applyFill="1" applyBorder="1" applyAlignment="1">
      <alignment horizontal="center" vertical="center"/>
    </xf>
    <xf numFmtId="0" fontId="9" fillId="9" borderId="10" xfId="0" applyNumberFormat="1" applyFont="1" applyFill="1" applyBorder="1" applyAlignment="1">
      <alignment horizontal="center" vertical="center"/>
    </xf>
    <xf numFmtId="0" fontId="10" fillId="9" borderId="10" xfId="0" applyNumberFormat="1" applyFont="1" applyFill="1" applyBorder="1" applyAlignment="1">
      <alignment horizontal="center" vertical="center" wrapText="1"/>
    </xf>
    <xf numFmtId="0" fontId="10" fillId="6" borderId="11" xfId="0" applyNumberFormat="1" applyFont="1" applyFill="1" applyBorder="1" applyAlignment="1">
      <alignment horizontal="center" vertical="center" wrapText="1"/>
    </xf>
    <xf numFmtId="0" fontId="11" fillId="10" borderId="11" xfId="0" applyNumberFormat="1" applyFont="1" applyFill="1" applyBorder="1" applyAlignment="1">
      <alignment horizontal="center" vertical="center"/>
    </xf>
    <xf numFmtId="0" fontId="10" fillId="6" borderId="10" xfId="0" applyNumberFormat="1" applyFont="1" applyFill="1" applyBorder="1" applyAlignment="1">
      <alignment horizontal="center" vertical="center" wrapText="1"/>
    </xf>
    <xf numFmtId="0" fontId="10" fillId="11" borderId="10" xfId="0" applyNumberFormat="1" applyFont="1" applyFill="1" applyBorder="1" applyAlignment="1">
      <alignment horizontal="center" vertical="center"/>
    </xf>
    <xf numFmtId="0" fontId="10" fillId="11" borderId="10" xfId="0" applyNumberFormat="1" applyFont="1" applyFill="1" applyBorder="1" applyAlignment="1">
      <alignment horizontal="center" vertical="center" wrapText="1"/>
    </xf>
    <xf numFmtId="0" fontId="9" fillId="13" borderId="10" xfId="0" applyNumberFormat="1" applyFont="1" applyFill="1" applyBorder="1" applyAlignment="1">
      <alignment horizontal="center" vertical="center"/>
    </xf>
    <xf numFmtId="0" fontId="10" fillId="13" borderId="10" xfId="0" applyNumberFormat="1" applyFont="1" applyFill="1" applyBorder="1" applyAlignment="1">
      <alignment horizontal="center" vertical="center" wrapText="1"/>
    </xf>
    <xf numFmtId="0" fontId="10" fillId="14" borderId="11" xfId="0" applyNumberFormat="1" applyFont="1" applyFill="1" applyBorder="1" applyAlignment="1">
      <alignment horizontal="center" vertical="center" wrapText="1"/>
    </xf>
    <xf numFmtId="0" fontId="11" fillId="14" borderId="11" xfId="0" applyNumberFormat="1" applyFont="1" applyFill="1" applyBorder="1" applyAlignment="1">
      <alignment horizontal="center" vertical="center"/>
    </xf>
    <xf numFmtId="0" fontId="9" fillId="9" borderId="11" xfId="0" applyNumberFormat="1" applyFont="1" applyFill="1" applyBorder="1" applyAlignment="1">
      <alignment vertical="center"/>
    </xf>
    <xf numFmtId="0" fontId="10" fillId="9" borderId="11" xfId="0" applyNumberFormat="1" applyFont="1" applyFill="1" applyBorder="1" applyAlignment="1">
      <alignment horizontal="center" vertical="center"/>
    </xf>
    <xf numFmtId="0" fontId="9" fillId="9" borderId="10" xfId="0" applyNumberFormat="1" applyFont="1" applyFill="1" applyBorder="1" applyAlignment="1">
      <alignment vertical="center"/>
    </xf>
    <xf numFmtId="2" fontId="9" fillId="9" borderId="10" xfId="0" applyNumberFormat="1" applyFont="1" applyFill="1" applyBorder="1" applyAlignment="1">
      <alignment horizontal="center" vertical="center"/>
    </xf>
    <xf numFmtId="0" fontId="9" fillId="0" borderId="11" xfId="0" applyNumberFormat="1" applyFont="1" applyFill="1" applyBorder="1" applyAlignment="1">
      <alignment horizontal="center" vertical="center"/>
    </xf>
    <xf numFmtId="0" fontId="9" fillId="0" borderId="10" xfId="0" applyNumberFormat="1" applyFont="1" applyFill="1" applyBorder="1" applyAlignment="1">
      <alignment horizontal="center" vertical="center"/>
    </xf>
    <xf numFmtId="2" fontId="9" fillId="15" borderId="10" xfId="0" applyNumberFormat="1" applyFont="1" applyFill="1" applyBorder="1" applyAlignment="1">
      <alignment horizontal="center" vertical="center"/>
    </xf>
    <xf numFmtId="0" fontId="10" fillId="15" borderId="10" xfId="0" applyNumberFormat="1" applyFont="1" applyFill="1" applyBorder="1" applyAlignment="1">
      <alignment horizontal="center" vertical="center" wrapText="1"/>
    </xf>
    <xf numFmtId="0" fontId="9" fillId="15" borderId="10" xfId="0" applyNumberFormat="1" applyFont="1" applyFill="1" applyBorder="1" applyAlignment="1">
      <alignment horizontal="center" vertical="center"/>
    </xf>
    <xf numFmtId="0" fontId="9" fillId="15" borderId="10" xfId="0" applyNumberFormat="1" applyFont="1" applyFill="1" applyBorder="1" applyAlignment="1">
      <alignment vertical="center"/>
    </xf>
    <xf numFmtId="0" fontId="13" fillId="2" borderId="0" xfId="0" applyFont="1" applyFill="1" applyBorder="1" applyAlignment="1">
      <alignment horizontal="center" wrapText="1"/>
    </xf>
    <xf numFmtId="0" fontId="0" fillId="2" borderId="9" xfId="0" applyFill="1" applyBorder="1"/>
    <xf numFmtId="0" fontId="0" fillId="2" borderId="9" xfId="0" applyFill="1" applyBorder="1" applyAlignment="1">
      <alignment wrapText="1"/>
    </xf>
    <xf numFmtId="0" fontId="11" fillId="15" borderId="11" xfId="0" applyNumberFormat="1" applyFont="1" applyFill="1" applyBorder="1" applyAlignment="1">
      <alignment horizontal="center" vertical="center"/>
    </xf>
    <xf numFmtId="0" fontId="14" fillId="17" borderId="0" xfId="0" applyFont="1" applyFill="1" applyAlignment="1">
      <alignment horizontal="center" wrapText="1"/>
    </xf>
    <xf numFmtId="0" fontId="15" fillId="18" borderId="0" xfId="0" applyFont="1" applyFill="1" applyAlignment="1">
      <alignment horizontal="center"/>
    </xf>
    <xf numFmtId="0" fontId="0" fillId="16" borderId="0" xfId="0" applyFill="1" applyAlignment="1">
      <alignment horizontal="center"/>
    </xf>
    <xf numFmtId="0" fontId="0" fillId="19" borderId="0" xfId="0" applyFill="1" applyAlignment="1">
      <alignment horizontal="center"/>
    </xf>
    <xf numFmtId="0" fontId="0" fillId="20" borderId="0" xfId="0" applyFill="1" applyAlignment="1">
      <alignment horizontal="center"/>
    </xf>
    <xf numFmtId="0" fontId="16" fillId="18" borderId="0" xfId="0" applyFont="1" applyFill="1" applyAlignment="1">
      <alignment horizontal="center" wrapText="1"/>
    </xf>
    <xf numFmtId="0" fontId="14" fillId="17" borderId="0" xfId="0" applyFont="1" applyFill="1" applyAlignment="1">
      <alignment horizontal="center"/>
    </xf>
    <xf numFmtId="0" fontId="9" fillId="6" borderId="10" xfId="0" applyNumberFormat="1" applyFont="1" applyFill="1" applyBorder="1" applyAlignment="1" applyProtection="1">
      <alignment vertical="center"/>
      <protection locked="0"/>
    </xf>
    <xf numFmtId="0" fontId="9" fillId="6" borderId="11" xfId="0" applyNumberFormat="1" applyFont="1" applyFill="1" applyBorder="1" applyAlignment="1" applyProtection="1">
      <alignment horizontal="center" vertical="center"/>
      <protection locked="0"/>
    </xf>
    <xf numFmtId="0" fontId="9" fillId="6" borderId="10" xfId="0" applyNumberFormat="1" applyFont="1" applyFill="1" applyBorder="1" applyAlignment="1" applyProtection="1">
      <alignment horizontal="center" vertical="center"/>
      <protection locked="0"/>
    </xf>
    <xf numFmtId="0" fontId="9" fillId="14" borderId="11" xfId="0" applyNumberFormat="1" applyFont="1" applyFill="1" applyBorder="1" applyAlignment="1" applyProtection="1">
      <alignment horizontal="center" vertical="center"/>
      <protection locked="0"/>
    </xf>
    <xf numFmtId="0" fontId="11" fillId="11" borderId="0" xfId="0" applyFont="1" applyFill="1" applyAlignment="1">
      <alignment horizontal="center" wrapText="1"/>
    </xf>
    <xf numFmtId="0" fontId="0" fillId="22" borderId="0" xfId="0" applyFill="1" applyAlignment="1" applyProtection="1">
      <alignment horizontal="center"/>
      <protection locked="0"/>
    </xf>
    <xf numFmtId="0" fontId="18" fillId="0" borderId="0" xfId="0" applyFont="1"/>
    <xf numFmtId="0" fontId="7" fillId="0" borderId="0" xfId="0" applyFont="1" applyAlignment="1">
      <alignment vertical="top"/>
    </xf>
    <xf numFmtId="0" fontId="24" fillId="0" borderId="0" xfId="0" applyFont="1" applyAlignment="1">
      <alignment vertical="top"/>
    </xf>
    <xf numFmtId="0" fontId="7" fillId="23" borderId="0" xfId="0" applyFont="1" applyFill="1" applyAlignment="1">
      <alignment vertical="top"/>
    </xf>
    <xf numFmtId="0" fontId="22" fillId="23" borderId="0" xfId="0" applyFont="1" applyFill="1" applyAlignment="1">
      <alignment vertical="top"/>
    </xf>
    <xf numFmtId="0" fontId="19" fillId="21" borderId="12" xfId="0" applyFont="1" applyFill="1" applyBorder="1" applyAlignment="1">
      <alignment vertical="top" wrapText="1"/>
    </xf>
    <xf numFmtId="0" fontId="19" fillId="21" borderId="12" xfId="0" applyFont="1" applyFill="1" applyBorder="1" applyAlignment="1">
      <alignment vertical="top"/>
    </xf>
    <xf numFmtId="0" fontId="7" fillId="0" borderId="12" xfId="0" applyFont="1" applyBorder="1" applyAlignment="1">
      <alignment vertical="top" wrapText="1"/>
    </xf>
    <xf numFmtId="0" fontId="7" fillId="0" borderId="12" xfId="0" applyFont="1" applyBorder="1" applyAlignment="1">
      <alignment vertical="top"/>
    </xf>
    <xf numFmtId="0" fontId="19" fillId="0" borderId="0" xfId="0" quotePrefix="1" applyFont="1" applyAlignment="1">
      <alignment vertical="top"/>
    </xf>
    <xf numFmtId="0" fontId="26" fillId="0" borderId="0" xfId="5" applyFont="1" applyAlignment="1">
      <alignment vertical="top"/>
    </xf>
    <xf numFmtId="0" fontId="7" fillId="0" borderId="0" xfId="0" applyFont="1" applyAlignment="1">
      <alignment vertical="top" wrapText="1"/>
    </xf>
    <xf numFmtId="0" fontId="0" fillId="0" borderId="0" xfId="0"/>
    <xf numFmtId="0" fontId="7" fillId="0" borderId="0" xfId="0" applyFont="1" applyAlignment="1">
      <alignment vertical="top" wrapText="1"/>
    </xf>
    <xf numFmtId="0" fontId="19" fillId="24" borderId="0" xfId="0" applyFont="1" applyFill="1" applyAlignment="1">
      <alignment vertical="top" wrapText="1"/>
    </xf>
    <xf numFmtId="0" fontId="7" fillId="25" borderId="0" xfId="0" applyFont="1" applyFill="1" applyAlignment="1">
      <alignment vertical="top" wrapText="1"/>
    </xf>
    <xf numFmtId="0" fontId="27" fillId="9" borderId="0" xfId="0" applyFont="1" applyFill="1" applyAlignment="1">
      <alignment vertical="top" wrapText="1"/>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14" fillId="17" borderId="0" xfId="0" applyFont="1" applyFill="1" applyAlignment="1">
      <alignment horizontal="center"/>
    </xf>
    <xf numFmtId="0" fontId="17" fillId="0" borderId="0" xfId="0" applyFont="1" applyFill="1" applyAlignment="1">
      <alignment horizontal="left" wrapText="1"/>
    </xf>
    <xf numFmtId="0" fontId="11" fillId="9" borderId="11" xfId="0" applyNumberFormat="1" applyFont="1" applyFill="1" applyBorder="1" applyAlignment="1">
      <alignment horizontal="center" vertical="center"/>
    </xf>
    <xf numFmtId="0" fontId="11" fillId="9" borderId="10" xfId="0" applyNumberFormat="1" applyFont="1" applyFill="1" applyBorder="1" applyAlignment="1">
      <alignment horizontal="center" vertical="center"/>
    </xf>
    <xf numFmtId="0" fontId="11" fillId="15" borderId="11" xfId="0" applyNumberFormat="1" applyFont="1" applyFill="1" applyBorder="1" applyAlignment="1">
      <alignment horizontal="center" vertical="center"/>
    </xf>
    <xf numFmtId="0" fontId="11" fillId="15" borderId="10" xfId="0" applyNumberFormat="1" applyFont="1" applyFill="1" applyBorder="1" applyAlignment="1">
      <alignment horizontal="center" vertical="center"/>
    </xf>
    <xf numFmtId="0" fontId="11" fillId="11" borderId="11" xfId="0" applyNumberFormat="1" applyFont="1" applyFill="1" applyBorder="1" applyAlignment="1">
      <alignment horizontal="center" vertical="center"/>
    </xf>
    <xf numFmtId="0" fontId="11" fillId="11" borderId="10" xfId="0" applyNumberFormat="1" applyFont="1" applyFill="1" applyBorder="1" applyAlignment="1">
      <alignment horizontal="center" vertical="center"/>
    </xf>
    <xf numFmtId="0" fontId="11" fillId="12" borderId="11" xfId="0" applyNumberFormat="1" applyFont="1" applyFill="1" applyBorder="1" applyAlignment="1">
      <alignment horizontal="center" vertical="center"/>
    </xf>
    <xf numFmtId="0" fontId="11" fillId="12" borderId="10" xfId="0" applyNumberFormat="1" applyFont="1" applyFill="1" applyBorder="1" applyAlignment="1">
      <alignment horizontal="center" vertical="center"/>
    </xf>
    <xf numFmtId="0" fontId="11" fillId="13" borderId="11" xfId="0" applyNumberFormat="1" applyFont="1" applyFill="1" applyBorder="1" applyAlignment="1">
      <alignment horizontal="center" vertical="center"/>
    </xf>
    <xf numFmtId="0" fontId="11" fillId="13" borderId="10" xfId="0" applyNumberFormat="1" applyFont="1" applyFill="1" applyBorder="1" applyAlignment="1">
      <alignment horizontal="center" vertical="center"/>
    </xf>
    <xf numFmtId="0" fontId="28" fillId="0" borderId="0" xfId="0" applyFont="1"/>
    <xf numFmtId="0" fontId="0" fillId="22" borderId="0" xfId="0" applyFill="1"/>
    <xf numFmtId="0" fontId="0" fillId="0" borderId="0" xfId="0" quotePrefix="1"/>
    <xf numFmtId="0" fontId="0" fillId="22" borderId="0" xfId="0" applyFill="1" applyAlignment="1">
      <alignment wrapText="1"/>
    </xf>
    <xf numFmtId="0" fontId="30" fillId="22" borderId="0" xfId="0" applyFont="1" applyFill="1" applyAlignment="1">
      <alignment wrapText="1"/>
    </xf>
    <xf numFmtId="0" fontId="0" fillId="26" borderId="0" xfId="0" applyFill="1" applyAlignment="1">
      <alignment wrapText="1"/>
    </xf>
    <xf numFmtId="0" fontId="0" fillId="9" borderId="0" xfId="0" applyFill="1" applyAlignment="1">
      <alignment wrapText="1"/>
    </xf>
    <xf numFmtId="164" fontId="0" fillId="0" borderId="0" xfId="0" applyNumberFormat="1"/>
    <xf numFmtId="0" fontId="20" fillId="0" borderId="0" xfId="0" applyFont="1"/>
    <xf numFmtId="0" fontId="11" fillId="21" borderId="0" xfId="0" applyFont="1" applyFill="1"/>
    <xf numFmtId="0" fontId="11" fillId="21" borderId="0" xfId="0" applyFont="1" applyFill="1" applyAlignment="1">
      <alignment horizontal="right"/>
    </xf>
    <xf numFmtId="0" fontId="11" fillId="21" borderId="0" xfId="0" applyFont="1" applyFill="1" applyAlignment="1">
      <alignment wrapText="1"/>
    </xf>
    <xf numFmtId="0" fontId="11" fillId="0" borderId="0" xfId="0" applyFont="1" applyAlignment="1">
      <alignment wrapText="1"/>
    </xf>
    <xf numFmtId="2" fontId="11" fillId="0" borderId="0" xfId="0" applyNumberFormat="1" applyFont="1"/>
    <xf numFmtId="1" fontId="11" fillId="0" borderId="0" xfId="0" applyNumberFormat="1" applyFont="1"/>
    <xf numFmtId="0" fontId="11" fillId="0" borderId="0" xfId="0" applyFont="1" applyAlignment="1">
      <alignment horizontal="right"/>
    </xf>
    <xf numFmtId="0" fontId="11" fillId="22" borderId="0" xfId="0" applyFont="1" applyFill="1"/>
    <xf numFmtId="0" fontId="0" fillId="0" borderId="0" xfId="0" applyAlignment="1">
      <alignment horizontal="right"/>
    </xf>
    <xf numFmtId="9" fontId="0" fillId="22" borderId="0" xfId="0" applyNumberFormat="1" applyFill="1"/>
    <xf numFmtId="0" fontId="11" fillId="0" borderId="0" xfId="0" applyFont="1" applyAlignment="1">
      <alignment horizontal="center" vertical="center" wrapText="1"/>
    </xf>
    <xf numFmtId="0" fontId="11" fillId="21" borderId="12" xfId="0" applyFont="1" applyFill="1" applyBorder="1" applyAlignment="1">
      <alignment horizontal="center" vertical="center" wrapText="1"/>
    </xf>
    <xf numFmtId="0" fontId="11" fillId="21"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0" fontId="11" fillId="26" borderId="12" xfId="0" applyFont="1" applyFill="1" applyBorder="1" applyAlignment="1">
      <alignment horizontal="center" vertical="center" wrapText="1"/>
    </xf>
    <xf numFmtId="49" fontId="11" fillId="26" borderId="12" xfId="0" applyNumberFormat="1" applyFont="1" applyFill="1" applyBorder="1" applyAlignment="1">
      <alignment horizontal="center" vertical="center" wrapText="1"/>
    </xf>
    <xf numFmtId="0" fontId="31" fillId="0" borderId="0" xfId="0" applyFont="1"/>
    <xf numFmtId="0" fontId="0" fillId="0" borderId="0" xfId="0" applyAlignment="1">
      <alignment vertical="top" wrapText="1"/>
    </xf>
    <xf numFmtId="0" fontId="21" fillId="0" borderId="0" xfId="0" applyFont="1" applyAlignment="1">
      <alignment vertical="top" wrapText="1"/>
    </xf>
    <xf numFmtId="14" fontId="0" fillId="0" borderId="0" xfId="0" applyNumberFormat="1"/>
    <xf numFmtId="0" fontId="32" fillId="0" borderId="0" xfId="0" applyFont="1" applyAlignment="1">
      <alignment horizontal="right"/>
    </xf>
    <xf numFmtId="0" fontId="0" fillId="0" borderId="0" xfId="0" applyAlignment="1">
      <alignment vertical="center" wrapText="1"/>
    </xf>
    <xf numFmtId="0" fontId="18" fillId="0" borderId="0" xfId="0" applyFont="1" applyAlignment="1">
      <alignment vertical="center" wrapText="1"/>
    </xf>
    <xf numFmtId="0" fontId="32" fillId="9" borderId="0" xfId="0" applyFont="1" applyFill="1" applyAlignment="1">
      <alignment vertical="center" wrapText="1"/>
    </xf>
    <xf numFmtId="0" fontId="0" fillId="9" borderId="0" xfId="0" applyFill="1" applyAlignment="1">
      <alignment vertical="center" wrapText="1"/>
    </xf>
    <xf numFmtId="0" fontId="7" fillId="9" borderId="0" xfId="0" applyFont="1" applyFill="1" applyAlignment="1">
      <alignment vertical="top" wrapText="1"/>
    </xf>
    <xf numFmtId="0" fontId="33" fillId="0" borderId="0" xfId="0" applyFont="1" applyAlignment="1">
      <alignment vertical="top" wrapText="1"/>
    </xf>
    <xf numFmtId="0" fontId="22" fillId="23" borderId="0" xfId="0" applyFont="1" applyFill="1" applyAlignment="1">
      <alignment vertical="top"/>
    </xf>
    <xf numFmtId="0" fontId="23" fillId="0" borderId="0" xfId="0" applyFont="1" applyAlignment="1">
      <alignment vertical="top" wrapText="1"/>
    </xf>
    <xf numFmtId="0" fontId="34" fillId="23" borderId="0" xfId="0" applyFont="1" applyFill="1"/>
    <xf numFmtId="0" fontId="0" fillId="23" borderId="0" xfId="0" applyFill="1"/>
    <xf numFmtId="0" fontId="35" fillId="0" borderId="0" xfId="0" applyFont="1"/>
  </cellXfs>
  <cellStyles count="6">
    <cellStyle name="Гиперссылка" xfId="5" builtinId="8"/>
    <cellStyle name="Нейтральный 2" xfId="2" xr:uid="{35B9662B-4EF6-455F-A153-998AF8988465}"/>
    <cellStyle name="Обычный" xfId="0" builtinId="0"/>
    <cellStyle name="Обычный 2" xfId="3" xr:uid="{E2F4D3BA-771E-461C-AB7D-7903C0A10092}"/>
    <cellStyle name="Обычный 3" xfId="1" xr:uid="{2CCFBF6A-55A0-40CD-AD47-3F0AAF8CDCFB}"/>
    <cellStyle name="Обычный 3 2" xfId="4" xr:uid="{BF7B6DDC-276E-4454-9BAA-41291326E95A}"/>
  </cellStyles>
  <dxfs count="151">
    <dxf>
      <font>
        <b/>
        <color rgb="FF9C0006"/>
      </font>
      <fill>
        <patternFill>
          <bgColor rgb="FFFFC7CE"/>
        </patternFill>
      </fill>
    </dxf>
    <dxf>
      <border>
        <top style="thin">
          <color rgb="FF000000"/>
        </top>
      </border>
    </dxf>
    <dxf>
      <fill>
        <patternFill>
          <bgColor rgb="FFF2F2F2"/>
        </patternFill>
      </fill>
    </dxf>
    <dxf>
      <fill>
        <patternFill>
          <bgColor rgb="FFDDEBF7"/>
        </patternFill>
      </fill>
    </dxf>
    <dxf>
      <font>
        <b/>
        <color rgb="FF9C0006"/>
      </font>
      <fill>
        <patternFill>
          <bgColor rgb="FFFFC7CE"/>
        </patternFill>
      </fill>
    </dxf>
    <dxf>
      <font>
        <color rgb="FF006100"/>
      </font>
    </dxf>
    <dxf>
      <font>
        <b/>
        <color rgb="FF9C0006"/>
      </font>
      <fill>
        <patternFill>
          <bgColor rgb="FFFFC7CE"/>
        </patternFill>
      </fill>
    </dxf>
    <dxf>
      <fill>
        <patternFill>
          <bgColor rgb="FFEAF2FB"/>
        </patternFill>
      </fill>
    </dxf>
    <dxf>
      <font>
        <b/>
      </font>
      <border>
        <top style="medium">
          <color rgb="FF2F5597"/>
        </top>
      </border>
    </dxf>
    <dxf>
      <font>
        <i/>
        <color rgb="FF808080"/>
      </font>
    </dxf>
    <dxf>
      <font>
        <color rgb="FF006100"/>
      </font>
      <fill>
        <patternFill>
          <bgColor rgb="FFC6EFCE"/>
        </patternFill>
      </fill>
    </dxf>
    <dxf>
      <font>
        <color rgb="FF7F6000"/>
      </font>
      <fill>
        <patternFill>
          <bgColor rgb="FFFFEB9C"/>
        </patternFill>
      </fill>
    </dxf>
    <dxf>
      <font>
        <b/>
        <color rgb="FF9C0006"/>
      </font>
      <fill>
        <patternFill>
          <bgColor rgb="FFFFC7CE"/>
        </patternFill>
      </fill>
    </dxf>
    <dxf>
      <font>
        <b/>
        <color rgb="FF9C0006"/>
      </font>
      <fill>
        <patternFill>
          <bgColor rgb="FFFFC7CE"/>
        </patternFill>
      </fill>
    </dxf>
    <dxf>
      <font>
        <color rgb="FF7F6000"/>
      </font>
      <fill>
        <patternFill>
          <bgColor rgb="FFFFEB9C"/>
        </patternFill>
      </fill>
    </dxf>
    <dxf>
      <font>
        <b/>
        <color rgb="FF9C0006"/>
      </font>
      <fill>
        <patternFill>
          <bgColor rgb="FFFFC7CE"/>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3" tint="0.39994506668294322"/>
        </patternFill>
      </fill>
    </dxf>
    <dxf>
      <fill>
        <patternFill>
          <bgColor rgb="FFFF0000"/>
        </patternFill>
      </fill>
    </dxf>
    <dxf>
      <fill>
        <patternFill>
          <bgColor theme="3" tint="0.39994506668294322"/>
        </patternFill>
      </fill>
    </dxf>
    <dxf>
      <fill>
        <patternFill>
          <bgColor rgb="FFFF0000"/>
        </patternFill>
      </fill>
    </dxf>
    <dxf>
      <font>
        <b/>
        <i val="0"/>
        <color rgb="FF0070C0"/>
      </font>
    </dxf>
    <dxf>
      <font>
        <b val="0"/>
        <i/>
        <color rgb="FF808080"/>
      </font>
    </dxf>
    <dxf>
      <fill>
        <patternFill>
          <bgColor rgb="FFE2EFDA"/>
        </patternFill>
      </fill>
    </dxf>
    <dxf>
      <fill>
        <patternFill>
          <bgColor rgb="FFFCE4D6"/>
        </patternFill>
      </fill>
    </dxf>
    <dxf>
      <fill>
        <patternFill>
          <bgColor rgb="FFFCE4D6"/>
        </patternFill>
      </fill>
    </dxf>
    <dxf>
      <fill>
        <patternFill>
          <bgColor rgb="FFFCE4D6"/>
        </patternFill>
      </fill>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FCCCC"/>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val="0"/>
        <i/>
        <color rgb="FF808080"/>
      </font>
    </dxf>
    <dxf>
      <font>
        <b/>
        <i val="0"/>
        <color rgb="FF0070C0"/>
      </font>
    </dxf>
    <dxf>
      <font>
        <b val="0"/>
        <i/>
        <color rgb="FF808080"/>
      </font>
    </dxf>
    <dxf>
      <font>
        <b/>
        <i val="0"/>
        <color rgb="FF0070C0"/>
      </font>
    </dxf>
    <dxf>
      <font>
        <b val="0"/>
        <i/>
        <color rgb="FF808080"/>
      </font>
    </dxf>
    <dxf>
      <fill>
        <patternFill>
          <bgColor rgb="FFFCE4D6"/>
        </patternFill>
      </fill>
    </dxf>
    <dxf>
      <font>
        <b/>
        <i val="0"/>
        <color rgb="FF0070C0"/>
      </font>
    </dxf>
    <dxf>
      <font>
        <b/>
        <i val="0"/>
        <color rgb="FF0070C0"/>
      </font>
    </dxf>
    <dxf>
      <font>
        <b val="0"/>
        <i/>
        <color rgb="FF808080"/>
      </font>
    </dxf>
    <dxf>
      <fill>
        <patternFill>
          <bgColor rgb="FFFCE4D6"/>
        </patternFill>
      </fill>
    </dxf>
    <dxf>
      <font>
        <b/>
        <i val="0"/>
        <color rgb="FF0070C0"/>
      </font>
    </dxf>
    <dxf>
      <font>
        <b val="0"/>
        <i/>
        <color rgb="FF808080"/>
      </font>
    </dxf>
    <dxf>
      <fill>
        <patternFill>
          <bgColor rgb="FFFCE4D6"/>
        </patternFill>
      </fill>
    </dxf>
    <dxf>
      <border>
        <top style="dashed">
          <color rgb="FF808080"/>
        </top>
      </border>
    </dxf>
    <dxf>
      <border>
        <top style="thin">
          <color rgb="FF000000"/>
        </top>
      </border>
    </dxf>
    <dxf>
      <fill>
        <patternFill>
          <bgColor rgb="FFF2F2F2"/>
        </patternFill>
      </fill>
    </dxf>
    <dxf>
      <fill>
        <patternFill>
          <bgColor rgb="FFDDEBF7"/>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0.0"/>
    </dxf>
    <dxf>
      <numFmt numFmtId="1" formatCode="0"/>
    </dxf>
    <dxf>
      <numFmt numFmtId="1" formatCode="0"/>
    </dxf>
    <dxf>
      <numFmt numFmtId="164" formatCode="0.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601980</xdr:colOff>
          <xdr:row>0</xdr:row>
          <xdr:rowOff>45720</xdr:rowOff>
        </xdr:from>
        <xdr:to>
          <xdr:col>4</xdr:col>
          <xdr:colOff>769620</xdr:colOff>
          <xdr:row>1</xdr:row>
          <xdr:rowOff>99060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3DA57480-6C3E-272F-5ACA-A85C25EEEB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38099</xdr:colOff>
      <xdr:row>0</xdr:row>
      <xdr:rowOff>25400</xdr:rowOff>
    </xdr:from>
    <xdr:to>
      <xdr:col>10</xdr:col>
      <xdr:colOff>238129</xdr:colOff>
      <xdr:row>0</xdr:row>
      <xdr:rowOff>406400</xdr:rowOff>
    </xdr:to>
    <mc:AlternateContent xmlns:mc="http://schemas.openxmlformats.org/markup-compatibility/2006">
      <mc:Choice xmlns:sle15="http://schemas.microsoft.com/office/drawing/2012/slicer" Requires="sle15">
        <xdr:graphicFrame macro="">
          <xdr:nvGraphicFramePr>
            <xdr:cNvPr id="2" name="Щит">
              <a:extLst>
                <a:ext uri="{FF2B5EF4-FFF2-40B4-BE49-F238E27FC236}">
                  <a16:creationId xmlns:a16="http://schemas.microsoft.com/office/drawing/2014/main" id="{456C5DB7-43C4-4013-87E5-DE63AB52F5B9}"/>
                </a:ext>
              </a:extLst>
            </xdr:cNvPr>
            <xdr:cNvGraphicFramePr/>
          </xdr:nvGraphicFramePr>
          <xdr:xfrm>
            <a:off x="0" y="0"/>
            <a:ext cx="0" cy="0"/>
          </xdr:xfrm>
          <a:graphic>
            <a:graphicData uri="http://schemas.microsoft.com/office/drawing/2010/slicer">
              <sle:slicer xmlns:sle="http://schemas.microsoft.com/office/drawing/2010/slicer" name="Щит"/>
            </a:graphicData>
          </a:graphic>
        </xdr:graphicFrame>
      </mc:Choice>
      <mc:Fallback>
        <xdr:sp macro="" textlink="">
          <xdr:nvSpPr>
            <xdr:cNvPr id="0" name=""/>
            <xdr:cNvSpPr>
              <a:spLocks noTextEdit="1"/>
            </xdr:cNvSpPr>
          </xdr:nvSpPr>
          <xdr:spPr>
            <a:xfrm>
              <a:off x="3764279" y="25400"/>
              <a:ext cx="5648330" cy="381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10</xdr:col>
          <xdr:colOff>335280</xdr:colOff>
          <xdr:row>0</xdr:row>
          <xdr:rowOff>45720</xdr:rowOff>
        </xdr:from>
        <xdr:to>
          <xdr:col>12</xdr:col>
          <xdr:colOff>518160</xdr:colOff>
          <xdr:row>0</xdr:row>
          <xdr:rowOff>327660</xdr:rowOff>
        </xdr:to>
        <xdr:sp macro="" textlink="">
          <xdr:nvSpPr>
            <xdr:cNvPr id="4141" name="Button 45" hidden="1">
              <a:extLst>
                <a:ext uri="{63B3BB69-23CF-44E3-9099-C40C66FF867C}">
                  <a14:compatExt spid="_x0000_s4141"/>
                </a:ext>
                <a:ext uri="{FF2B5EF4-FFF2-40B4-BE49-F238E27FC236}">
                  <a16:creationId xmlns:a16="http://schemas.microsoft.com/office/drawing/2014/main" id="{C9021B6F-D07E-DFD6-667A-EDC9CD1FC7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Починить формулы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579120</xdr:colOff>
          <xdr:row>0</xdr:row>
          <xdr:rowOff>45720</xdr:rowOff>
        </xdr:from>
        <xdr:to>
          <xdr:col>13</xdr:col>
          <xdr:colOff>1501140</xdr:colOff>
          <xdr:row>0</xdr:row>
          <xdr:rowOff>327660</xdr:rowOff>
        </xdr:to>
        <xdr:sp macro="" textlink="">
          <xdr:nvSpPr>
            <xdr:cNvPr id="4142" name="Button 46" hidden="1">
              <a:extLst>
                <a:ext uri="{63B3BB69-23CF-44E3-9099-C40C66FF867C}">
                  <a14:compatExt spid="_x0000_s4142"/>
                </a:ext>
                <a:ext uri="{FF2B5EF4-FFF2-40B4-BE49-F238E27FC236}">
                  <a16:creationId xmlns:a16="http://schemas.microsoft.com/office/drawing/2014/main" id="{A4988FE3-94A6-C83F-0935-0E64AE2618B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Упорядочить щит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1569720</xdr:colOff>
          <xdr:row>0</xdr:row>
          <xdr:rowOff>45720</xdr:rowOff>
        </xdr:from>
        <xdr:to>
          <xdr:col>14</xdr:col>
          <xdr:colOff>365760</xdr:colOff>
          <xdr:row>0</xdr:row>
          <xdr:rowOff>327660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54B70DE5-0875-DD69-1152-3550AA72ED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Закрепить фазы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434340</xdr:colOff>
          <xdr:row>0</xdr:row>
          <xdr:rowOff>45720</xdr:rowOff>
        </xdr:from>
        <xdr:to>
          <xdr:col>17</xdr:col>
          <xdr:colOff>533400</xdr:colOff>
          <xdr:row>0</xdr:row>
          <xdr:rowOff>327660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427D2AE7-AF56-6356-B8EC-2B3021B688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243840</xdr:colOff>
          <xdr:row>0</xdr:row>
          <xdr:rowOff>45720</xdr:rowOff>
        </xdr:from>
        <xdr:to>
          <xdr:col>13</xdr:col>
          <xdr:colOff>304800</xdr:colOff>
          <xdr:row>1</xdr:row>
          <xdr:rowOff>121920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6F740CDE-CF74-C4AB-870F-854C6C8B9CD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Выгрузить для AutoCAD (все щиты)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434340</xdr:colOff>
          <xdr:row>0</xdr:row>
          <xdr:rowOff>45720</xdr:rowOff>
        </xdr:from>
        <xdr:to>
          <xdr:col>14</xdr:col>
          <xdr:colOff>876300</xdr:colOff>
          <xdr:row>1</xdr:row>
          <xdr:rowOff>121920</xdr:rowOff>
        </xdr:to>
        <xdr:sp macro="" textlink="">
          <xdr:nvSpPr>
            <xdr:cNvPr id="9218" name="Button 2" hidden="1">
              <a:extLst>
                <a:ext uri="{63B3BB69-23CF-44E3-9099-C40C66FF867C}">
                  <a14:compatExt spid="_x0000_s9218"/>
                </a:ext>
                <a:ext uri="{FF2B5EF4-FFF2-40B4-BE49-F238E27FC236}">
                  <a16:creationId xmlns:a16="http://schemas.microsoft.com/office/drawing/2014/main" id="{F7C32648-3F8E-6AAB-965F-10CD8EC917E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Наклейки (A4)</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0</xdr:row>
          <xdr:rowOff>45720</xdr:rowOff>
        </xdr:from>
        <xdr:to>
          <xdr:col>10</xdr:col>
          <xdr:colOff>1028700</xdr:colOff>
          <xdr:row>1</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51101FE7-C863-EEDE-FC7B-6ACD005A23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ea typeface="Calibri"/>
                  <a:cs typeface="Calibri"/>
                </a:rPr>
                <a:t>Зафиксировать выдачу</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Срез_Щит" xr10:uid="{6FD29BC0-9849-4C99-BCDC-29E81FCF8B23}" sourceName="Щит">
  <extLst>
    <x:ext xmlns:x15="http://schemas.microsoft.com/office/spreadsheetml/2010/11/main" uri="{2F2917AC-EB37-4324-AD4E-5DD8C200BD13}">
      <x15:tableSlicerCache tableId="8"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Щит" xr10:uid="{19AD0E14-1E01-45FB-ABC0-6CD1D99EE531}" cache="Срез_Щит" caption="Щит" columnCount="6" showCaption="0" style="SlicerStyleLight6" rowHeight="2286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D36204-549D-498F-ABDE-6B5911FB1DC6}" name="Модули_умолч" displayName="Модули_умолч" ref="I2:K7" totalsRowShown="0">
  <autoFilter ref="I2:K7" xr:uid="{D0D36204-549D-498F-ABDE-6B5911FB1DC6}"/>
  <tableColumns count="3">
    <tableColumn id="1" xr3:uid="{84E0BF9A-3A07-4AC3-8857-310276E4E15E}" name="Управление"/>
    <tableColumn id="2" xr3:uid="{B9E62F56-0927-4C65-9F34-3EF1C9491053}" name="Модель"/>
    <tableColumn id="3" xr3:uid="{2D4A0FF7-E983-40C7-B6A9-E9958EB00FAC}" name="Каналов на линию"/>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E4AF26-780C-492F-9E77-EB76690CFAEB}" name="Щиты" displayName="Щиты" ref="A13:BY19" totalsRowShown="0">
  <autoFilter ref="A13:BY19" xr:uid="{88E4AF26-780C-492F-9E77-EB76690CFAEB}"/>
  <tableColumns count="77">
    <tableColumn id="1" xr3:uid="{20EE6CAF-A6A3-4530-AF1C-3B59E060F8AA}" name="Щит"/>
    <tableColumn id="2" xr3:uid="{0EC77C4D-7983-44D5-8E6F-7A51CABC19C9}" name="Питается от">
      <calculatedColumnFormula>Щиты[[#This Row],[_авто питается от]]</calculatedColumnFormula>
    </tableColumn>
    <tableColumn id="3" xr3:uid="{F43F3C78-81A2-4036-A6F9-249CE92A1196}" name="Вводов"/>
    <tableColumn id="4" xr3:uid="{E60AB660-D69E-4ECC-B5C5-EC9F208BABEB}" name="АВР"/>
    <tableColumn id="5" xr3:uid="{639C2093-F318-4E23-81C0-5D4A44A59D47}" name="ИБП от"/>
    <tableColumn id="6" xr3:uid="{6043D167-F776-461A-AF9D-E8A6577112CE}" name="Мест под вводной узел"/>
    <tableColumn id="7" xr3:uid="{932D443F-7359-459D-8030-6763C8C2646B}" name="Питание: от (ТП / сеть)"/>
    <tableColumn id="8" xr3:uid="{AE0E697C-C8C9-4639-A130-BF2601D0DD93}" name="ΔU до питающего, %"/>
    <tableColumn id="9" xr3:uid="{A174FBF6-605A-4F69-9ABD-DD21730A114C}" name="Iкз min от сети, А"/>
    <tableColumn id="10" xr3:uid="{ABA3A56F-40A5-4840-AF0B-0BCBEEF86A86}" name="Iкз max от сети, кА"/>
    <tableColumn id="11" xr3:uid="{58ECB4F7-1656-4628-B1FA-522F9ACB94E3}" name="Sтр, кВА"/>
    <tableColumn id="12" xr3:uid="{447FBE6D-121E-46C1-A78B-8A790A529F76}" name="Схема тр-ра"/>
    <tableColumn id="13" xr3:uid="{DC99F3EC-70A4-4543-B76E-322BAFA4EDA1}" name="Питающий кабель: S, мм²"/>
    <tableColumn id="14" xr3:uid="{3C53162F-F312-4CB4-975E-28BBE68F18E7}" name="Жил"/>
    <tableColumn id="15" xr3:uid="{A5AE8ED8-B599-4F6D-9EB3-E129C557A5FF}" name="Кабелей параллельно"/>
    <tableColumn id="16" xr3:uid="{8ADE64C3-4B66-419D-BB73-537BC585C5DC}" name="Длина, м"/>
    <tableColumn id="17" xr3:uid="{057A36CD-71EC-4703-9BB1-A1AABFC3E501}" name="Материал"/>
    <tableColumn id="18" xr3:uid="{99BA6654-7ACE-4C78-906B-EAFC7204BDF1}" name="In питающего аппарата, А"/>
    <tableColumn id="19" xr3:uid="{3930B73F-56F6-428C-BE65-8A09E05DE119}" name="Хар-ка аппарата"/>
    <tableColumn id="20" xr3:uid="{25686F9F-BEB9-48C7-A6A6-70F5194EFF53}" name="Кат. питающей линии (ручн.)"/>
    <tableColumn id="21" xr3:uid="{F7F51533-0C2A-42E3-BEB1-E24B738E6FD7}" name="Замечания щита">
      <calculatedColumnFormula>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calculatedColumnFormula>
    </tableColumn>
    <tableColumn id="22" xr3:uid="{FB9146E0-4BB3-4D61-AA41-F3AF2882BD29}" name="Линия фидера">
      <calculatedColumnFormula array="1">IF(Щиты[[#This Row],[_строка фидера]]="","",INDEX(Линии[Номер линии],Щиты[[#This Row],[_строка фидера]]))</calculatedColumnFormula>
    </tableColumn>
    <tableColumn id="23" xr3:uid="{D6339197-F1BE-42AC-B59E-C6C92B3AC6F9}" name="Руст, кВт" dataDxfId="146">
      <calculatedColumnFormula>SUMIFS(Щиты[_Руст собств],Щиты[Путь],"*|"&amp;Щиты[[#This Row],[Щит]]&amp;"|*")</calculatedColumnFormula>
    </tableColumn>
    <tableColumn id="24" xr3:uid="{6418231D-2816-4BC3-8123-89C885A03C98}" name="Рр, кВт" dataDxfId="145">
      <calculatedColumnFormula>k_пк*Щиты[[#This Row],[Руст быт, кВт]]*Щиты[[#This Row],[Кс быт]]+Щиты[[#This Row],[Ко]]*Щиты[[#This Row],[Рр сил, кВт]]+Щиты[[#This Row],[Руст пост, кВт]]+Щиты[[#This Row],[Р отопления, кВт]]+Щиты[[#This Row],[Рр ВНГ, кВт]]</calculatedColumnFormula>
    </tableColumn>
    <tableColumn id="25" xr3:uid="{1B033DB1-CD4A-4436-9B86-6CCB28E5FA67}" name="Iр, А" dataDxfId="144">
      <calculatedColumnFormula>IFERROR(MAX(MAX(Щиты[[#This Row],[P L1, кВт]],Щиты[[#This Row],[P L2, кВт]],Щиты[[#This Row],[P L3, кВт]])*Щиты[[#This Row],[Кс итог]]/((Uн_лин*1000/SQRT(3))/1000*Щиты[[#This Row],[cos φ]]),Щиты[[#This Row],[Рр, кВт]]/(SQRT(3)*Uн_лин*Щиты[[#This Row],[cos φ]])),0)</calculatedColumnFormula>
    </tableColumn>
    <tableColumn id="26" xr3:uid="{5D20D5D6-8B48-42BB-9260-F3C97307578C}" name="cos φ" dataDxfId="143">
      <calculatedColumnFormula>IFERROR(SUMIFS(Щиты[_Pcos собств],Щиты[Путь],"*|"&amp;Щиты[[#This Row],[Щит]]&amp;"|*")/SUMIFS(Щиты[_P собств],Щиты[Путь],"*|"&amp;Щиты[[#This Row],[Щит]]&amp;"|*"),0.95)</calculatedColumnFormula>
    </tableColumn>
    <tableColumn id="27" xr3:uid="{01D71DD6-FDC6-4F6B-95D3-8A40D337744C}" name="ΔU до шин, %" dataDxfId="142">
      <calculatedColumnFormula array="1">SUMPRODUCT(--ISNUMBER(SEARCH("|"&amp;Щиты[Щит]&amp;"|",Щиты[[#This Row],[Путь]])),IFERROR(--Щиты[_ΔU фидера],0)+IFERROR(--Щиты[_ΔU источника],0))</calculatedColumnFormula>
    </tableColumn>
    <tableColumn id="28" xr3:uid="{DC8F3EA6-B7C5-4F63-8D96-B8A04E0B90DB}" name="Iкз min на шинах, А" dataDxfId="141">
      <calculatedColumnFormula>IF(ISNUMBER(Щиты[[#This Row],[Zпетли на шинах, Ом]]),c_min*(Uн_лин*1000/SQRT(3))/Щиты[[#This Row],[Zпетли на шинах, Ом]],"")</calculatedColumnFormula>
    </tableColumn>
    <tableColumn id="29" xr3:uid="{AFF672EC-09F5-4BA9-A4D5-9204ADF78E6D}" name="Iкз max на шинах, кА" dataDxfId="140">
      <calculatedColumnFormula>IF(ISNUMBER(Щиты[[#This Row],[Zmax на шинах, Ом]]),1.05*(Uн_лин*1000/SQRT(3))/Щиты[[#This Row],[Zmax на шинах, Ом]]/1000,"")</calculatedColumnFormula>
    </tableColumn>
    <tableColumn id="30" xr3:uid="{ED27711C-790F-4267-BBAB-FA9F736B7AD2}" name="Категория шины «Ввод»">
      <calculatedColumnFormula array="1">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calculatedColumnFormula>
    </tableColumn>
    <tableColumn id="31" xr3:uid="{389CC9E4-A943-4F92-9142-2531F625306C}" name="Путь">
      <calculatedColumnFormula array="1">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calculatedColumnFormula>
    </tableColumn>
    <tableColumn id="32" xr3:uid="{252D74A1-36EE-4A36-88AC-737ECB941C54}" name="Корень" dataDxfId="139">
      <calculatedColumnFormula>_xlfn.TEXTBEFORE(MID(Щиты[[#This Row],[Путь]],2,999),"|")</calculatedColumnFormula>
    </tableColumn>
    <tableColumn id="33" xr3:uid="{598BD5C8-B26B-4391-ACCF-F3B77000CBCB}" name="Питается от (итог)">
      <calculatedColumnFormula>IF(TRIM(Щиты[[#This Row],[Питается от]]&amp;"")="",Щиты[[#This Row],[_авто питается от]],Щиты[[#This Row],[Питается от]])</calculatedColumnFormula>
    </tableColumn>
    <tableColumn id="34" xr3:uid="{AF619CC1-D096-4D1C-B2C3-9B543E2BACF1}" name="Уровень">
      <calculatedColumnFormula>LEN(Щиты[[#This Row],[Путь]])-LEN(SUBSTITUTE(Щиты[[#This Row],[Путь]],"|",""))-2</calculatedColumnFormula>
    </tableColumn>
    <tableColumn id="35" xr3:uid="{46BEBE37-CF0F-4B87-81BA-BECFB93529A5}" name="_строка фидера">
      <calculatedColumnFormula>IFERROR(_xlfn.XMATCH(Щиты[[#This Row],[Щит]],Линии[_фидер]),"")</calculatedColumnFormula>
    </tableColumn>
    <tableColumn id="36" xr3:uid="{C2EE7084-68E6-4B25-8E13-4EE0FF81156D}" name="_авто питается от">
      <calculatedColumnFormula array="1">IFERROR(INDEX(Линии[Щит],Щиты[[#This Row],[_строка фидера]]),"")</calculatedColumnFormula>
    </tableColumn>
    <tableColumn id="37" xr3:uid="{0EB91FAA-4977-4E88-BE19-66366C0538F3}" name="_Руст собств">
      <calculatedColumnFormula>SUMIFS(Линии[_Руст (без Нет)],Линии[Щит],Щиты[[#This Row],[Щит]])</calculatedColumnFormula>
    </tableColumn>
    <tableColumn id="38" xr3:uid="{F55B24A0-AD35-4EA2-A06E-A3955906767E}" name="_быт собств">
      <calculatedColumnFormula>SUMIFS(Линии[_Руст быт],Линии[Щит],Щиты[[#This Row],[Щит]])</calculatedColumnFormula>
    </tableColumn>
    <tableColumn id="39" xr3:uid="{1E1FF8B8-3C3A-41D2-A2F1-0FA691F5C629}" name="_сил собств">
      <calculatedColumnFormula>SUMIFS(Линии[_Рр сил],Линии[Щит],Щиты[[#This Row],[Щит]])</calculatedColumnFormula>
    </tableColumn>
    <tableColumn id="40" xr3:uid="{98B08CFB-DF56-4148-9E8A-4D182357CB2B}" name="_пост собств">
      <calculatedColumnFormula>SUMIFS(Линии[_Руст пост],Линии[Щит],Щиты[[#This Row],[Щит]])</calculatedColumnFormula>
    </tableColumn>
    <tableColumn id="41" xr3:uid="{85D22B94-23E2-4C8D-B149-4459CE27C2B0}" name="_P собств">
      <calculatedColumnFormula>SUMIFS(Линии[_P для cos],Линии[Щит],Щиты[[#This Row],[Щит]])</calculatedColumnFormula>
    </tableColumn>
    <tableColumn id="42" xr3:uid="{809ACD7D-CE9F-4E3C-BDBB-2AB7F427755F}" name="_Pcos собств">
      <calculatedColumnFormula>SUMIFS(Линии[_P·cos],Линии[Щит],Щиты[[#This Row],[Щит]])</calculatedColumnFormula>
    </tableColumn>
    <tableColumn id="43" xr3:uid="{19BDAD83-C4AA-4E33-9C13-38C367B38B0D}" name="_отоп собств">
      <calculatedColumnFormula>SUMIFS(Линии[_Р отопления],Линии[Щит],Щиты[[#This Row],[Щит]])</calculatedColumnFormula>
    </tableColumn>
    <tableColumn id="44" xr3:uid="{04292D74-9D0C-41BB-B3D6-747C79991A2B}" name="_внг собств">
      <calculatedColumnFormula>SUMIFS(Линии[_Рр ВНГ],Линии[Щит],Щиты[[#This Row],[Щит]])</calculatedColumnFormula>
    </tableColumn>
    <tableColumn id="45" xr3:uid="{67BE65A0-6A57-4D7B-8FC8-945DD0A79CC7}" name="Руст быт, кВт" dataDxfId="138">
      <calculatedColumnFormula>SUMIFS(Щиты[_быт собств],Щиты[Путь],"*|"&amp;Щиты[[#This Row],[Щит]]&amp;"|*")</calculatedColumnFormula>
    </tableColumn>
    <tableColumn id="46" xr3:uid="{3510DD5B-B2E9-4F9D-92AA-05352049BA8E}" name="Кс быт" dataDxfId="137">
      <calculatedColumnFormula array="1">_xlfn.LET(_xlpm.x,Щиты[[#This Row],[Руст быт, кВт]],_xlpm.m,MATCH(_xlpm.x,Кс_Р,1),IF(_xlpm.x&gt;=INDEX(Кс_Р,ROWS(Кс_Р)),INDEX(Кс_К,ROWS(Кс_К)),INDEX(Кс_К,_xlpm.m)+(_xlpm.x-INDEX(Кс_Р,_xlpm.m))*(INDEX(Кс_К,_xlpm.m+1)-INDEX(Кс_К,_xlpm.m))/(INDEX(Кс_Р,_xlpm.m+1)-INDEX(Кс_Р,_xlpm.m))))</calculatedColumnFormula>
    </tableColumn>
    <tableColumn id="47" xr3:uid="{8604A066-0D12-4A9D-B710-B924325A745B}" name="Рр сил, кВт" dataDxfId="136">
      <calculatedColumnFormula>SUMIFS(Щиты[_сил собств],Щиты[Путь],"*|"&amp;Щиты[[#This Row],[Щит]]&amp;"|*")</calculatedColumnFormula>
    </tableColumn>
    <tableColumn id="48" xr3:uid="{1818E1E8-9161-4772-A634-8E53CD9749E7}" name="Руст пост, кВт" dataDxfId="135">
      <calculatedColumnFormula>SUMIFS(Щиты[_пост собств],Щиты[Путь],"*|"&amp;Щиты[[#This Row],[Щит]]&amp;"|*")</calculatedColumnFormula>
    </tableColumn>
    <tableColumn id="49" xr3:uid="{D1A1082F-F9E9-4DD0-9F58-DFB07C991AD9}" name="Р отопления, кВт" dataDxfId="134">
      <calculatedColumnFormula>SUMIFS(Щиты[_отоп собств],Щиты[Путь],"*|"&amp;Щиты[[#This Row],[Щит]]&amp;"|*")</calculatedColumnFormula>
    </tableColumn>
    <tableColumn id="50" xr3:uid="{591F1F14-3EA7-4A2F-A2EC-B09A69BA8FE7}" name="Рр ВНГ, кВт" dataDxfId="133">
      <calculatedColumnFormula>SUMIFS(Щиты[_внг собств],Щиты[Путь],"*|"&amp;Щиты[[#This Row],[Щит]]&amp;"|*")</calculatedColumnFormula>
    </tableColumn>
    <tableColumn id="51" xr3:uid="{3ED5AF49-7EB4-4713-B24E-C3AEC0C27A6E}" name="_n силовых">
      <calculatedColumnFormula>COUNTIFS(Линии[Щит],Щиты[[#This Row],[Щит]],Линии[Группа Кс (итог)],"Сил")</calculatedColumnFormula>
    </tableColumn>
    <tableColumn id="52" xr3:uid="{DD43544B-BD9D-41B9-8E7F-87CC7F0CE007}" name="Кс силовых (табл. 7.5)" dataDxfId="132">
      <calculatedColumnFormula array="1">_xlfn.LET(_xlpm.n,Щиты[[#This Row],[_n силовых]],IF(_xlpm.n&lt;=1,1,IF(_xlpm.n&gt;=MAX(Кс75_n),INDEX(Кс75_k,ROWS(Кс75_k)),_xlfn.LET(_xlpm.m,MATCH(_xlpm.n,Кс75_n,1),INDEX(Кс75_k,_xlpm.m)+(_xlpm.n-INDEX(Кс75_n,_xlpm.m))*(INDEX(Кс75_k,_xlpm.m+1)-INDEX(Кс75_k,_xlpm.m))/(INDEX(Кс75_n,_xlpm.m+1)-INDEX(Кс75_n,_xlpm.m))))))</calculatedColumnFormula>
    </tableColumn>
    <tableColumn id="53" xr3:uid="{DD9F4701-FAFB-487E-BA9C-E628259628E6}" name="Ко" dataDxfId="131">
      <calculatedColumnFormula>IF(Методика="нормы 2026",IF(AND(Щиты[[#This Row],[Руст быт, кВт]]&gt;0,Щиты[[#This Row],[Рр сил, кВт]]&gt;0),Ко_сил,1),Ко_сил)</calculatedColumnFormula>
    </tableColumn>
    <tableColumn id="54" xr3:uid="{2F3F6EEC-F247-461E-AFE5-A28506D0854B}" name="Кс итог" dataDxfId="130">
      <calculatedColumnFormula>IF(Щиты[[#This Row],[Руст, кВт]]=0,0,Щиты[[#This Row],[Рр, кВт]]/Щиты[[#This Row],[Руст, кВт]])</calculatedColumnFormula>
    </tableColumn>
    <tableColumn id="55" xr3:uid="{DA3EBD18-C19A-4823-A0B3-509A34305279}" name="P L1, кВт" dataDxfId="129">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calculatedColumnFormula>
    </tableColumn>
    <tableColumn id="56" xr3:uid="{424A4A90-767F-4F1F-8162-7C850962A06E}" name="P L2, кВт" dataDxfId="128">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calculatedColumnFormula>
    </tableColumn>
    <tableColumn id="57" xr3:uid="{55C33033-59EF-453C-972D-C97E351699FF}" name="P L3, кВт" dataDxfId="127">
      <calculatedColumnFormula>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calculatedColumnFormula>
    </tableColumn>
    <tableColumn id="58" xr3:uid="{2D04AA26-56E8-4895-88D1-0AA6FC92AF67}" name="_ΔU фидера">
      <calculatedColumnFormula array="1">IF(Щиты[[#This Row],[_строка фидера]]="","",INDEX(Линии[ΔU, %],Щиты[[#This Row],[_строка фидера]]))</calculatedColumnFormula>
    </tableColumn>
    <tableColumn id="59" xr3:uid="{B21E169D-C298-4074-8DAE-B26C63AE189D}" name="_ΔU пит. линии">
      <calculatedColumnFormula>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calculatedColumnFormula>
    </tableColumn>
    <tableColumn id="60" xr3:uid="{5A70795E-C477-4488-A985-1E683FC7C5D6}" name="_ΔU источника">
      <calculatedColumnFormula>IF(Щиты[[#This Row],[Питается от (итог)]]&lt;&gt;"",0,IF(LEFT(UPPER(TRIM(Щиты[[#This Row],[Питание: от (ТП / сеть)]])),2)="ТП",0,N(Щиты[[#This Row],[ΔU до питающего, %]])+Щиты[[#This Row],[_ΔU пит. линии]]))</calculatedColumnFormula>
    </tableColumn>
    <tableColumn id="61" xr3:uid="{B7C4F494-15A4-44C9-AC70-8717111D6AA9}" name="_петля пит. кабеля">
      <calculatedColumnFormula>IF(N(Щиты[[#This Row],[Питающий кабель: S, мм²]])&gt;0,2*IF(Щиты[[#This Row],[Материал]]="алюминий",ρкз_Al,ρкз_Cu)*N(Щиты[[#This Row],[Длина, м]])/(N(Щиты[[#This Row],[Питающий кабель: S, мм²]])*MAX(1,N(Щиты[[#This Row],[Кабелей параллельно]]))),0)</calculatedColumnFormula>
    </tableColumn>
    <tableColumn id="62" xr3:uid="{65681A38-6908-4646-BBE1-3B107133869D}" name="_Zсети">
      <calculatedColumnFormula>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calculatedColumnFormula>
    </tableColumn>
    <tableColumn id="63" xr3:uid="{2E765D01-1170-4661-9FD8-B6A75A73C44D}" name="_Zисточника">
      <calculatedColumnFormula>IF(Щиты[[#This Row],[_Zсети]]="","",Щиты[[#This Row],[_Zсети]]+Щиты[[#This Row],[_петля пит. кабеля]])</calculatedColumnFormula>
    </tableColumn>
    <tableColumn id="64" xr3:uid="{C2314A3E-249F-4DAC-9DA1-CE92FA29D7E9}" name="_Zфидера">
      <calculatedColumnFormula array="1">IF(Щиты[[#This Row],[_строка фидера]]="","",INDEX(Линии[_Zкабеля],Щиты[[#This Row],[_строка фидера]]))</calculatedColumnFormula>
    </tableColumn>
    <tableColumn id="65" xr3:uid="{8CDA9C4C-9FA1-4B7A-811C-EC2F7F567DE8}" name="Zпетли на шинах, Ом" dataDxfId="126">
      <calculatedColumnFormula array="1">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calculatedColumnFormula>
    </tableColumn>
    <tableColumn id="66" xr3:uid="{8C935A49-1F41-4F73-B663-CDE593369510}" name="_Zmax сети">
      <calculatedColumnFormula>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calculatedColumnFormula>
    </tableColumn>
    <tableColumn id="67" xr3:uid="{71BD6A05-6089-4574-87C5-243B727AA889}" name="_Zmax источника">
      <calculatedColumnFormula>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calculatedColumnFormula>
    </tableColumn>
    <tableColumn id="68" xr3:uid="{665A010C-EC44-411C-B242-A7EF765FA8D7}" name="_Zmax фидера">
      <calculatedColumnFormula array="1">IF(Щиты[[#This Row],[_строка фидера]]="","",INDEX(Линии[_Zmax кабеля],Щиты[[#This Row],[_строка фидера]]))</calculatedColumnFormula>
    </tableColumn>
    <tableColumn id="69" xr3:uid="{8396909C-307E-4CBC-8C06-87327AD333AB}" name="Zmax на шинах, Ом" dataDxfId="125">
      <calculatedColumnFormula array="1">IF(_xlfn.XLOOKUP(Щиты[[#This Row],[Корень]],Щиты[Щит],Щиты[_Zmax источника],"")="","",SUMPRODUCT(--ISNUMBER(SEARCH("|"&amp;Щиты[Щит]&amp;"|",Щиты[[#This Row],[Путь]])),IFERROR(--Щиты[_Zmax источника],0)+IFERROR(--Щиты[_Zmax фидера],0)))</calculatedColumnFormula>
    </tableColumn>
    <tableColumn id="70" xr3:uid="{F0ECFE08-7BFB-4596-8B45-F45078D113FB}" name="_ΔU фидера (подбор)">
      <calculatedColumnFormula array="1">IF(Щиты[[#This Row],[_строка фидера]]="","",INDEX(Линии[_ΔU по току, %],Щиты[[#This Row],[_строка фидера]]))</calculatedColumnFormula>
    </tableColumn>
    <tableColumn id="71" xr3:uid="{1C70C2C3-4A74-40AC-82EF-46FFD316D260}" name="ΔU до шин (подбор), %" dataDxfId="124">
      <calculatedColumnFormula array="1">SUMPRODUCT(--ISNUMBER(SEARCH("|"&amp;Щиты[Щит]&amp;"|",Щиты[[#This Row],[Путь]])),IFERROR(--Щиты[_ΔU фидера (подбор)],0)+IFERROR(--Щиты[_ΔU источника],0))</calculatedColumnFormula>
    </tableColumn>
    <tableColumn id="72" xr3:uid="{E8E44E44-8B9C-4658-B4D5-A6ED9899DAB5}" name="_Zфидера (подбор)">
      <calculatedColumnFormula array="1">IF(Щиты[[#This Row],[_строка фидера]]="","",INDEX(Линии[_Zкабеля по току],Щиты[[#This Row],[_строка фидера]]))</calculatedColumnFormula>
    </tableColumn>
    <tableColumn id="73" xr3:uid="{85506B90-1855-4992-9974-8FDCBC1AF745}" name="Zпетли на шинах (подбор), Ом" dataDxfId="123">
      <calculatedColumnFormula array="1">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calculatedColumnFormula>
    </tableColumn>
    <tableColumn id="74" xr3:uid="{F0D93502-3911-464F-9F52-C61EE1A9B9D5}" name="Iпуск max, А" dataDxfId="122">
      <calculatedColumnFormula>_xlfn.MAXIFS(Линии[Iпуск, А],Линии[Щит],Щиты[[#This Row],[Щит]])</calculatedColumnFormula>
    </tableColumn>
    <tableColumn id="75" xr3:uid="{F4E0BF1D-EB08-4410-8C6F-DE8AB8374FED}" name="Источник фидера">
      <calculatedColumnFormula array="1">IF(Щиты[[#This Row],[_строка фидера]]="","",INDEX(Линии[Источник для режимов],Щиты[[#This Row],[_строка фидера]]))</calculatedColumnFormula>
    </tableColumn>
    <tableColumn id="76" xr3:uid="{1918172E-62C5-4930-9A70-683DCF25A08F}" name="Пожарный фидер">
      <calculatedColumnFormula array="1">IF(Щиты[[#This Row],[_строка фидера]]="","",INDEX(Линии[Пожарная (итог)],Щиты[[#This Row],[_строка фидера]]))</calculatedColumnFormula>
    </tableColumn>
    <tableColumn id="77" xr3:uid="{A394943E-BA13-4279-984D-5F9BF625AAE8}" name="_фазы авто">
      <calculatedColumnFormula array="1">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730FA93-DF01-48FB-BE75-BE92E2C0486D}" name="Шины" displayName="Шины" ref="CA13:CC14" totalsRowShown="0">
  <autoFilter ref="CA13:CC14" xr:uid="{0730FA93-DF01-48FB-BE75-BE92E2C0486D}"/>
  <tableColumns count="3">
    <tableColumn id="1" xr3:uid="{C10A995C-5103-44FB-9154-B3C5AE446481}" name="Шина"/>
    <tableColumn id="2" xr3:uid="{F5A11811-81CD-4309-A8E2-7AF846D1562D}" name="Щит"/>
    <tableColumn id="3" xr3:uid="{7322D26A-E6A1-44B9-9DD4-30F4459C123B}" name="Тип"/>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324FEE-6414-4014-A0F8-BFC41A869A27}" name="Линии" displayName="Линии" ref="A2:JZ57" totalsRowShown="0">
  <autoFilter ref="A2:JZ57" xr:uid="{AB324FEE-6414-4014-A0F8-BFC41A869A27}"/>
  <tableColumns count="286">
    <tableColumn id="1" xr3:uid="{B612120A-FFAE-435F-B99C-3DE1892AF9B7}" name="Щит"/>
    <tableColumn id="2" xr3:uid="{A2ECF072-0EA2-44A2-BFE2-ACB481F09042}" name="Номер линии"/>
    <tableColumn id="3" xr3:uid="{6CCA3358-697E-4441-ABB0-A4C56E7E60EB}" name="Наименование">
      <calculatedColumnFormula>Линии[[#This Row],[_авто наименование]]</calculatedColumnFormula>
    </tableColumn>
    <tableColumn id="4" xr3:uid="{8CEF5117-8D48-4AD8-B3BD-87772D346771}" name="Кол-во потребителей, шт"/>
    <tableColumn id="5" xr3:uid="{07750915-7A55-424C-AF35-75B0001032CE}" name="Р, кВт">
      <calculatedColumnFormula>Линии[[#This Row],[_авто Р]]</calculatedColumnFormula>
    </tableColumn>
    <tableColumn id="6" xr3:uid="{0425886C-50E5-43B4-9746-2FC33C8B8FD6}" name="Группа"/>
    <tableColumn id="7" xr3:uid="{E7522812-8553-4B57-BCAE-504563A7EA04}" name="Автомат">
      <calculatedColumnFormula>Линии[[#This Row],[_авто автомат]]</calculatedColumnFormula>
    </tableColumn>
    <tableColumn id="8" xr3:uid="{40C59BA5-00FF-4CA1-9BC9-1ED68A77DBE1}" name="Управление">
      <calculatedColumnFormula>Линии[[#This Row],[_авто управление]]</calculatedColumnFormula>
    </tableColumn>
    <tableColumn id="9" xr3:uid="{B3B223FB-AD87-4F59-9E3C-C543CFE7666E}" name="Аппараты">
      <calculatedColumnFormula>Линии[[#This Row],[_авто аппараты]]</calculatedColumnFormula>
    </tableColumn>
    <tableColumn id="10" xr3:uid="{49211706-1870-48E6-B31A-C96B0C3C2C95}" name="Сечение, мм²">
      <calculatedColumnFormula>Линии[[#This Row],[_авто сечение]]</calculatedColumnFormula>
    </tableColumn>
    <tableColumn id="11" xr3:uid="{CA377683-6148-40E2-A75A-F336025ABCBD}" name="Длина линии (по плану), м">
      <calculatedColumnFormula>Линии[[#This Row],[_авто длина по плану]]</calculatedColumnFormula>
    </tableColumn>
    <tableColumn id="12" xr3:uid="{F098D3C4-6770-403C-8951-2FD904442C56}" name="Фаза">
      <calculatedColumnFormula>Линии[[#This Row],[_авто фаза]]</calculatedColumnFormula>
    </tableColumn>
    <tableColumn id="13" xr3:uid="{33B33E7A-22BB-461F-96CB-999555DFCBFF}" name="Клемма">
      <calculatedColumnFormula>Линии[[#This Row],[_авто клемма]]</calculatedColumnFormula>
    </tableColumn>
    <tableColumn id="14" xr3:uid="{42106CBD-42D5-4C73-BE0E-940793A540E9}" name="Замечания">
      <calculatedColumnFormula>_xlfn.TEXTJOIN("; ",TRUE,IK3,IH3,IF(LEFT(IJ3,3)="Icu",IJ3,""),IF(AND(B3&lt;&gt;"",EN3="не подобрано"),"сечение не подобрано: проверьте длину и автомат или впишите сечение",""))</calculatedColumnFormula>
    </tableColumn>
    <tableColumn id="15" xr3:uid="{3E4CC5AA-FFA7-427E-BD9A-51D365342569}" name="Iр, А" dataDxfId="102">
      <calculatedColumnFormula array="1">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calculatedColumnFormula>
    </tableColumn>
    <tableColumn id="16" xr3:uid="{5E3AD999-677E-421F-ADB9-2B75D8372649}" name="Длина, м" dataDxfId="100">
      <calculatedColumnFormula>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calculatedColumnFormula>
    </tableColumn>
    <tableColumn id="17" xr3:uid="{82CFAD93-DE65-4FD3-9D98-1D889B5BB89A}" name="ΔU от ВРУ, %" dataDxfId="101">
      <calculatedColumnFormula>IF(ISNUMBER(EW3),EW3+IF(BV3=1,0,ED3),"")</calculatedColumnFormula>
    </tableColumn>
    <tableColumn id="18" xr3:uid="{212A010E-FEBD-4338-840E-B7A95E524BEE}" name="Кабель">
      <calculatedColumnFormula>IF(OR(B3="",EX3=""),"",IF(EN3="не подобрано",EX3&amp;" — сечение не подобрано",EY3))</calculatedColumnFormula>
    </tableColumn>
    <tableColumn id="19" xr3:uid="{D2E7417B-1F9B-4AEC-91EE-D001101649B2}" name="Лист / место">
      <calculatedColumnFormula>IF(BM3="","",IF(BN3="вводной узел","узел ","")&amp;"л."&amp;(INT((BM3-1)/Столбцов_на_лист)+1)&amp;" / "&amp;(MOD(BM3-1,Столбцов_на_лист)+1))</calculatedColumnFormula>
    </tableColumn>
    <tableColumn id="20" xr3:uid="{B01D44E3-C5B2-447F-9AE1-B812EEBBB1FA}" name="Ток утечки, мА" dataDxfId="99">
      <calculatedColumnFormula>IF(OR(CG3=0,BH3&lt;&gt;"",BP3=1),"",IF(AND(CS3&lt;&gt;"",CS3=BA3),ROUND(N(CY3),1),ROUND(N(HV3)+N(HW3),1)))</calculatedColumnFormula>
    </tableColumn>
    <tableColumn id="21" xr3:uid="{641F685C-25DC-4696-9B5D-DE6BD1B25C5C}" name="БП: нужно, Вт" dataDxfId="98">
      <calculatedColumnFormula>IF(OR(CG3=0,N(BV3)+N(IB3)=0),"",ROUNDUP(Запас_БП*(N(HY3)+N(HZ3)),0))</calculatedColumnFormula>
    </tableColumn>
    <tableColumn id="22" xr3:uid="{BC738401-506E-4C2D-A811-5F80BE914D93}" name="Uвых БП, В" dataDxfId="96">
      <calculatedColumnFormula>IF(OR(CG3=0,N(BV3)+N(IB3)=0),"",ROUND(MAX(N(HX3),N(IA3)),1))</calculatedColumnFormula>
    </tableColumn>
    <tableColumn id="23" xr3:uid="{62CE0A16-3650-4F6E-9FD3-A35A1E4E4C51}" name="Lмакс по КЗ, м" dataDxfId="97">
      <calculatedColumnFormula>IFERROR(IF(OR(B3="",BP3=1,BV3=1,NOT(ISNUMBER(EN3)),N(DT3)=0),"",MAX(0,ROUNDDOWN((c_min*(Uн_лин*1000/SQRT(3))/(HT3*N(DT3))-_xlfn.XLOOKUP(A3,Щиты[Щит],Щиты[Zпетли на шинах, Ом]))*EN3/(2*ρкз_Cu),0))),"")</calculatedColumnFormula>
    </tableColumn>
    <tableColumn id="24" xr3:uid="{BB7D4B45-C9E6-457E-95F2-ADBCD5C3B509}" name="Питает щит"/>
    <tableColumn id="25" xr3:uid="{81ACC068-A448-4E3A-8317-F3EEC43B71C9}" name="Утечка, мА">
      <calculatedColumnFormula>Линии[[#This Row],[_авто утечка]]</calculatedColumnFormula>
    </tableColumn>
    <tableColumn id="26" xr3:uid="{CF0B2B2D-4A9E-424D-A529-C14BED1810A3}" name="Кол-во фаз">
      <calculatedColumnFormula>Линии[[#This Row],[_авто фаз]]</calculatedColumnFormula>
    </tableColumn>
    <tableColumn id="27" xr3:uid="{B16D8E7D-C8CA-46FE-AD7A-363440F73C00}" name="Напряжение">
      <calculatedColumnFormula>Линии[[#This Row],[_авто U]]</calculatedColumnFormula>
    </tableColumn>
    <tableColumn id="28" xr3:uid="{003DADB2-62A7-44B4-8739-117B088910C6}" name="Группа Кс">
      <calculatedColumnFormula>Линии[[#This Row],[_авто группа Кс]]</calculatedColumnFormula>
    </tableColumn>
    <tableColumn id="29" xr3:uid="{B8100F8C-6C7F-40B0-B11A-B6672D88AEFF}" name="Кс (для Сил)"/>
    <tableColumn id="30" xr3:uid="{39232C6F-BE30-43A5-BC55-CA2D0737E61F}" name="cos φ (ручн.)"/>
    <tableColumn id="31" xr3:uid="{B59E0912-0538-496E-A22F-68CAE03D742C}" name="Секция (1/2/3)"/>
    <tableColumn id="32" xr3:uid="{BF67AD56-F7E5-4481-B348-DC765734F757}" name="Шина"/>
    <tableColumn id="33" xr3:uid="{D51E6606-6A82-4F80-8E68-78FAEE905C21}" name="Категория ввода (строки «Ввод»)"/>
    <tableColumn id="34" xr3:uid="{CAB02E22-6807-46FE-9882-775601AF2FDB}" name="Пожарная (да / нет)"/>
    <tableColumn id="35" xr3:uid="{809F905A-FE05-4EB0-9469-FE595BB8A2EE}" name="Вид нагрузки"/>
    <tableColumn id="36" xr3:uid="{7B2B8C8A-66FF-47FB-AE32-A1DC48582EAF}" name="Режим"/>
    <tableColumn id="37" xr3:uid="{559C5E43-00AF-445D-9DEA-31B827A10856}" name="Модуль">
      <calculatedColumnFormula>Линии[[#This Row],[_авто модуль]]</calculatedColumnFormula>
    </tableColumn>
    <tableColumn id="38" xr3:uid="{232FACF3-9DF8-43DA-A175-35295010B8D5}" name="Канал"/>
    <tableColumn id="39" xr3:uid="{119798EC-58F0-4FBD-BB43-E48C63A847A3}" name="№ места"/>
    <tableColumn id="40" xr3:uid="{F8C23577-6A89-43D2-88B8-F7ED979900C5}" name="Марка кабеля">
      <calculatedColumnFormula>Линии[[#This Row],[_авто марка]]</calculatedColumnFormula>
    </tableColumn>
    <tableColumn id="41" xr3:uid="{E9C93B7E-3A13-43C5-BDF9-2EA344BED501}" name="Кол-во жил">
      <calculatedColumnFormula>Линии[[#This Row],[_авто жил]]</calculatedColumnFormula>
    </tableColumn>
    <tableColumn id="42" xr3:uid="{5FEF446B-3E74-4FE8-881D-7A3EB3164FC9}" name="К прокл. линии"/>
    <tableColumn id="43" xr3:uid="{030E6433-81C1-4349-B08E-A5983AC716EA}" name="Лоток"/>
    <tableColumn id="44" xr3:uid="{4429B4E9-1949-4381-9639-B1DC0D84AC41}" name="Гофра ПВХ"/>
    <tableColumn id="45" xr3:uid="{DC35EDFA-C0C0-41BB-867B-79D0F764BEAC}" name="Гофра ПНД"/>
    <tableColumn id="46" xr3:uid="{668C8C18-69F8-4EAD-B613-DF3B6387EBA6}" name="Потолок - 1/Пол - 2"/>
    <tableColumn id="47" xr3:uid="{E9C39A01-5BE6-4EA7-820B-2FA207D94594}" name="Примечание"/>
    <tableColumn id="48" xr3:uid="{BC7EB51F-290A-4CF3-A3DA-A55BB196382F}" name="DWG: гофра ПВХ по плану, м"/>
    <tableColumn id="49" xr3:uid="{89F085B7-8B34-4447-9BA9-E1AC6479D0BF}" name="DWG: гофра ПНД по плану, м"/>
    <tableColumn id="50" xr3:uid="{71C9827B-3688-4F5D-AAEB-3F4218822BBA}" name="DWG: хэндлы полилиний"/>
    <tableColumn id="51" xr3:uid="{FBAA9348-4402-427F-99BB-6050DFFDEAFB}" name="DWG: примечание"/>
    <tableColumn id="52" xr3:uid="{3F602F1B-8DF3-456C-A7B7-1C01043F3B3E}" name="Доп информация из выноски"/>
    <tableColumn id="53" xr3:uid="{E999E16E-5FAA-42FB-9A3F-C4BBA8D41B03}" name="_n">
      <calculatedColumnFormula array="1">ROW()-ROW(Линии[#Headers])</calculatedColumnFormula>
    </tableColumn>
    <tableColumn id="54" xr3:uid="{5BAE0FC6-FA71-4C2E-947A-E68D1071273A}" name="_ключ упорядочивания"/>
    <tableColumn id="55" xr3:uid="{53CF1DC8-5013-4BEC-A9A0-54D1529FFD2B}" name="Код" dataDxfId="121">
      <calculatedColumnFormula>IF(B3="","",IFERROR(LEFT(B3,SEARCH(".",B3)-1),B3))</calculatedColumnFormula>
    </tableColumn>
    <tableColumn id="56" xr3:uid="{4D2BB496-55CA-4F74-9DAC-38A12857737B}" name="_часть1">
      <calculatedColumnFormula>IFERROR(RIGHT(B3,LEN(B3)-SEARCH(".",B3)),"")</calculatedColumnFormula>
    </tableColumn>
    <tableColumn id="57" xr3:uid="{68B8A98C-5391-4605-AEAE-ADA4F6EC4025}" name="Этаж/Шлейф">
      <calculatedColumnFormula>IFERROR(LEFT(BD3,SEARCH(".",BD3)-1),BD3)</calculatedColumnFormula>
    </tableColumn>
    <tableColumn id="58" xr3:uid="{19A326A7-2411-4743-A368-04BE9337F945}" name="_часть2">
      <calculatedColumnFormula>IFERROR(RIGHT(BD3,LEN(BD3)-SEARCH(".",BD3)),"")</calculatedColumnFormula>
    </tableColumn>
    <tableColumn id="59" xr3:uid="{28747D80-F156-49B0-86F8-D0F57E131F2B}" name="Помещение">
      <calculatedColumnFormula>IFERROR(LEFT(BF3,SEARCH(".",BF3)-1),BF3)</calculatedColumnFormula>
    </tableColumn>
    <tableColumn id="60" xr3:uid="{2A442225-BDD8-4E91-93FF-7C594338DFF4}" name="_фидер">
      <calculatedColumnFormula>IF(X3&lt;&gt;"",X3,IF(AND(B3&lt;&gt;"",B3&lt;&gt;A3,ISNUMBER(_xlfn.XMATCH(B3,Щиты[Щит]))),B3,""))</calculatedColumnFormula>
    </tableColumn>
    <tableColumn id="61" xr3:uid="{85360B27-E050-4FB8-80E9-286D6E3E058F}" name="_авто наименование">
      <calculatedColumnFormula array="1">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calculatedColumnFormula>
    </tableColumn>
    <tableColumn id="62" xr3:uid="{8562C44A-1A04-4639-90FD-E476AC40E35F}" name="Наименование (итог)">
      <calculatedColumnFormula>IF(TRIM(C3&amp;"")="",BI3,C3)</calculatedColumnFormula>
    </tableColumn>
    <tableColumn id="63" xr3:uid="{699D5FE5-0B1D-4DE8-AB37-E96FDFB36A7F}" name="_№ щита">
      <calculatedColumnFormula>IFERROR(_xlfn.XMATCH(A3,Щиты[Щит]),0)</calculatedColumnFormula>
    </tableColumn>
    <tableColumn id="64" xr3:uid="{8CC51DCA-AC1B-42FA-A114-82903BA1723B}" name="_мест узла">
      <calculatedColumnFormula>_xlfn.LET(_xlpm.k,IFERROR(_xlfn.XLOOKUP(A3,Щиты[Щит],Щиты[Мест под вводной узел]),""),IF(_xlpm.k="",Столбцов_на_лист,N(_xlpm.k)))</calculatedColumnFormula>
    </tableColumn>
    <tableColumn id="65" xr3:uid="{7213A010-F97F-4DC5-BE4B-D0755F816F8A}" name="_№ места (итог)">
      <calculatedColumnFormula>IF(AM3="-","",IF(ISNUMBER(AM3),AM3,_xlfn.LET(_xlpm.prev,IF(OR(BA3=1,A3&lt;&gt;A2),0,N(IF(BA3=1,"",BM2))),_xlpm.nx,_xlpm.prev+1,IF(AND(AJ3&lt;&gt;"вручную",_xlpm.nx&lt;=BL3),BL3+1,_xlpm.nx))))</calculatedColumnFormula>
    </tableColumn>
    <tableColumn id="66" xr3:uid="{312B12B7-4868-4DBF-9E7B-17F0FC864386}" name="_зона">
      <calculatedColumnFormula>IF(BM3="","",IF(BM3&lt;=BL3,"вводной узел","линии"))</calculatedColumnFormula>
    </tableColumn>
    <tableColumn id="67" xr3:uid="{7DBD0E70-3C3E-4632-A985-E582E5D471FF}" name="_кВт на шт" dataDxfId="120">
      <calculatedColumnFormula>IFERROR(N(_xlfn.XLOOKUP(BC3,Коды_код,Коды_квт)),0)</calculatedColumnFormula>
    </tableColumn>
    <tableColumn id="68" xr3:uid="{D8E4D199-7BF2-4EAF-9176-67A7D947E608}" name="_ввод щита">
      <calculatedColumnFormula>IF(AND(B3&lt;&gt;"",BC3="Ввод"),1,0)</calculatedColumnFormula>
    </tableColumn>
    <tableColumn id="69" xr3:uid="{DD126DA4-CE31-44E7-A204-6C82F19DD887}" name="_авто Р">
      <calculatedColumnFormula>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calculatedColumnFormula>
    </tableColumn>
    <tableColumn id="70" xr3:uid="{B4A453FD-C06C-4D9E-AF88-CE0C888E22B7}" name="_Р (ввод итог)">
      <calculatedColumnFormula>IF(TRIM(E3&amp;"")="",BQ3,E3)</calculatedColumnFormula>
    </tableColumn>
    <tableColumn id="71" xr3:uid="{CEA7E565-91FC-4CE1-B0CE-0286DF3DA47C}" name="_Р линии, кВт" dataDxfId="119">
      <calculatedColumnFormula>IF(B3="","",IF(BH3&lt;&gt;"",IFERROR(_xlfn.XLOOKUP(BH3,Щиты[Щит],Щиты[Руст, кВт]),0),N(BR3)))</calculatedColumnFormula>
    </tableColumn>
    <tableColumn id="72" xr3:uid="{83E16454-B705-46C0-A0D0-396269F3B326}" name="_авто U">
      <calculatedColumnFormula>IF(B3="","",IFERROR(IF(VLOOKUP(BC3,Потребители_обозначение,8,FALSE)=0,"",VLOOKUP(BC3,Потребители_обозначение,8,FALSE)),""))</calculatedColumnFormula>
    </tableColumn>
    <tableColumn id="73" xr3:uid="{0F958145-4FCD-4317-B1B3-8F16CC235CF7}" name="U, В">
      <calculatedColumnFormula>IF(TRIM(AA3&amp;"")="",BT3,AA3)</calculatedColumnFormula>
    </tableColumn>
    <tableColumn id="74" xr3:uid="{133F6D4B-5BE1-459D-8695-8B4B33EFB82F}" name="_до 50 В">
      <calculatedColumnFormula>IF(B3="",0,IF(AND(N(BU3)&gt;0,N(BU3)&lt;=50),1,0))</calculatedColumnFormula>
    </tableColumn>
    <tableColumn id="75" xr3:uid="{6301ABDB-B3B1-45FF-B5C8-9919094634CA}" name="_авто фаз">
      <calculatedColumnFormula>IF(B3="","",IF(BH3&lt;&gt;"",3,IFERROR(IF(N(VLOOKUP(BC3,Потребители_обозначение,9,FALSE))=0,1,VLOOKUP(BC3,Потребители_обозначение,9,FALSE)),1)))</calculatedColumnFormula>
    </tableColumn>
    <tableColumn id="76" xr3:uid="{6581BF08-EB47-45BA-977B-100F135463F7}" name="Фаз">
      <calculatedColumnFormula>IF(B3="","",IF(TRIM(Z3&amp;"")="",BW3,N(Z3)))</calculatedColumnFormula>
    </tableColumn>
    <tableColumn id="77" xr3:uid="{ED01BEA9-CAC5-4192-B1EC-5C7848ADC98B}" name="_авто марка">
      <calculatedColumnFormula>IF(B3="","",_xlfn.LET(_xlpm.bc,IFERROR(IF(VLOOKUP(BC3,Потребители_обозначение,6,FALSE)=0,"",VLOOKUP(BC3,Потребители_обозначение,6,FALSE)&amp;""),""),IF(AND(GA3="да",OR(_xlpm.bc="",_xlpm.bc="мс")),Марка_пож,IF(AND(_xlpm.bc="",BH3&lt;&gt;""),"мс",_xlpm.bc))))</calculatedColumnFormula>
    </tableColumn>
    <tableColumn id="78" xr3:uid="{CA0F43F6-BDA9-4EF0-ACF1-B2137FB9712D}" name="Марка (итог)">
      <calculatedColumnFormula>IF(TRIM(AN3&amp;"")="",BY3,AN3)</calculatedColumnFormula>
    </tableColumn>
    <tableColumn id="79" xr3:uid="{D9D8EACD-841A-4ADA-8CA8-924AE60C38F0}" name="_авто жил">
      <calculatedColumnFormula>IF(B3="","",_xlfn.LET(_xlpm.cc,IFERROR(N(VLOOKUP(BC3,Потребители_обозначение,7,FALSE)),0),IF(_xlpm.cc&gt;0,_xlpm.cc,IF(BZ3="","",IF(BV3=1,2,IF(N(BX3)=3,5,3))))))</calculatedColumnFormula>
    </tableColumn>
    <tableColumn id="80" xr3:uid="{D2666ED3-445C-4A12-9E74-5E3C18FFC4C9}" name="Жил">
      <calculatedColumnFormula>IF(TRIM(AO3&amp;"")="",CA3,AO3)</calculatedColumnFormula>
    </tableColumn>
    <tableColumn id="81" xr3:uid="{57A24923-135F-4AA5-9AF3-4FEC455F48F1}" name="_мин. сечение кода">
      <calculatedColumnFormula>IFERROR(N(VLOOKUP(BC3,Потребители_обозначение,10,FALSE)),0)</calculatedColumnFormula>
    </tableColumn>
    <tableColumn id="82" xr3:uid="{6EF4C8A3-1E0E-41C3-A249-7FDB9366CAF2}" name="_тип пуска">
      <calculatedColumnFormula>IFERROR(VLOOKUP(BC3,Потребители_обозначение,5,FALSE),0)</calculatedColumnFormula>
    </tableColumn>
    <tableColumn id="83" xr3:uid="{2E1E00CE-AB8C-4CB5-B143-BC7A37849E77}" name="cos φ" dataDxfId="118">
      <calculatedColumnFormula array="1">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calculatedColumnFormula>
    </tableColumn>
    <tableColumn id="84" xr3:uid="{5B48E92B-8B52-4ADF-B5B2-AD3CF3F964C9}" name="_гр (на автомате выше)">
      <calculatedColumnFormula>IF(OR(TRIM(F3&amp;"")="гр",TRIM(F3&amp;"")="=",TRIM(F3&amp;"")="^",TRIM(F3&amp;"")="↑"),1,0)</calculatedColumnFormula>
    </tableColumn>
    <tableColumn id="85" xr3:uid="{2DC56F03-175B-432F-B0B7-0230E99A33AB}" name="_свой автомат">
      <calculatedColumnFormula>IF(AND(B3&lt;&gt;"",CF3=0),1,0)</calculatedColumnFormula>
    </tableColumn>
    <tableColumn id="86" xr3:uid="{70980F54-6DF1-4AEC-BF0B-2F64E1264BFA}" name="_на шине УЗО">
      <calculatedColumnFormula>IF(B3="",0,IF(TRIM(F3&amp;"")="узо",1,0))</calculatedColumnFormula>
    </tableColumn>
    <tableColumn id="87" xr3:uid="{D9F9018A-BF22-4D64-A27B-72C662856E93}" name="_ток на 230 В">
      <calculatedColumnFormula>IF(B3="","",IF(BV3=1,IFERROR(BS3/((Uн_лин/SQRT(3))*MAX(0.5,N(CE3))),0),N(O3)))</calculatedColumnFormula>
    </tableColumn>
    <tableColumn id="88" xr3:uid="{34C6471E-E563-49F5-90DD-535CFB68E8D8}" name="_ток ниже в группе">
      <calculatedColumnFormula>IF(AND(A4=A3,AJ4&lt;&gt;"вручную",OR(B4="",CF4=1)),IF(B4="",0,N(CI4))+N(CJ4),0)</calculatedColumnFormula>
    </tableColumn>
    <tableColumn id="89" xr3:uid="{0F0577F7-E4D4-47E1-A82C-2110088E8F60}" name="_Р ниже в группе">
      <calculatedColumnFormula>IF(AND(A4=A3,AJ4&lt;&gt;"вручную",OR(B4="",CF4=1)),IF(B4="",0,N(BS4))+N(CK4),0)</calculatedColumnFormula>
    </tableColumn>
    <tableColumn id="90" xr3:uid="{EA650C94-2CB8-4108-8182-B8CE4B65391E}" name="_фаз ниже в группе">
      <calculatedColumnFormula>IF(AND(A4=A3,AJ4&lt;&gt;"вручную",OR(B4="",CF4=1)),MAX(IF(B4="",0,N(BX4)),N(CL4)),0)</calculatedColumnFormula>
    </tableColumn>
    <tableColumn id="91" xr3:uid="{A765EA12-3B7B-4721-9BF1-563BC8BE0AA9}" name="_мин. номинал ниже">
      <calculatedColumnFormula>IF(AND(A4=A3,AJ4&lt;&gt;"вручную",OR(B4="",CF4=1)),MAX(IF(B4="",0,N(DB4)),N(CM4)),0)</calculatedColumnFormula>
    </tableColumn>
    <tableColumn id="92" xr3:uid="{950BF286-3209-45CA-BE51-001DBE72E340}" name="_мА ниже в группе">
      <calculatedColumnFormula>IF(AND(A4=A3,AJ4&lt;&gt;"вручную",OR(B4="",CF4=1)),_xlfn.LET(_xlpm.a_,IF(B4="",0,N(CZ4)),_xlpm.b_,N(CN4),IF(_xlpm.a_=0,_xlpm.b_,IF(_xlpm.b_=0,_xlpm.a_,MIN(_xlpm.a_,_xlpm.b_)))),0)</calculatedColumnFormula>
    </tableColumn>
    <tableColumn id="93" xr3:uid="{EEC4305D-B057-4AEF-B465-C8D7A0733B24}" name="_дифзащита по коду, мА">
      <calculatedColumnFormula>IF(BC3="",0,_xlfn.LET(_xlpm.v,IFERROR(_xlfn.XLOOKUP(B3,Коды_код,Коды_мА),IFERROR(_xlfn.XLOOKUP(BC3,Коды_код,Коды_мА),IFERROR(_xlfn.XLOOKUP(LEFT(BC3,2),Коды_код,Коды_мА),""))),IF(_xlpm.v="да",30,IF(ISNUMBER(_xlpm.v),_xlpm.v,0))))</calculatedColumnFormula>
    </tableColumn>
    <tableColumn id="94" xr3:uid="{D4B3189B-8341-4D4A-8EC8-53FDF9BD0032}" name="_авто утечка">
      <calculatedColumnFormula>IF(B3="","",IF(N(CO3)&gt;0,CO3,""))</calculatedColumnFormula>
    </tableColumn>
    <tableColumn id="95" xr3:uid="{9ABE2F9C-C820-40BF-8493-1E00C03D6498}" name="_вид аппарата утечки">
      <calculatedColumnFormula>_xlfn.LET(_xlpm.k,IFERROR(_xlfn.XLOOKUP(BC3,Коды_код,Коды_утечка)&amp;"",""),IF(_xlpm.k="","дифавтомат",_xlpm.k))</calculatedColumnFormula>
    </tableColumn>
    <tableColumn id="96" xr3:uid="{FE354A25-1462-4928-B521-87B5C3508EAB}" name="_УЗО строки">
      <calculatedColumnFormula array="1">IF(CG3=0,"",_xlfn.LET(_xlpm.sg,TRIM(_xlfn.TEXTSPLIT(DD3&amp;"",";")),_xlpm.f_,_xlfn._xlws.FILTER(_xlpm.sg,LEFT(_xlpm.sg,3)="УЗО",""),IFERROR(INDEX(_xlpm.f_,1)&amp;"","")))</calculatedColumnFormula>
    </tableColumn>
    <tableColumn id="97" xr3:uid="{9435A3DC-F3B3-4430-ACB2-DB099C9EBF64}" name="_блок УЗО">
      <calculatedColumnFormula>IF(B3="",IF(OR(OR(BA3=1,A3&lt;&gt;A2),AJ3="вручную"),"",IF(BA3=1,"",CS2)),IF(CG3=1,IF(CH3=1,IF(OR(BA3=1,A3&lt;&gt;A2),"",IF(BA3=1,"",CS2)),IF(CR3&lt;&gt;"",BA3,"")),IF(AND(NOT(OR(BA3=1,A3&lt;&gt;A2)),AJ3&lt;&gt;"вручную",IF(BA3=1,"",DS2)="ok"),IF(BA3=1,"",CS2),"")))</calculatedColumnFormula>
    </tableColumn>
    <tableColumn id="98" xr3:uid="{C8BF7F7B-027A-4E52-910E-8461AD3A27E7}" name="_УЗО, А" dataDxfId="117">
      <calculatedColumnFormula array="1">IF(CR3="","",_xlfn.LET(_xlpm.tk,_xlfn.TEXTSPLIT(UPPER(CR3)," ",,TRUE),_xlpm.a_,_xlfn._xlws.FILTER(_xlpm.tk,ISNUMBER(--LEFT(_xlpm.tk,1))*((ISNUMBER(SEARCH("А",_xlpm.tk))+ISNUMBER(SEARCH("A",_xlpm.tk)))&gt;0)*NOT(ISNUMBER(SEARCH("МА",_xlpm.tk)))*NOT(ISNUMBER(SEARCH("MA",_xlpm.tk))),""),IFERROR(--SUBSTITUTE(SUBSTITUTE(INDEX(_xlpm.a_,1),"А",""),"A",""),"")))</calculatedColumnFormula>
    </tableColumn>
    <tableColumn id="99" xr3:uid="{CDCA9CF5-7548-439F-846A-09A00866BB99}" name="_УЗО, мА">
      <calculatedColumnFormula array="1">IF(CR3="","",_xlfn.LET(_xlpm.tk,_xlfn.TEXTSPLIT(UPPER(CR3)," ",,TRUE),_xlpm.a_,_xlfn._xlws.FILTER(_xlpm.tk,ISNUMBER(--LEFT(_xlpm.tk,1))*((ISNUMBER(SEARCH("МА",_xlpm.tk))+ISNUMBER(SEARCH("MA",_xlpm.tk)))&gt;0),""),IFERROR(--SUBSTITUTE(SUBSTITUTE(INDEX(_xlpm.a_,1),"МА",""),"MA",""),30)))</calculatedColumnFormula>
    </tableColumn>
    <tableColumn id="100" xr3:uid="{3F84A30B-B9AA-4E3D-AAA1-C1CC31C1BB81}" name="_мА блока УЗО">
      <calculatedColumnFormula>IF(CS3="","",IFERROR(_xlfn.XLOOKUP(CS3,Линии[_n],Линии[_УЗО, мА]),30))</calculatedColumnFormula>
    </tableColumn>
    <tableColumn id="101" xr3:uid="{D7A6B327-ABC0-4766-A07B-07C273C363B6}" name="_блок УЗО на 1 фазе">
      <calculatedColumnFormula>IF(CS3="",0,IF(ISNUMBER(SEARCH("4P",IFERROR(_xlfn.XLOOKUP(CS3,Линии[_n],Линии[_УЗО строки])&amp;"",""))),0,1))</calculatedColumnFormula>
    </tableColumn>
    <tableColumn id="102" xr3:uid="{2A4F3691-B5E3-4E94-B777-C96E887159F6}" name="_ток блока УЗО">
      <calculatedColumnFormula>IF(AND(CS3&lt;&gt;"",CS3=BA3),SUMIFS(Линии[_ток на 230 В],Линии[_блок УЗО],BA3,Линии[Щит],A3),"")</calculatedColumnFormula>
    </tableColumn>
    <tableColumn id="103" xr3:uid="{2970B64E-CD1E-4466-95EC-7FDC78A85112}" name="_утечка блока УЗО">
      <calculatedColumnFormula>IF(AND(CS3&lt;&gt;"",CS3=BA3),SUMIFS(Линии[_ток утечки линии, мА],Линии[_блок УЗО],BA3,Линии[Щит],A3),"")</calculatedColumnFormula>
    </tableColumn>
    <tableColumn id="104" xr3:uid="{BEB28602-9933-4366-A7D9-B3FE9CD78550}" name="_мА линии">
      <calculatedColumnFormula>IF(B3="",0,_xlfn.LET(_xlpm.v,IF(TRIM(Y3&amp;"")="",CP3,Y3),_xlpm.nm,IF(_xlpm.v&amp;""="нет",0,IF(_xlpm.v&amp;""="да",30,IFERROR(--_xlpm.v,0))),IF(OR(CQ3="УЗО на группу",CS3&lt;&gt;""),0,_xlpm.nm)))</calculatedColumnFormula>
    </tableColumn>
    <tableColumn id="105" xr3:uid="{F3CDAB1B-9492-4E9B-87E7-59FD7AD08222}" name="_мА группы">
      <calculatedColumnFormula>IF(CG3=0,"",_xlfn.LET(_xlpm.a_,N(CZ3),_xlpm.b_,IF(AJ3="вручную",0,N(CN3)),IF(_xlpm.a_=0,_xlpm.b_,IF(_xlpm.b_=0,_xlpm.a_,MIN(_xlpm.a_,_xlpm.b_)))))</calculatedColumnFormula>
    </tableColumn>
    <tableColumn id="106" xr3:uid="{7DB6EE9C-3B62-4A85-8067-B9A8A269A8CE}" name="_мин. по типу">
      <calculatedColumnFormula>IF(B3="",0,IFERROR(--_xlfn.XLOOKUP(B3,Коды_код,Коды_минавт),IFERROR(--_xlfn.XLOOKUP(BC3,Коды_код,Коды_минавт),IFERROR(--_xlfn.XLOOKUP(LEFT(BC3,2),Коды_код,Коды_минавт),0))))</calculatedColumnFormula>
    </tableColumn>
    <tableColumn id="107" xr3:uid="{A93A9341-3E1E-4879-AAAF-F91D1DD28187}" name="_авто аппараты">
      <calculatedColumnFormula>IF(B3="","",IFERROR(_xlfn.XLOOKUP(BC3,Коды_код,Коды_апп)&amp;"",""))</calculatedColumnFormula>
    </tableColumn>
    <tableColumn id="108" xr3:uid="{9999E490-91F2-4FE2-A80C-733A22992D1E}" name="_аппараты (итог)">
      <calculatedColumnFormula>IF(TRIM(I3&amp;"")="",DC3,I3)</calculatedColumnFormula>
    </tableColumn>
    <tableColumn id="109" xr3:uid="{622D15DD-A624-48F2-B495-9062B58909BB}" name="Аппарат 1">
      <calculatedColumnFormula array="1">IF(TRIM(DD3&amp;"")="","",IFERROR(TRIM(INDEX(_xlfn.TEXTSPLIT(DD3&amp;";;;",";"),1)),""))</calculatedColumnFormula>
    </tableColumn>
    <tableColumn id="110" xr3:uid="{A3FABEF7-9CDA-4636-A772-743A95CD03F9}" name="Аппарат 2">
      <calculatedColumnFormula array="1">IF(TRIM(DD3&amp;"")="","",IFERROR(TRIM(INDEX(_xlfn.TEXTSPLIT(DD3&amp;";;;",";"),2)),""))</calculatedColumnFormula>
    </tableColumn>
    <tableColumn id="111" xr3:uid="{EEEBC2DF-9AD3-4F96-AD65-F01AEC52D0B5}" name="Аппарат 3">
      <calculatedColumnFormula array="1">IF(TRIM(DD3&amp;"")="","",IFERROR(TRIM(INDEX(_xlfn.TEXTSPLIT(DD3&amp;";;;",";"),3)),""))</calculatedColumnFormula>
    </tableColumn>
    <tableColumn id="112" xr3:uid="{FD86A31A-727F-40F0-A169-0A6F5346E482}" name="_БП после автомата">
      <calculatedColumnFormula>IF(DD3="",0,IF(OR(LEFT(DE3,2)="T ",LEFT(DE3,2)="Т ",ISNUMBER(SEARCH("БП",DD3)),ISNUMBER(SEARCH("; T ",DD3)),ISNUMBER(SEARCH("; Т ",DD3))),1,0))</calculatedColumnFormula>
    </tableColumn>
    <tableColumn id="113" xr3:uid="{A2A59C3D-E525-41B6-89C9-BF0877B8C721}" name="_авто управление">
      <calculatedColumnFormula>IF(B3="","",_xlfn.LET(_xlpm.t,LOWER(AZ3&amp;""),IF(ISNUMBER(SEARCH("dim",_xlpm.t)),"DIM",IF(ISNUMBER(SEARCH("dali",_xlpm.t)),"DALI",IF(OR(ISNUMBER(SEARCH("relay",_xlpm.t)),ISNUMBER(SEARCH("реле",_xlpm.t))),"Relay",IF(ISNUMBER(SEARCH("кнопк",_xlpm.t)),"",IFERROR(_xlfn.XLOOKUP(BC3,Коды_код,Коды_упр)&amp;"","")))))))</calculatedColumnFormula>
    </tableColumn>
    <tableColumn id="114" xr3:uid="{4324F5AC-F15A-4EBA-83FB-749CCD2DE68F}" name="_управление (итог)">
      <calculatedColumnFormula>IF(TRIM(H3&amp;"")="",DI3,H3)</calculatedColumnFormula>
    </tableColumn>
    <tableColumn id="115" xr3:uid="{82FABF6F-6D51-4454-A453-0172F2CB218C}" name="_авто номинал">
      <calculatedColumnFormula>IF(B3="","",_xlfn.LET(_xlpm.ig,IF(N(CX3)&gt;0,N(CX3),N(CI3)+IF(AJ3="вручную",0,N(CJ3))),_xlpm.n0,IFERROR(VLOOKUP(_xlpm.ig,Автомат_номиналы,2,TRUE),0),_xlpm.mn,MAX(DB3,IF(AJ3="вручную",0,N(CM3))),MAX(_xlpm.n0,_xlpm.mn,IF(DH3=1,Мин_автомат_БП,0))))</calculatedColumnFormula>
    </tableColumn>
    <tableColumn id="116" xr3:uid="{C17651A4-CC0C-4073-A0EB-99CDF64CEFD9}" name="_фаз группы">
      <calculatedColumnFormula>IF(B3="","",MAX(N(BX3),IF(AJ3="вручную",0,N(CL3))))</calculatedColumnFormula>
    </tableColumn>
    <tableColumn id="117" xr3:uid="{E09A01A1-C9E5-4E41-B05A-B507A578DBD6}" name="_полюса">
      <calculatedColumnFormula>IF(B3="","",IF(N(DL3)&gt;=3,IF(N(DA3)&gt;0,"4P","3P"),IF(N(DA3)&gt;0,"2P","1P")))</calculatedColumnFormula>
    </tableColumn>
    <tableColumn id="118" xr3:uid="{0B836823-6CD8-4334-8C29-3D7C7D4C5624}" name="_характеристика">
      <calculatedColumnFormula>_xlfn.LET(_xlpm.cc,UPPER(TRIM(IFERROR(_xlfn.XLOOKUP(BC3,Коды_код,Коды_хар)&amp;"",""))),IF(OR(_xlpm.cc="B",_xlpm.cc="В"),"B",IF(_xlpm.cc="D","D","С")))</calculatedColumnFormula>
    </tableColumn>
    <tableColumn id="119" xr3:uid="{D6D82E61-058C-4626-AD65-9414036B3DF2}" name="_авто автомат">
      <calculatedColumnFormula>IF(B3="","",IF(CG3=0,IF(AND(AND(NOT(OR(BA3=1,A3&lt;&gt;A2)),AJ3&lt;&gt;"вручную",IF(BA3=1,"",DS2)="ok"),IF(BA3=1,"",DU2)&lt;&gt;""),"↑ "&amp;IF(BA3=1,"",DU2),""),IF(N(DK3)=0,"",DM3&amp;" "&amp;DN3&amp;DK3&amp;"А"&amp;IF(N(DA3)&gt;0," "&amp;DA3&amp;"мА",""))))</calculatedColumnFormula>
    </tableColumn>
    <tableColumn id="120" xr3:uid="{DFE17B05-C2F8-4A15-B83C-6761C67BEFC0}" name="_автомат (итог ввода)">
      <calculatedColumnFormula>IF(TRIM(G3&amp;"")="",DO3,G3)</calculatedColumnFormula>
    </tableColumn>
    <tableColumn id="121" xr3:uid="{A1C5809A-90B1-4FA3-B8EC-93E5C14CEE8B}" name="Автомат (схема)">
      <calculatedColumnFormula>IF(CG3=0,"",_xlfn.LET(_xlpm.v,TRIM(DP3&amp;""),IF(_xlpm.v="","",IF(ISNUMBER(--_xlpm.v),DM3&amp;" "&amp;DN3&amp;(--_xlpm.v)&amp;"А"&amp;IF(N(DA3)&gt;0," "&amp;DA3&amp;"мА",""),IF(ISNUMBER(SEARCH("P",UPPER(_xlpm.v))),_xlpm.v,DM3&amp;" "&amp;_xlpm.v)))))</calculatedColumnFormula>
    </tableColumn>
    <tableColumn id="122" xr3:uid="{6163DB24-964C-4FC6-9B3E-71D038CD54F6}" name="_номинал итог">
      <calculatedColumnFormula array="1">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calculatedColumnFormula>
    </tableColumn>
    <tableColumn id="123" xr3:uid="{9B26B629-7224-4170-8864-FDCD35A39C9C}" name="_группа от">
      <calculatedColumnFormula>IF(CG3=1,IF(AJ3="вручную","узел","ok"),IF(OR(OR(BA3=1,A3&lt;&gt;A2),AJ3="вручную"),"",IF(BA3=1,"",DS2)))</calculatedColumnFormula>
    </tableColumn>
    <tableColumn id="124" xr3:uid="{EB59A7AC-6F4A-46E6-AB73-80ED4B9C1020}" name="_In гр.">
      <calculatedColumnFormula>IF(CG3=1,DR3,IF(AND(NOT(OR(BA3=1,A3&lt;&gt;A2)),AJ3&lt;&gt;"вручную",IF(BA3=1,"",DS2)="ok"),IF(BA3=1,"",DT2),""))</calculatedColumnFormula>
    </tableColumn>
    <tableColumn id="125" xr3:uid="{B185FF40-1721-4AEF-8E0B-74E6B968A0DF}" name="_автомат гр.">
      <calculatedColumnFormula>IF(CG3=1,DQ3,IF(AND(NOT(OR(BA3=1,A3&lt;&gt;A2)),AJ3&lt;&gt;"вручную",IF(BA3=1,"",DS2)="ok"),IF(BA3=1,"",DU2),""))</calculatedColumnFormula>
    </tableColumn>
    <tableColumn id="126" xr3:uid="{EEC5841E-333A-4BDD-BC6C-E6A59F1194F0}" name="_мА гр. (строки)">
      <calculatedColumnFormula>IF(CG3=1,DA3,IF(AND(NOT(OR(BA3=1,A3&lt;&gt;A2)),AJ3&lt;&gt;"вручную",IF(BA3=1,"",DS2)="ok"),IF(BA3=1,"",DV2),""))</calculatedColumnFormula>
    </tableColumn>
    <tableColumn id="127" xr3:uid="{C59E2FC5-A0A3-408B-8202-65F7DCC4ECF9}" name="_дифзащита гр. (строки)">
      <calculatedColumnFormula>IF(OR(N(DV3)&gt;0,CS3&lt;&gt;""),1,0)</calculatedColumnFormula>
    </tableColumn>
    <tableColumn id="128" xr3:uid="{D130336A-9F12-49FA-AC0B-39AA045828D1}" name="_БП в группе">
      <calculatedColumnFormula>IF(CG3=1,DH3,IF(AND(NOT(OR(BA3=1,A3&lt;&gt;A2)),AJ3&lt;&gt;"вручную",IF(BA3=1,"",DS2)="ok"),N(IF(BA3=1,"",DX2)),0))</calculatedColumnFormula>
    </tableColumn>
    <tableColumn id="129" xr3:uid="{83E613D3-EA69-4535-B2E6-64FFD234FCAE}" name="_ток группы">
      <calculatedColumnFormula>IF(CG3=1,IF(N(CX3)&gt;0,N(CX3),N(CI3)+IF(AJ3="вручную",0,N(CJ3))),"")</calculatedColumnFormula>
    </tableColumn>
    <tableColumn id="130" xr3:uid="{4E052128-AA37-4D7C-AE52-5E91D2E6979E}" name="_k жил">
      <calculatedColumnFormula>IF(N(CB3)=1,1,IF(BX3=1,1,IF(N(CB3)&gt;=4,0.92,1)))</calculatedColumnFormula>
    </tableColumn>
    <tableColumn id="131" xr3:uid="{E8616141-FEC6-4B1F-AF01-2CB5501C8513}" name="_К прокл">
      <calculatedColumnFormula>IF(ISNUMBER(AP3),AP3,К_прокл)</calculatedColumnFormula>
    </tableColumn>
    <tableColumn id="132" xr3:uid="{665C17B1-009D-4D9B-9A18-AD6BD769015C}" name="_столбец Iдоп">
      <calculatedColumnFormula>IF(N(CB3)=1,1,IF(BX3=1,2,3))</calculatedColumnFormula>
    </tableColumn>
    <tableColumn id="133" xr3:uid="{67FF02F5-0B96-41A7-B00F-0E8C6C8FB4AA}" name="_сечение в марке">
      <calculatedColumnFormula>IFERROR(N(VLOOKUP(BZ3,Кабель_обозначение,3,FALSE)),1)</calculatedColumnFormula>
    </tableColumn>
    <tableColumn id="134" xr3:uid="{D7C7C508-868F-46AC-B5BE-8DBFCC20EC0C}" name="_ΔU до шин">
      <calculatedColumnFormula>IFERROR(N(_xlfn.XLOOKUP(A3,Щиты[Щит],Щиты[ΔU до шин, %])),0)</calculatedColumnFormula>
    </tableColumn>
    <tableColumn id="135" xr3:uid="{582DCA04-EC37-408A-BFC1-A54722AF104E}" name="_Zпетли шин">
      <calculatedColumnFormula>IFERROR(_xlfn.XLOOKUP(A3,Щиты[Щит],Щиты[Zпетли на шинах, Ом]),"")</calculatedColumnFormula>
    </tableColumn>
    <tableColumn id="136" xr3:uid="{40A0CA78-047E-4F72-871B-4317FC95E19B}" name="_ΔU до шин (подбор)">
      <calculatedColumnFormula>IFERROR(N(_xlfn.XLOOKUP(A3,Щиты[Щит],Щиты[ΔU до шин (подбор), %])),0)</calculatedColumnFormula>
    </tableColumn>
    <tableColumn id="137" xr3:uid="{81FFA5EC-8D41-4AF7-B668-0C1C31C6B7E1}" name="_Zпетли шин (подбор)">
      <calculatedColumnFormula>IFERROR(_xlfn.XLOOKUP(A3,Щиты[Щит],Щиты[Zпетли на шинах (подбор), Ом]),"")</calculatedColumnFormula>
    </tableColumn>
    <tableColumn id="138" xr3:uid="{874840FB-9B9F-44BD-974C-1EFA9D01E3BA}" name="_авто длина по плану">
      <calculatedColumnFormula>IF(COUNT(AV3,AW3)=0,"",ROUNDUP(SUM(AV3,AW3),0))</calculatedColumnFormula>
    </tableColumn>
    <tableColumn id="139" xr3:uid="{CDF11E81-86FE-444C-8157-8C661A2709BC}" name="_Lплан">
      <calculatedColumnFormula>IF(TRIM(K3&amp;"")="",EH3,K3)</calculatedColumnFormula>
    </tableColumn>
    <tableColumn id="140" xr3:uid="{AE240CA4-228F-4D2D-B17A-675447BB2AEC}" name="_b">
      <calculatedColumnFormula>IF(BX3=1,2,IF(BX3=3,1,""))</calculatedColumnFormula>
    </tableColumn>
    <tableColumn id="141" xr3:uid="{0B8CB7EB-2D34-43AA-B446-7124E4F2B810}" name="_sin">
      <calculatedColumnFormula>IFERROR(ROUND(SIN(ACOS(CE3)),2),"")</calculatedColumnFormula>
    </tableColumn>
    <tableColumn id="142" xr3:uid="{BEA1DE12-CB96-44B0-A42D-89B684432F64}" name="Допустимо ΔU, %" dataDxfId="116">
      <calculatedColumnFormula>IF(B3="","",IF(BV3=1,dU_LED,IF(IFERROR(_xlfn.XLOOKUP(BC3,Коды_код,Коды_уго),"")="Светильник",3,4)+IF(Методика="нормы 2026",MIN(0.5,MAX(0,N(P3)-100)*0.005),0)))</calculatedColumnFormula>
    </tableColumn>
    <tableColumn id="143" xr3:uid="{11D6319D-62EB-495F-A463-EB065C11C520}" name="_авто сечение">
      <calculatedColumnFormula array="1">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calculatedColumnFormula>
    </tableColumn>
    <tableColumn id="144" xr3:uid="{1F4A78BB-6551-4E1B-B306-6C91BA2450ED}" name="Сечение">
      <calculatedColumnFormula>IF(B3="","",IF(TRIM(J3&amp;"")="",EM3,J3))</calculatedColumnFormula>
    </tableColumn>
    <tableColumn id="145" xr3:uid="{15D6B940-8767-41D6-B18D-210525DFA7C0}" name="_сечение по току">
      <calculatedColumnFormula array="1">IF(OR(B3="",BZ3="",EC3&lt;&gt;1),"",_xlfn.LET(_xlpm.sz,Iдоп_S,_xlpm.t_,CHOOSE(EB3,Iдоп_1ж,Iдоп_2ж,Iдоп_3ж)*DZ3*EA3,_xlpm.ok,IFERROR((_xlpm.sz&gt;=MAX(1.5,CC3))*(_xlpm.t_&gt;=N(DT3)),0),_xlpm.r_,_xlfn._xlws.FILTER(_xlpm.sz,_xlpm.ok,""),INDEX(_xlpm.r_,1)))</calculatedColumnFormula>
    </tableColumn>
    <tableColumn id="146" xr3:uid="{5D161A05-293A-468D-A87C-95FA49006769}" name="_ΔU по току, %" dataDxfId="115">
      <calculatedColumnFormula array="1">IFERROR(ROUNDUP(N(EJ3)*(_xlfn.XLOOKUP(EO3,INDEX(Кабель_сопротивление,0,1),INDEX(Кабель_сопротивление,0,3))*N(P3)/EO3*N(CE3)+_xlfn.XLOOKUP(EO3,INDEX(Кабель_сопротивление,0,1),INDEX(Кабель_сопротивление,0,2))*N(P3)*N(EK3)/1000)*N(O3)/((Uн_лин/SQRT(3))*1000)*100,2),"")</calculatedColumnFormula>
    </tableColumn>
    <tableColumn id="147" xr3:uid="{B145AAF9-9D0F-4782-B7E7-C862FC3C6B38}" name="_Zкабеля по току">
      <calculatedColumnFormula>IFERROR(2*ρкз_Cu*N(P3)/EO3,"")</calculatedColumnFormula>
    </tableColumn>
    <tableColumn id="148" xr3:uid="{CBCA6B09-6A71-47FF-9AA5-9A67C8316D49}" name="_ρ">
      <calculatedColumnFormula>IFERROR(VLOOKUP(EN3,Кабель_сопротивление,3,FALSE),"")</calculatedColumnFormula>
    </tableColumn>
    <tableColumn id="149" xr3:uid="{CBDF24B5-7C7A-44AE-B894-409FA249CC5B}" name="_x">
      <calculatedColumnFormula>IFERROR(VLOOKUP(EN3,Кабель_сопротивление,2,FALSE),"")</calculatedColumnFormula>
    </tableColumn>
    <tableColumn id="150" xr3:uid="{7BCB364A-E08E-408C-8E55-C7BA004E37FC}" name="_гофра ПВХ">
      <calculatedColumnFormula>IF(AR3&lt;&gt;"",AR3,IF(OR(EI3="",AT3=""),"",IF(AT3=1,MAX(0,P3-ROUNDUP(N(AW3),0)-4),ROUNDUP(N(AV3),0))))</calculatedColumnFormula>
    </tableColumn>
    <tableColumn id="151" xr3:uid="{B6AD3C61-C09B-4B3D-8CD7-11C50F8A8B23}" name="_гофра ПНД">
      <calculatedColumnFormula>IF(AS3&lt;&gt;"",AS3,IF(OR(EI3="",AT3=""),"",IF(AT3=2,MAX(0,P3-ROUNDUP(N(AV3),0)-4),ROUNDUP(N(AW3),0))))</calculatedColumnFormula>
    </tableColumn>
    <tableColumn id="152" xr3:uid="{B1679187-EF8E-4410-8949-7D2EFCC0C47B}" name="_ΔU, В">
      <calculatedColumnFormula>IFERROR(IF(BV3=1,2*ER3*P3/EN3*O3,EJ3*(ER3*P3/EN3*CE3+ES3*P3*EK3/1000)*O3),"")</calculatedColumnFormula>
    </tableColumn>
    <tableColumn id="153" xr3:uid="{390BC7E7-1863-4B77-A527-93B080A1AE04}" name="ΔU, %" dataDxfId="114">
      <calculatedColumnFormula>IFERROR(ROUNDUP(EV3/IF(BV3=1,BU3,(Uн_лин/SQRT(3))*1000)*100,2),"")</calculatedColumnFormula>
    </tableColumn>
    <tableColumn id="154" xr3:uid="{82BE4324-23FF-4763-BB0E-874470F824C6}" name="_кабель">
      <calculatedColumnFormula>IFERROR(VLOOKUP(BZ3,Кабель_обозначение,2,FALSE),"")</calculatedColumnFormula>
    </tableColumn>
    <tableColumn id="155" xr3:uid="{72AB47B4-A907-4970-AF74-9296B8A60731}" name="_кабель с сечением">
      <calculatedColumnFormula>IFERROR(IF(EC3=1,IF(ISNUMBER(EN3),EX3&amp;" ("&amp;CB3&amp;"х"&amp;EN3&amp;")",EX3),EX3),"")</calculatedColumnFormula>
    </tableColumn>
    <tableColumn id="156" xr3:uid="{926BAFFD-6B71-4550-9EA2-07DC16075E11}" name="_кабель полный">
      <calculatedColumnFormula>IF(OR(B3="",EX3="",AND(BR3&lt;&gt;"",NOT(ISNUMBER(BR3)))),"",IF(N(EN3)=0,EX3,EY3&amp;IF(N(P3)=0,"",CHAR(10)&amp;"L="&amp;P3&amp;"-"&amp;EW3&amp;"%")))</calculatedColumnFormula>
    </tableColumn>
    <tableColumn id="157" xr3:uid="{6B99C593-AB27-4EC0-BFF5-12BA7C6838B8}" name="_Zкабеля">
      <calculatedColumnFormula>IFERROR(2*ρкз_Cu*P3/EN3,"")</calculatedColumnFormula>
    </tableColumn>
    <tableColumn id="158" xr3:uid="{453A0380-51EE-4253-B8F0-65DDF5BB07FF}" name="_Zmax кабеля">
      <calculatedColumnFormula>IFERROR(0.0175*N(P3)/EN3,"")</calculatedColumnFormula>
    </tableColumn>
    <tableColumn id="159" xr3:uid="{773AE23B-5526-474C-88E1-9C99D9DC7434}" name="Zпетли в конце, Ом" dataDxfId="113">
      <calculatedColumnFormula>IFERROR(IF(OR(B3="",BV3=1,NOT(ISNUMBER(EN3)),N(P3)=0),"",_xlfn.XLOOKUP(A3,Щиты[Щит],Щиты[Zпетли на шинах, Ом])+FA3),"")</calculatedColumnFormula>
    </tableColumn>
    <tableColumn id="160" xr3:uid="{98D14C66-61F1-49F9-BD1A-1DAFF8524C85}" name="Iкз min в конце линии, А" dataDxfId="112">
      <calculatedColumnFormula>IF(ISNUMBER(FC3),c_min*(Uн_лин*1000/SQRT(3))/FC3,"")</calculatedColumnFormula>
    </tableColumn>
    <tableColumn id="161" xr3:uid="{F756B6BA-8611-46F7-A349-AB1BEFFCB648}" name="Iкз max в конце, кА" dataDxfId="111">
      <calculatedColumnFormula>IFERROR(IF(OR(B3="",NOT(ISNUMBER(EN3))),"",1.05*(Uн_лин*1000/SQRT(3))/(_xlfn.XLOOKUP(A3,Щиты[Щит],Щиты[Zmax на шинах, Ом])+FB3)/1000),"")</calculatedColumnFormula>
    </tableColumn>
    <tableColumn id="162" xr3:uid="{643A8B5B-F29A-4DB3-BAF5-6D3DAB7BDDF2}" name="_авто группа Кс" dataDxfId="110">
      <calculatedColumnFormula>IF(B3="","",IF(ISNUMBER(AC3),"Сил",IF(IFERROR(_xlfn.XLOOKUP(BC3,Коды_код,Коды_группа)&amp;"","")="","Быт",_xlfn.XLOOKUP(BC3,Коды_код,Коды_группа)&amp;"")))</calculatedColumnFormula>
    </tableColumn>
    <tableColumn id="163" xr3:uid="{72EF5876-BD22-4FC2-BA0B-927C4D73DEA2}" name="Группа Кс (итог)" dataDxfId="109">
      <calculatedColumnFormula>IF(B3="","",IF(BH3&lt;&gt;"","Щит",IF(TRIM(AB3&amp;"")="",FF3,AB3)))</calculatedColumnFormula>
    </tableColumn>
    <tableColumn id="164" xr3:uid="{EC353985-0D63-4F4D-B127-6F8A3700F26B}" name="Кс" dataDxfId="108">
      <calculatedColumnFormula>IF(FG3="Щит","щит",IF(FG3="","",IF(FG3="Быт",IFERROR(_xlfn.XLOOKUP(A3,Щиты[Щит],Щиты[Кс быт]),1),IF(FG3="Сил",IF(ISNUMBER(AC3),AC3,IF(Методика="нормы 2026",IFERROR(_xlfn.XLOOKUP(A3,Щиты[Щит],Щиты[Кс силовых (табл. 7.5)]),1),1)),IF(OR(FG3="Пост",FG3="Отоп"),1,IF(FG3="ВНГ",0.7,0))))))</calculatedColumnFormula>
    </tableColumn>
    <tableColumn id="165" xr3:uid="{6DC5017D-2EF7-462F-A627-7B394833CEC1}" name="Секция">
      <calculatedColumnFormula>IF(FG3="","",IF(AND(BP3=1,TRIM(AE3&amp;"")=""),IF(COUNTIFS(Линии[Щит],A3,Линии[Секция (1/2/3)],"&gt;=2")&gt;0,MIN(3,MAX(1,IFERROR(--BD3,1))),1),IFERROR(MIN(3,MAX(1,INT(--AE3))),1)))</calculatedColumnFormula>
    </tableColumn>
    <tableColumn id="166" xr3:uid="{FE22BEBA-D382-435F-B7C6-0D5249DD1DF6}" name="_Руст (без Нет)">
      <calculatedColumnFormula>IF(OR(FG3="",FG3="Нет",FG3="Щит"),0,N(BS3))</calculatedColumnFormula>
    </tableColumn>
    <tableColumn id="167" xr3:uid="{AEE57706-B5CA-4BE8-B33D-5237BFAB005F}" name="_Руст быт">
      <calculatedColumnFormula>IF(FG3="Быт",N(BS3),0)</calculatedColumnFormula>
    </tableColumn>
    <tableColumn id="168" xr3:uid="{50E11FA5-9397-4389-9E34-BB00ACA0C825}" name="_Рр сил">
      <calculatedColumnFormula>IF(FG3="Сил",N(BS3)*N(FH3),0)</calculatedColumnFormula>
    </tableColumn>
    <tableColumn id="169" xr3:uid="{F03BE851-649A-46FC-83D5-56F09C56A722}" name="_Руст пост">
      <calculatedColumnFormula>IF(FG3="Пост",N(BS3),0)</calculatedColumnFormula>
    </tableColumn>
    <tableColumn id="170" xr3:uid="{25BA4599-1CF6-4201-A36E-54146BB7CB8F}" name="_Р отопления">
      <calculatedColumnFormula>IF(FG3="Отоп",N(BS3),0)</calculatedColumnFormula>
    </tableColumn>
    <tableColumn id="171" xr3:uid="{A0F8AD74-B9B7-4E00-A1E2-E1D29426F8F2}" name="_Рр ВНГ">
      <calculatedColumnFormula>IF(FG3="ВНГ",N(BS3)*0.7,0)</calculatedColumnFormula>
    </tableColumn>
    <tableColumn id="172" xr3:uid="{9F908690-E831-47D3-B4BE-71F8F161FC9D}" name="_Р для вводов">
      <calculatedColumnFormula>IF(OR(B3="",FG3="Нет"),0,N(BS3))</calculatedColumnFormula>
    </tableColumn>
    <tableColumn id="173" xr3:uid="{1FCF8382-AEEF-4ED9-958F-1307F35FAEA9}" name="_P для cos">
      <calculatedColumnFormula>IF(OR(B3="",FG3="Щит",FG3="Нет"),0,N(BS3))</calculatedColumnFormula>
    </tableColumn>
    <tableColumn id="174" xr3:uid="{0E6205D5-1F09-45CB-91D6-164A1C8AF90D}" name="_P·cos">
      <calculatedColumnFormula>IF(OR(B3="",FG3="Щит",FG3="Нет"),0,N(BS3)*N(CE3))</calculatedColumnFormula>
    </tableColumn>
    <tableColumn id="175" xr3:uid="{95A2A932-FF8A-440F-9DA9-38069DDF2B99}" name="_Р группы">
      <calculatedColumnFormula>IF(CG3=1,IF(AND(CH3=1,CW3=1),0,IF(AND(CS3&lt;&gt;"",CS3=BA3,CW3=1),SUMIFS(Линии[_Р линии, кВт],Линии[_блок УЗО],BA3,Линии[Щит],A3),N(BS3)+IF(AJ3="вручную",0,N(CK3)))),0)</calculatedColumnFormula>
    </tableColumn>
    <tableColumn id="176" xr3:uid="{A4939BF0-A875-425F-B50C-393094B9EBE2}" name="_фаза вручную">
      <calculatedColumnFormula>IF(B3="","",IF(_xlfn.ISFORMULA(L3),"",_xlfn.LET(_xlpm.v,UPPER(SUBSTITUTE(TRIM(L3&amp;"")," ","")),IF(_xlpm.v="","",IF(OR(_xlpm.v="1,2,3",_xlpm.v="L1,L2,L3",_xlpm.v="123",_xlpm.v="3Ф"),"L1,L2,L3",IF(OR(_xlpm.v="1",_xlpm.v="2",_xlpm.v="3"),"L"&amp;_xlpm.v,IF(OR(_xlpm.v="L1",_xlpm.v="L2",_xlpm.v="L3"),_xlpm.v,"")))))))</calculatedColumnFormula>
    </tableColumn>
    <tableColumn id="177" xr3:uid="{F424069A-D564-45C4-ABDC-EBF7CB6942C1}" name="_авто фаза">
      <calculatedColumnFormula>IF(B3="","",IF(CG3=0,IF(BA3=1,"",FW2),IF(AND(CH3=1,CW3=1,CS3&lt;&gt;""),IFERROR(_xlfn.XLOOKUP(CS3,Линии[_n],Линии[_фаза итог]),"L1"),IF(OR(N(DL3)&gt;=3,N(BX3)&gt;=3),"L1,L2,L3",IFERROR(_xlfn.TEXTBEFORE(_xlfn.TEXTAFTER(_xlfn.XLOOKUP(A3,Щиты[Щит],Щиты[_фазы авто]),";"&amp;BA3&amp;":"),";"),"L1")))))</calculatedColumnFormula>
    </tableColumn>
    <tableColumn id="178" xr3:uid="{472FEFBC-5C23-4B51-AF31-33B30BF025A0}" name="_фаза итог">
      <calculatedColumnFormula>IF(B3="","",_xlfn.LET(_xlpm.v,UPPER(SUBSTITUTE(TRIM(L3&amp;"")," ","")),IF(_xlpm.v="",FU3,IF(OR(_xlpm.v="1,2,3",_xlpm.v="L1,L2,L3",_xlpm.v="123",_xlpm.v="3Ф"),"L1,L2,L3",IF(OR(_xlpm.v="1",_xlpm.v="2",_xlpm.v="3"),"L"&amp;_xlpm.v,IF(OR(_xlpm.v="L1",_xlpm.v="L2",_xlpm.v="L3"),_xlpm.v,IF(_xlpm.v="УПР","",_xlpm.v)))))))</calculatedColumnFormula>
    </tableColumn>
    <tableColumn id="179" xr3:uid="{79F07407-0BC5-4E1F-BDA9-0D99A25BFB9E}" name="_фаза группы">
      <calculatedColumnFormula>IF(CG3=1,FV3,IF(AND(NOT(OR(BA3=1,A3&lt;&gt;A2)),AJ3&lt;&gt;"вручную",IF(BA3=1,"",DS2)="ok"),IF(BA3=1,"",FW2),""))</calculatedColumnFormula>
    </tableColumn>
    <tableColumn id="180" xr3:uid="{40D4CA38-0913-4803-89A7-3B14F605D810}" name="_Iпуск двиг.">
      <calculatedColumnFormula array="1">IFERROR(IF(CD3=2,_xlfn.IFS(BX3=3,VLOOKUP(BS3,Справочная_двигатели,3,FALSE),BX3=1,VLOOKUP(BS3,Справочная_двигатели,5,TRUE)),0),0)</calculatedColumnFormula>
    </tableColumn>
    <tableColumn id="181" xr3:uid="{412D6912-3BDF-4375-A9FF-68E0FED30994}" name="_Iпуск LED">
      <calculatedColumnFormula>IFERROR(IF(CD3=3,VLOOKUP(BS3,Справочная_ЛЭД,2,TRUE),0),0)</calculatedColumnFormula>
    </tableColumn>
    <tableColumn id="182" xr3:uid="{C6FCD573-A7A5-42DB-9B1A-2CEE9147803D}" name="Iпуск, А" dataDxfId="107">
      <calculatedColumnFormula>IF(B3="","",IF(FX3=0,FY3,FX3))</calculatedColumnFormula>
    </tableColumn>
    <tableColumn id="183" xr3:uid="{8170DFAC-4554-4142-8499-90351ADE414C}" name="Пожарная (итог)">
      <calculatedColumnFormula>IF(B3="","",IF(TRIM(AH3&amp;"")&lt;&gt;"",IF(LOWER(TRIM(AH3&amp;""))="да","да","нет"),IF(IFERROR(_xlfn.XLOOKUP(BC3,Коды_код,Коды_пожарная),"")="да","да","нет")))</calculatedColumnFormula>
    </tableColumn>
    <tableColumn id="184" xr3:uid="{57ECB56D-9BB7-46B0-BB14-A9D4EAA8C7D9}" name="_шина группы">
      <calculatedColumnFormula>IF(AF3&lt;&gt;"",AF3,IF(CG3=1,"",IF(GU3="","",IF(BA3=1,"",GB2))))</calculatedColumnFormula>
    </tableColumn>
    <tableColumn id="185" xr3:uid="{7DE4DB2E-25D0-4C0E-9FEF-3672BC6D203A}" name="Шина (итог)">
      <calculatedColumnFormula>IF(B3="","",IF(GB3="","основная",GB3))</calculatedColumnFormula>
    </tableColumn>
    <tableColumn id="186" xr3:uid="{3CA0EC48-42E2-4B3E-B445-49866EB96803}" name="_секция №">
      <calculatedColumnFormula>IF(AND(BP3=1,TRIM(AE3&amp;"")=""),IF(COUNTIFS(Линии[Щит],A3,Линии[Секция (1/2/3)],"&gt;=2")&gt;0,MIN(3,MAX(1,IFERROR(--BD3,1))),1),IFERROR(MIN(3,MAX(1,INT(--AE3))),1))</calculatedColumnFormula>
    </tableColumn>
    <tableColumn id="187" xr3:uid="{0FFF5343-59C9-4E8A-91C8-5D6D46E97558}" name="Тип шины">
      <calculatedColumnFormula array="1">IF(B3="","",_xlfn.LET(_xlpm.t,IFERROR(_xlfn.XLOOKUP(1,(Шины[Шина]=GC3)*(((Шины[Щит]=A3)+(Шины[Щит]=""))&gt;0),Шины[Тип]),"")&amp;"",IF(_xlpm.t&lt;&gt;"",_xlpm.t,IF(ISNUMBER(SEARCH("ИБП",GC3)),"ИБП",IF(ISNUMBER(SEARCH("ДГУ",GC3)),"ДГУ","Ввод "&amp;GD3)))))</calculatedColumnFormula>
    </tableColumn>
    <tableColumn id="188" xr3:uid="{173F7EE5-DD8E-46C0-915A-B2C3E666DC46}" name="Источник для режимов">
      <calculatedColumnFormula>IF(B3="","",IF(OR(GE3="ИБП",GE3="ДГУ"),GE3,IF(LEFT(GE3,5)="Ввод ",GE3,"Ввод "&amp;GD3)))</calculatedColumnFormula>
    </tableColumn>
    <tableColumn id="189" xr3:uid="{874E8DCE-591F-487D-8BBC-5931951A3269}" name="Категория ввода (итог)">
      <calculatedColumnFormula>IF(BP3=0,"",IF(TRIM(AG3&amp;"")&lt;&gt;"",TRIM(AG3&amp;""),IF(OR(GE3="ИБП",GE3="ДГУ"),"I особая",_xlfn.XLOOKUP(A3,Щиты[Щит],Щиты[Категория шины «Ввод»],"III"))))</calculatedColumnFormula>
    </tableColumn>
    <tableColumn id="190" xr3:uid="{21A828EE-96AC-4C25-957A-B1499727B05C}" name="_путь щита">
      <calculatedColumnFormula>IF(A3="","",_xlfn.XLOOKUP(A3,Щиты[Щит],Щиты[Путь],""))</calculatedColumnFormula>
    </tableColumn>
    <tableColumn id="191" xr3:uid="{E0D36AE9-C5FA-484B-945F-E034DBCBB1CA}" name="Вид нагрузки (итог)">
      <calculatedColumnFormula>IF(B3="","",IF(AI3&lt;&gt;"",AI3,IF(IFERROR(_xlfn.XLOOKUP(BC3,Коды_код,Коды_вид)&amp;"","")="","Прочее",_xlfn.XLOOKUP(BC3,Коды_код,Коды_вид)&amp;"")))</calculatedColumnFormula>
    </tableColumn>
    <tableColumn id="192" xr3:uid="{7B6CC551-38CA-4A2A-90B8-6FF9DAF1292C}" name="Лист схемы">
      <calculatedColumnFormula>IF(BM3="","",INT((BM3-1)/Столбцов_на_лист)+1)</calculatedColumnFormula>
    </tableColumn>
    <tableColumn id="193" xr3:uid="{3B2D8D4A-0ADE-4691-AAFB-EBD8E09E3A91}" name="Кабель (строкой)">
      <calculatedColumnFormula>IF(B3="","",SUBSTITUTE(EZ3,CHAR(10)," "))</calculatedColumnFormula>
    </tableColumn>
    <tableColumn id="194" xr3:uid="{1145A2E0-C747-4F73-A84B-42E7DD2FDA63}" name="_Р схемы">
      <calculatedColumnFormula>IF(B3="","",IFERROR(--BS3,""))</calculatedColumnFormula>
    </tableColumn>
    <tableColumn id="195" xr3:uid="{D5F0D70D-C649-437B-9F66-DCC93243A4C6}" name="_Ток схемы">
      <calculatedColumnFormula>IF(B3="","",IFERROR(ROUNDUP(O3,2),""))</calculatedColumnFormula>
    </tableColumn>
    <tableColumn id="196" xr3:uid="{70691CC3-B2D5-4E08-B514-DFA93ACF235B}" name="_фаз">
      <calculatedColumnFormula>IF(B3="","",IFERROR(--BX3,1))</calculatedColumnFormula>
    </tableColumn>
    <tableColumn id="197" xr3:uid="{35DC63D7-E983-48A1-A29A-4B149936912E}" name="_в кабель выше">
      <calculatedColumnFormula>IF(OR(AL3="+",AND(B3&lt;&gt;"",B3=IF(BA3=1,"",B2))),1,0)</calculatedColumnFormula>
    </tableColumn>
    <tableColumn id="198" xr3:uid="{B879369B-6FD4-45E3-8DD3-7A1438B5C1FE}" name="_draw">
      <calculatedColumnFormula>IF(OR(BM3="",AJ3="вручную",AND(BN3="вводной узел",AJ3&lt;&gt;"рисовать")),0,1)</calculatedColumnFormula>
    </tableColumn>
    <tableColumn id="199" xr3:uid="{9DAFACA0-8F17-4C1B-BCD3-2B4B6D4ADD45}" name="_гр.">
      <calculatedColumnFormula>IF(BM3="","",IF(AND(CG3=1,GP3=1),COUNTIFS(A$3:A3,A3,CG$3:CG3,1,GP$3:GP3,1),IF(OR(OR(BA3=1,A3&lt;&gt;A2),AJ3="вручную",GP3=0),"",IF(BA3=1,"",GR2))))</calculatedColumnFormula>
    </tableColumn>
    <tableColumn id="200" xr3:uid="{5081C14D-7E51-44BD-949E-D6C127DBF738}" name="_гр. (перенос)">
      <calculatedColumnFormula>IF(BM3="",IF(OR(BA3=1,A3&lt;&gt;A2),"",IF(BA3=1,"",GR2)),GQ3)</calculatedColumnFormula>
    </tableColumn>
    <tableColumn id="201" xr3:uid="{E654647D-B152-424A-BEA1-86A6888351D1}" name="_макс. автомат по кабелю">
      <calculatedColumnFormula>IF(B3="","",IFERROR(LOOKUP(INDEX(CHOOSE(EB3,Iдоп_1ж,Iдоп_2ж,Iдоп_3ж),MATCH(EN3,Iдоп_S,0))*DZ3*EA3,{6,10,16,20,25,32,40,50,63,80,100,125,160,200,250,315,400,500,630}),""))</calculatedColumnFormula>
    </tableColumn>
    <tableColumn id="202" xr3:uid="{38BABC43-03A3-4814-A9EF-0C7D2DDBC77B}" name="_QF нач.">
      <calculatedColumnFormula>IF(AND(CG3=1,GP3=1,GQ3&lt;&gt;""),IF(N(DA3)&gt;0,"QFD","QF")&amp;GQ3,"")</calculatedColumnFormula>
    </tableColumn>
    <tableColumn id="203" xr3:uid="{74D9F3FC-E2AD-43F8-BE41-4AE9AD82FAA8}" name="_QF гр.">
      <calculatedColumnFormula>IF(GT3&lt;&gt;"",GT3,IF(OR(OR(BA3=1,A3&lt;&gt;A2),AJ3="вручную"),"",IF(BA3=1,"",GU2)))</calculatedColumnFormula>
    </tableColumn>
    <tableColumn id="204" xr3:uid="{9FE17D28-F081-484C-98B2-8CF6107802E5}" name="_аппараты гр.">
      <calculatedColumnFormula>IF(GT3&lt;&gt;"",_xlfn.TEXTJOIN(" → ",TRUE,DE3,DF3,DG3),IF(GU3="","",IF(BA3=1,"",GV2)))</calculatedColumnFormula>
    </tableColumn>
    <tableColumn id="205" xr3:uid="{88DEEF15-59CF-49AF-A38F-283A056B0A2F}" name="_БП/тр-р">
      <calculatedColumnFormula>IF(GV3="",0,IF(OR(LEFT(GV3,2)="T ",LEFT(GV3,2)="Т ",ISNUMBER(SEARCH("→ T ",GV3)),ISNUMBER(SEARCH("→ Т ",GV3)),ISNUMBER(SEARCH("БП",GV3))),1,0))</calculatedColumnFormula>
    </tableColumn>
    <tableColumn id="206" xr3:uid="{3DFD24DB-F963-4FFF-A87F-2787F1A27AD1}" name="_модуль по умолч.">
      <calculatedColumnFormula>IF(OR(B3="",DJ3=""),"",IFERROR(_xlfn.XLOOKUP(DJ3,Модули_умолч[Управление],Модули_умолч[Модель])&amp;"",""))</calculatedColumnFormula>
    </tableColumn>
    <tableColumn id="207" xr3:uid="{41D6DFEE-9742-414E-9371-89A56AF142C2}" name="_каналов на линию">
      <calculatedColumnFormula>IF(DJ3="",1,IFERROR(MAX(0,N(_xlfn.XLOOKUP(DJ3,Модули_умолч[Управление],Модули_умолч[Каналов на линию]))),1))</calculatedColumnFormula>
    </tableColumn>
    <tableColumn id="208" xr3:uid="{671ABBB5-D13E-4AF7-BC22-AD92D337922F}" name="_модуль вручную">
      <calculatedColumnFormula>IF(_xlfn.ISFORMULA(AK3),"",TRIM(AK3&amp;""))</calculatedColumnFormula>
    </tableColumn>
    <tableColumn id="209" xr3:uid="{2E8E8803-552B-4838-94A7-06CD2775B8F4}" name="_блок модуля">
      <calculatedColumnFormula>IF(GZ3="-","",IF(GZ3&lt;&gt;"","M",IF(AND(NOT(OR(BA3=1,A3&lt;&gt;A2)),IF(BA3=1,"",HA2)="M"),"M",IF(GX3&lt;&gt;"","A",IF(AND(NOT(OR(BA3=1,A3&lt;&gt;A2)),IF(BA3=1,"",HA2)="A",B3="",OR(AL3="р",AL3="+",AL3="=")),"A","")))))</calculatedColumnFormula>
    </tableColumn>
    <tableColumn id="210" xr3:uid="{9CEFA894-5A11-4CDA-A0B6-12EA084CD792}" name="_модель авто-блока">
      <calculatedColumnFormula>IF(HA3="A",IF(GX3&lt;&gt;"",GX3,IF(BA3=1,"",HB2)),"")</calculatedColumnFormula>
    </tableColumn>
    <tableColumn id="211" xr3:uid="{89EF3FA3-66E2-4C7B-9254-2544C52EEFAF}" name="_каналов модели">
      <calculatedColumnFormula>IF(HB3="",0,IFERROR(N(VLOOKUP(HB3,Модули_спр,3,FALSE)),0))</calculatedColumnFormula>
    </tableColumn>
    <tableColumn id="212" xr3:uid="{E073847F-6AB5-4E9C-87DF-C6548B4920BA}" name="_авто модуль">
      <calculatedColumnFormula>IF(HA3="A",IF(OR(OR(BA3=1,A3&lt;&gt;A2),IF(BA3=1,"",HA2)&lt;&gt;"A",IF(BA3=1,"",HB2)&lt;&gt;HB3,AND(HC3&gt;0,GY3&gt;0,N(IF(BA3=1,"",HK2))+GY3&gt;HC3)),HB3,""),IF(AND(HA3="",NOT(OR(BA3=1,A3&lt;&gt;A2)),IF(BA3=1,"",HA2)="A",GZ3=""),"-",""))</calculatedColumnFormula>
    </tableColumn>
    <tableColumn id="213" xr3:uid="{D5FD9F88-656B-4BAA-AA1F-364B6A1228E0}" name="_модуль (итог)">
      <calculatedColumnFormula>IF(GZ3&lt;&gt;"",GZ3,HD3)</calculatedColumnFormula>
    </tableColumn>
    <tableColumn id="214" xr3:uid="{2F12BB1E-C530-42BB-9215-4D5D65E57A7E}" name="_префикс">
      <calculatedColumnFormula>IF(OR(HE3="",HE3="-"),"",IFERROR(VLOOKUP(HE3,Модули_спр,2,FALSE),"R"))</calculatedColumnFormula>
    </tableColumn>
    <tableColumn id="215" xr3:uid="{55919738-8A89-44CE-B905-DE9642B90ABF}" name="_модуль нач.">
      <calculatedColumnFormula>IF(HF3="","",HF3&amp;"."&amp;COUNTIFS(A$3:A3,A3,HF$3:HF3,HF3))</calculatedColumnFormula>
    </tableColumn>
    <tableColumn id="216" xr3:uid="{266FFBD9-7F36-4A01-81BD-F5C209D4E290}" name="_модуль гр.">
      <calculatedColumnFormula>IF(HE3="-","",IF(HG3&lt;&gt;"",HG3,IF(OR(BA3=1,A3&lt;&gt;A2),"",IF(BA3=1,"",HH2))))</calculatedColumnFormula>
    </tableColumn>
    <tableColumn id="217" xr3:uid="{33D637AF-5D01-4514-A810-135A88D7F1EC}" name="_модель гр.">
      <calculatedColumnFormula>IF(HH3="","",IF(AND(HE3&lt;&gt;"",HE3&lt;&gt;"-"),HE3,IF(BA3=1,"",HI2)))</calculatedColumnFormula>
    </tableColumn>
    <tableColumn id="218" xr3:uid="{82289346-5BA1-4D75-B563-94CDE7D28856}" name="Канал (итог)">
      <calculatedColumnFormula>IF(AL3="=",IF(BA3=1,"",HK2),IF(ISNUMBER(AL3),AL3,IF(HH3="","",IF(OR(B3&lt;&gt;"",AL3="+",AL3="р"),IF(OR(HG3&lt;&gt;"",IF(BA3=1,"",HK2)=""),1,IF(BA3=1,"",HK2)+IF(GY3=0,0,1)),""))))</calculatedColumnFormula>
    </tableColumn>
    <tableColumn id="219" xr3:uid="{60A99439-D370-4871-89E9-BFF79479A6A4}" name="_посл. канал">
      <calculatedColumnFormula>IF(HJ3&lt;&gt;"",MAX(HJ3,HJ3+GY3-1),IF(OR(OR(BA3=1,A3&lt;&gt;A2),HE3="-",HG3&lt;&gt;""),"",IF(BA3=1,"",HK2)))</calculatedColumnFormula>
    </tableColumn>
    <tableColumn id="220" xr3:uid="{49DC2B9E-5BE3-4259-A8B2-C6995FE551F6}" name="_клемма">
      <calculatedColumnFormula>IF(OR(AL3="б/к",AJ3="вручную"),0,IF(OR(EZ3&lt;&gt;"",AL3="+",AL3="="),1,0))</calculatedColumnFormula>
    </tableColumn>
    <tableColumn id="221" xr3:uid="{2C38E077-7287-4C0C-89D3-94F04A1FEFD0}" name="_авто клемма">
      <calculatedColumnFormula>IF(HL3=1,"XT"&amp;COUNTIFS(A$3:A3,A3,HL$3:HL3,1),"")</calculatedColumnFormula>
    </tableColumn>
    <tableColumn id="222" xr3:uid="{DD931505-AA47-48C0-B7A2-CFD6329F4F1F}" name="Клемма (итог)">
      <calculatedColumnFormula>_xlfn.LET(_xlpm.v,TRIM(M3&amp;""),IF(_xlpm.v="нет","",IF(_xlpm.v="",HM3,_xlpm.v)))</calculatedColumnFormula>
    </tableColumn>
    <tableColumn id="223" xr3:uid="{B866F282-2034-4572-ACFC-A7DEE89F50EC}" name="QF">
      <calculatedColumnFormula>IF(OR(B3&lt;&gt;"",HJ3&lt;&gt;"",HL3=1),GU3,"")</calculatedColumnFormula>
    </tableColumn>
    <tableColumn id="224" xr3:uid="{4F97CCBE-E0CB-4727-B1F5-27AAAE1BEA80}" name="_Модуль (схема)">
      <calculatedColumnFormula>IF(OR(HJ3&lt;&gt;"",AND(HE3&lt;&gt;"",HE3&lt;&gt;"-")),HH3,"")</calculatedColumnFormula>
    </tableColumn>
    <tableColumn id="225" xr3:uid="{5B8D7B39-AA3E-4D16-99AC-D6B174DA9BF8}" name="Проверка автомата">
      <calculatedColumnFormula>IF(B3="","",IF(AND(CG3=1,DQ3&lt;&gt;"",DR3=""),"номинал автомата не распознан",IF(DT3="",IF(CF3=1,"«гр»: нет автомата выше",""),IF(AND(CG3=1,N(DY3)&gt;N(DT3)),"ПЕРЕГРУЗ",IF(AND(N(DX3)=0,ISNUMBER(GS3),N(GS3)&lt;N(DT3)),"КАБЕЛЬ НЕ ЗАЩИЩЁН","ok")))))</calculatedColumnFormula>
    </tableColumn>
    <tableColumn id="226" xr3:uid="{B472C084-A766-41C4-9563-E8D6D11C7A8C}" name="Проверка канала">
      <calculatedColumnFormula>IF(OR(HJ3="",HH3=""),"",IF(HJ3+MAX(0,GY3-1)&gt;IFERROR(VLOOKUP(HI3,Модули_спр,3,FALSE),99),"ЛИШНИЙ КАНАЛ",IF(AND(AL3&lt;&gt;"=",GY3&gt;0,COUNTIFS(Линии[_модуль гр.],HH3,Линии[Канал (итог)],HJ3,Линии[Канал],"&lt;&gt;=",Линии[Щит],A3)&gt;1),"ДУБЛЬ КАНАЛА","")))</calculatedColumnFormula>
    </tableColumn>
    <tableColumn id="227" xr3:uid="{D7F83A41-C31A-4CC4-83E2-4B258D11C3E5}" name="Iкз / In" dataDxfId="106">
      <calculatedColumnFormula>IFERROR(IF(ISNUMBER(FD3),FD3/N(DT3),""),"")</calculatedColumnFormula>
    </tableColumn>
    <tableColumn id="228" xr3:uid="{65395799-61CE-4D5F-BFED-75E28A120394}" name="_кратность">
      <calculatedColumnFormula>IF(OR(ISNUMBER(SEARCH(" B"," "&amp;DU3)),ISNUMBER(SEARCH(" В"," "&amp;DU3))),5,IF(ISNUMBER(SEARCH(" D"," "&amp;DU3)),20,10))</calculatedColumnFormula>
    </tableColumn>
    <tableColumn id="229" xr3:uid="{2BE26ED7-947A-4661-85AE-C0C3B1DAD4FD}" name="Отключение ≤ 0,4 с">
      <calculatedColumnFormula>IF(NOT(ISNUMBER(HS3)),"",IF(HS3&gt;=HT3,"ok",IF(N(DW3)=1,"ok (дифзащита "&amp;IF(CS3&lt;&gt;"",CV3,DV3)&amp;" мА)","мало: Iкз &lt; "&amp;HT3&amp;"·In")))</calculatedColumnFormula>
    </tableColumn>
    <tableColumn id="230" xr3:uid="{8C275993-3637-4A27-8704-44C27275BCB6}" name="_ток утечки линии, мА">
      <calculatedColumnFormula>IF(OR(B3="",BH3&lt;&gt;"",BP3=1),0,0.4*N(CI3)+IF(BV3=1,0,0.01*N(P3)))</calculatedColumnFormula>
    </tableColumn>
    <tableColumn id="231" xr3:uid="{4816E37C-E525-4256-82C6-608877786D74}" name="_утечка ниже в группе">
      <calculatedColumnFormula>IF(AND(A4=A3,AJ4&lt;&gt;"вручную",OR(B4="",CF4=1)),IF(B4="",0,N(HV4))+N(HW4),0)</calculatedColumnFormula>
    </tableColumn>
    <tableColumn id="232" xr3:uid="{960B0323-A53A-44A5-A080-1C107D8D6326}" name="_Uвых БП для линии, В">
      <calculatedColumnFormula>IF(BV3=1,N(BU3)+N(EV3),0)</calculatedColumnFormula>
    </tableColumn>
    <tableColumn id="233" xr3:uid="{BA81B327-75B1-4CC7-863D-A74F1A1CB6A5}" name="_мощность от БП, Вт">
      <calculatedColumnFormula>IF(BV3=1,(N(BU3)+N(EV3))*N(O3),0)</calculatedColumnFormula>
    </tableColumn>
    <tableColumn id="234" xr3:uid="{F5590C2D-51D6-4ED5-8A86-B137080576DD}" name="_мощность от БП ниже">
      <calculatedColumnFormula>IF(AND(A4=A3,AJ4&lt;&gt;"вручную",OR(B4="",CF4=1)),IF(B4="",0,N(HY4))+N(HZ4),0)</calculatedColumnFormula>
    </tableColumn>
    <tableColumn id="235" xr3:uid="{466B801A-0D43-4548-A2FD-B8978B0C1A07}" name="_Uвых ниже">
      <calculatedColumnFormula>IF(AND(A4=A3,AJ4&lt;&gt;"вручную",OR(B4="",CF4=1)),MAX(IF(B4="",0,N(HX4)),N(IA4)),0)</calculatedColumnFormula>
    </tableColumn>
    <tableColumn id="236" xr3:uid="{F6A53C60-6759-45E9-B64D-90D777CB5947}" name="_линий до 50 В ниже">
      <calculatedColumnFormula>IF(AND(A4=A3,AJ4&lt;&gt;"вручную",OR(B4="",CF4=1)),IF(B4="",0,N(BV4))+N(IB4),0)</calculatedColumnFormula>
    </tableColumn>
    <tableColumn id="237" xr3:uid="{A4DCB5F7-CF8F-402E-B5B3-8A69281AFDF9}" name="_БП группы">
      <calculatedColumnFormula>IF(CG3=0,"",IFERROR(TRIM(MID(DD3,SEARCH("БП",DD3),40)),""))</calculatedColumnFormula>
    </tableColumn>
    <tableColumn id="238" xr3:uid="{C558B299-DED1-46FA-AF53-A9A4475B9215}" name="_БП, Вт">
      <calculatedColumnFormula array="1">IF(IC3="","",_xlfn.LET(_xlpm.tk,_xlfn.TEXTSPLIT(SUBSTITUTE(SUBSTITUTE(IC3,";"," "),"→"," ")," ",,TRUE),_xlpm.w_,_xlfn._xlws.FILTER(_xlpm.tk,ISNUMBER(--LEFT(_xlpm.tk,1))*((ISNUMBER(SEARCH("W",_xlpm.tk))+ISNUMBER(SEARCH("Вт",_xlpm.tk)))&gt;0),""),IFERROR(--SUBSTITUTE(SUBSTITUTE(UPPER(INDEX(_xlpm.w_,1)),"W",""),"ВТ",""),"")))</calculatedColumnFormula>
    </tableColumn>
    <tableColumn id="239" xr3:uid="{3B7BD2E2-170A-45CE-98B9-7ACF96491A3A}" name="_БП, В">
      <calculatedColumnFormula array="1">IF(IC3="","",_xlfn.LET(_xlpm.tk,_xlfn.TEXTSPLIT(SUBSTITUTE(SUBSTITUTE(IC3,";"," "),"→"," ")," ",,TRUE),_xlpm.v_,_xlfn._xlws.FILTER(_xlpm.tk,ISNUMBER(--LEFT(_xlpm.tk,1))*((ISNUMBER(SEARCH("V",_xlpm.tk))+(RIGHT(UPPER(_xlpm.tk))="В"))&gt;0),""),IFERROR(--SUBSTITUTE(SUBSTITUTE(UPPER(INDEX(_xlpm.v_,1)),"V",""),"В",""),"")))</calculatedColumnFormula>
    </tableColumn>
    <tableColumn id="240" xr3:uid="{767356C4-D277-487E-91B8-FBA0B6C8541D}" name="_ток канала модуля, А" dataDxfId="105">
      <calculatedColumnFormula>IF(OR(BV3=0,HI3="",HJ3=""),"",IFERROR(N(_xlfn.XLOOKUP(HI3,Каталог!$C$4:$C$500,Каталог!$Q$4:$Q$500)),""))</calculatedColumnFormula>
    </tableColumn>
    <tableColumn id="241" xr3:uid="{CC70481F-DEBC-4351-8E4D-59B66DF758E4}" name="_ток канала, А" dataDxfId="104">
      <calculatedColumnFormula>IF(N(IF3)=0,"",SUMIFS(Линии[Iр, А],Линии[Щит],A3,Линии[_модуль гр.],HH3,Линии[Канал (итог)],HJ3))</calculatedColumnFormula>
    </tableColumn>
    <tableColumn id="242" xr3:uid="{4988105E-8E7E-45DF-98FE-5B9037DFFD11}" name="_статус">
      <calculatedColumnFormula>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calculatedColumnFormula>
    </tableColumn>
    <tableColumn id="243" xr3:uid="{CF868BE8-695C-405B-AA6E-3A3DF0CCB81D}" name="Icu автомата, кА" dataDxfId="103">
      <calculatedColumnFormula>IF(OR(CG3=0,DQ3=""),"",_xlfn.LET(_xlpm.t,IFERROR(_xlfn.XLOOKUP(DQ3,Каталог!$U$4:$U$500,Каталог!$G$4:$G$500),""),_xlpm.k,SEARCH("кА",_xlpm.t),IFERROR(--TRIM(RIGHT(SUBSTITUTE(MID(_xlpm.t,MAX(1,_xlpm.k-4),_xlpm.k-MAX(1,_xlpm.k-4))," ",REPT(" ",9)),5)),"")))</calculatedColumnFormula>
    </tableColumn>
    <tableColumn id="244" xr3:uid="{E1F999E9-EB4D-49F9-9855-41443749420D}" name="Проверка Icu">
      <calculatedColumnFormula>IF(OR(II3="",CG3=0),"",IF(_xlfn.XLOOKUP(A3,Щиты[Щит],Щиты[Iкз max на шинах, кА],"")="","",IF(II3&lt;_xlfn.XLOOKUP(A3,Щиты[Щит],Щиты[Iкз max на шинах, кА]),"Icu "&amp;II3&amp;" кА &lt; Iкз max","ok")))</calculatedColumnFormula>
    </tableColumn>
    <tableColumn id="245" xr3:uid="{71252CDD-F36F-43E8-9F44-7A012A139D38}" name="_целость">
      <calculatedColumnFormula>IF(OR(AND(BA3&gt;1,N(BA2)&lt;&gt;BA3-1),AND(BA4&lt;&gt;"",N(BA4)&lt;&gt;BA3+1)),"строки сдвинуты (вставка или удаление) — нажмите «Починить формулы»","")</calculatedColumnFormula>
    </tableColumn>
    <tableColumn id="246" xr3:uid="{D5C59378-1EF4-473B-995D-CAEDE1326B1F}" name="_цепь для бирок">
      <calculatedColumnFormula>IF(OR(AJ3="вручную",BM3="",AND(B3="",HN3="")),"",_xlfn.TEXTJOIN("|",TRUE,GU3,SUBSTITUTE(GV3," → ","|"),IF(HH3&lt;&gt;"",HH3&amp;IF(HJ3&lt;&gt;""," к."&amp;HJ3,""),""),HN3))</calculatedColumnFormula>
    </tableColumn>
    <tableColumn id="247" xr3:uid="{079831B6-2B68-462D-BF2B-36715946EFBF}" name="_цепь с кабелем">
      <calculatedColumnFormula>IF(IL3="","",IL3&amp;IF(B3&lt;&gt;"","|кабель "&amp;EY3&amp;" → "&amp;BJ3,""))</calculatedColumnFormula>
    </tableColumn>
    <tableColumn id="248" xr3:uid="{6B64A009-4D75-4253-8D53-B27A93821F25}" name="_бирка 1">
      <calculatedColumnFormula array="1">IF(IM3="","",_xlfn.LET(_xlpm.nd,_xlfn.TEXTSPLIT(IM3,"|"),IF(COLUMNS(_xlpm.nd)&gt;1,A3&amp;"¦"&amp;INDEX(_xlpm.nd,1)&amp;"¦"&amp;INDEX(_xlpm.nd,2),"")))</calculatedColumnFormula>
    </tableColumn>
    <tableColumn id="249" xr3:uid="{56DCD729-44C7-472A-9E73-0528B364D0AD}" name="_бирка 1 линия">
      <calculatedColumnFormula>IF(IN3="","",B3&amp;"¦"&amp;BJ3)</calculatedColumnFormula>
    </tableColumn>
    <tableColumn id="250" xr3:uid="{C1172C64-18B6-48AA-862A-E3B446F44709}" name="_бирка 2">
      <calculatedColumnFormula array="1">IF(IM3="","",_xlfn.LET(_xlpm.nd,_xlfn.TEXTSPLIT(IM3,"|"),IF(COLUMNS(_xlpm.nd)&gt;2,A3&amp;"¦"&amp;INDEX(_xlpm.nd,2)&amp;"¦"&amp;INDEX(_xlpm.nd,3),"")))</calculatedColumnFormula>
    </tableColumn>
    <tableColumn id="251" xr3:uid="{43BEDCA1-0739-43EE-9403-1AD5F0EF40E8}" name="_бирка 2 линия">
      <calculatedColumnFormula>IF(IP3="","",B3&amp;"¦"&amp;BJ3)</calculatedColumnFormula>
    </tableColumn>
    <tableColumn id="252" xr3:uid="{C94B8683-D5A3-4306-BF74-22016E2151A9}" name="_бирка 3">
      <calculatedColumnFormula array="1">IF(IM3="","",_xlfn.LET(_xlpm.nd,_xlfn.TEXTSPLIT(IM3,"|"),IF(COLUMNS(_xlpm.nd)&gt;3,A3&amp;"¦"&amp;INDEX(_xlpm.nd,3)&amp;"¦"&amp;INDEX(_xlpm.nd,4),"")))</calculatedColumnFormula>
    </tableColumn>
    <tableColumn id="253" xr3:uid="{C3F3AE4E-9F2D-4040-8970-0507426728D7}" name="_бирка 3 линия">
      <calculatedColumnFormula>IF(IR3="","",B3&amp;"¦"&amp;BJ3)</calculatedColumnFormula>
    </tableColumn>
    <tableColumn id="254" xr3:uid="{F08634F4-7347-4125-AABF-1EB7D6C3BFDE}" name="_бирка 4">
      <calculatedColumnFormula array="1">IF(IM3="","",_xlfn.LET(_xlpm.nd,_xlfn.TEXTSPLIT(IM3,"|"),IF(COLUMNS(_xlpm.nd)&gt;4,A3&amp;"¦"&amp;INDEX(_xlpm.nd,4)&amp;"¦"&amp;INDEX(_xlpm.nd,5),"")))</calculatedColumnFormula>
    </tableColumn>
    <tableColumn id="255" xr3:uid="{5260C370-D680-4BDA-928D-AB6699DF00A3}" name="_бирка 4 линия">
      <calculatedColumnFormula>IF(IT3="","",B3&amp;"¦"&amp;BJ3)</calculatedColumnFormula>
    </tableColumn>
    <tableColumn id="256" xr3:uid="{0C89707D-98E9-499D-BD15-5D4435E9BF9B}" name="_бирка 5">
      <calculatedColumnFormula array="1">IF(IM3="","",_xlfn.LET(_xlpm.nd,_xlfn.TEXTSPLIT(IM3,"|"),IF(COLUMNS(_xlpm.nd)&gt;5,A3&amp;"¦"&amp;INDEX(_xlpm.nd,5)&amp;"¦"&amp;INDEX(_xlpm.nd,6),"")))</calculatedColumnFormula>
    </tableColumn>
    <tableColumn id="257" xr3:uid="{077AE3CB-AE16-46E4-9460-B90B7E6CDCE8}" name="_бирка 5 линия">
      <calculatedColumnFormula>IF(IV3="","",B3&amp;"¦"&amp;BJ3)</calculatedColumnFormula>
    </tableColumn>
    <tableColumn id="258" xr3:uid="{98AD5581-8189-4645-917D-682239218F7A}" name="_бирка 6">
      <calculatedColumnFormula array="1">IF(IM3="","",_xlfn.LET(_xlpm.nd,_xlfn.TEXTSPLIT(IM3,"|"),IF(COLUMNS(_xlpm.nd)&gt;6,A3&amp;"¦"&amp;INDEX(_xlpm.nd,6)&amp;"¦"&amp;INDEX(_xlpm.nd,7),"")))</calculatedColumnFormula>
    </tableColumn>
    <tableColumn id="259" xr3:uid="{F31AC79F-8BF0-487D-9024-7E8078849F13}" name="_бирка 6 линия">
      <calculatedColumnFormula>IF(IX3="","",B3&amp;"¦"&amp;BJ3)</calculatedColumnFormula>
    </tableColumn>
    <tableColumn id="260" xr3:uid="{2ED31E90-73BC-415B-A6B4-4FD57A085ABC}" name="_модель (схема)">
      <calculatedColumnFormula>IF(HP3="","",HI3)</calculatedColumnFormula>
    </tableColumn>
    <tableColumn id="261" xr3:uid="{D75C0A44-97E6-4EB5-A303-7945D5FFD566}" name="_цепь">
      <calculatedColumnFormula>IF(AND(B3="",HJ3="",HN3=""),"",_xlfn.TEXTJOIN(" → ",TRUE,GU3,GV3,IF(HH3&lt;&gt;"",HH3&amp;IF(HJ3&lt;&gt;""," к."&amp;HJ3,""),IF(HJ3&lt;&gt;"","к."&amp;HJ3,"")),HN3,IF(GO3=1,"(в кабель выше)","")))</calculatedColumnFormula>
    </tableColumn>
    <tableColumn id="262" xr3:uid="{2742F17B-BE43-4185-BE2A-BFDD7C3BA314}" name="_bus2">
      <calculatedColumnFormula>IF(AF3="",0,1)</calculatedColumnFormula>
    </tableColumn>
    <tableColumn id="263" xr3:uid="{A6529EBA-7FD1-4951-A08B-2A5BB63C1924}" name="_rcd">
      <calculatedColumnFormula>IF(GT3="",0,IF(LEFT(GT3,3)="QFD",1,0))</calculatedColumnFormula>
    </tableColumn>
    <tableColumn id="264" xr3:uid="{0A1AFB80-7583-4CD2-9337-2D24A5CB81FA}" name="_chtype">
      <calculatedColumnFormula>IF(AL3="=","=",IF(AL3="+","+",IF(AL3="р","R","")))</calculatedColumnFormula>
    </tableColumn>
    <tableColumn id="265" xr3:uid="{C6C38A49-6F66-435C-B89B-79B576AB2BD7}" name="_dev1">
      <calculatedColumnFormula>IF(DE3="","",IF(OR(LEFT(DE3,1)="T",LEFT(DE3,1)="Т"),"T",IF(LEFT(UPPER(DE3),2)="БП","PS",IF(OR(LEFT(UPPER(DE3),2)="МК",LEFT(UPPER(DE3),2)="MK"),"MK",IF(OR(LEFT(UPPER(DE3),2)="КМ",LEFT(UPPER(DE3),2)="KM"),"KM","X")))))</calculatedColumnFormula>
    </tableColumn>
    <tableColumn id="266" xr3:uid="{7A91D081-4CA8-4183-A096-24F6390B76A9}" name="_dev2">
      <calculatedColumnFormula>IF(DF3="","",IF(OR(LEFT(DF3,1)="T",LEFT(DF3,1)="Т"),"T",IF(LEFT(UPPER(DF3),2)="БП","PS",IF(OR(LEFT(UPPER(DF3),2)="МК",LEFT(UPPER(DF3),2)="MK"),"MK",IF(OR(LEFT(UPPER(DF3),2)="КМ",LEFT(UPPER(DF3),2)="KM"),"KM","X")))))</calculatedColumnFormula>
    </tableColumn>
    <tableColumn id="267" xr3:uid="{F44FCAAB-955D-4C87-9BD0-C81F5220F9FC}" name="_dev3">
      <calculatedColumnFormula>IF(DG3="","",IF(OR(LEFT(DG3,1)="T",LEFT(DG3,1)="Т"),"T",IF(LEFT(UPPER(DG3),2)="БП","PS",IF(OR(LEFT(UPPER(DG3),2)="МК",LEFT(UPPER(DG3),2)="MK"),"MK",IF(OR(LEFT(UPPER(DG3),2)="КМ",LEFT(UPPER(DG3),2)="KM"),"KM","X")))))</calculatedColumnFormula>
    </tableColumn>
    <tableColumn id="268" xr3:uid="{45F72C30-0AE1-4B4A-A988-29D37287D7FE}" name="_УГО (рус)">
      <calculatedColumnFormula>IF(B3="","",IFERROR(_xlfn.XLOOKUP(B3,Коды_код,Коды_уго),IFERROR(_xlfn.XLOOKUP(BC3,Коды_код,Коды_уго),IFERROR(_xlfn.XLOOKUP(LEFT(BC3,2),Коды_код,Коды_уго),""))))</calculatedColumnFormula>
    </tableColumn>
    <tableColumn id="269" xr3:uid="{40EFD8E0-6083-45FB-B270-B94AF9E968B4}" name="_sym">
      <calculatedColumnFormula>IF(B3="","",IF(OR(JH3="",JH3=0),"BOX",IFERROR(IF(VLOOKUP(JH3,УГО_блоки,3,FALSE)&amp;""&lt;&gt;"",VLOOKUP(JH3,УГО_блоки,3,FALSE),VLOOKUP(JH3,УГО_блоки,2,FALSE)),JH3)))</calculatedColumnFormula>
    </tableColumn>
    <tableColumn id="270" xr3:uid="{9924D487-B148-49FA-A974-9017C62FD425}" name="_hasline">
      <calculatedColumnFormula>IF(B3="",0,1)</calculatedColumnFormula>
    </tableColumn>
    <tableColumn id="271" xr3:uid="{BDB0CE5B-E946-45D1-8DCB-0EEBDA8840D5}" name="_тип автомата №">
      <calculatedColumnFormula>IF(DQ3="","",IF(COUNTIF(DQ$3:DQ3,DQ3)=1,MAX(JK$2:JK2)+1,""))</calculatedColumnFormula>
    </tableColumn>
    <tableColumn id="272" xr3:uid="{3CA3C418-98B5-4E3F-A118-3DEEF76CAE0D}" name="_аппарат 1 №">
      <calculatedColumnFormula>IF(DE3="","",IF(COUNTIF(DE$3:DE3,DE3)+COUNTIF(DF$2:DF2,DE3)+COUNTIF(DG$2:DG2,DE3)=1,MAX(JL$2:JN2)+1,""))</calculatedColumnFormula>
    </tableColumn>
    <tableColumn id="273" xr3:uid="{BEF40274-DE50-47F1-B8B8-1B1810F126E8}" name="_аппарат 2 №">
      <calculatedColumnFormula>IF(DF3="","",IF(COUNTIF(DE$3:DE3,DF3)+COUNTIF(DF$3:DF3,DF3)+COUNTIF(DG$2:DG2,DF3)=1,MAX(JL$2:JN2,JL3)+1,""))</calculatedColumnFormula>
    </tableColumn>
    <tableColumn id="274" xr3:uid="{267F49B9-2D53-429E-8B1C-8F98160C2F09}" name="_аппарат 3 №">
      <calculatedColumnFormula>IF(DG3="","",IF(COUNTIF(DE$3:DE3,DG3)+COUNTIF(DF$3:DF3,DG3)+COUNTIF(DG$3:DG3,DG3)=1,MAX(JL$2:JN2,JL3,JM3)+1,""))</calculatedColumnFormula>
    </tableColumn>
    <tableColumn id="275" xr3:uid="{9123E624-00F9-437D-83A2-84C79AC02568}" name="_кабель клеммы">
      <calculatedColumnFormula>IF(HL3=1,IFERROR(MID(GK3,FIND(" (",GK3)+2,FIND(")",GK3,FIND(" (",GK3))-FIND(" (",GK3)-2),"?"),"")</calculatedColumnFormula>
    </tableColumn>
    <tableColumn id="276" xr3:uid="{BA12DE7B-7DCD-47BC-B09D-35BF1D1F2B3D}" name="_вид клеммы №">
      <calculatedColumnFormula>IF(JO3="","",IF(COUNTIF(JO$3:JO3,JO3)=1,MAX(JP$2:JP2)+1,""))</calculatedColumnFormula>
    </tableColumn>
    <tableColumn id="277" xr3:uid="{26C50984-DCF1-44FA-A9E3-EC55553D8A33}" name="_модуль №">
      <calculatedColumnFormula>IF(HG3="","",COUNTIF(HG$3:HG3,"?*"))</calculatedColumnFormula>
    </tableColumn>
    <tableColumn id="278" xr3:uid="{F8587F0A-4E53-4EBA-B894-A1A0D86DDBEA}" name="_модель №">
      <calculatedColumnFormula>IF(OR(HG3="",HI3=""),"",IF(COUNTIFS(HG$3:HG3,"?*",HI$3:HI3,HI3)=1,MAX(JR$2:JR2)+1,""))</calculatedColumnFormula>
    </tableColumn>
    <tableColumn id="279" xr3:uid="{98A5A02D-2BDE-4C71-A2A9-26AA684806BB}" name="_уровень">
      <calculatedColumnFormula>IF(IH3="",0,IF(OR(ISNUMBER(SEARCH("дубль",IH3)),ISNUMBER(SEARCH("ПЕРЕГРУЗ",IH3)),ISNUMBER(SEARCH("ЗАЩИЩ",IH3)),ISNUMBER(SEARCH("КАНАЛ",IH3)),ISNUMBER(SEARCH("без диф",IH3))),2,1))</calculatedColumnFormula>
    </tableColumn>
    <tableColumn id="280" xr3:uid="{3A7AA522-4C34-4949-871C-EC8C2FD76E73}" name="_№ линии">
      <calculatedColumnFormula>IF(B3="","",COUNTIF(B$3:B3,"?*"))</calculatedColumnFormula>
    </tableColumn>
    <tableColumn id="281" xr3:uid="{A4CEDC25-A5BF-4E7B-B9DB-00B4182D0D78}" name="_3L клемм">
      <calculatedColumnFormula>IF(HL3&lt;&gt;1,0,_xlfn.LET(_xlpm.k,MAX(IFERROR(--_xlfn.XLOOKUP(B3,Коды_код,Коды_3L),0),IFERROR(--_xlfn.XLOOKUP(BC3,Коды_код,Коды_3L),0),IFERROR(--_xlfn.XLOOKUP(LEFT(BC3,2),Коды_код,Коды_3L),0)),IF(_xlpm.k&gt;0,_xlpm.k,IF(IFERROR(--LEFT(SUBSTITUTE(JO3,"x","х"),FIND("х",SUBSTITUTE(JO3,"x","х"))-1),3)&gt;3,Каталог!$S$9,1))))</calculatedColumnFormula>
    </tableColumn>
    <tableColumn id="282" xr3:uid="{4155274F-E8B4-47BF-A16A-B7312D3F3416}" name="_доп. проходных">
      <calculatedColumnFormula>IF(HL3&lt;&gt;1,0,MAX(0,IFERROR(--LEFT(SUBSTITUTE(JO3,"x","х"),FIND("х",SUBSTITUTE(JO3,"x","х"))-1),3)-3*JU3))</calculatedColumnFormula>
    </tableColumn>
    <tableColumn id="283" xr3:uid="{E1DE9D70-BBD0-4BCC-8857-072B953972F3}" name="_автомат для схемы">
      <calculatedColumnFormula>IF(CG3=1,"авто","")</calculatedColumnFormula>
    </tableColumn>
    <tableColumn id="284" xr3:uid="{40C862F3-9EFC-4DEF-9C36-A7F1B96ED311}" name="_мА для схемы">
      <calculatedColumnFormula>IF(CG3=1,IF(N(DA3)&gt;0,DA3,""),"")</calculatedColumnFormula>
    </tableColumn>
    <tableColumn id="285" xr3:uid="{8B50BA27-D9FE-40A5-9FF7-13D426C7CC63}" name="_дифзащита гр. (0/1)">
      <calculatedColumnFormula>IF(CG3=1,IF(N(DA3)&gt;0,1,0),"")</calculatedColumnFormula>
    </tableColumn>
    <tableColumn id="286" xr3:uid="{D693BFCC-CAC1-47B0-96AD-79FFB8C2526D}" name="_видна">
      <calculatedColumnFormula>SUBTOTAL(103,A3)</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D65E9E-0E6F-4C4E-9AE7-729232AC8043}" name="Коды" displayName="Коды" ref="A3:V40" totalsRowShown="0" headerRowDxfId="150">
  <autoFilter ref="A3:V40" xr:uid="{90D65E9E-0E6F-4C4E-9AE7-729232AC8043}"/>
  <tableColumns count="22">
    <tableColumn id="1" xr3:uid="{B4D432E6-312E-4979-B4F9-2944DC890B8D}" name="Код"/>
    <tableColumn id="2" xr3:uid="{4DB3936B-6F24-4A02-BE86-F284AC7A8C41}" name="Наименование"/>
    <tableColumn id="3" xr3:uid="{A8ED8347-8DA8-40FD-BFA8-529E7EA18313}" name="Опуск, м"/>
    <tableColumn id="4" xr3:uid="{4FDB6186-E559-41AF-B312-0E8310F24467}" name="1 - этаж/2 - шлейф"/>
    <tableColumn id="5" xr3:uid="{6595A39B-5A69-4578-B772-DA130F913CE1}" name="Пуск: 1 нет/2 двигатель/3 свет"/>
    <tableColumn id="6" xr3:uid="{7BBBEB1A-39B4-4D75-9063-62AD443BEB59}" name="Марка кабеля"/>
    <tableColumn id="7" xr3:uid="{75FAC6BA-E911-4878-A218-16AB2A20968D}" name="Жил"/>
    <tableColumn id="8" xr3:uid="{4CD622BF-BE7E-47A5-9A58-CC0BF59093B8}" name="Напряжение"/>
    <tableColumn id="9" xr3:uid="{B357D8BB-8D85-4A81-8C4B-30321636D371}" name="Фаз"/>
    <tableColumn id="10" xr3:uid="{2709F5C5-7D68-486A-B139-F197186FCAFD}" name="Сечение"/>
    <tableColumn id="11" xr3:uid="{3AF7349D-63CC-4E6C-95CE-63EC1F275EC6}" name="Вид нагрузки"/>
    <tableColumn id="12" xr3:uid="{C83008D3-C266-45BE-A106-16CD0CD12A65}" name="Группа Кс"/>
    <tableColumn id="13" xr3:uid="{A139B2E9-3A95-4C57-8792-7B28674FEEFE}" name="Пожарная"/>
    <tableColumn id="14" xr3:uid="{E3FAFE8E-2248-4AE2-9652-89C8675B9FD0}" name="кВт на шт"/>
    <tableColumn id="15" xr3:uid="{1E4AF537-054A-47E2-9B78-84D595A542A9}" name="Характеристика (B/C/D)"/>
    <tableColumn id="16" xr3:uid="{E6916E53-85E2-46D8-BFF1-B32FD304370E}" name="Вид аппарата утечки"/>
    <tableColumn id="17" xr3:uid="{14B853F0-4820-46CA-8744-DC0A7B7BB318}" name="Управление"/>
    <tableColumn id="18" xr3:uid="{BEDDA6A8-35CE-4381-B024-A38B4189016E}" name="Аппараты"/>
    <tableColumn id="19" xr3:uid="{8986A25E-0F65-4D07-9EE3-C5F644DD139B}" name="УГО"/>
    <tableColumn id="20" xr3:uid="{F6B2F48C-89A9-49F4-8A3B-F3D20EEB5AD6}" name="Дифзащита, мА (да = 30)"/>
    <tableColumn id="21" xr3:uid="{2E66896C-0B12-460C-869A-0B9246A2C597}" name="Мин. автомат, А"/>
    <tableColumn id="22" xr3:uid="{523442AB-AF8F-47FC-9AA1-7CC8DCFE26CA}" name="3L клемм на линию"/>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9AA38B-B859-4337-BD22-FFEF90AC075A}" name="Этажи" displayName="Этажи" ref="Y3:AB7" totalsRowShown="0" headerRowDxfId="149">
  <autoFilter ref="Y3:AB7" xr:uid="{299AA38B-B859-4337-BD22-FFEF90AC075A}"/>
  <tableColumns count="4">
    <tableColumn id="1" xr3:uid="{DFC86050-A4D1-4DC1-82F0-85DD04B0D5D9}" name="Этаж"/>
    <tableColumn id="2" xr3:uid="{D10A60ED-DAF0-4BB9-BB00-86AF7C21C4FE}" name="Название этажа"/>
    <tableColumn id="3" xr3:uid="{164CE15D-3818-4686-9CCE-83B8EE1735CC}" name="Подъём, м"/>
    <tableColumn id="4" xr3:uid="{2E748183-3B77-4713-8752-694FBDAAA966}" name="По другим этажам, м"/>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E3C2E6-157F-4C8C-B805-EA49E6BE175E}" name="Кабели" displayName="Кабели" ref="AD3:AF15" totalsRowShown="0" headerRowDxfId="148">
  <autoFilter ref="AD3:AF15" xr:uid="{8CE3C2E6-157F-4C8C-B805-EA49E6BE175E}"/>
  <tableColumns count="3">
    <tableColumn id="1" xr3:uid="{25A9FC7C-8606-494C-A225-817F631062AC}" name="Обозначение"/>
    <tableColumn id="2" xr3:uid="{6A9550E1-CFCA-4737-9DFA-72D4FE59916D}" name="Кабель"/>
    <tableColumn id="3" xr3:uid="{8FFEAFA5-FBC9-4C3E-831B-BCB36B09198E}" name="Сечение в марке (1 да / 2 нет)"/>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82195A-044C-4005-BFA8-A4C2BFBBF338}" name="Экспликация" displayName="Экспликация" ref="AH3:AJ4" totalsRowShown="0" headerRowDxfId="147">
  <autoFilter ref="AH3:AJ4" xr:uid="{6882195A-044C-4005-BFA8-A4C2BFBBF338}"/>
  <tableColumns count="3">
    <tableColumn id="1" xr3:uid="{FC6CB48B-EC3B-428D-AECD-0FC0BADE8A99}" name="Этаж"/>
    <tableColumn id="2" xr3:uid="{6A3B6CE1-1876-4C3A-AB0E-A439EB67B472}" name="Помещение"/>
    <tableColumn id="3" xr3:uid="{14DC05EC-B07A-42E3-ADCD-4C092513022B}" name="Название"/>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B4F703A-6531-4D42-9D18-61A844FA1CCF}" name="Спец_вручную" displayName="Спец_вручную" ref="M2:U3" totalsRowShown="0" headerRowDxfId="95">
  <autoFilter ref="M2:U3" xr:uid="{BB4F703A-6531-4D42-9D18-61A844FA1CCF}"/>
  <tableColumns count="9">
    <tableColumn id="1" xr3:uid="{A88238CD-41C2-4E9D-A695-7D4056CD3270}" name="Щит"/>
    <tableColumn id="2" xr3:uid="{D957BD22-95FD-4D6F-85AF-B763A38C05CD}" name="Раздел (1/2)"/>
    <tableColumn id="3" xr3:uid="{65A7DEA2-3CF1-45ED-8222-8E75860B87F9}" name="Наименование и техническая характеристика"/>
    <tableColumn id="4" xr3:uid="{03C7C91A-298E-44AE-929A-BF59D44C3A2C}" name="Тип, марка"/>
    <tableColumn id="5" xr3:uid="{24681DD8-480A-4D69-B55E-28698C809638}" name="Код"/>
    <tableColumn id="6" xr3:uid="{1DBE266F-3C06-48C6-B728-F9A395AB2117}" name="Завод"/>
    <tableColumn id="7" xr3:uid="{C339A666-DEF1-4890-969A-C862377EDE90}" name="Ед."/>
    <tableColumn id="8" xr3:uid="{8FD6C9FE-355E-47C4-B98D-D9094C1B4A1C}" name="Кол-во"/>
    <tableColumn id="9" xr3:uid="{C92DFC88-ADB8-489E-A4CB-7CBB7074C0C4}" name="Примечание"/>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A4FBAF6-C277-4CA9-8FCC-7B7354625CB4}" name="Нормы_расхода" displayName="Нормы_расхода" ref="W2:AD8" totalsRowShown="0" headerRowDxfId="94">
  <autoFilter ref="W2:AD8" xr:uid="{1A4FBAF6-C277-4CA9-8FCC-7B7354625CB4}"/>
  <tableColumns count="8">
    <tableColumn id="1" xr3:uid="{2BA5FE94-FB6F-4DAE-8F02-FCED49B994F1}" name="Наименование и техническая характеристика"/>
    <tableColumn id="2" xr3:uid="{195F640A-568E-4DF3-93EE-DE3D301C3EED}" name="Тип, марка"/>
    <tableColumn id="3" xr3:uid="{2ADC6BD4-DA00-420E-8540-7173AC87192A}" name="Код"/>
    <tableColumn id="4" xr3:uid="{DAE630B9-F257-4090-A355-306029D40627}" name="Завод"/>
    <tableColumn id="5" xr3:uid="{A252901F-C391-44A0-993C-95B81CAA7FA8}" name="Ед."/>
    <tableColumn id="6" xr3:uid="{CA08EA0B-F50F-4610-9FE8-184B885AD256}" name="База"/>
    <tableColumn id="7" xr3:uid="{C32EB3F1-D265-4A1D-BC9B-1B826813557E}" name="На 1 м"/>
    <tableColumn id="8" xr3:uid="{0EDD8288-B499-463E-A282-0681842677D5}" name="Кратность"/>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E320C-35DF-4D80-8340-EC85D90087CE}" name="Гофра_изделия" displayName="Гофра_изделия" ref="AF2:AK14" totalsRowShown="0" headerRowDxfId="93">
  <autoFilter ref="AF2:AK14" xr:uid="{61DE320C-35DF-4D80-8340-EC85D90087CE}"/>
  <tableColumns count="6">
    <tableColumn id="1" xr3:uid="{D9A622C5-FA89-4C29-B946-B7FFE00950F8}" name="Тип"/>
    <tableColumn id="2" xr3:uid="{12C220B7-36E0-436C-88C2-D3D86B807B23}" name="Ø"/>
    <tableColumn id="3" xr3:uid="{AC00F9DC-CB5F-4FCA-BEC0-B0A9953C15F1}" name="Наименование"/>
    <tableColumn id="4" xr3:uid="{09D24EE9-739E-4A90-8395-445289D447BA}" name="Код"/>
    <tableColumn id="5" xr3:uid="{AD68BB41-540E-4CBA-B60F-9E5FD2CB0198}" name="Завод"/>
    <tableColumn id="6" xr3:uid="{AFD58E73-1B28-4B0F-849D-FAD7D038B42A}" name="Бухта, м"/>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FC8D8BBB-A61B-4833-8A81-CF3C57B8DBE8}">
  <we:reference id="wa200010215" version="1.0.0.0" store="ru-RU" storeType="OMEX"/>
  <we:alternateReferences>
    <we:reference id="WA200010215" version="1.0.0.0" store="WA200010215"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37647E81-A4C7-4E54-8491-8428F71A8707}">
  <we:reference id="wa200011214" version="1.0.0.1" store="ru-RU" storeType="OMEX"/>
  <we:alternateReferences>
    <we:reference id="wa200011214" version="1.0.0.1" store="WA200011214" storeType="OMEX"/>
  </we:alternateReferences>
  <we:properties>
    <we:property name="grokConversationBinding" value="{&quot;responseId&quot;:&quot;1ff32469-886e-495e-8399-4d0ef0c9e676&quot;,&quot;title&quot;:&quot;Relay vs Dali управление&quot;,&quot;transport&quot;:&quot;gateway&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3.v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2.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vmlDrawing" Target="../drawings/vmlDrawing5.vml"/><Relationship Id="rId6" Type="http://schemas.openxmlformats.org/officeDocument/2006/relationships/comments" Target="../comments4.xml"/><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3.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1E8F9-DAA3-4458-A0A4-F8E60616D09E}">
  <sheetPr codeName="Лист1">
    <tabColor rgb="FF00B050"/>
    <pageSetUpPr fitToPage="1"/>
  </sheetPr>
  <dimension ref="A1:D106"/>
  <sheetViews>
    <sheetView showGridLines="0" workbookViewId="0"/>
  </sheetViews>
  <sheetFormatPr defaultRowHeight="13.2" x14ac:dyDescent="0.3"/>
  <cols>
    <col min="1" max="1" width="8.77734375" style="81" customWidth="1"/>
    <col min="2" max="2" width="34.77734375" style="81" customWidth="1"/>
    <col min="3" max="3" width="80.77734375" style="81" customWidth="1"/>
    <col min="4" max="4" width="24.77734375" style="81" customWidth="1"/>
    <col min="5" max="16384" width="8.88671875" style="81"/>
  </cols>
  <sheetData>
    <row r="1" spans="1:4" ht="24" customHeight="1" x14ac:dyDescent="0.3">
      <c r="A1" s="82" t="s">
        <v>1662</v>
      </c>
    </row>
    <row r="2" spans="1:4" ht="13.5" customHeight="1" x14ac:dyDescent="0.3">
      <c r="A2" s="93" t="s">
        <v>1663</v>
      </c>
      <c r="B2" s="93"/>
      <c r="C2" s="93"/>
      <c r="D2" s="93"/>
    </row>
    <row r="3" spans="1:4" ht="13.5" customHeight="1" x14ac:dyDescent="0.3">
      <c r="A3" s="94" t="s">
        <v>1664</v>
      </c>
      <c r="B3" s="94"/>
      <c r="C3" s="94"/>
      <c r="D3" s="94"/>
    </row>
    <row r="5" spans="1:4" ht="15.6" x14ac:dyDescent="0.3">
      <c r="A5" s="84" t="s">
        <v>1665</v>
      </c>
      <c r="B5" s="83"/>
      <c r="C5" s="83"/>
      <c r="D5" s="83"/>
    </row>
    <row r="6" spans="1:4" x14ac:dyDescent="0.3">
      <c r="B6" s="85" t="s">
        <v>1666</v>
      </c>
      <c r="C6" s="85" t="s">
        <v>1667</v>
      </c>
      <c r="D6" s="86"/>
    </row>
    <row r="7" spans="1:4" ht="27" customHeight="1" x14ac:dyDescent="0.3">
      <c r="B7" s="87" t="s">
        <v>1668</v>
      </c>
      <c r="C7" s="87" t="s">
        <v>1669</v>
      </c>
      <c r="D7" s="88"/>
    </row>
    <row r="8" spans="1:4" ht="13.5" customHeight="1" x14ac:dyDescent="0.3">
      <c r="B8" s="87" t="s">
        <v>1670</v>
      </c>
      <c r="C8" s="87" t="s">
        <v>1671</v>
      </c>
      <c r="D8" s="88"/>
    </row>
    <row r="9" spans="1:4" ht="13.5" customHeight="1" x14ac:dyDescent="0.3">
      <c r="B9" s="87" t="s">
        <v>1672</v>
      </c>
      <c r="C9" s="87" t="s">
        <v>1673</v>
      </c>
      <c r="D9" s="88"/>
    </row>
    <row r="10" spans="1:4" ht="13.5" customHeight="1" x14ac:dyDescent="0.3">
      <c r="B10" s="87" t="s">
        <v>1674</v>
      </c>
      <c r="C10" s="87" t="s">
        <v>1675</v>
      </c>
      <c r="D10" s="88"/>
    </row>
    <row r="11" spans="1:4" ht="13.5" customHeight="1" x14ac:dyDescent="0.3">
      <c r="B11" s="87" t="s">
        <v>1676</v>
      </c>
      <c r="C11" s="87" t="s">
        <v>1677</v>
      </c>
      <c r="D11" s="88"/>
    </row>
    <row r="12" spans="1:4" ht="13.5" customHeight="1" x14ac:dyDescent="0.3">
      <c r="B12" s="87" t="s">
        <v>1678</v>
      </c>
      <c r="C12" s="87" t="s">
        <v>1679</v>
      </c>
      <c r="D12" s="88"/>
    </row>
    <row r="14" spans="1:4" ht="15.6" x14ac:dyDescent="0.3">
      <c r="A14" s="84" t="s">
        <v>1680</v>
      </c>
      <c r="B14" s="83"/>
      <c r="C14" s="83"/>
      <c r="D14" s="83"/>
    </row>
    <row r="15" spans="1:4" x14ac:dyDescent="0.3">
      <c r="B15" s="85" t="s">
        <v>819</v>
      </c>
      <c r="C15" s="85" t="s">
        <v>1681</v>
      </c>
      <c r="D15" s="86"/>
    </row>
    <row r="16" spans="1:4" ht="13.5" customHeight="1" x14ac:dyDescent="0.3">
      <c r="B16" s="87" t="s">
        <v>823</v>
      </c>
      <c r="C16" s="87" t="s">
        <v>1682</v>
      </c>
      <c r="D16" s="88"/>
    </row>
    <row r="17" spans="1:4" ht="27" customHeight="1" x14ac:dyDescent="0.3">
      <c r="B17" s="87" t="s">
        <v>1683</v>
      </c>
      <c r="C17" s="87" t="s">
        <v>1684</v>
      </c>
      <c r="D17" s="88"/>
    </row>
    <row r="18" spans="1:4" ht="13.5" customHeight="1" x14ac:dyDescent="0.3">
      <c r="B18" s="87" t="s">
        <v>1685</v>
      </c>
      <c r="C18" s="87" t="s">
        <v>1686</v>
      </c>
      <c r="D18" s="88"/>
    </row>
    <row r="19" spans="1:4" ht="27" customHeight="1" x14ac:dyDescent="0.3">
      <c r="B19" s="87" t="s">
        <v>1687</v>
      </c>
      <c r="C19" s="87" t="s">
        <v>1688</v>
      </c>
      <c r="D19" s="88"/>
    </row>
    <row r="20" spans="1:4" ht="13.5" customHeight="1" x14ac:dyDescent="0.3">
      <c r="B20" s="87" t="s">
        <v>804</v>
      </c>
      <c r="C20" s="87" t="s">
        <v>1689</v>
      </c>
      <c r="D20" s="88"/>
    </row>
    <row r="21" spans="1:4" ht="13.5" customHeight="1" x14ac:dyDescent="0.3">
      <c r="B21" s="87" t="s">
        <v>4</v>
      </c>
      <c r="C21" s="87" t="s">
        <v>1690</v>
      </c>
      <c r="D21" s="88"/>
    </row>
    <row r="22" spans="1:4" ht="13.5" customHeight="1" x14ac:dyDescent="0.3">
      <c r="B22" s="87" t="s">
        <v>1691</v>
      </c>
      <c r="C22" s="87" t="s">
        <v>1692</v>
      </c>
      <c r="D22" s="88"/>
    </row>
    <row r="23" spans="1:4" ht="13.5" customHeight="1" x14ac:dyDescent="0.3">
      <c r="B23" s="87" t="s">
        <v>820</v>
      </c>
      <c r="C23" s="87" t="s">
        <v>1693</v>
      </c>
      <c r="D23" s="88"/>
    </row>
    <row r="24" spans="1:4" ht="27" customHeight="1" x14ac:dyDescent="0.3">
      <c r="B24" s="87" t="s">
        <v>1694</v>
      </c>
      <c r="C24" s="87" t="s">
        <v>1695</v>
      </c>
      <c r="D24" s="88"/>
    </row>
    <row r="25" spans="1:4" ht="13.5" customHeight="1" x14ac:dyDescent="0.3">
      <c r="B25" s="87" t="s">
        <v>1696</v>
      </c>
      <c r="C25" s="87" t="s">
        <v>1697</v>
      </c>
      <c r="D25" s="88"/>
    </row>
    <row r="26" spans="1:4" ht="27" customHeight="1" x14ac:dyDescent="0.3">
      <c r="B26" s="87" t="s">
        <v>1698</v>
      </c>
      <c r="C26" s="87" t="s">
        <v>1699</v>
      </c>
      <c r="D26" s="88"/>
    </row>
    <row r="27" spans="1:4" ht="27" customHeight="1" x14ac:dyDescent="0.3">
      <c r="B27" s="87" t="s">
        <v>1700</v>
      </c>
      <c r="C27" s="87" t="s">
        <v>1701</v>
      </c>
      <c r="D27" s="88"/>
    </row>
    <row r="29" spans="1:4" ht="15.6" x14ac:dyDescent="0.3">
      <c r="A29" s="84" t="s">
        <v>1702</v>
      </c>
      <c r="B29" s="83"/>
      <c r="C29" s="83"/>
      <c r="D29" s="83"/>
    </row>
    <row r="30" spans="1:4" ht="13.5" customHeight="1" x14ac:dyDescent="0.3">
      <c r="A30" s="89" t="s">
        <v>35</v>
      </c>
      <c r="B30" s="93" t="s">
        <v>1703</v>
      </c>
      <c r="C30" s="93"/>
      <c r="D30" s="90" t="s">
        <v>1704</v>
      </c>
    </row>
    <row r="31" spans="1:4" ht="27" customHeight="1" x14ac:dyDescent="0.3">
      <c r="A31" s="89" t="s">
        <v>36</v>
      </c>
      <c r="B31" s="93" t="s">
        <v>1705</v>
      </c>
      <c r="C31" s="93"/>
      <c r="D31" s="90" t="s">
        <v>1706</v>
      </c>
    </row>
    <row r="32" spans="1:4" ht="27" customHeight="1" x14ac:dyDescent="0.3">
      <c r="A32" s="89" t="s">
        <v>37</v>
      </c>
      <c r="B32" s="93" t="s">
        <v>1707</v>
      </c>
      <c r="C32" s="93"/>
    </row>
    <row r="33" spans="1:4" ht="27" customHeight="1" x14ac:dyDescent="0.3">
      <c r="A33" s="89" t="s">
        <v>809</v>
      </c>
      <c r="B33" s="93" t="s">
        <v>1708</v>
      </c>
      <c r="C33" s="93"/>
      <c r="D33" s="90" t="s">
        <v>1709</v>
      </c>
    </row>
    <row r="34" spans="1:4" ht="13.5" customHeight="1" x14ac:dyDescent="0.3">
      <c r="A34" s="89" t="s">
        <v>306</v>
      </c>
      <c r="B34" s="93" t="s">
        <v>1710</v>
      </c>
      <c r="C34" s="93"/>
      <c r="D34" s="90" t="s">
        <v>1711</v>
      </c>
    </row>
    <row r="35" spans="1:4" ht="13.5" customHeight="1" x14ac:dyDescent="0.3">
      <c r="A35" s="89" t="s">
        <v>810</v>
      </c>
      <c r="B35" s="93" t="s">
        <v>1712</v>
      </c>
      <c r="C35" s="93"/>
      <c r="D35" s="90" t="s">
        <v>1713</v>
      </c>
    </row>
    <row r="36" spans="1:4" ht="13.5" customHeight="1" x14ac:dyDescent="0.3">
      <c r="A36" s="89" t="s">
        <v>811</v>
      </c>
      <c r="B36" s="93" t="s">
        <v>1714</v>
      </c>
      <c r="C36" s="93"/>
    </row>
    <row r="37" spans="1:4" ht="27" customHeight="1" x14ac:dyDescent="0.3">
      <c r="A37" s="89" t="s">
        <v>812</v>
      </c>
      <c r="B37" s="93" t="s">
        <v>1715</v>
      </c>
      <c r="C37" s="93"/>
      <c r="D37" s="90" t="s">
        <v>1716</v>
      </c>
    </row>
    <row r="38" spans="1:4" ht="27" customHeight="1" x14ac:dyDescent="0.3">
      <c r="A38" s="89" t="s">
        <v>813</v>
      </c>
      <c r="B38" s="93" t="s">
        <v>1717</v>
      </c>
      <c r="C38" s="93"/>
      <c r="D38" s="90" t="s">
        <v>1718</v>
      </c>
    </row>
    <row r="39" spans="1:4" ht="27" customHeight="1" x14ac:dyDescent="0.3">
      <c r="A39" s="89" t="s">
        <v>814</v>
      </c>
      <c r="B39" s="93" t="s">
        <v>1719</v>
      </c>
      <c r="C39" s="93"/>
      <c r="D39" s="90" t="s">
        <v>1720</v>
      </c>
    </row>
    <row r="41" spans="1:4" ht="15.6" x14ac:dyDescent="0.3">
      <c r="A41" s="84" t="s">
        <v>1721</v>
      </c>
      <c r="B41" s="83"/>
      <c r="C41" s="83"/>
      <c r="D41" s="83"/>
    </row>
    <row r="42" spans="1:4" x14ac:dyDescent="0.3">
      <c r="B42" s="85" t="s">
        <v>1398</v>
      </c>
      <c r="C42" s="85" t="s">
        <v>1722</v>
      </c>
      <c r="D42" s="86"/>
    </row>
    <row r="43" spans="1:4" ht="13.5" customHeight="1" x14ac:dyDescent="0.3">
      <c r="B43" s="87" t="s">
        <v>4</v>
      </c>
      <c r="C43" s="87" t="s">
        <v>1723</v>
      </c>
      <c r="D43" s="88"/>
    </row>
    <row r="44" spans="1:4" ht="27" customHeight="1" x14ac:dyDescent="0.3">
      <c r="B44" s="87" t="s">
        <v>0</v>
      </c>
      <c r="C44" s="87" t="s">
        <v>1724</v>
      </c>
      <c r="D44" s="88"/>
    </row>
    <row r="45" spans="1:4" ht="13.5" customHeight="1" x14ac:dyDescent="0.3">
      <c r="B45" s="87" t="s">
        <v>6</v>
      </c>
      <c r="C45" s="87" t="s">
        <v>1725</v>
      </c>
      <c r="D45" s="88"/>
    </row>
    <row r="46" spans="1:4" ht="13.5" customHeight="1" x14ac:dyDescent="0.3">
      <c r="B46" s="87" t="s">
        <v>1726</v>
      </c>
      <c r="C46" s="87" t="s">
        <v>1727</v>
      </c>
      <c r="D46" s="88"/>
    </row>
    <row r="47" spans="1:4" ht="27" customHeight="1" x14ac:dyDescent="0.3">
      <c r="B47" s="87" t="s">
        <v>446</v>
      </c>
      <c r="C47" s="87" t="s">
        <v>1728</v>
      </c>
      <c r="D47" s="88"/>
    </row>
    <row r="48" spans="1:4" ht="27" customHeight="1" x14ac:dyDescent="0.3">
      <c r="B48" s="87" t="s">
        <v>808</v>
      </c>
      <c r="C48" s="87" t="s">
        <v>1729</v>
      </c>
      <c r="D48" s="88"/>
    </row>
    <row r="49" spans="1:4" ht="27" customHeight="1" x14ac:dyDescent="0.3">
      <c r="B49" s="87" t="s">
        <v>7</v>
      </c>
      <c r="C49" s="87" t="s">
        <v>1730</v>
      </c>
      <c r="D49" s="88"/>
    </row>
    <row r="50" spans="1:4" ht="27" customHeight="1" x14ac:dyDescent="0.3">
      <c r="B50" s="87" t="s">
        <v>848</v>
      </c>
      <c r="C50" s="87" t="s">
        <v>1731</v>
      </c>
      <c r="D50" s="88"/>
    </row>
    <row r="51" spans="1:4" ht="27" customHeight="1" x14ac:dyDescent="0.3">
      <c r="B51" s="87" t="s">
        <v>865</v>
      </c>
      <c r="C51" s="87" t="s">
        <v>1732</v>
      </c>
      <c r="D51" s="88"/>
    </row>
    <row r="52" spans="1:4" ht="13.5" customHeight="1" x14ac:dyDescent="0.3">
      <c r="B52" s="87" t="s">
        <v>552</v>
      </c>
      <c r="C52" s="87" t="s">
        <v>1733</v>
      </c>
      <c r="D52" s="88"/>
    </row>
    <row r="53" spans="1:4" ht="13.5" customHeight="1" x14ac:dyDescent="0.3">
      <c r="B53" s="87" t="s">
        <v>39</v>
      </c>
      <c r="C53" s="87" t="s">
        <v>1734</v>
      </c>
      <c r="D53" s="88"/>
    </row>
    <row r="54" spans="1:4" ht="13.5" customHeight="1" x14ac:dyDescent="0.3">
      <c r="B54" s="87" t="s">
        <v>448</v>
      </c>
      <c r="C54" s="87" t="s">
        <v>1735</v>
      </c>
      <c r="D54" s="88"/>
    </row>
    <row r="55" spans="1:4" ht="13.5" customHeight="1" x14ac:dyDescent="0.3">
      <c r="B55" s="87" t="s">
        <v>444</v>
      </c>
      <c r="C55" s="87" t="s">
        <v>1736</v>
      </c>
      <c r="D55" s="88"/>
    </row>
    <row r="56" spans="1:4" ht="27" customHeight="1" x14ac:dyDescent="0.3">
      <c r="B56" s="87" t="s">
        <v>1737</v>
      </c>
      <c r="C56" s="87" t="s">
        <v>1738</v>
      </c>
      <c r="D56" s="88"/>
    </row>
    <row r="58" spans="1:4" ht="15.6" x14ac:dyDescent="0.3">
      <c r="A58" s="84" t="s">
        <v>1739</v>
      </c>
      <c r="B58" s="83"/>
      <c r="C58" s="83"/>
      <c r="D58" s="83"/>
    </row>
    <row r="59" spans="1:4" ht="13.5" customHeight="1" x14ac:dyDescent="0.3">
      <c r="A59" s="93" t="s">
        <v>1740</v>
      </c>
      <c r="B59" s="93"/>
      <c r="C59" s="93"/>
      <c r="D59" s="93"/>
    </row>
    <row r="60" spans="1:4" ht="13.5" customHeight="1" x14ac:dyDescent="0.3">
      <c r="A60" s="93" t="s">
        <v>1741</v>
      </c>
      <c r="B60" s="93"/>
      <c r="C60" s="93"/>
      <c r="D60" s="93"/>
    </row>
    <row r="62" spans="1:4" ht="15.6" x14ac:dyDescent="0.3">
      <c r="A62" s="84" t="s">
        <v>1742</v>
      </c>
      <c r="B62" s="83"/>
      <c r="C62" s="83"/>
      <c r="D62" s="83"/>
    </row>
    <row r="63" spans="1:4" ht="13.5" customHeight="1" x14ac:dyDescent="0.3">
      <c r="A63" s="93" t="s">
        <v>1743</v>
      </c>
      <c r="B63" s="93"/>
      <c r="C63" s="93"/>
      <c r="D63" s="93"/>
    </row>
    <row r="64" spans="1:4" ht="27" customHeight="1" x14ac:dyDescent="0.3">
      <c r="B64" s="87" t="s">
        <v>1744</v>
      </c>
      <c r="C64" s="87" t="s">
        <v>1745</v>
      </c>
      <c r="D64" s="88"/>
    </row>
    <row r="65" spans="1:4" ht="27" customHeight="1" x14ac:dyDescent="0.3">
      <c r="B65" s="87" t="s">
        <v>1746</v>
      </c>
      <c r="C65" s="87" t="s">
        <v>1747</v>
      </c>
      <c r="D65" s="88"/>
    </row>
    <row r="67" spans="1:4" ht="15.6" x14ac:dyDescent="0.3">
      <c r="A67" s="84" t="s">
        <v>1748</v>
      </c>
      <c r="B67" s="83"/>
      <c r="C67" s="83"/>
      <c r="D67" s="83"/>
    </row>
    <row r="68" spans="1:4" ht="54" customHeight="1" x14ac:dyDescent="0.3">
      <c r="B68" s="87" t="s">
        <v>1749</v>
      </c>
      <c r="C68" s="87" t="s">
        <v>1750</v>
      </c>
      <c r="D68" s="88"/>
    </row>
    <row r="69" spans="1:4" ht="54" customHeight="1" x14ac:dyDescent="0.3">
      <c r="B69" s="87" t="s">
        <v>821</v>
      </c>
      <c r="C69" s="87" t="s">
        <v>1751</v>
      </c>
      <c r="D69" s="88"/>
    </row>
    <row r="70" spans="1:4" ht="40.5" customHeight="1" x14ac:dyDescent="0.3">
      <c r="B70" s="87" t="s">
        <v>1752</v>
      </c>
      <c r="C70" s="87" t="s">
        <v>1753</v>
      </c>
      <c r="D70" s="88"/>
    </row>
    <row r="71" spans="1:4" ht="40.5" customHeight="1" x14ac:dyDescent="0.3">
      <c r="B71" s="87" t="s">
        <v>1754</v>
      </c>
      <c r="C71" s="87" t="s">
        <v>1755</v>
      </c>
      <c r="D71" s="88"/>
    </row>
    <row r="73" spans="1:4" ht="15.6" x14ac:dyDescent="0.3">
      <c r="A73" s="84" t="s">
        <v>1756</v>
      </c>
      <c r="B73" s="83"/>
      <c r="C73" s="83"/>
      <c r="D73" s="83"/>
    </row>
    <row r="74" spans="1:4" ht="13.5" customHeight="1" x14ac:dyDescent="0.3">
      <c r="A74" s="89" t="s">
        <v>35</v>
      </c>
      <c r="B74" s="93" t="s">
        <v>1757</v>
      </c>
      <c r="C74" s="93"/>
    </row>
    <row r="75" spans="1:4" ht="13.5" customHeight="1" x14ac:dyDescent="0.3">
      <c r="A75" s="89" t="s">
        <v>36</v>
      </c>
      <c r="B75" s="93" t="s">
        <v>1758</v>
      </c>
      <c r="C75" s="93"/>
    </row>
    <row r="76" spans="1:4" ht="27" customHeight="1" x14ac:dyDescent="0.3">
      <c r="A76" s="89" t="s">
        <v>37</v>
      </c>
      <c r="B76" s="93" t="s">
        <v>1759</v>
      </c>
      <c r="C76" s="93"/>
    </row>
    <row r="77" spans="1:4" ht="27" customHeight="1" x14ac:dyDescent="0.3">
      <c r="A77" s="89" t="s">
        <v>809</v>
      </c>
      <c r="B77" s="93" t="s">
        <v>1760</v>
      </c>
      <c r="C77" s="93"/>
    </row>
    <row r="79" spans="1:4" ht="15.6" x14ac:dyDescent="0.3">
      <c r="A79" s="84" t="s">
        <v>1761</v>
      </c>
      <c r="B79" s="83"/>
      <c r="C79" s="83"/>
      <c r="D79" s="83"/>
    </row>
    <row r="80" spans="1:4" ht="67.5" customHeight="1" x14ac:dyDescent="0.3">
      <c r="B80" s="87" t="s">
        <v>1762</v>
      </c>
      <c r="C80" s="87" t="s">
        <v>1763</v>
      </c>
      <c r="D80" s="88"/>
    </row>
    <row r="81" spans="1:4" ht="54" customHeight="1" x14ac:dyDescent="0.3">
      <c r="B81" s="87" t="s">
        <v>1764</v>
      </c>
      <c r="C81" s="87" t="s">
        <v>1765</v>
      </c>
      <c r="D81" s="88"/>
    </row>
    <row r="82" spans="1:4" ht="40.5" customHeight="1" x14ac:dyDescent="0.3">
      <c r="B82" s="87" t="s">
        <v>1766</v>
      </c>
      <c r="C82" s="87" t="s">
        <v>1767</v>
      </c>
      <c r="D82" s="88"/>
    </row>
    <row r="83" spans="1:4" ht="13.5" customHeight="1" x14ac:dyDescent="0.3">
      <c r="B83" s="87" t="s">
        <v>1768</v>
      </c>
      <c r="C83" s="87" t="s">
        <v>1769</v>
      </c>
      <c r="D83" s="88"/>
    </row>
    <row r="84" spans="1:4" ht="40.5" customHeight="1" x14ac:dyDescent="0.3">
      <c r="B84" s="87" t="s">
        <v>1770</v>
      </c>
      <c r="C84" s="87" t="s">
        <v>1771</v>
      </c>
      <c r="D84" s="88"/>
    </row>
    <row r="85" spans="1:4" ht="67.5" customHeight="1" x14ac:dyDescent="0.3">
      <c r="B85" s="87" t="s">
        <v>1696</v>
      </c>
      <c r="C85" s="87" t="s">
        <v>1772</v>
      </c>
      <c r="D85" s="88"/>
    </row>
    <row r="87" spans="1:4" ht="15.6" x14ac:dyDescent="0.3">
      <c r="A87" s="84" t="s">
        <v>1773</v>
      </c>
      <c r="B87" s="83"/>
      <c r="C87" s="83"/>
      <c r="D87" s="83"/>
    </row>
    <row r="88" spans="1:4" ht="13.5" customHeight="1" x14ac:dyDescent="0.3">
      <c r="A88" s="93" t="s">
        <v>1774</v>
      </c>
      <c r="B88" s="93"/>
      <c r="C88" s="93"/>
      <c r="D88" s="93"/>
    </row>
    <row r="90" spans="1:4" ht="15.6" x14ac:dyDescent="0.3">
      <c r="A90" s="84" t="s">
        <v>1775</v>
      </c>
      <c r="B90" s="83"/>
      <c r="C90" s="83"/>
      <c r="D90" s="83"/>
    </row>
    <row r="91" spans="1:4" ht="40.5" customHeight="1" x14ac:dyDescent="0.3">
      <c r="B91" s="87" t="s">
        <v>7</v>
      </c>
      <c r="C91" s="87" t="s">
        <v>1776</v>
      </c>
      <c r="D91" s="88"/>
    </row>
    <row r="92" spans="1:4" ht="40.5" customHeight="1" x14ac:dyDescent="0.3">
      <c r="B92" s="87" t="s">
        <v>3</v>
      </c>
      <c r="C92" s="87" t="s">
        <v>1777</v>
      </c>
      <c r="D92" s="88"/>
    </row>
    <row r="93" spans="1:4" ht="40.5" customHeight="1" x14ac:dyDescent="0.3">
      <c r="B93" s="87" t="s">
        <v>448</v>
      </c>
      <c r="C93" s="87" t="s">
        <v>1778</v>
      </c>
      <c r="D93" s="88"/>
    </row>
    <row r="94" spans="1:4" ht="27" customHeight="1" x14ac:dyDescent="0.3">
      <c r="B94" s="87" t="s">
        <v>1779</v>
      </c>
      <c r="C94" s="87" t="s">
        <v>1780</v>
      </c>
      <c r="D94" s="88"/>
    </row>
    <row r="95" spans="1:4" ht="40.5" customHeight="1" x14ac:dyDescent="0.3">
      <c r="B95" s="87" t="s">
        <v>1781</v>
      </c>
      <c r="C95" s="87" t="s">
        <v>1782</v>
      </c>
      <c r="D95" s="88"/>
    </row>
    <row r="96" spans="1:4" ht="27" customHeight="1" x14ac:dyDescent="0.3">
      <c r="B96" s="87" t="s">
        <v>1783</v>
      </c>
      <c r="C96" s="87" t="s">
        <v>1784</v>
      </c>
      <c r="D96" s="88"/>
    </row>
    <row r="97" spans="1:4" ht="27" customHeight="1" x14ac:dyDescent="0.3">
      <c r="B97" s="87" t="s">
        <v>1785</v>
      </c>
      <c r="C97" s="87" t="s">
        <v>1786</v>
      </c>
      <c r="D97" s="88"/>
    </row>
    <row r="98" spans="1:4" ht="13.5" customHeight="1" x14ac:dyDescent="0.3">
      <c r="B98" s="87" t="s">
        <v>6</v>
      </c>
      <c r="C98" s="87" t="s">
        <v>1787</v>
      </c>
      <c r="D98" s="88"/>
    </row>
    <row r="99" spans="1:4" ht="13.5" customHeight="1" x14ac:dyDescent="0.3">
      <c r="A99" s="96" t="s">
        <v>1788</v>
      </c>
      <c r="B99" s="96"/>
      <c r="C99" s="96"/>
      <c r="D99" s="96"/>
    </row>
    <row r="101" spans="1:4" ht="15.6" x14ac:dyDescent="0.3">
      <c r="A101" s="84" t="s">
        <v>1789</v>
      </c>
      <c r="B101" s="83"/>
      <c r="C101" s="83"/>
      <c r="D101" s="83"/>
    </row>
    <row r="102" spans="1:4" ht="13.5" customHeight="1" x14ac:dyDescent="0.3">
      <c r="A102" s="93" t="s">
        <v>1790</v>
      </c>
      <c r="B102" s="93"/>
      <c r="C102" s="93"/>
      <c r="D102" s="93"/>
    </row>
    <row r="103" spans="1:4" ht="13.5" customHeight="1" x14ac:dyDescent="0.3">
      <c r="A103" s="95" t="s">
        <v>1791</v>
      </c>
      <c r="B103" s="95"/>
      <c r="C103" s="95"/>
      <c r="D103" s="95"/>
    </row>
    <row r="105" spans="1:4" ht="15.6" x14ac:dyDescent="0.3">
      <c r="A105" s="84" t="s">
        <v>1792</v>
      </c>
      <c r="B105" s="83"/>
      <c r="C105" s="83"/>
      <c r="D105" s="83"/>
    </row>
    <row r="106" spans="1:4" ht="13.5" customHeight="1" x14ac:dyDescent="0.3">
      <c r="A106" s="93" t="s">
        <v>1793</v>
      </c>
      <c r="B106" s="93"/>
      <c r="C106" s="93"/>
      <c r="D106" s="93"/>
    </row>
  </sheetData>
  <mergeCells count="24">
    <mergeCell ref="B77:C77"/>
    <mergeCell ref="A88:D88"/>
    <mergeCell ref="A99:D99"/>
    <mergeCell ref="A102:D102"/>
    <mergeCell ref="A103:D103"/>
    <mergeCell ref="A106:D106"/>
    <mergeCell ref="A59:D59"/>
    <mergeCell ref="A60:D60"/>
    <mergeCell ref="A63:D63"/>
    <mergeCell ref="B74:C74"/>
    <mergeCell ref="B75:C75"/>
    <mergeCell ref="B76:C76"/>
    <mergeCell ref="B34:C34"/>
    <mergeCell ref="B35:C35"/>
    <mergeCell ref="B36:C36"/>
    <mergeCell ref="B37:C37"/>
    <mergeCell ref="B38:C38"/>
    <mergeCell ref="B39:C39"/>
    <mergeCell ref="A2:D2"/>
    <mergeCell ref="A3:D3"/>
    <mergeCell ref="B30:C30"/>
    <mergeCell ref="B31:C31"/>
    <mergeCell ref="B32:C32"/>
    <mergeCell ref="B33:C33"/>
  </mergeCells>
  <hyperlinks>
    <hyperlink ref="D30" location="Объект!C3" display="Объект!C3" xr:uid="{FED040B1-22B9-447A-8F84-E3EA3A3A43BF}"/>
    <hyperlink ref="D31" location="Щиты!A13" display="Щиты!A13" xr:uid="{06BB6A90-1CA1-4180-98A6-3099BA74CAE5}"/>
    <hyperlink ref="D33" location="Линии!B3" display="Линии!B3" xr:uid="{1B65A222-E371-41E9-8EB5-0F5E806E31C4}"/>
    <hyperlink ref="D34" location="Проверка!A1" display="Проверка!A1" xr:uid="{E964BCF7-159A-4F26-8DF1-4A3788D5CA8B}"/>
    <hyperlink ref="D35" location="Щит!C3" display="Щит!C3" xr:uid="{9F51C2B7-00DC-4874-8129-B99958341A38}"/>
    <hyperlink ref="D37" location="Спецификация!M2" display="Спецификация!M2" xr:uid="{8548500A-0522-4D0C-9DC7-3E320AEAFC46}"/>
    <hyperlink ref="D38" location="Щит!L1" display="Щит!L1" xr:uid="{056CCEFB-D563-47A8-956E-ABC2BA63EB24}"/>
    <hyperlink ref="D39" location="Изменения!B4" display="Изменения!B4" xr:uid="{069B1B5E-A50D-469A-8EB2-69B915D0678B}"/>
  </hyperlinks>
  <pageMargins left="0.7" right="0.7" top="0.75" bottom="0.75" header="0.3" footer="0.3"/>
  <pageSetup paperSize="9" fitToHeight="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13D7B-B5F4-4ABF-85D4-8AFD6CD90EDB}">
  <sheetPr codeName="Лист2">
    <tabColor rgb="FFFF0000"/>
  </sheetPr>
  <dimension ref="A1:H10"/>
  <sheetViews>
    <sheetView workbookViewId="0"/>
  </sheetViews>
  <sheetFormatPr defaultRowHeight="14.4" x14ac:dyDescent="0.3"/>
  <cols>
    <col min="1" max="1" width="12.77734375" customWidth="1"/>
    <col min="2" max="2" width="70.77734375" style="4" customWidth="1"/>
    <col min="4" max="4" width="12.77734375" customWidth="1"/>
    <col min="5" max="5" width="16.77734375" customWidth="1"/>
    <col min="6" max="6" width="40.77734375" customWidth="1"/>
    <col min="7" max="7" width="70.77734375" style="4" customWidth="1"/>
    <col min="8" max="8" width="8.77734375" customWidth="1"/>
  </cols>
  <sheetData>
    <row r="1" spans="1:8" ht="18" x14ac:dyDescent="0.35">
      <c r="A1" s="112" t="s">
        <v>1381</v>
      </c>
    </row>
    <row r="2" spans="1:8" x14ac:dyDescent="0.3">
      <c r="A2" t="str">
        <f>"Замечаний: щиты — "&amp;COUNTIF(Щиты[Замечания щита],"?*")&amp;", линии — "&amp;COUNTIF(Линии[Замечания],"?*")&amp;". Методика: "&amp;Методика</f>
        <v>Замечаний: щиты — 0, линии — 5. Методика: нормы 2026</v>
      </c>
    </row>
    <row r="4" spans="1:8" x14ac:dyDescent="0.3">
      <c r="A4" s="121" t="s">
        <v>4</v>
      </c>
      <c r="B4" s="123" t="s">
        <v>895</v>
      </c>
      <c r="D4" s="121" t="s">
        <v>4</v>
      </c>
      <c r="E4" s="121" t="s">
        <v>0</v>
      </c>
      <c r="F4" s="121" t="s">
        <v>6</v>
      </c>
      <c r="G4" s="123" t="s">
        <v>956</v>
      </c>
      <c r="H4" s="121" t="s">
        <v>1382</v>
      </c>
    </row>
    <row r="5" spans="1:8" ht="28.8" x14ac:dyDescent="0.3">
      <c r="A5" t="str" cm="1">
        <f t="array" ref="A5">_xlfn._xlws.FILTER(_xlfn.HSTACK(Щиты[Щит],Щиты[Замечания щита]),Щиты[Замечания щита]&lt;&gt;"","замечаний нет")</f>
        <v>замечаний нет</v>
      </c>
      <c r="D5" t="str" cm="1">
        <f t="array" ref="D5:H9">_xlfn._xlws.FILTER(_xlfn.HSTACK(Линии[Щит],Линии[Номер линии],Линии[Наименование (итог)],Линии[Замечания],HYPERLINK("#'Линии'!B"&amp;(Линии[_n]+2),"→")),Линии[Замечания]&lt;&gt;"","замечаний нет")</f>
        <v>ВРУ</v>
      </c>
      <c r="E5" t="str">
        <v>LD.0.003.1</v>
      </c>
      <c r="F5" t="str">
        <v>Питание подсветок, пом. 003</v>
      </c>
      <c r="G5" s="4" t="str">
        <v>не на схеме</v>
      </c>
      <c r="H5" t="str">
        <v>→</v>
      </c>
    </row>
    <row r="6" spans="1:8" ht="28.8" x14ac:dyDescent="0.3">
      <c r="D6" t="str">
        <v>ЩБП</v>
      </c>
      <c r="E6" t="str">
        <v>LD.1.01.1</v>
      </c>
      <c r="F6" t="str">
        <v>LED-лента 24 В, пом. 01</v>
      </c>
      <c r="G6" s="4" t="str">
        <v>БП 480 Вт &lt; нужно 633 Вт (×1,3)</v>
      </c>
      <c r="H6" t="str">
        <v>→</v>
      </c>
    </row>
    <row r="7" spans="1:8" ht="28.8" x14ac:dyDescent="0.3">
      <c r="D7" t="str">
        <v>ЩБП</v>
      </c>
      <c r="E7" t="str">
        <v>LD.1.03.1</v>
      </c>
      <c r="F7" t="str">
        <v>LED-лента 24 В, пом. 03</v>
      </c>
      <c r="G7" s="4" t="str">
        <v>Di.1 канал 4: 6,3 А &gt; 5 А</v>
      </c>
      <c r="H7" t="str">
        <v>→</v>
      </c>
    </row>
    <row r="8" spans="1:8" ht="28.8" x14ac:dyDescent="0.3">
      <c r="D8" t="str">
        <v>ЩБП</v>
      </c>
      <c r="E8" t="str">
        <v>LD.1.04.1</v>
      </c>
      <c r="F8" t="str">
        <v>LED-подсветка ниши, пом. 04</v>
      </c>
      <c r="G8" s="4" t="str">
        <v>БП 75 Вт &lt; нужно 121 Вт (×1,3)</v>
      </c>
      <c r="H8" t="str">
        <v>→</v>
      </c>
    </row>
    <row r="9" spans="1:8" ht="28.8" x14ac:dyDescent="0.3">
      <c r="D9" t="str">
        <v>ЩР-1</v>
      </c>
      <c r="E9" t="str">
        <v>R.1.03.1</v>
      </c>
      <c r="F9" t="str">
        <v>Розетки ванной (дифзащита 10 мА)</v>
      </c>
      <c r="G9" s="4" t="str">
        <v>ток утечки 3,8 мА &gt; 1/3 уставки (10 мА)</v>
      </c>
      <c r="H9" t="str">
        <v>→</v>
      </c>
    </row>
    <row r="10" spans="1:8" ht="28.8"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SX_RepairFormulas">
                <anchor>
                  <from>
                    <xdr:col>2</xdr:col>
                    <xdr:colOff>601980</xdr:colOff>
                    <xdr:row>0</xdr:row>
                    <xdr:rowOff>45720</xdr:rowOff>
                  </from>
                  <to>
                    <xdr:col>4</xdr:col>
                    <xdr:colOff>769620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7E220-75BE-4CB4-BE32-49EA5E38B917}">
  <sheetPr codeName="Лист3">
    <tabColor rgb="FFFFF2CC"/>
  </sheetPr>
  <dimension ref="B1:N37"/>
  <sheetViews>
    <sheetView workbookViewId="0"/>
  </sheetViews>
  <sheetFormatPr defaultRowHeight="14.4" x14ac:dyDescent="0.3"/>
  <cols>
    <col min="2" max="2" width="42.77734375" customWidth="1"/>
    <col min="3" max="3" width="22.77734375" customWidth="1"/>
    <col min="4" max="4" width="60.77734375" customWidth="1"/>
    <col min="6" max="6" width="16.77734375" customWidth="1"/>
    <col min="7" max="7" width="20.77734375" customWidth="1"/>
    <col min="9" max="9" width="14.77734375" customWidth="1"/>
    <col min="10" max="10" width="16.77734375" customWidth="1"/>
    <col min="11" max="11" width="18.77734375" customWidth="1"/>
  </cols>
  <sheetData>
    <row r="1" spans="2:11" ht="18" x14ac:dyDescent="0.35">
      <c r="B1" s="112" t="s">
        <v>822</v>
      </c>
      <c r="I1" s="36" t="s">
        <v>847</v>
      </c>
    </row>
    <row r="2" spans="2:11" x14ac:dyDescent="0.3">
      <c r="F2" s="36" t="s">
        <v>853</v>
      </c>
      <c r="G2" s="36" t="s">
        <v>854</v>
      </c>
      <c r="I2" t="s">
        <v>848</v>
      </c>
      <c r="J2" t="s">
        <v>489</v>
      </c>
      <c r="K2" t="s">
        <v>849</v>
      </c>
    </row>
    <row r="3" spans="2:11" x14ac:dyDescent="0.3">
      <c r="B3" t="s">
        <v>823</v>
      </c>
      <c r="C3" s="113"/>
      <c r="D3" t="s">
        <v>824</v>
      </c>
      <c r="F3" s="113">
        <v>1</v>
      </c>
      <c r="G3" s="113">
        <v>1</v>
      </c>
      <c r="I3" t="s">
        <v>524</v>
      </c>
      <c r="J3" t="s">
        <v>310</v>
      </c>
      <c r="K3">
        <v>1</v>
      </c>
    </row>
    <row r="4" spans="2:11" x14ac:dyDescent="0.3">
      <c r="B4" t="s">
        <v>825</v>
      </c>
      <c r="C4" s="113">
        <v>2.63E-2</v>
      </c>
      <c r="D4" t="s">
        <v>826</v>
      </c>
      <c r="F4" s="113">
        <v>2</v>
      </c>
      <c r="G4" s="113">
        <v>1</v>
      </c>
      <c r="I4" t="s">
        <v>850</v>
      </c>
      <c r="J4" t="s">
        <v>311</v>
      </c>
      <c r="K4">
        <v>1</v>
      </c>
    </row>
    <row r="5" spans="2:11" x14ac:dyDescent="0.3">
      <c r="B5" t="s">
        <v>827</v>
      </c>
      <c r="C5" s="113">
        <v>4.2000000000000003E-2</v>
      </c>
      <c r="D5" t="s">
        <v>755</v>
      </c>
      <c r="F5" s="113">
        <v>3</v>
      </c>
      <c r="G5" s="113">
        <v>0.9</v>
      </c>
      <c r="I5" t="s">
        <v>230</v>
      </c>
      <c r="J5" t="s">
        <v>313</v>
      </c>
      <c r="K5">
        <v>0</v>
      </c>
    </row>
    <row r="6" spans="2:11" x14ac:dyDescent="0.3">
      <c r="B6" t="s">
        <v>828</v>
      </c>
      <c r="C6" s="113">
        <v>1.4999999999999999E-2</v>
      </c>
      <c r="D6" t="s">
        <v>829</v>
      </c>
      <c r="F6" s="113">
        <v>5</v>
      </c>
      <c r="G6" s="113">
        <v>0.8</v>
      </c>
      <c r="I6" t="s">
        <v>851</v>
      </c>
      <c r="J6" t="s">
        <v>310</v>
      </c>
      <c r="K6">
        <v>2</v>
      </c>
    </row>
    <row r="7" spans="2:11" x14ac:dyDescent="0.3">
      <c r="B7" t="s">
        <v>830</v>
      </c>
      <c r="C7" s="113">
        <v>0.95</v>
      </c>
      <c r="D7" t="s">
        <v>831</v>
      </c>
      <c r="F7" s="113">
        <v>8</v>
      </c>
      <c r="G7" s="113">
        <v>0.75</v>
      </c>
      <c r="I7" t="s">
        <v>852</v>
      </c>
      <c r="J7" t="s">
        <v>499</v>
      </c>
      <c r="K7">
        <v>1</v>
      </c>
    </row>
    <row r="8" spans="2:11" x14ac:dyDescent="0.3">
      <c r="B8" t="s">
        <v>832</v>
      </c>
      <c r="C8" s="113" t="s">
        <v>833</v>
      </c>
      <c r="D8" t="s">
        <v>834</v>
      </c>
      <c r="F8" s="113">
        <v>10</v>
      </c>
      <c r="G8" s="113">
        <v>0.7</v>
      </c>
    </row>
    <row r="9" spans="2:11" x14ac:dyDescent="0.3">
      <c r="B9" t="s">
        <v>835</v>
      </c>
      <c r="C9" s="113">
        <v>1</v>
      </c>
      <c r="D9" t="s">
        <v>836</v>
      </c>
      <c r="F9" s="113">
        <v>15</v>
      </c>
      <c r="G9" s="113">
        <v>0.65</v>
      </c>
    </row>
    <row r="10" spans="2:11" x14ac:dyDescent="0.3">
      <c r="B10" t="s">
        <v>152</v>
      </c>
      <c r="C10" s="113" t="s">
        <v>837</v>
      </c>
      <c r="D10" t="s">
        <v>838</v>
      </c>
      <c r="F10" s="113">
        <v>20</v>
      </c>
      <c r="G10" s="113">
        <v>0.65</v>
      </c>
    </row>
    <row r="11" spans="2:11" x14ac:dyDescent="0.3">
      <c r="B11" t="s">
        <v>839</v>
      </c>
      <c r="C11" s="113" t="s">
        <v>497</v>
      </c>
      <c r="D11" t="s">
        <v>840</v>
      </c>
      <c r="F11" s="113">
        <v>30</v>
      </c>
      <c r="G11" s="113">
        <v>0.6</v>
      </c>
    </row>
    <row r="12" spans="2:11" x14ac:dyDescent="0.3">
      <c r="B12" t="s">
        <v>841</v>
      </c>
      <c r="C12" s="113" t="s">
        <v>13</v>
      </c>
      <c r="D12" t="s">
        <v>842</v>
      </c>
      <c r="F12" s="113">
        <v>50</v>
      </c>
      <c r="G12" s="113">
        <v>0.55000000000000004</v>
      </c>
    </row>
    <row r="13" spans="2:11" x14ac:dyDescent="0.3">
      <c r="B13" t="s">
        <v>843</v>
      </c>
      <c r="C13" s="113">
        <v>1.3</v>
      </c>
      <c r="D13" t="s">
        <v>844</v>
      </c>
      <c r="F13" s="113">
        <v>100</v>
      </c>
      <c r="G13" s="113">
        <v>0.55000000000000004</v>
      </c>
    </row>
    <row r="14" spans="2:11" x14ac:dyDescent="0.3">
      <c r="B14" t="s">
        <v>845</v>
      </c>
      <c r="C14" s="113">
        <v>5</v>
      </c>
      <c r="D14" t="s">
        <v>846</v>
      </c>
      <c r="F14" s="113">
        <v>200</v>
      </c>
      <c r="G14" s="113">
        <v>0.5</v>
      </c>
    </row>
    <row r="16" spans="2:11" x14ac:dyDescent="0.3">
      <c r="B16" s="36" t="s">
        <v>1261</v>
      </c>
    </row>
    <row r="17" spans="2:14" x14ac:dyDescent="0.3">
      <c r="B17" t="s">
        <v>803</v>
      </c>
      <c r="C17" s="113">
        <v>0.75</v>
      </c>
    </row>
    <row r="18" spans="2:14" x14ac:dyDescent="0.3">
      <c r="B18" t="s">
        <v>1262</v>
      </c>
      <c r="C18" s="113">
        <v>0.9</v>
      </c>
    </row>
    <row r="19" spans="2:14" x14ac:dyDescent="0.3">
      <c r="B19" t="s">
        <v>1263</v>
      </c>
      <c r="C19" s="113">
        <v>15</v>
      </c>
      <c r="D19" t="s">
        <v>805</v>
      </c>
    </row>
    <row r="20" spans="2:14" x14ac:dyDescent="0.3">
      <c r="B20" t="s">
        <v>1264</v>
      </c>
      <c r="C20" s="113">
        <v>240</v>
      </c>
      <c r="D20" t="s">
        <v>154</v>
      </c>
    </row>
    <row r="21" spans="2:14" x14ac:dyDescent="0.3">
      <c r="B21" t="s">
        <v>806</v>
      </c>
      <c r="C21" s="113">
        <v>0.95</v>
      </c>
    </row>
    <row r="22" spans="2:14" x14ac:dyDescent="0.3">
      <c r="B22" t="s">
        <v>1265</v>
      </c>
      <c r="C22" s="113">
        <v>0.8</v>
      </c>
    </row>
    <row r="23" spans="2:14" x14ac:dyDescent="0.3">
      <c r="B23" t="s">
        <v>1266</v>
      </c>
      <c r="C23" s="113">
        <v>0.1</v>
      </c>
    </row>
    <row r="24" spans="2:14" x14ac:dyDescent="0.3">
      <c r="B24" t="s">
        <v>1267</v>
      </c>
      <c r="C24" s="113">
        <v>0.95</v>
      </c>
    </row>
    <row r="26" spans="2:14" x14ac:dyDescent="0.3">
      <c r="B26" t="s">
        <v>1268</v>
      </c>
      <c r="C26" s="113">
        <v>6</v>
      </c>
      <c r="D26" s="113">
        <v>10</v>
      </c>
      <c r="E26" s="113">
        <v>15</v>
      </c>
      <c r="F26" s="113">
        <v>20</v>
      </c>
      <c r="G26" s="113">
        <v>30</v>
      </c>
      <c r="H26" s="113">
        <v>40</v>
      </c>
      <c r="I26" s="113">
        <v>60</v>
      </c>
      <c r="J26" s="113">
        <v>80</v>
      </c>
      <c r="K26" s="113">
        <v>100</v>
      </c>
      <c r="L26" s="113">
        <v>120</v>
      </c>
      <c r="M26" s="113">
        <v>160</v>
      </c>
      <c r="N26" s="113">
        <v>200</v>
      </c>
    </row>
    <row r="28" spans="2:14" ht="15.6" x14ac:dyDescent="0.3">
      <c r="B28" s="150" t="s">
        <v>2251</v>
      </c>
      <c r="C28" s="151"/>
      <c r="D28" s="151"/>
    </row>
    <row r="29" spans="2:14" ht="15" customHeight="1" x14ac:dyDescent="0.3">
      <c r="B29" s="138" t="s">
        <v>2252</v>
      </c>
      <c r="C29" s="138"/>
      <c r="D29" s="138"/>
    </row>
    <row r="30" spans="2:14" ht="45" customHeight="1" x14ac:dyDescent="0.3">
      <c r="B30" s="138" t="s">
        <v>2253</v>
      </c>
      <c r="C30" s="138"/>
      <c r="D30" s="138"/>
    </row>
    <row r="31" spans="2:14" ht="15" customHeight="1" x14ac:dyDescent="0.3">
      <c r="B31" s="138" t="s">
        <v>2254</v>
      </c>
      <c r="C31" s="138"/>
      <c r="D31" s="138"/>
    </row>
    <row r="32" spans="2:14" ht="30" customHeight="1" x14ac:dyDescent="0.3">
      <c r="B32" s="138" t="s">
        <v>2255</v>
      </c>
      <c r="C32" s="138"/>
      <c r="D32" s="138"/>
    </row>
    <row r="33" spans="2:4" ht="30" customHeight="1" x14ac:dyDescent="0.3">
      <c r="B33" s="138" t="s">
        <v>2256</v>
      </c>
      <c r="C33" s="138"/>
      <c r="D33" s="138"/>
    </row>
    <row r="34" spans="2:4" ht="15" customHeight="1" x14ac:dyDescent="0.3">
      <c r="B34" s="138" t="s">
        <v>2257</v>
      </c>
      <c r="C34" s="138"/>
      <c r="D34" s="138"/>
    </row>
    <row r="35" spans="2:4" ht="30" customHeight="1" x14ac:dyDescent="0.3">
      <c r="B35" s="138" t="s">
        <v>2258</v>
      </c>
      <c r="C35" s="138"/>
      <c r="D35" s="138"/>
    </row>
    <row r="36" spans="2:4" ht="30" customHeight="1" x14ac:dyDescent="0.3">
      <c r="B36" s="138" t="s">
        <v>2259</v>
      </c>
      <c r="C36" s="138"/>
      <c r="D36" s="138"/>
    </row>
    <row r="37" spans="2:4" ht="15" customHeight="1" x14ac:dyDescent="0.3">
      <c r="B37" s="138" t="s">
        <v>2260</v>
      </c>
      <c r="C37" s="138"/>
      <c r="D37" s="138"/>
    </row>
  </sheetData>
  <mergeCells count="9">
    <mergeCell ref="B35:D35"/>
    <mergeCell ref="B36:D36"/>
    <mergeCell ref="B37:D37"/>
    <mergeCell ref="B29:D29"/>
    <mergeCell ref="B30:D30"/>
    <mergeCell ref="B31:D31"/>
    <mergeCell ref="B32:D32"/>
    <mergeCell ref="B33:D33"/>
    <mergeCell ref="B34:D34"/>
  </mergeCells>
  <dataValidations count="3">
    <dataValidation type="list" allowBlank="1" showInputMessage="1" sqref="C8" xr:uid="{DBA2174B-B7DB-4D80-9984-3B0319A12397}">
      <formula1>"v3.12,нормы 2026"</formula1>
    </dataValidation>
    <dataValidation type="list" allowBlank="1" showInputMessage="1" sqref="C10" xr:uid="{BA45D242-4E11-46FC-86BF-BCDD56A22473}">
      <formula1>"по коду и № помещения,по экспликации"</formula1>
    </dataValidation>
    <dataValidation type="list" allowBlank="1" showInputMessage="1" sqref="C11" xr:uid="{086F40DA-6E09-4E53-826A-FAAC8752D316}">
      <formula1>"да,нет"</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xr:uid="{1CC6CF40-FE0B-45D5-809D-10B6AB6D8F66}">
          <x14:formula1>
            <xm:f>Каталог!$AB$4:$AB$100</xm:f>
          </x14:formula1>
          <xm:sqref>J3:J7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72D83-FDD1-42ED-9B3E-F1BED80C12A1}">
  <sheetPr codeName="Лист4">
    <tabColor rgb="FFFFF2CC"/>
  </sheetPr>
  <dimension ref="A1:CC19"/>
  <sheetViews>
    <sheetView workbookViewId="0"/>
  </sheetViews>
  <sheetFormatPr defaultColWidth="11.77734375" defaultRowHeight="14.4" outlineLevelCol="1" x14ac:dyDescent="0.3"/>
  <cols>
    <col min="31" max="77" width="0" hidden="1" customWidth="1" outlineLevel="1"/>
    <col min="78" max="78" width="11.77734375" collapsed="1"/>
  </cols>
  <sheetData>
    <row r="1" spans="1:81" s="92" customFormat="1" ht="15.6" x14ac:dyDescent="0.3">
      <c r="B1" s="150" t="s">
        <v>2261</v>
      </c>
      <c r="C1" s="151"/>
      <c r="D1" s="151"/>
      <c r="E1" s="151"/>
      <c r="F1" s="151"/>
      <c r="G1" s="151"/>
      <c r="H1" s="151"/>
      <c r="I1" s="151"/>
      <c r="J1" s="151"/>
      <c r="K1" s="151"/>
      <c r="L1" s="151"/>
      <c r="M1" s="151"/>
    </row>
    <row r="2" spans="1:81" s="92" customFormat="1" ht="30" customHeight="1" x14ac:dyDescent="0.3">
      <c r="B2" s="138" t="s">
        <v>2262</v>
      </c>
      <c r="C2" s="138"/>
      <c r="D2" s="138"/>
      <c r="E2" s="138"/>
      <c r="F2" s="138"/>
      <c r="G2" s="138"/>
      <c r="H2" s="138"/>
      <c r="I2" s="138"/>
      <c r="J2" s="138"/>
      <c r="K2" s="138"/>
      <c r="L2" s="138"/>
      <c r="M2" s="138"/>
    </row>
    <row r="3" spans="1:81" s="92" customFormat="1" ht="30" customHeight="1" x14ac:dyDescent="0.3">
      <c r="B3" s="138" t="s">
        <v>2263</v>
      </c>
      <c r="C3" s="138"/>
      <c r="D3" s="138"/>
      <c r="E3" s="138"/>
      <c r="F3" s="138"/>
      <c r="G3" s="138"/>
      <c r="H3" s="138"/>
      <c r="I3" s="138"/>
      <c r="J3" s="138"/>
      <c r="K3" s="138"/>
      <c r="L3" s="138"/>
      <c r="M3" s="138"/>
    </row>
    <row r="4" spans="1:81" s="92" customFormat="1" ht="30" customHeight="1" x14ac:dyDescent="0.3">
      <c r="B4" s="138" t="s">
        <v>2264</v>
      </c>
      <c r="C4" s="138"/>
      <c r="D4" s="138"/>
      <c r="E4" s="138"/>
      <c r="F4" s="138"/>
      <c r="G4" s="138"/>
      <c r="H4" s="138"/>
      <c r="I4" s="138"/>
      <c r="J4" s="138"/>
      <c r="K4" s="138"/>
      <c r="L4" s="138"/>
      <c r="M4" s="138"/>
    </row>
    <row r="5" spans="1:81" s="92" customFormat="1" ht="30" customHeight="1" x14ac:dyDescent="0.3">
      <c r="B5" s="138" t="s">
        <v>2265</v>
      </c>
      <c r="C5" s="138"/>
      <c r="D5" s="138"/>
      <c r="E5" s="138"/>
      <c r="F5" s="138"/>
      <c r="G5" s="138"/>
      <c r="H5" s="138"/>
      <c r="I5" s="138"/>
      <c r="J5" s="138"/>
      <c r="K5" s="138"/>
      <c r="L5" s="138"/>
      <c r="M5" s="138"/>
    </row>
    <row r="6" spans="1:81" s="92" customFormat="1" ht="30" customHeight="1" x14ac:dyDescent="0.3">
      <c r="B6" s="138" t="s">
        <v>2266</v>
      </c>
      <c r="C6" s="138"/>
      <c r="D6" s="138"/>
      <c r="E6" s="138"/>
      <c r="F6" s="138"/>
      <c r="G6" s="138"/>
      <c r="H6" s="138"/>
      <c r="I6" s="138"/>
      <c r="J6" s="138"/>
      <c r="K6" s="138"/>
      <c r="L6" s="138"/>
      <c r="M6" s="138"/>
    </row>
    <row r="7" spans="1:81" s="92" customFormat="1" ht="15" customHeight="1" x14ac:dyDescent="0.3">
      <c r="B7" s="138" t="s">
        <v>2267</v>
      </c>
      <c r="C7" s="138"/>
      <c r="D7" s="138"/>
      <c r="E7" s="138"/>
      <c r="F7" s="138"/>
      <c r="G7" s="138"/>
      <c r="H7" s="138"/>
      <c r="I7" s="138"/>
      <c r="J7" s="138"/>
      <c r="K7" s="138"/>
      <c r="L7" s="138"/>
      <c r="M7" s="138"/>
    </row>
    <row r="8" spans="1:81" s="92" customFormat="1" ht="30" customHeight="1" x14ac:dyDescent="0.3">
      <c r="B8" s="138" t="s">
        <v>2268</v>
      </c>
      <c r="C8" s="138"/>
      <c r="D8" s="138"/>
      <c r="E8" s="138"/>
      <c r="F8" s="138"/>
      <c r="G8" s="138"/>
      <c r="H8" s="138"/>
      <c r="I8" s="138"/>
      <c r="J8" s="138"/>
      <c r="K8" s="138"/>
      <c r="L8" s="138"/>
      <c r="M8" s="138"/>
    </row>
    <row r="9" spans="1:81" s="92" customFormat="1" ht="30" customHeight="1" x14ac:dyDescent="0.3">
      <c r="B9" s="138" t="s">
        <v>2269</v>
      </c>
      <c r="C9" s="138"/>
      <c r="D9" s="138"/>
      <c r="E9" s="138"/>
      <c r="F9" s="138"/>
      <c r="G9" s="138"/>
      <c r="H9" s="138"/>
      <c r="I9" s="138"/>
      <c r="J9" s="138"/>
      <c r="K9" s="138"/>
      <c r="L9" s="138"/>
      <c r="M9" s="138"/>
    </row>
    <row r="10" spans="1:81" s="92" customFormat="1" ht="30" customHeight="1" x14ac:dyDescent="0.3">
      <c r="B10" s="138" t="s">
        <v>2270</v>
      </c>
      <c r="C10" s="138"/>
      <c r="D10" s="138"/>
      <c r="E10" s="138"/>
      <c r="F10" s="138"/>
      <c r="G10" s="138"/>
      <c r="H10" s="138"/>
      <c r="I10" s="138"/>
      <c r="J10" s="138"/>
      <c r="K10" s="138"/>
      <c r="L10" s="138"/>
      <c r="M10" s="138"/>
    </row>
    <row r="11" spans="1:81" s="92" customFormat="1" x14ac:dyDescent="0.3"/>
    <row r="12" spans="1:81" x14ac:dyDescent="0.3">
      <c r="CA12" s="36" t="s">
        <v>950</v>
      </c>
    </row>
    <row r="13" spans="1:81" ht="60" customHeight="1" x14ac:dyDescent="0.3">
      <c r="A13" s="115" t="s">
        <v>4</v>
      </c>
      <c r="B13" s="116" t="s">
        <v>879</v>
      </c>
      <c r="C13" s="115" t="s">
        <v>880</v>
      </c>
      <c r="D13" s="115" t="s">
        <v>881</v>
      </c>
      <c r="E13" s="115" t="s">
        <v>882</v>
      </c>
      <c r="F13" s="115" t="s">
        <v>883</v>
      </c>
      <c r="G13" s="115" t="s">
        <v>884</v>
      </c>
      <c r="H13" s="115" t="s">
        <v>885</v>
      </c>
      <c r="I13" s="115" t="s">
        <v>886</v>
      </c>
      <c r="J13" s="115" t="s">
        <v>887</v>
      </c>
      <c r="K13" s="115" t="s">
        <v>888</v>
      </c>
      <c r="L13" s="115" t="s">
        <v>889</v>
      </c>
      <c r="M13" s="115" t="s">
        <v>890</v>
      </c>
      <c r="N13" s="115" t="s">
        <v>859</v>
      </c>
      <c r="O13" s="115" t="s">
        <v>747</v>
      </c>
      <c r="P13" s="115" t="s">
        <v>25</v>
      </c>
      <c r="Q13" s="115" t="s">
        <v>891</v>
      </c>
      <c r="R13" s="115" t="s">
        <v>892</v>
      </c>
      <c r="S13" s="115" t="s">
        <v>893</v>
      </c>
      <c r="T13" s="115" t="s">
        <v>894</v>
      </c>
      <c r="U13" s="118" t="s">
        <v>895</v>
      </c>
      <c r="V13" s="118" t="s">
        <v>896</v>
      </c>
      <c r="W13" s="118" t="s">
        <v>752</v>
      </c>
      <c r="X13" s="118" t="s">
        <v>791</v>
      </c>
      <c r="Y13" s="118" t="s">
        <v>754</v>
      </c>
      <c r="Z13" s="118" t="s">
        <v>750</v>
      </c>
      <c r="AA13" s="118" t="s">
        <v>897</v>
      </c>
      <c r="AB13" s="118" t="s">
        <v>898</v>
      </c>
      <c r="AC13" s="118" t="s">
        <v>899</v>
      </c>
      <c r="AD13" s="118" t="s">
        <v>900</v>
      </c>
      <c r="AE13" s="118" t="s">
        <v>901</v>
      </c>
      <c r="AF13" s="118" t="s">
        <v>902</v>
      </c>
      <c r="AG13" s="118" t="s">
        <v>903</v>
      </c>
      <c r="AH13" s="118" t="s">
        <v>904</v>
      </c>
      <c r="AI13" s="118" t="s">
        <v>905</v>
      </c>
      <c r="AJ13" s="118" t="s">
        <v>906</v>
      </c>
      <c r="AK13" s="118" t="s">
        <v>907</v>
      </c>
      <c r="AL13" s="118" t="s">
        <v>908</v>
      </c>
      <c r="AM13" s="118" t="s">
        <v>909</v>
      </c>
      <c r="AN13" s="118" t="s">
        <v>910</v>
      </c>
      <c r="AO13" s="118" t="s">
        <v>911</v>
      </c>
      <c r="AP13" s="118" t="s">
        <v>912</v>
      </c>
      <c r="AQ13" s="118" t="s">
        <v>913</v>
      </c>
      <c r="AR13" s="118" t="s">
        <v>914</v>
      </c>
      <c r="AS13" s="118" t="s">
        <v>550</v>
      </c>
      <c r="AT13" s="118" t="s">
        <v>790</v>
      </c>
      <c r="AU13" s="118" t="s">
        <v>756</v>
      </c>
      <c r="AV13" s="118" t="s">
        <v>753</v>
      </c>
      <c r="AW13" s="118" t="s">
        <v>915</v>
      </c>
      <c r="AX13" s="118" t="s">
        <v>916</v>
      </c>
      <c r="AY13" s="118" t="s">
        <v>917</v>
      </c>
      <c r="AZ13" s="118" t="s">
        <v>918</v>
      </c>
      <c r="BA13" s="118" t="s">
        <v>919</v>
      </c>
      <c r="BB13" s="118" t="s">
        <v>920</v>
      </c>
      <c r="BC13" s="118" t="s">
        <v>921</v>
      </c>
      <c r="BD13" s="118" t="s">
        <v>922</v>
      </c>
      <c r="BE13" s="118" t="s">
        <v>923</v>
      </c>
      <c r="BF13" s="118" t="s">
        <v>924</v>
      </c>
      <c r="BG13" s="118" t="s">
        <v>925</v>
      </c>
      <c r="BH13" s="118" t="s">
        <v>926</v>
      </c>
      <c r="BI13" s="118" t="s">
        <v>927</v>
      </c>
      <c r="BJ13" s="118" t="s">
        <v>928</v>
      </c>
      <c r="BK13" s="118" t="s">
        <v>929</v>
      </c>
      <c r="BL13" s="118" t="s">
        <v>930</v>
      </c>
      <c r="BM13" s="118" t="s">
        <v>931</v>
      </c>
      <c r="BN13" s="118" t="s">
        <v>932</v>
      </c>
      <c r="BO13" s="118" t="s">
        <v>933</v>
      </c>
      <c r="BP13" s="118" t="s">
        <v>934</v>
      </c>
      <c r="BQ13" s="118" t="s">
        <v>935</v>
      </c>
      <c r="BR13" s="118" t="s">
        <v>936</v>
      </c>
      <c r="BS13" s="118" t="s">
        <v>937</v>
      </c>
      <c r="BT13" s="118" t="s">
        <v>938</v>
      </c>
      <c r="BU13" s="118" t="s">
        <v>939</v>
      </c>
      <c r="BV13" s="118" t="s">
        <v>940</v>
      </c>
      <c r="BW13" s="118" t="s">
        <v>941</v>
      </c>
      <c r="BX13" s="118" t="s">
        <v>942</v>
      </c>
      <c r="BY13" s="118" t="s">
        <v>943</v>
      </c>
      <c r="CA13" t="s">
        <v>802</v>
      </c>
      <c r="CB13" t="s">
        <v>4</v>
      </c>
      <c r="CC13" t="s">
        <v>951</v>
      </c>
    </row>
    <row r="14" spans="1:81" x14ac:dyDescent="0.3">
      <c r="A14" t="s">
        <v>151</v>
      </c>
      <c r="B14" t="str">
        <f>Щиты[[#This Row],[_авто питается от]]</f>
        <v/>
      </c>
      <c r="C14">
        <v>2</v>
      </c>
      <c r="D14" t="s">
        <v>497</v>
      </c>
      <c r="E14" t="s">
        <v>785</v>
      </c>
      <c r="F14">
        <v>4</v>
      </c>
      <c r="G14" t="s">
        <v>944</v>
      </c>
      <c r="I14">
        <v>2500</v>
      </c>
      <c r="J14">
        <v>8</v>
      </c>
      <c r="M14">
        <v>95</v>
      </c>
      <c r="N14">
        <v>4</v>
      </c>
      <c r="O14">
        <v>1</v>
      </c>
      <c r="P14">
        <v>60</v>
      </c>
      <c r="Q14" t="s">
        <v>156</v>
      </c>
      <c r="R14">
        <v>250</v>
      </c>
      <c r="S14" t="s">
        <v>153</v>
      </c>
      <c r="U14"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4" t="str" cm="1">
        <f t="array" ref="V14">IF(Щиты[[#This Row],[_строка фидера]]="","",INDEX(Линии[Номер линии],Щиты[[#This Row],[_строка фидера]]))</f>
        <v/>
      </c>
      <c r="W14" s="6">
        <f>SUMIFS(Щиты[_Руст собств],Щиты[Путь],"*|"&amp;Щиты[[#This Row],[Щит]]&amp;"|*")</f>
        <v>43.93</v>
      </c>
      <c r="X14" s="6">
        <f>k_пк*Щиты[[#This Row],[Руст быт, кВт]]*Щиты[[#This Row],[Кс быт]]+Щиты[[#This Row],[Ко]]*Щиты[[#This Row],[Рр сил, кВт]]+Щиты[[#This Row],[Руст пост, кВт]]+Щиты[[#This Row],[Р отопления, кВт]]+Щиты[[#This Row],[Рр ВНГ, кВт]]</f>
        <v>33.622140000000002</v>
      </c>
      <c r="Y14" s="6">
        <f>IFERROR(MAX(MAX(Щиты[[#This Row],[P L1, кВт]],Щиты[[#This Row],[P L2, кВт]],Щиты[[#This Row],[P L3, кВт]])*Щиты[[#This Row],[Кс итог]]/((Uн_лин*1000/SQRT(3))/1000*Щиты[[#This Row],[cos φ]]),Щиты[[#This Row],[Рр, кВт]]/(SQRT(3)*Uн_лин*Щиты[[#This Row],[cos φ]])),0)</f>
        <v>56.895065355139202</v>
      </c>
      <c r="Z14" s="6">
        <f>IFERROR(SUMIFS(Щиты[_Pcos собств],Щиты[Путь],"*|"&amp;Щиты[[#This Row],[Щит]]&amp;"|*")/SUMIFS(Щиты[_P собств],Щиты[Путь],"*|"&amp;Щиты[[#This Row],[Щит]]&amp;"|*"),0.95)</f>
        <v>0.89451399954473043</v>
      </c>
      <c r="AA14" s="6" cm="1">
        <f t="array" ref="AA14">SUMPRODUCT(--ISNUMBER(SEARCH("|"&amp;Щиты[Щит]&amp;"|",Щиты[[#This Row],[Путь]])),IFERROR(--Щиты[_ΔU фидера],0)+IFERROR(--Щиты[_ΔU источника],0))</f>
        <v>0.3660288498727976</v>
      </c>
      <c r="AB14" s="6">
        <f>IF(ISNUMBER(Щиты[[#This Row],[Zпетли на шинах, Ом]]),c_min*(Uн_лин*1000/SQRT(3))/Щиты[[#This Row],[Zпетли на шинах, Ом]],"")</f>
        <v>1613.4420911376112</v>
      </c>
      <c r="AC14" s="6">
        <f>IF(ISNUMBER(Щиты[[#This Row],[Zmax на шинах, Ом]]),1.05*(Uн_лин*1000/SQRT(3))/Щиты[[#This Row],[Zmax на шинах, Ом]]/1000,"")</f>
        <v>5.8623422012719573</v>
      </c>
      <c r="AD14" t="str" cm="1">
        <f t="array" ref="AD14">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v>
      </c>
      <c r="AE14" t="str" cm="1">
        <f t="array" ref="AE14">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|ВРУ|</v>
      </c>
      <c r="AF14" s="6" t="str">
        <f>_xlfn.TEXTBEFORE(MID(Щиты[[#This Row],[Путь]],2,999),"|")</f>
        <v>ВРУ</v>
      </c>
      <c r="AG14" t="str">
        <f>IF(TRIM(Щиты[[#This Row],[Питается от]]&amp;"")="",Щиты[[#This Row],[_авто питается от]],Щиты[[#This Row],[Питается от]])</f>
        <v/>
      </c>
      <c r="AH14">
        <f>LEN(Щиты[[#This Row],[Путь]])-LEN(SUBSTITUTE(Щиты[[#This Row],[Путь]],"|",""))-2</f>
        <v>0</v>
      </c>
      <c r="AI14" t="str">
        <f>IFERROR(_xlfn.XMATCH(Щиты[[#This Row],[Щит]],Линии[_фидер]),"")</f>
        <v/>
      </c>
      <c r="AJ14" t="str" cm="1">
        <f t="array" ref="AJ14">IFERROR(INDEX(Линии[Щит],Щиты[[#This Row],[_строка фидера]]),"")</f>
        <v/>
      </c>
      <c r="AK14">
        <f>SUMIFS(Линии[_Руст (без Нет)],Линии[Щит],Щиты[[#This Row],[Щит]])</f>
        <v>8.9</v>
      </c>
      <c r="AL14">
        <f>SUMIFS(Линии[_Руст быт],Линии[Щит],Щиты[[#This Row],[Щит]])</f>
        <v>1.8</v>
      </c>
      <c r="AM14">
        <f>SUMIFS(Линии[_Рр сил],Линии[Щит],Щиты[[#This Row],[Щит]])</f>
        <v>0</v>
      </c>
      <c r="AN14">
        <f>SUMIFS(Линии[_Руст пост],Линии[Щит],Щиты[[#This Row],[Щит]])</f>
        <v>0.1</v>
      </c>
      <c r="AO14">
        <f>SUMIFS(Линии[_P для cos],Линии[Щит],Щиты[[#This Row],[Щит]])</f>
        <v>8.9</v>
      </c>
      <c r="AP14">
        <f>SUMIFS(Линии[_P·cos],Линии[Щит],Щиты[[#This Row],[Щит]])</f>
        <v>8.4550000000000001</v>
      </c>
      <c r="AQ14">
        <f>SUMIFS(Линии[_Р отопления],Линии[Щит],Щиты[[#This Row],[Щит]])</f>
        <v>2</v>
      </c>
      <c r="AR14">
        <f>SUMIFS(Линии[_Рр ВНГ],Линии[Щит],Щиты[[#This Row],[Щит]])</f>
        <v>3.5</v>
      </c>
      <c r="AS14" s="6">
        <f>SUMIFS(Щиты[_быт собств],Щиты[Путь],"*|"&amp;Щиты[[#This Row],[Щит]]&amp;"|*")</f>
        <v>16.38</v>
      </c>
      <c r="AT14" s="6" cm="1">
        <f t="array" ref="AT14">_xlfn.LET(_xlpm.x,Щиты[[#This Row],[Руст быт, кВт]],_xlpm.m,MATCH(_xlpm.x,Кс_Р,1),IF(_xlpm.x&gt;=INDEX(Кс_Р,ROWS(Кс_Р)),INDEX(Кс_К,ROWS(Кс_К)),INDEX(Кс_К,_xlpm.m)+(_xlpm.x-INDEX(Кс_Р,_xlpm.m))*(INDEX(Кс_К,_xlpm.m+1)-INDEX(Кс_К,_xlpm.m))/(INDEX(Кс_Р,_xlpm.m+1)-INDEX(Кс_Р,_xlpm.m))))</f>
        <v>0.74050000000000005</v>
      </c>
      <c r="AU14" s="6">
        <f>SUMIFS(Щиты[_сил собств],Щиты[Путь],"*|"&amp;Щиты[[#This Row],[Щит]]&amp;"|*")</f>
        <v>15.047500000000001</v>
      </c>
      <c r="AV14" s="6">
        <f>SUMIFS(Щиты[_пост собств],Щиты[Путь],"*|"&amp;Щиты[[#This Row],[Щит]]&amp;"|*")</f>
        <v>0.70000000000000007</v>
      </c>
      <c r="AW14" s="6">
        <f>SUMIFS(Щиты[_отоп собств],Щиты[Путь],"*|"&amp;Щиты[[#This Row],[Щит]]&amp;"|*")</f>
        <v>2</v>
      </c>
      <c r="AX14" s="6">
        <f>SUMIFS(Щиты[_внг собств],Щиты[Путь],"*|"&amp;Щиты[[#This Row],[Щит]]&amp;"|*")</f>
        <v>5.25</v>
      </c>
      <c r="AY14">
        <f>COUNTIFS(Линии[Щит],Щиты[[#This Row],[Щит]],Линии[Группа Кс (итог)],"Сил")</f>
        <v>0</v>
      </c>
      <c r="AZ14" s="6" cm="1">
        <f t="array" ref="AZ14">_xlfn.LET(_xlpm.n,Щиты[[#This Row],[_n силовых]],IF(_xlpm.n&lt;=1,1,IF(_xlpm.n&gt;=MAX(Кс75_n),INDEX(Кс75_k,ROWS(Кс75_k)),_xlfn.LET(_xlpm.m,MATCH(_xlpm.n,Кс75_n,1),INDEX(Кс75_k,_xlpm.m)+(_xlpm.n-INDEX(Кс75_n,_xlpm.m))*(INDEX(Кс75_k,_xlpm.m+1)-INDEX(Кс75_k,_xlpm.m))/(INDEX(Кс75_n,_xlpm.m+1)-INDEX(Кс75_n,_xlpm.m))))))</f>
        <v>1</v>
      </c>
      <c r="BA14" s="6">
        <f>IF(Методика="нормы 2026",IF(AND(Щиты[[#This Row],[Руст быт, кВт]]&gt;0,Щиты[[#This Row],[Рр сил, кВт]]&gt;0),Ко_сил,1),Ко_сил)</f>
        <v>0.9</v>
      </c>
      <c r="BB14" s="6">
        <f>IF(Щиты[[#This Row],[Руст, кВт]]=0,0,Щиты[[#This Row],[Рр, кВт]]/Щиты[[#This Row],[Руст, кВт]])</f>
        <v>0.76535715911677671</v>
      </c>
      <c r="BC14"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15.356666666666667</v>
      </c>
      <c r="BD14"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14.316666666666666</v>
      </c>
      <c r="BE14"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14.256666666666668</v>
      </c>
      <c r="BF14" t="str" cm="1">
        <f t="array" ref="BF14">IF(Щиты[[#This Row],[_строка фидера]]="","",INDEX(Линии[ΔU, %],Щиты[[#This Row],[_строка фидера]]))</f>
        <v/>
      </c>
      <c r="BG14">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0.3660288498727976</v>
      </c>
      <c r="BH14">
        <f>IF(Щиты[[#This Row],[Питается от (итог)]]&lt;&gt;"",0,IF(LEFT(UPPER(TRIM(Щиты[[#This Row],[Питание: от (ТП / сеть)]])),2)="ТП",0,N(Щиты[[#This Row],[ΔU до питающего, %]])+Щиты[[#This Row],[_ΔU пит. линии]]))</f>
        <v>0.3660288498727976</v>
      </c>
      <c r="BI14">
        <f>IF(N(Щиты[[#This Row],[Питающий кабель: S, мм²]])&gt;0,2*IF(Щиты[[#This Row],[Материал]]="алюминий",ρкз_Al,ρкз_Cu)*N(Щиты[[#This Row],[Длина, м]])/(N(Щиты[[#This Row],[Питающий кабель: S, мм²]])*MAX(1,N(Щиты[[#This Row],[Кабелей параллельно]]))),0)</f>
        <v>3.322105263157895E-2</v>
      </c>
      <c r="BJ14">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8.7757240916823118E-2</v>
      </c>
      <c r="BK14">
        <f>IF(Щиты[[#This Row],[_Zсети]]="","",Щиты[[#This Row],[_Zсети]]+Щиты[[#This Row],[_петля пит. кабеля]])</f>
        <v>0.12097829354840206</v>
      </c>
      <c r="BL14" t="str" cm="1">
        <f t="array" ref="BL14">IF(Щиты[[#This Row],[_строка фидера]]="","",INDEX(Линии[_Zкабеля],Щиты[[#This Row],[_строка фидера]]))</f>
        <v/>
      </c>
      <c r="BM14" s="6" cm="1">
        <f t="array" ref="BM14">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0.13597829354840207</v>
      </c>
      <c r="BN14">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3.031088913245536E-2</v>
      </c>
      <c r="BO14">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4.1363520711402729E-2</v>
      </c>
      <c r="BP14" t="str" cm="1">
        <f t="array" ref="BP14">IF(Щиты[[#This Row],[_строка фидера]]="","",INDEX(Линии[_Zmax кабеля],Щиты[[#This Row],[_строка фидера]]))</f>
        <v/>
      </c>
      <c r="BQ14" s="6" cm="1">
        <f t="array" ref="BQ14">IF(_xlfn.XLOOKUP(Щиты[[#This Row],[Корень]],Щиты[Щит],Щиты[_Zmax источника],"")="","",SUMPRODUCT(--ISNUMBER(SEARCH("|"&amp;Щиты[Щит]&amp;"|",Щиты[[#This Row],[Путь]])),IFERROR(--Щиты[_Zmax источника],0)+IFERROR(--Щиты[_Zmax фидера],0)))</f>
        <v>4.1363520711402729E-2</v>
      </c>
      <c r="BR14" t="str" cm="1">
        <f t="array" ref="BR14">IF(Щиты[[#This Row],[_строка фидера]]="","",INDEX(Линии[_ΔU по току, %],Щиты[[#This Row],[_строка фидера]]))</f>
        <v/>
      </c>
      <c r="BS14" s="6" cm="1">
        <f t="array" ref="BS14">SUMPRODUCT(--ISNUMBER(SEARCH("|"&amp;Щиты[Щит]&amp;"|",Щиты[[#This Row],[Путь]])),IFERROR(--Щиты[_ΔU фидера (подбор)],0)+IFERROR(--Щиты[_ΔU источника],0))</f>
        <v>0.3660288498727976</v>
      </c>
      <c r="BT14" t="str" cm="1">
        <f t="array" ref="BT14">IF(Щиты[[#This Row],[_строка фидера]]="","",INDEX(Линии[_Zкабеля по току],Щиты[[#This Row],[_строка фидера]]))</f>
        <v/>
      </c>
      <c r="BU14" s="6" cm="1">
        <f t="array" ref="BU14">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0.13597829354840207</v>
      </c>
      <c r="BV14" s="6">
        <f>_xlfn.MAXIFS(Линии[Iпуск, А],Линии[Щит],Щиты[[#This Row],[Щит]])</f>
        <v>0</v>
      </c>
      <c r="BW14" t="str" cm="1">
        <f t="array" ref="BW14">IF(Щиты[[#This Row],[_строка фидера]]="","",INDEX(Линии[Источник для режимов],Щиты[[#This Row],[_строка фидера]]))</f>
        <v/>
      </c>
      <c r="BX14" t="str" cm="1">
        <f t="array" ref="BX14">IF(Щиты[[#This Row],[_строка фидера]]="","",INDEX(Линии[Пожарная (итог)],Щиты[[#This Row],[_строка фидера]]))</f>
        <v/>
      </c>
      <c r="BY14" t="str" cm="1">
        <f t="array" ref="BY14">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;11:L1;8:L2;10:L3;4:L3;13:L2;12:L3;3:L3;9:L3;</v>
      </c>
      <c r="CA14" t="s">
        <v>952</v>
      </c>
      <c r="CB14" t="s">
        <v>948</v>
      </c>
      <c r="CC14" t="s">
        <v>953</v>
      </c>
    </row>
    <row r="15" spans="1:81" x14ac:dyDescent="0.3">
      <c r="A15" t="s">
        <v>945</v>
      </c>
      <c r="B15" t="str">
        <f>Щиты[[#This Row],[_авто питается от]]</f>
        <v>ВРУ</v>
      </c>
      <c r="C15">
        <v>1</v>
      </c>
      <c r="D15" t="s">
        <v>493</v>
      </c>
      <c r="E15" t="s">
        <v>785</v>
      </c>
      <c r="F15">
        <v>2</v>
      </c>
      <c r="U15"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5" t="str" cm="1">
        <f t="array" ref="V15">IF(Щиты[[#This Row],[_строка фидера]]="","",INDEX(Линии[Номер линии],Щиты[[#This Row],[_строка фидера]]))</f>
        <v>ЩБП</v>
      </c>
      <c r="W15" s="6">
        <f>SUMIFS(Щиты[_Руст собств],Щиты[Путь],"*|"&amp;Щиты[[#This Row],[Щит]]&amp;"|*")</f>
        <v>0.56000000000000005</v>
      </c>
      <c r="X15" s="6">
        <f>k_пк*Щиты[[#This Row],[Руст быт, кВт]]*Щиты[[#This Row],[Кс быт]]+Щиты[[#This Row],[Ко]]*Щиты[[#This Row],[Рр сил, кВт]]+Щиты[[#This Row],[Руст пост, кВт]]+Щиты[[#This Row],[Р отопления, кВт]]+Щиты[[#This Row],[Рр ВНГ, кВт]]</f>
        <v>0.44800000000000006</v>
      </c>
      <c r="Y15" s="6">
        <f>IFERROR(MAX(MAX(Щиты[[#This Row],[P L1, кВт]],Щиты[[#This Row],[P L2, кВт]],Щиты[[#This Row],[P L3, кВт]])*Щиты[[#This Row],[Кс итог]]/((Uн_лин*1000/SQRT(3))/1000*Щиты[[#This Row],[cos φ]]),Щиты[[#This Row],[Рр, кВт]]/(SQRT(3)*Uн_лин*Щиты[[#This Row],[cos φ]])),0)</f>
        <v>1.7138186938049942</v>
      </c>
      <c r="Z15" s="6">
        <f>IFERROR(SUMIFS(Щиты[_Pcos собств],Щиты[Путь],"*|"&amp;Щиты[[#This Row],[Щит]]&amp;"|*")/SUMIFS(Щиты[_P собств],Щиты[Путь],"*|"&amp;Щиты[[#This Row],[Щит]]&amp;"|*"),0.95)</f>
        <v>0.95</v>
      </c>
      <c r="AA15" s="6" cm="1">
        <f t="array" ref="AA15">SUMPRODUCT(--ISNUMBER(SEARCH("|"&amp;Щиты[Щит]&amp;"|",Щиты[[#This Row],[Путь]])),IFERROR(--Щиты[_ΔU фидера],0)+IFERROR(--Щиты[_ΔU источника],0))</f>
        <v>0.58602884987279757</v>
      </c>
      <c r="AB15" s="6">
        <f>IF(ISNUMBER(Щиты[[#This Row],[Zпетли на шинах, Ом]]),c_min*(Uн_лин*1000/SQRT(3))/Щиты[[#This Row],[Zпетли на шинах, Ом]],"")</f>
        <v>437.34736654784297</v>
      </c>
      <c r="AC15" s="6">
        <f>IF(ISNUMBER(Щиты[[#This Row],[Zmax на шинах, Ом]]),1.05*(Uн_лин*1000/SQRT(3))/Щиты[[#This Row],[Zmax на шинах, Ом]]/1000,"")</f>
        <v>1.5344353954318855</v>
      </c>
      <c r="AD15" t="str" cm="1">
        <f t="array" ref="AD15">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5" t="str" cm="1">
        <f t="array" ref="AE15">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|ВРУ|ЩБП|</v>
      </c>
      <c r="AF15" s="6" t="str">
        <f>_xlfn.TEXTBEFORE(MID(Щиты[[#This Row],[Путь]],2,999),"|")</f>
        <v>ВРУ</v>
      </c>
      <c r="AG15" t="str">
        <f>IF(TRIM(Щиты[[#This Row],[Питается от]]&amp;"")="",Щиты[[#This Row],[_авто питается от]],Щиты[[#This Row],[Питается от]])</f>
        <v>ВРУ</v>
      </c>
      <c r="AH15">
        <f>LEN(Щиты[[#This Row],[Путь]])-LEN(SUBSTITUTE(Щиты[[#This Row],[Путь]],"|",""))-2</f>
        <v>1</v>
      </c>
      <c r="AI15">
        <f>IFERROR(_xlfn.XMATCH(Щиты[[#This Row],[Щит]],Линии[_фидер]),"")</f>
        <v>13</v>
      </c>
      <c r="AJ15" t="str" cm="1">
        <f t="array" ref="AJ15">IFERROR(INDEX(Линии[Щит],Щиты[[#This Row],[_строка фидера]]),"")</f>
        <v>ВРУ</v>
      </c>
      <c r="AK15">
        <f>SUMIFS(Линии[_Руст (без Нет)],Линии[Щит],Щиты[[#This Row],[Щит]])</f>
        <v>0.56000000000000005</v>
      </c>
      <c r="AL15">
        <f>SUMIFS(Линии[_Руст быт],Линии[Щит],Щиты[[#This Row],[Щит]])</f>
        <v>0.56000000000000005</v>
      </c>
      <c r="AM15">
        <f>SUMIFS(Линии[_Рр сил],Линии[Щит],Щиты[[#This Row],[Щит]])</f>
        <v>0</v>
      </c>
      <c r="AN15">
        <f>SUMIFS(Линии[_Руст пост],Линии[Щит],Щиты[[#This Row],[Щит]])</f>
        <v>0</v>
      </c>
      <c r="AO15">
        <f>SUMIFS(Линии[_P для cos],Линии[Щит],Щиты[[#This Row],[Щит]])</f>
        <v>0.56000000000000005</v>
      </c>
      <c r="AP15">
        <f>SUMIFS(Линии[_P·cos],Линии[Щит],Щиты[[#This Row],[Щит]])</f>
        <v>0.53200000000000003</v>
      </c>
      <c r="AQ15">
        <f>SUMIFS(Линии[_Р отопления],Линии[Щит],Щиты[[#This Row],[Щит]])</f>
        <v>0</v>
      </c>
      <c r="AR15">
        <f>SUMIFS(Линии[_Рр ВНГ],Линии[Щит],Щиты[[#This Row],[Щит]])</f>
        <v>0</v>
      </c>
      <c r="AS15" s="6">
        <f>SUMIFS(Щиты[_быт собств],Щиты[Путь],"*|"&amp;Щиты[[#This Row],[Щит]]&amp;"|*")</f>
        <v>0.56000000000000005</v>
      </c>
      <c r="AT15" s="6" cm="1">
        <f t="array" ref="AT15">_xlfn.LET(_xlpm.x,Щиты[[#This Row],[Руст быт, кВт]],_xlpm.m,MATCH(_xlpm.x,Кс_Р,1),IF(_xlpm.x&gt;=INDEX(Кс_Р,ROWS(Кс_Р)),INDEX(Кс_К,ROWS(Кс_К)),INDEX(Кс_К,_xlpm.m)+(_xlpm.x-INDEX(Кс_Р,_xlpm.m))*(INDEX(Кс_К,_xlpm.m+1)-INDEX(Кс_К,_xlpm.m))/(INDEX(Кс_Р,_xlpm.m+1)-INDEX(Кс_Р,_xlpm.m))))</f>
        <v>0.8</v>
      </c>
      <c r="AU15" s="6">
        <f>SUMIFS(Щиты[_сил собств],Щиты[Путь],"*|"&amp;Щиты[[#This Row],[Щит]]&amp;"|*")</f>
        <v>0</v>
      </c>
      <c r="AV15" s="6">
        <f>SUMIFS(Щиты[_пост собств],Щиты[Путь],"*|"&amp;Щиты[[#This Row],[Щит]]&amp;"|*")</f>
        <v>0</v>
      </c>
      <c r="AW15" s="6">
        <f>SUMIFS(Щиты[_отоп собств],Щиты[Путь],"*|"&amp;Щиты[[#This Row],[Щит]]&amp;"|*")</f>
        <v>0</v>
      </c>
      <c r="AX15" s="6">
        <f>SUMIFS(Щиты[_внг собств],Щиты[Путь],"*|"&amp;Щиты[[#This Row],[Щит]]&amp;"|*")</f>
        <v>0</v>
      </c>
      <c r="AY15">
        <f>COUNTIFS(Линии[Щит],Щиты[[#This Row],[Щит]],Линии[Группа Кс (итог)],"Сил")</f>
        <v>0</v>
      </c>
      <c r="AZ15" s="6" cm="1">
        <f t="array" ref="AZ15">_xlfn.LET(_xlpm.n,Щиты[[#This Row],[_n силовых]],IF(_xlpm.n&lt;=1,1,IF(_xlpm.n&gt;=MAX(Кс75_n),INDEX(Кс75_k,ROWS(Кс75_k)),_xlfn.LET(_xlpm.m,MATCH(_xlpm.n,Кс75_n,1),INDEX(Кс75_k,_xlpm.m)+(_xlpm.n-INDEX(Кс75_n,_xlpm.m))*(INDEX(Кс75_k,_xlpm.m+1)-INDEX(Кс75_k,_xlpm.m))/(INDEX(Кс75_n,_xlpm.m+1)-INDEX(Кс75_n,_xlpm.m))))))</f>
        <v>1</v>
      </c>
      <c r="BA15" s="6">
        <f>IF(Методика="нормы 2026",IF(AND(Щиты[[#This Row],[Руст быт, кВт]]&gt;0,Щиты[[#This Row],[Рр сил, кВт]]&gt;0),Ко_сил,1),Ко_сил)</f>
        <v>1</v>
      </c>
      <c r="BB15" s="6">
        <f>IF(Щиты[[#This Row],[Руст, кВт]]=0,0,Щиты[[#This Row],[Рр, кВт]]/Щиты[[#This Row],[Руст, кВт]])</f>
        <v>0.8</v>
      </c>
      <c r="BC15"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0.47</v>
      </c>
      <c r="BD15"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0.09</v>
      </c>
      <c r="BE15"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v>
      </c>
      <c r="BF15" cm="1">
        <f t="array" ref="BF15">IF(Щиты[[#This Row],[_строка фидера]]="","",INDEX(Линии[ΔU, %],Щиты[[#This Row],[_строка фидера]]))</f>
        <v>0.22</v>
      </c>
      <c r="BG15">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5">
        <f>IF(Щиты[[#This Row],[Питается от (итог)]]&lt;&gt;"",0,IF(LEFT(UPPER(TRIM(Щиты[[#This Row],[Питание: от (ТП / сеть)]])),2)="ТП",0,N(Щиты[[#This Row],[ΔU до питающего, %]])+Щиты[[#This Row],[_ΔU пит. линии]]))</f>
        <v>0</v>
      </c>
      <c r="BI15">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5"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5" t="str">
        <f>IF(Щиты[[#This Row],[_Zсети]]="","",Щиты[[#This Row],[_Zсети]]+Щиты[[#This Row],[_петля пит. кабеля]])</f>
        <v/>
      </c>
      <c r="BL15" cm="1">
        <f t="array" ref="BL15">IF(Щиты[[#This Row],[_строка фидера]]="","",INDEX(Линии[_Zкабеля],Щиты[[#This Row],[_строка фидера]]))</f>
        <v>0.35066666666666668</v>
      </c>
      <c r="BM15" s="6" cm="1">
        <f t="array" ref="BM15">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0.50164496021506877</v>
      </c>
      <c r="BN15"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5"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5" cm="1">
        <f t="array" ref="BP15">IF(Щиты[[#This Row],[_строка фидера]]="","",INDEX(Линии[_Zmax кабеля],Щиты[[#This Row],[_строка фидера]]))</f>
        <v>0.11666666666666668</v>
      </c>
      <c r="BQ15" s="6" cm="1">
        <f t="array" ref="BQ15">IF(_xlfn.XLOOKUP(Щиты[[#This Row],[Корень]],Щиты[Щит],Щиты[_Zmax источника],"")="","",SUMPRODUCT(--ISNUMBER(SEARCH("|"&amp;Щиты[Щит]&amp;"|",Щиты[[#This Row],[Путь]])),IFERROR(--Щиты[_Zmax источника],0)+IFERROR(--Щиты[_Zmax фидера],0)))</f>
        <v>0.1580301873780694</v>
      </c>
      <c r="BR15" cm="1">
        <f t="array" ref="BR15">IF(Щиты[[#This Row],[_строка фидера]]="","",INDEX(Линии[_ΔU по току, %],Щиты[[#This Row],[_строка фидера]]))</f>
        <v>0.22</v>
      </c>
      <c r="BS15" s="6" cm="1">
        <f t="array" ref="BS15">SUMPRODUCT(--ISNUMBER(SEARCH("|"&amp;Щиты[Щит]&amp;"|",Щиты[[#This Row],[Путь]])),IFERROR(--Щиты[_ΔU фидера (подбор)],0)+IFERROR(--Щиты[_ΔU источника],0))</f>
        <v>0.58602884987279757</v>
      </c>
      <c r="BT15" cm="1">
        <f t="array" ref="BT15">IF(Щиты[[#This Row],[_строка фидера]]="","",INDEX(Линии[_Zкабеля по току],Щиты[[#This Row],[_строка фидера]]))</f>
        <v>0.35066666666666668</v>
      </c>
      <c r="BU15" s="6" cm="1">
        <f t="array" ref="BU15">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0.50164496021506877</v>
      </c>
      <c r="BV15" s="6">
        <f>_xlfn.MAXIFS(Линии[Iпуск, А],Линии[Щит],Щиты[[#This Row],[Щит]])</f>
        <v>0</v>
      </c>
      <c r="BW15" t="str" cm="1">
        <f t="array" ref="BW15">IF(Щиты[[#This Row],[_строка фидера]]="","",INDEX(Линии[Источник для режимов],Щиты[[#This Row],[_строка фидера]]))</f>
        <v>Ввод 1</v>
      </c>
      <c r="BX15" t="str" cm="1">
        <f t="array" ref="BX15">IF(Щиты[[#This Row],[_строка фидера]]="","",INDEX(Линии[Пожарная (итог)],Щиты[[#This Row],[_строка фидера]]))</f>
        <v>нет</v>
      </c>
      <c r="BY15" t="str" cm="1">
        <f t="array" ref="BY15">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;15:L1;19:L2;14:L3;</v>
      </c>
    </row>
    <row r="16" spans="1:81" x14ac:dyDescent="0.3">
      <c r="A16" t="s">
        <v>946</v>
      </c>
      <c r="B16" t="str">
        <f>Щиты[[#This Row],[_авто питается от]]</f>
        <v>ВРУ</v>
      </c>
      <c r="C16">
        <v>1</v>
      </c>
      <c r="D16" t="s">
        <v>493</v>
      </c>
      <c r="E16" t="s">
        <v>785</v>
      </c>
      <c r="F16">
        <v>2</v>
      </c>
      <c r="U16"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6" t="str" cm="1">
        <f t="array" ref="V16">IF(Щиты[[#This Row],[_строка фидера]]="","",INDEX(Линии[Номер линии],Щиты[[#This Row],[_строка фидера]]))</f>
        <v>ЩГП</v>
      </c>
      <c r="W16" s="6">
        <f>SUMIFS(Щиты[_Руст собств],Щиты[Путь],"*|"&amp;Щиты[[#This Row],[Щит]]&amp;"|*")</f>
        <v>0.5</v>
      </c>
      <c r="X16" s="6">
        <f>k_пк*Щиты[[#This Row],[Руст быт, кВт]]*Щиты[[#This Row],[Кс быт]]+Щиты[[#This Row],[Ко]]*Щиты[[#This Row],[Рр сил, кВт]]+Щиты[[#This Row],[Руст пост, кВт]]+Щиты[[#This Row],[Р отопления, кВт]]+Щиты[[#This Row],[Рр ВНГ, кВт]]</f>
        <v>0.44</v>
      </c>
      <c r="Y16" s="6">
        <f>IFERROR(MAX(MAX(Щиты[[#This Row],[P L1, кВт]],Щиты[[#This Row],[P L2, кВт]],Щиты[[#This Row],[P L3, кВт]])*Щиты[[#This Row],[Кс итог]]/((Uн_лин*1000/SQRT(3))/1000*Щиты[[#This Row],[cos φ]]),Щиты[[#This Row],[Рр, кВт]]/(SQRT(3)*Uн_лин*Щиты[[#This Row],[cos φ]])),0)</f>
        <v>1.2033195084162727</v>
      </c>
      <c r="Z16" s="6">
        <f>IFERROR(SUMIFS(Щиты[_Pcos собств],Щиты[Путь],"*|"&amp;Щиты[[#This Row],[Щит]]&amp;"|*")/SUMIFS(Щиты[_P собств],Щиты[Путь],"*|"&amp;Щиты[[#This Row],[Щит]]&amp;"|*"),0.95)</f>
        <v>0.95</v>
      </c>
      <c r="AA16" s="6" cm="1">
        <f t="array" ref="AA16">SUMPRODUCT(--ISNUMBER(SEARCH("|"&amp;Щиты[Щит]&amp;"|",Щиты[[#This Row],[Путь]])),IFERROR(--Щиты[_ΔU фидера],0)+IFERROR(--Щиты[_ΔU источника],0))</f>
        <v>0.4860288498727976</v>
      </c>
      <c r="AB16" s="6">
        <f>IF(ISNUMBER(Щиты[[#This Row],[Zпетли на шинах, Ом]]),c_min*(Uн_лин*1000/SQRT(3))/Щиты[[#This Row],[Zпетли на шинах, Ом]],"")</f>
        <v>324.07701160121729</v>
      </c>
      <c r="AC16" s="6">
        <f>IF(ISNUMBER(Щиты[[#This Row],[Zmax на шинах, Ом]]),1.05*(Uн_лин*1000/SQRT(3))/Щиты[[#This Row],[Zmax на шинах, Ом]]/1000,"")</f>
        <v>1.1207393569042776</v>
      </c>
      <c r="AD16" t="str" cm="1">
        <f t="array" ref="AD16">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6" t="str" cm="1">
        <f t="array" ref="AE16">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|ВРУ|ЩГП|</v>
      </c>
      <c r="AF16" s="6" t="str">
        <f>_xlfn.TEXTBEFORE(MID(Щиты[[#This Row],[Путь]],2,999),"|")</f>
        <v>ВРУ</v>
      </c>
      <c r="AG16" t="str">
        <f>IF(TRIM(Щиты[[#This Row],[Питается от]]&amp;"")="",Щиты[[#This Row],[_авто питается от]],Щиты[[#This Row],[Питается от]])</f>
        <v>ВРУ</v>
      </c>
      <c r="AH16">
        <f>LEN(Щиты[[#This Row],[Путь]])-LEN(SUBSTITUTE(Щиты[[#This Row],[Путь]],"|",""))-2</f>
        <v>1</v>
      </c>
      <c r="AI16">
        <f>IFERROR(_xlfn.XMATCH(Щиты[[#This Row],[Щит]],Линии[_фидер]),"")</f>
        <v>7</v>
      </c>
      <c r="AJ16" t="str" cm="1">
        <f t="array" ref="AJ16">IFERROR(INDEX(Линии[Щит],Щиты[[#This Row],[_строка фидера]]),"")</f>
        <v>ВРУ</v>
      </c>
      <c r="AK16">
        <f>SUMIFS(Линии[_Руст (без Нет)],Линии[Щит],Щиты[[#This Row],[Щит]])</f>
        <v>0.5</v>
      </c>
      <c r="AL16">
        <f>SUMIFS(Линии[_Руст быт],Линии[Щит],Щиты[[#This Row],[Щит]])</f>
        <v>0.3</v>
      </c>
      <c r="AM16">
        <f>SUMIFS(Линии[_Рр сил],Линии[Щит],Щиты[[#This Row],[Щит]])</f>
        <v>0</v>
      </c>
      <c r="AN16">
        <f>SUMIFS(Линии[_Руст пост],Линии[Щит],Щиты[[#This Row],[Щит]])</f>
        <v>0.2</v>
      </c>
      <c r="AO16">
        <f>SUMIFS(Линии[_P для cos],Линии[Щит],Щиты[[#This Row],[Щит]])</f>
        <v>0.5</v>
      </c>
      <c r="AP16">
        <f>SUMIFS(Линии[_P·cos],Линии[Щит],Щиты[[#This Row],[Щит]])</f>
        <v>0.47499999999999998</v>
      </c>
      <c r="AQ16">
        <f>SUMIFS(Линии[_Р отопления],Линии[Щит],Щиты[[#This Row],[Щит]])</f>
        <v>0</v>
      </c>
      <c r="AR16">
        <f>SUMIFS(Линии[_Рр ВНГ],Линии[Щит],Щиты[[#This Row],[Щит]])</f>
        <v>0</v>
      </c>
      <c r="AS16" s="6">
        <f>SUMIFS(Щиты[_быт собств],Щиты[Путь],"*|"&amp;Щиты[[#This Row],[Щит]]&amp;"|*")</f>
        <v>0.3</v>
      </c>
      <c r="AT16" s="6" cm="1">
        <f t="array" ref="AT16">_xlfn.LET(_xlpm.x,Щиты[[#This Row],[Руст быт, кВт]],_xlpm.m,MATCH(_xlpm.x,Кс_Р,1),IF(_xlpm.x&gt;=INDEX(Кс_Р,ROWS(Кс_Р)),INDEX(Кс_К,ROWS(Кс_К)),INDEX(Кс_К,_xlpm.m)+(_xlpm.x-INDEX(Кс_Р,_xlpm.m))*(INDEX(Кс_К,_xlpm.m+1)-INDEX(Кс_К,_xlpm.m))/(INDEX(Кс_Р,_xlpm.m+1)-INDEX(Кс_Р,_xlpm.m))))</f>
        <v>0.8</v>
      </c>
      <c r="AU16" s="6">
        <f>SUMIFS(Щиты[_сил собств],Щиты[Путь],"*|"&amp;Щиты[[#This Row],[Щит]]&amp;"|*")</f>
        <v>0</v>
      </c>
      <c r="AV16" s="6">
        <f>SUMIFS(Щиты[_пост собств],Щиты[Путь],"*|"&amp;Щиты[[#This Row],[Щит]]&amp;"|*")</f>
        <v>0.2</v>
      </c>
      <c r="AW16" s="6">
        <f>SUMIFS(Щиты[_отоп собств],Щиты[Путь],"*|"&amp;Щиты[[#This Row],[Щит]]&amp;"|*")</f>
        <v>0</v>
      </c>
      <c r="AX16" s="6">
        <f>SUMIFS(Щиты[_внг собств],Щиты[Путь],"*|"&amp;Щиты[[#This Row],[Щит]]&amp;"|*")</f>
        <v>0</v>
      </c>
      <c r="AY16">
        <f>COUNTIFS(Линии[Щит],Щиты[[#This Row],[Щит]],Линии[Группа Кс (итог)],"Сил")</f>
        <v>0</v>
      </c>
      <c r="AZ16" s="6" cm="1">
        <f t="array" ref="AZ16">_xlfn.LET(_xlpm.n,Щиты[[#This Row],[_n силовых]],IF(_xlpm.n&lt;=1,1,IF(_xlpm.n&gt;=MAX(Кс75_n),INDEX(Кс75_k,ROWS(Кс75_k)),_xlfn.LET(_xlpm.m,MATCH(_xlpm.n,Кс75_n,1),INDEX(Кс75_k,_xlpm.m)+(_xlpm.n-INDEX(Кс75_n,_xlpm.m))*(INDEX(Кс75_k,_xlpm.m+1)-INDEX(Кс75_k,_xlpm.m))/(INDEX(Кс75_n,_xlpm.m+1)-INDEX(Кс75_n,_xlpm.m))))))</f>
        <v>1</v>
      </c>
      <c r="BA16" s="6">
        <f>IF(Методика="нормы 2026",IF(AND(Щиты[[#This Row],[Руст быт, кВт]]&gt;0,Щиты[[#This Row],[Рр сил, кВт]]&gt;0),Ко_сил,1),Ко_сил)</f>
        <v>1</v>
      </c>
      <c r="BB16" s="6">
        <f>IF(Щиты[[#This Row],[Руст, кВт]]=0,0,Щиты[[#This Row],[Рр, кВт]]/Щиты[[#This Row],[Руст, кВт]])</f>
        <v>0.88</v>
      </c>
      <c r="BC16"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0.3</v>
      </c>
      <c r="BD16"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0.2</v>
      </c>
      <c r="BE16"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0</v>
      </c>
      <c r="BF16" cm="1">
        <f t="array" ref="BF16">IF(Щиты[[#This Row],[_строка фидера]]="","",INDEX(Линии[ΔU, %],Щиты[[#This Row],[_строка фидера]]))</f>
        <v>0.12</v>
      </c>
      <c r="BG16">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6">
        <f>IF(Щиты[[#This Row],[Питается от (итог)]]&lt;&gt;"",0,IF(LEFT(UPPER(TRIM(Щиты[[#This Row],[Питание: от (ТП / сеть)]])),2)="ТП",0,N(Щиты[[#This Row],[ΔU до питающего, %]])+Щиты[[#This Row],[_ΔU пит. линии]]))</f>
        <v>0</v>
      </c>
      <c r="BI16">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6"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6" t="str">
        <f>IF(Щиты[[#This Row],[_Zсети]]="","",Щиты[[#This Row],[_Zсети]]+Щиты[[#This Row],[_петля пит. кабеля]])</f>
        <v/>
      </c>
      <c r="BL16" cm="1">
        <f t="array" ref="BL16">IF(Щиты[[#This Row],[_строка фидера]]="","",INDEX(Линии[_Zкабеля],Щиты[[#This Row],[_строка фидера]]))</f>
        <v>0.52600000000000002</v>
      </c>
      <c r="BM16" s="6" cm="1">
        <f t="array" ref="BM16">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0.67697829354840211</v>
      </c>
      <c r="BN16"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6"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6" cm="1">
        <f t="array" ref="BP16">IF(Щиты[[#This Row],[_строка фидера]]="","",INDEX(Линии[_Zmax кабеля],Щиты[[#This Row],[_строка фидера]]))</f>
        <v>0.17500000000000002</v>
      </c>
      <c r="BQ16" s="6" cm="1">
        <f t="array" ref="BQ16">IF(_xlfn.XLOOKUP(Щиты[[#This Row],[Корень]],Щиты[Щит],Щиты[_Zmax источника],"")="","",SUMPRODUCT(--ISNUMBER(SEARCH("|"&amp;Щиты[Щит]&amp;"|",Щиты[[#This Row],[Путь]])),IFERROR(--Щиты[_Zmax источника],0)+IFERROR(--Щиты[_Zmax фидера],0)))</f>
        <v>0.21636352071140275</v>
      </c>
      <c r="BR16" cm="1">
        <f t="array" ref="BR16">IF(Щиты[[#This Row],[_строка фидера]]="","",INDEX(Линии[_ΔU по току, %],Щиты[[#This Row],[_строка фидера]]))</f>
        <v>0.12</v>
      </c>
      <c r="BS16" s="6" cm="1">
        <f t="array" ref="BS16">SUMPRODUCT(--ISNUMBER(SEARCH("|"&amp;Щиты[Щит]&amp;"|",Щиты[[#This Row],[Путь]])),IFERROR(--Щиты[_ΔU фидера (подбор)],0)+IFERROR(--Щиты[_ΔU источника],0))</f>
        <v>0.4860288498727976</v>
      </c>
      <c r="BT16" cm="1">
        <f t="array" ref="BT16">IF(Щиты[[#This Row],[_строка фидера]]="","",INDEX(Линии[_Zкабеля по току],Щиты[[#This Row],[_строка фидера]]))</f>
        <v>0.52600000000000002</v>
      </c>
      <c r="BU16" s="6" cm="1">
        <f t="array" ref="BU16">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0.67697829354840211</v>
      </c>
      <c r="BV16" s="6">
        <f>_xlfn.MAXIFS(Линии[Iпуск, А],Линии[Щит],Щиты[[#This Row],[Щит]])</f>
        <v>0</v>
      </c>
      <c r="BW16" t="str" cm="1">
        <f t="array" ref="BW16">IF(Щиты[[#This Row],[_строка фидера]]="","",INDEX(Линии[Источник для режимов],Щиты[[#This Row],[_строка фидера]]))</f>
        <v>Ввод 1</v>
      </c>
      <c r="BX16" t="str" cm="1">
        <f t="array" ref="BX16">IF(Щиты[[#This Row],[_строка фидера]]="","",INDEX(Линии[Пожарная (итог)],Щиты[[#This Row],[_строка фидера]]))</f>
        <v>нет</v>
      </c>
      <c r="BY16" t="str" cm="1">
        <f t="array" ref="BY16">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;23:L1;22:L2;</v>
      </c>
    </row>
    <row r="17" spans="1:77" x14ac:dyDescent="0.3">
      <c r="A17" t="s">
        <v>947</v>
      </c>
      <c r="B17" t="str">
        <f>Щиты[[#This Row],[_авто питается от]]</f>
        <v>ВРУ</v>
      </c>
      <c r="C17">
        <v>1</v>
      </c>
      <c r="D17" t="s">
        <v>493</v>
      </c>
      <c r="E17" t="s">
        <v>785</v>
      </c>
      <c r="F17">
        <v>3</v>
      </c>
      <c r="U17"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7" t="str" cm="1">
        <f t="array" ref="V17">IF(Щиты[[#This Row],[_строка фидера]]="","",INDEX(Линии[Номер линии],Щиты[[#This Row],[_строка фидера]]))</f>
        <v>ЩР-1</v>
      </c>
      <c r="W17" s="6">
        <f>SUMIFS(Щиты[_Руст собств],Щиты[Путь],"*|"&amp;Щиты[[#This Row],[Щит]]&amp;"|*")</f>
        <v>19.22</v>
      </c>
      <c r="X17" s="6">
        <f>k_пк*Щиты[[#This Row],[Руст быт, кВт]]*Щиты[[#This Row],[Кс быт]]+Щиты[[#This Row],[Ко]]*Щиты[[#This Row],[Рр сил, кВт]]+Щиты[[#This Row],[Руст пост, кВт]]+Щиты[[#This Row],[Р отопления, кВт]]+Щиты[[#This Row],[Рр ВНГ, кВт]]</f>
        <v>14.885999999999999</v>
      </c>
      <c r="Y17" s="6">
        <f>IFERROR(MAX(MAX(Щиты[[#This Row],[P L1, кВт]],Щиты[[#This Row],[P L2, кВт]],Щиты[[#This Row],[P L3, кВт]])*Щиты[[#This Row],[Кс итог]]/((Uн_лин*1000/SQRT(3))/1000*Щиты[[#This Row],[cos φ]]),Щиты[[#This Row],[Рр, кВт]]/(SQRT(3)*Uн_лин*Щиты[[#This Row],[cos φ]])),0)</f>
        <v>29.932612698433285</v>
      </c>
      <c r="Z17" s="6">
        <f>IFERROR(SUMIFS(Щиты[_Pcos собств],Щиты[Путь],"*|"&amp;Щиты[[#This Row],[Щит]]&amp;"|*")/SUMIFS(Щиты[_P собств],Щиты[Путь],"*|"&amp;Щиты[[#This Row],[Щит]]&amp;"|*"),0.95)</f>
        <v>0.9265868886576486</v>
      </c>
      <c r="AA17" s="6" cm="1">
        <f t="array" ref="AA17">SUMPRODUCT(--ISNUMBER(SEARCH("|"&amp;Щиты[Щит]&amp;"|",Щиты[[#This Row],[Путь]])),IFERROR(--Щиты[_ΔU фидера],0)+IFERROR(--Щиты[_ΔU источника],0))</f>
        <v>1.0560288498727977</v>
      </c>
      <c r="AB17" s="6">
        <f>IF(ISNUMBER(Щиты[[#This Row],[Zпетли на шинах, Ом]]),c_min*(Uн_лин*1000/SQRT(3))/Щиты[[#This Row],[Zпетли на шинах, Ом]],"")</f>
        <v>776.67242865323124</v>
      </c>
      <c r="AC17" s="6">
        <f>IF(ISNUMBER(Щиты[[#This Row],[Zmax на шинах, Ом]]),1.05*(Uн_лин*1000/SQRT(3))/Щиты[[#This Row],[Zmax на шинах, Ом]]/1000,"")</f>
        <v>2.8489846387843833</v>
      </c>
      <c r="AD17" t="str" cm="1">
        <f t="array" ref="AD17">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7" t="str" cm="1">
        <f t="array" ref="AE17">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|ВРУ|ЩР-1|</v>
      </c>
      <c r="AF17" s="6" t="str">
        <f>_xlfn.TEXTBEFORE(MID(Щиты[[#This Row],[Путь]],2,999),"|")</f>
        <v>ВРУ</v>
      </c>
      <c r="AG17" t="str">
        <f>IF(TRIM(Щиты[[#This Row],[Питается от]]&amp;"")="",Щиты[[#This Row],[_авто питается от]],Щиты[[#This Row],[Питается от]])</f>
        <v>ВРУ</v>
      </c>
      <c r="AH17">
        <f>LEN(Щиты[[#This Row],[Путь]])-LEN(SUBSTITUTE(Щиты[[#This Row],[Путь]],"|",""))-2</f>
        <v>1</v>
      </c>
      <c r="AI17">
        <f>IFERROR(_xlfn.XMATCH(Щиты[[#This Row],[Щит]],Линии[_фидер]),"")</f>
        <v>5</v>
      </c>
      <c r="AJ17" t="str" cm="1">
        <f t="array" ref="AJ17">IFERROR(INDEX(Линии[Щит],Щиты[[#This Row],[_строка фидера]]),"")</f>
        <v>ВРУ</v>
      </c>
      <c r="AK17">
        <f>SUMIFS(Линии[_Руст (без Нет)],Линии[Щит],Щиты[[#This Row],[Щит]])</f>
        <v>19.22</v>
      </c>
      <c r="AL17">
        <f>SUMIFS(Линии[_Руст быт],Линии[Щит],Щиты[[#This Row],[Щит]])</f>
        <v>13.719999999999999</v>
      </c>
      <c r="AM17">
        <f>SUMIFS(Линии[_Рр сил],Линии[Щит],Щиты[[#This Row],[Щит]])</f>
        <v>2.4000000000000004</v>
      </c>
      <c r="AN17">
        <f>SUMIFS(Линии[_Руст пост],Линии[Щит],Щиты[[#This Row],[Щит]])</f>
        <v>0</v>
      </c>
      <c r="AO17">
        <f>SUMIFS(Линии[_P для cos],Линии[Щит],Щиты[[#This Row],[Щит]])</f>
        <v>19.22</v>
      </c>
      <c r="AP17">
        <f>SUMIFS(Линии[_P·cos],Линии[Щит],Щиты[[#This Row],[Щит]])</f>
        <v>17.809000000000005</v>
      </c>
      <c r="AQ17">
        <f>SUMIFS(Линии[_Р отопления],Линии[Щит],Щиты[[#This Row],[Щит]])</f>
        <v>0</v>
      </c>
      <c r="AR17">
        <f>SUMIFS(Линии[_Рр ВНГ],Линии[Щит],Щиты[[#This Row],[Щит]])</f>
        <v>1.75</v>
      </c>
      <c r="AS17" s="6">
        <f>SUMIFS(Щиты[_быт собств],Щиты[Путь],"*|"&amp;Щиты[[#This Row],[Щит]]&amp;"|*")</f>
        <v>13.719999999999999</v>
      </c>
      <c r="AT17" s="6" cm="1">
        <f t="array" ref="AT17">_xlfn.LET(_xlpm.x,Щиты[[#This Row],[Руст быт, кВт]],_xlpm.m,MATCH(_xlpm.x,Кс_Р,1),IF(_xlpm.x&gt;=INDEX(Кс_Р,ROWS(Кс_Р)),INDEX(Кс_К,ROWS(Кс_К)),INDEX(Кс_К,_xlpm.m)+(_xlpm.x-INDEX(Кс_Р,_xlpm.m))*(INDEX(Кс_К,_xlpm.m+1)-INDEX(Кс_К,_xlpm.m))/(INDEX(Кс_Р,_xlpm.m+1)-INDEX(Кс_Р,_xlpm.m))))</f>
        <v>0.8</v>
      </c>
      <c r="AU17" s="6">
        <f>SUMIFS(Щиты[_сил собств],Щиты[Путь],"*|"&amp;Щиты[[#This Row],[Щит]]&amp;"|*")</f>
        <v>2.4000000000000004</v>
      </c>
      <c r="AV17" s="6">
        <f>SUMIFS(Щиты[_пост собств],Щиты[Путь],"*|"&amp;Щиты[[#This Row],[Щит]]&amp;"|*")</f>
        <v>0</v>
      </c>
      <c r="AW17" s="6">
        <f>SUMIFS(Щиты[_отоп собств],Щиты[Путь],"*|"&amp;Щиты[[#This Row],[Щит]]&amp;"|*")</f>
        <v>0</v>
      </c>
      <c r="AX17" s="6">
        <f>SUMIFS(Щиты[_внг собств],Щиты[Путь],"*|"&amp;Щиты[[#This Row],[Щит]]&amp;"|*")</f>
        <v>1.75</v>
      </c>
      <c r="AY17">
        <f>COUNTIFS(Линии[Щит],Щиты[[#This Row],[Щит]],Линии[Группа Кс (итог)],"Сил")</f>
        <v>1</v>
      </c>
      <c r="AZ17" s="6" cm="1">
        <f t="array" ref="AZ17">_xlfn.LET(_xlpm.n,Щиты[[#This Row],[_n силовых]],IF(_xlpm.n&lt;=1,1,IF(_xlpm.n&gt;=MAX(Кс75_n),INDEX(Кс75_k,ROWS(Кс75_k)),_xlfn.LET(_xlpm.m,MATCH(_xlpm.n,Кс75_n,1),INDEX(Кс75_k,_xlpm.m)+(_xlpm.n-INDEX(Кс75_n,_xlpm.m))*(INDEX(Кс75_k,_xlpm.m+1)-INDEX(Кс75_k,_xlpm.m))/(INDEX(Кс75_n,_xlpm.m+1)-INDEX(Кс75_n,_xlpm.m))))))</f>
        <v>1</v>
      </c>
      <c r="BA17" s="6">
        <f>IF(Методика="нормы 2026",IF(AND(Щиты[[#This Row],[Руст быт, кВт]]&gt;0,Щиты[[#This Row],[Рр сил, кВт]]&gt;0),Ко_сил,1),Ко_сил)</f>
        <v>0.9</v>
      </c>
      <c r="BB17" s="6">
        <f>IF(Щиты[[#This Row],[Руст, кВт]]=0,0,Щиты[[#This Row],[Рр, кВт]]/Щиты[[#This Row],[Руст, кВт]])</f>
        <v>0.77450572320499478</v>
      </c>
      <c r="BC17"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8.27</v>
      </c>
      <c r="BD17"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5.4</v>
      </c>
      <c r="BE17"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5.55</v>
      </c>
      <c r="BF17" cm="1">
        <f t="array" ref="BF17">IF(Щиты[[#This Row],[_строка фидера]]="","",INDEX(Линии[ΔU, %],Щиты[[#This Row],[_строка фидера]]))</f>
        <v>0.69000000000000006</v>
      </c>
      <c r="BG17">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7">
        <f>IF(Щиты[[#This Row],[Питается от (итог)]]&lt;&gt;"",0,IF(LEFT(UPPER(TRIM(Щиты[[#This Row],[Питание: от (ТП / сеть)]])),2)="ТП",0,N(Щиты[[#This Row],[ΔU до питающего, %]])+Щиты[[#This Row],[_ΔU пит. линии]]))</f>
        <v>0</v>
      </c>
      <c r="BI17">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7"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7" t="str">
        <f>IF(Щиты[[#This Row],[_Zсети]]="","",Щиты[[#This Row],[_Zсети]]+Щиты[[#This Row],[_петля пит. кабеля]])</f>
        <v/>
      </c>
      <c r="BL17" cm="1">
        <f t="array" ref="BL17">IF(Щиты[[#This Row],[_строка фидера]]="","",INDEX(Линии[_Zкабеля],Щиты[[#This Row],[_строка фидера]]))</f>
        <v>0.13150000000000001</v>
      </c>
      <c r="BM17" s="6" cm="1">
        <f t="array" ref="BM17">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0.28247829354840204</v>
      </c>
      <c r="BN17"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7"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7" cm="1">
        <f t="array" ref="BP17">IF(Щиты[[#This Row],[_строка фидера]]="","",INDEX(Линии[_Zmax кабеля],Щиты[[#This Row],[_строка фидера]]))</f>
        <v>4.3750000000000004E-2</v>
      </c>
      <c r="BQ17" s="6" cm="1">
        <f t="array" ref="BQ17">IF(_xlfn.XLOOKUP(Щиты[[#This Row],[Корень]],Щиты[Щит],Щиты[_Zmax источника],"")="","",SUMPRODUCT(--ISNUMBER(SEARCH("|"&amp;Щиты[Щит]&amp;"|",Щиты[[#This Row],[Путь]])),IFERROR(--Щиты[_Zmax источника],0)+IFERROR(--Щиты[_Zmax фидера],0)))</f>
        <v>8.511352071140274E-2</v>
      </c>
      <c r="BR17" cm="1">
        <f t="array" ref="BR17">IF(Щиты[[#This Row],[_строка фидера]]="","",INDEX(Линии[_ΔU по току, %],Щиты[[#This Row],[_строка фидера]]))</f>
        <v>0.69000000000000006</v>
      </c>
      <c r="BS17" s="6" cm="1">
        <f t="array" ref="BS17">SUMPRODUCT(--ISNUMBER(SEARCH("|"&amp;Щиты[Щит]&amp;"|",Щиты[[#This Row],[Путь]])),IFERROR(--Щиты[_ΔU фидера (подбор)],0)+IFERROR(--Щиты[_ΔU источника],0))</f>
        <v>1.0560288498727977</v>
      </c>
      <c r="BT17" cm="1">
        <f t="array" ref="BT17">IF(Щиты[[#This Row],[_строка фидера]]="","",INDEX(Линии[_Zкабеля по току],Щиты[[#This Row],[_строка фидера]]))</f>
        <v>0.13150000000000001</v>
      </c>
      <c r="BU17" s="6" cm="1">
        <f t="array" ref="BU17">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0.28247829354840204</v>
      </c>
      <c r="BV17" s="6">
        <f>_xlfn.MAXIFS(Линии[Iпуск, А],Линии[Щит],Щиты[[#This Row],[Щит]])</f>
        <v>0</v>
      </c>
      <c r="BW17" t="str" cm="1">
        <f t="array" ref="BW17">IF(Щиты[[#This Row],[_строка фидера]]="","",INDEX(Линии[Источник для режимов],Щиты[[#This Row],[_строка фидера]]))</f>
        <v>Ввод 1</v>
      </c>
      <c r="BX17" t="str" cm="1">
        <f t="array" ref="BX17">IF(Щиты[[#This Row],[_строка фидера]]="","",INDEX(Линии[Пожарная (итог)],Щиты[[#This Row],[_строка фидера]]))</f>
        <v>нет</v>
      </c>
      <c r="BY17" t="str" cm="1">
        <f t="array" ref="BY17">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;26:L1;35:L3;28:L2;41:L2;25:L1;38:L3;29:L3;34:L1;39:L1;42:L1;43:L1;44:L1;45:L1;</v>
      </c>
    </row>
    <row r="18" spans="1:77" x14ac:dyDescent="0.3">
      <c r="A18" t="s">
        <v>948</v>
      </c>
      <c r="B18" t="str">
        <f>Щиты[[#This Row],[_авто питается от]]</f>
        <v>ВРУ</v>
      </c>
      <c r="C18">
        <v>1</v>
      </c>
      <c r="D18" t="s">
        <v>493</v>
      </c>
      <c r="E18" t="s">
        <v>785</v>
      </c>
      <c r="F18">
        <v>2</v>
      </c>
      <c r="U18"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8" t="str" cm="1">
        <f t="array" ref="V18">IF(Щиты[[#This Row],[_строка фидера]]="","",INDEX(Линии[Номер линии],Щиты[[#This Row],[_строка фидера]]))</f>
        <v>ЩС</v>
      </c>
      <c r="W18" s="6">
        <f>SUMIFS(Щиты[_Руст собств],Щиты[Путь],"*|"&amp;Щиты[[#This Row],[Щит]]&amp;"|*")</f>
        <v>11.35</v>
      </c>
      <c r="X18" s="6">
        <f>k_пк*Щиты[[#This Row],[Руст быт, кВт]]*Щиты[[#This Row],[Кс быт]]+Щиты[[#This Row],[Ко]]*Щиты[[#This Row],[Рр сил, кВт]]+Щиты[[#This Row],[Руст пост, кВт]]+Щиты[[#This Row],[Р отопления, кВт]]+Щиты[[#This Row],[Рр ВНГ, кВт]]</f>
        <v>9.6475000000000009</v>
      </c>
      <c r="Y18" s="6">
        <f>IFERROR(MAX(MAX(Щиты[[#This Row],[P L1, кВт]],Щиты[[#This Row],[P L2, кВт]],Щиты[[#This Row],[P L3, кВт]])*Щиты[[#This Row],[Кс итог]]/((Uн_лин*1000/SQRT(3))/1000*Щиты[[#This Row],[cos φ]]),Щиты[[#This Row],[Рр, кВт]]/(SQRT(3)*Uн_лин*Щиты[[#This Row],[cos φ]])),0)</f>
        <v>19.279564640802732</v>
      </c>
      <c r="Z18" s="6">
        <f>IFERROR(SUMIFS(Щиты[_Pcos собств],Щиты[Путь],"*|"&amp;Щиты[[#This Row],[Щит]]&amp;"|*")/SUMIFS(Щиты[_P собств],Щиты[Путь],"*|"&amp;Щиты[[#This Row],[Щит]]&amp;"|*"),0.95)</f>
        <v>0.81453744493392066</v>
      </c>
      <c r="AA18" s="6" cm="1">
        <f t="array" ref="AA18">SUMPRODUCT(--ISNUMBER(SEARCH("|"&amp;Щиты[Щит]&amp;"|",Щиты[[#This Row],[Путь]])),IFERROR(--Щиты[_ΔU фидера],0)+IFERROR(--Щиты[_ΔU источника],0))</f>
        <v>1.9160288498727978</v>
      </c>
      <c r="AB18" s="6">
        <f>IF(ISNUMBER(Щиты[[#This Row],[Zпетли на шинах, Ом]]),c_min*(Uн_лин*1000/SQRT(3))/Щиты[[#This Row],[Zпетли на шинах, Ом]],"")</f>
        <v>324.07701160121729</v>
      </c>
      <c r="AC18" s="6">
        <f>IF(ISNUMBER(Щиты[[#This Row],[Zmax на шинах, Ом]]),1.05*(Uн_лин*1000/SQRT(3))/Щиты[[#This Row],[Zmax на шинах, Ом]]/1000,"")</f>
        <v>1.1207393569042776</v>
      </c>
      <c r="AD18" t="str" cm="1">
        <f t="array" ref="AD18">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II</v>
      </c>
      <c r="AE18" t="str" cm="1">
        <f t="array" ref="AE18">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|ВРУ|ЩС|</v>
      </c>
      <c r="AF18" s="6" t="str">
        <f>_xlfn.TEXTBEFORE(MID(Щиты[[#This Row],[Путь]],2,999),"|")</f>
        <v>ВРУ</v>
      </c>
      <c r="AG18" t="str">
        <f>IF(TRIM(Щиты[[#This Row],[Питается от]]&amp;"")="",Щиты[[#This Row],[_авто питается от]],Щиты[[#This Row],[Питается от]])</f>
        <v>ВРУ</v>
      </c>
      <c r="AH18">
        <f>LEN(Щиты[[#This Row],[Путь]])-LEN(SUBSTITUTE(Щиты[[#This Row],[Путь]],"|",""))-2</f>
        <v>1</v>
      </c>
      <c r="AI18">
        <f>IFERROR(_xlfn.XMATCH(Щиты[[#This Row],[Щит]],Линии[_фидер]),"")</f>
        <v>6</v>
      </c>
      <c r="AJ18" t="str" cm="1">
        <f t="array" ref="AJ18">IFERROR(INDEX(Линии[Щит],Щиты[[#This Row],[_строка фидера]]),"")</f>
        <v>ВРУ</v>
      </c>
      <c r="AK18">
        <f>SUMIFS(Линии[_Руст (без Нет)],Линии[Щит],Щиты[[#This Row],[Щит]])</f>
        <v>11.35</v>
      </c>
      <c r="AL18">
        <f>SUMIFS(Линии[_Руст быт],Линии[Щит],Щиты[[#This Row],[Щит]])</f>
        <v>0</v>
      </c>
      <c r="AM18">
        <f>SUMIFS(Линии[_Рр сил],Линии[Щит],Щиты[[#This Row],[Щит]])</f>
        <v>9.6475000000000009</v>
      </c>
      <c r="AN18">
        <f>SUMIFS(Линии[_Руст пост],Линии[Щит],Щиты[[#This Row],[Щит]])</f>
        <v>0</v>
      </c>
      <c r="AO18">
        <f>SUMIFS(Линии[_P для cos],Линии[Щит],Щиты[[#This Row],[Щит]])</f>
        <v>11.35</v>
      </c>
      <c r="AP18">
        <f>SUMIFS(Линии[_P·cos],Линии[Щит],Щиты[[#This Row],[Щит]])</f>
        <v>9.2449999999999992</v>
      </c>
      <c r="AQ18">
        <f>SUMIFS(Линии[_Р отопления],Линии[Щит],Щиты[[#This Row],[Щит]])</f>
        <v>0</v>
      </c>
      <c r="AR18">
        <f>SUMIFS(Линии[_Рр ВНГ],Линии[Щит],Щиты[[#This Row],[Щит]])</f>
        <v>0</v>
      </c>
      <c r="AS18" s="6">
        <f>SUMIFS(Щиты[_быт собств],Щиты[Путь],"*|"&amp;Щиты[[#This Row],[Щит]]&amp;"|*")</f>
        <v>0</v>
      </c>
      <c r="AT18" s="6" cm="1">
        <f t="array" ref="AT18">_xlfn.LET(_xlpm.x,Щиты[[#This Row],[Руст быт, кВт]],_xlpm.m,MATCH(_xlpm.x,Кс_Р,1),IF(_xlpm.x&gt;=INDEX(Кс_Р,ROWS(Кс_Р)),INDEX(Кс_К,ROWS(Кс_К)),INDEX(Кс_К,_xlpm.m)+(_xlpm.x-INDEX(Кс_Р,_xlpm.m))*(INDEX(Кс_К,_xlpm.m+1)-INDEX(Кс_К,_xlpm.m))/(INDEX(Кс_Р,_xlpm.m+1)-INDEX(Кс_Р,_xlpm.m))))</f>
        <v>0.8</v>
      </c>
      <c r="AU18" s="6">
        <f>SUMIFS(Щиты[_сил собств],Щиты[Путь],"*|"&amp;Щиты[[#This Row],[Щит]]&amp;"|*")</f>
        <v>9.6475000000000009</v>
      </c>
      <c r="AV18" s="6">
        <f>SUMIFS(Щиты[_пост собств],Щиты[Путь],"*|"&amp;Щиты[[#This Row],[Щит]]&amp;"|*")</f>
        <v>0</v>
      </c>
      <c r="AW18" s="6">
        <f>SUMIFS(Щиты[_отоп собств],Щиты[Путь],"*|"&amp;Щиты[[#This Row],[Щит]]&amp;"|*")</f>
        <v>0</v>
      </c>
      <c r="AX18" s="6">
        <f>SUMIFS(Щиты[_внг собств],Щиты[Путь],"*|"&amp;Щиты[[#This Row],[Щит]]&amp;"|*")</f>
        <v>0</v>
      </c>
      <c r="AY18">
        <f>COUNTIFS(Линии[Щит],Щиты[[#This Row],[Щит]],Линии[Группа Кс (итог)],"Сил")</f>
        <v>4</v>
      </c>
      <c r="AZ18" s="6" cm="1">
        <f t="array" ref="AZ18">_xlfn.LET(_xlpm.n,Щиты[[#This Row],[_n силовых]],IF(_xlpm.n&lt;=1,1,IF(_xlpm.n&gt;=MAX(Кс75_n),INDEX(Кс75_k,ROWS(Кс75_k)),_xlfn.LET(_xlpm.m,MATCH(_xlpm.n,Кс75_n,1),INDEX(Кс75_k,_xlpm.m)+(_xlpm.n-INDEX(Кс75_n,_xlpm.m))*(INDEX(Кс75_k,_xlpm.m+1)-INDEX(Кс75_k,_xlpm.m))/(INDEX(Кс75_n,_xlpm.m+1)-INDEX(Кс75_n,_xlpm.m))))))</f>
        <v>0.85000000000000009</v>
      </c>
      <c r="BA18" s="6">
        <f>IF(Методика="нормы 2026",IF(AND(Щиты[[#This Row],[Руст быт, кВт]]&gt;0,Щиты[[#This Row],[Рр сил, кВт]]&gt;0),Ко_сил,1),Ко_сил)</f>
        <v>1</v>
      </c>
      <c r="BB18" s="6">
        <f>IF(Щиты[[#This Row],[Руст, кВт]]=0,0,Щиты[[#This Row],[Рр, кВт]]/Щиты[[#This Row],[Руст, кВт]])</f>
        <v>0.85000000000000009</v>
      </c>
      <c r="BC18"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4.2666666666666666</v>
      </c>
      <c r="BD18"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3.9166666666666665</v>
      </c>
      <c r="BE18"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3.1666666666666665</v>
      </c>
      <c r="BF18" cm="1">
        <f t="array" ref="BF18">IF(Щиты[[#This Row],[_строка фидера]]="","",INDEX(Линии[ΔU, %],Щиты[[#This Row],[_строка фидера]]))</f>
        <v>1.55</v>
      </c>
      <c r="BG18">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8">
        <f>IF(Щиты[[#This Row],[Питается от (итог)]]&lt;&gt;"",0,IF(LEFT(UPPER(TRIM(Щиты[[#This Row],[Питание: от (ТП / сеть)]])),2)="ТП",0,N(Щиты[[#This Row],[ΔU до питающего, %]])+Щиты[[#This Row],[_ΔU пит. линии]]))</f>
        <v>0</v>
      </c>
      <c r="BI18">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8"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8" t="str">
        <f>IF(Щиты[[#This Row],[_Zсети]]="","",Щиты[[#This Row],[_Zсети]]+Щиты[[#This Row],[_петля пит. кабеля]])</f>
        <v/>
      </c>
      <c r="BL18" cm="1">
        <f t="array" ref="BL18">IF(Щиты[[#This Row],[_строка фидера]]="","",INDEX(Линии[_Zкабеля],Щиты[[#This Row],[_строка фидера]]))</f>
        <v>0.52600000000000002</v>
      </c>
      <c r="BM18" s="6" cm="1">
        <f t="array" ref="BM18">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0.67697829354840211</v>
      </c>
      <c r="BN18"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8"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8" cm="1">
        <f t="array" ref="BP18">IF(Щиты[[#This Row],[_строка фидера]]="","",INDEX(Линии[_Zmax кабеля],Щиты[[#This Row],[_строка фидера]]))</f>
        <v>0.17500000000000002</v>
      </c>
      <c r="BQ18" s="6" cm="1">
        <f t="array" ref="BQ18">IF(_xlfn.XLOOKUP(Щиты[[#This Row],[Корень]],Щиты[Щит],Щиты[_Zmax источника],"")="","",SUMPRODUCT(--ISNUMBER(SEARCH("|"&amp;Щиты[Щит]&amp;"|",Щиты[[#This Row],[Путь]])),IFERROR(--Щиты[_Zmax источника],0)+IFERROR(--Щиты[_Zmax фидера],0)))</f>
        <v>0.21636352071140275</v>
      </c>
      <c r="BR18" cm="1">
        <f t="array" ref="BR18">IF(Щиты[[#This Row],[_строка фидера]]="","",INDEX(Линии[_ΔU по току, %],Щиты[[#This Row],[_строка фидера]]))</f>
        <v>1.55</v>
      </c>
      <c r="BS18" s="6" cm="1">
        <f t="array" ref="BS18">SUMPRODUCT(--ISNUMBER(SEARCH("|"&amp;Щиты[Щит]&amp;"|",Щиты[[#This Row],[Путь]])),IFERROR(--Щиты[_ΔU фидера (подбор)],0)+IFERROR(--Щиты[_ΔU источника],0))</f>
        <v>1.9160288498727978</v>
      </c>
      <c r="BT18" cm="1">
        <f t="array" ref="BT18">IF(Щиты[[#This Row],[_строка фидера]]="","",INDEX(Линии[_Zкабеля по току],Щиты[[#This Row],[_строка фидера]]))</f>
        <v>0.52600000000000002</v>
      </c>
      <c r="BU18" s="6" cm="1">
        <f t="array" ref="BU18">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0.67697829354840211</v>
      </c>
      <c r="BV18" s="6">
        <f>_xlfn.MAXIFS(Линии[Iпуск, А],Линии[Щит],Щиты[[#This Row],[Щит]])</f>
        <v>24.19</v>
      </c>
      <c r="BW18" t="str" cm="1">
        <f t="array" ref="BW18">IF(Щиты[[#This Row],[_строка фидера]]="","",INDEX(Линии[Источник для режимов],Щиты[[#This Row],[_строка фидера]]))</f>
        <v>Ввод 1</v>
      </c>
      <c r="BX18" t="str" cm="1">
        <f t="array" ref="BX18">IF(Щиты[[#This Row],[_строка фидера]]="","",INDEX(Линии[Пожарная (итог)],Щиты[[#This Row],[_строка фидера]]))</f>
        <v>нет</v>
      </c>
      <c r="BY18" t="str" cm="1">
        <f t="array" ref="BY18">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;49:L1;51:L2;50:L3;</v>
      </c>
    </row>
    <row r="19" spans="1:77" x14ac:dyDescent="0.3">
      <c r="A19" t="s">
        <v>949</v>
      </c>
      <c r="B19" t="str">
        <f>Щиты[[#This Row],[_авто питается от]]</f>
        <v>ВРУ</v>
      </c>
      <c r="C19">
        <v>2</v>
      </c>
      <c r="D19" t="s">
        <v>497</v>
      </c>
      <c r="E19" t="s">
        <v>785</v>
      </c>
      <c r="F19">
        <v>3</v>
      </c>
      <c r="U19" t="str">
        <f>_xlfn.TEXTJOIN("; ",TRUE,IF(AND(Щиты[[#This Row],[Питается от (итог)]]="",Щиты[[#This Row],[Zпетли на шинах, Ом]]=""),"нет данных сети для ТКЗ: введите Iкз от сетевой организации или трансформатор",""),IF(AND(Щиты[[#This Row],[Питается от]]&lt;&gt;"",NOT(_xlfn.ISFORMULA(Щиты[[#This Row],[Питается от]])),Щиты[[#This Row],[_строка фидера]]=""),"нет линии-фидера в «Линиях»: номер линии = имя щита или столбец «Питает щит»",""),IF(AND(ISNUMBER(Щиты[[#This Row],[ΔU до шин, %]]),Щиты[[#This Row],[ΔU до шин, %]]&gt;4),"ΔU до шин "&amp;FIXED(Щиты[[#This Row],[ΔU до шин, %]],2)&amp;" % &gt; 4 %",""))</f>
        <v/>
      </c>
      <c r="V19" t="str" cm="1">
        <f t="array" ref="V19">IF(Щиты[[#This Row],[_строка фидера]]="","",INDEX(Линии[Номер линии],Щиты[[#This Row],[_строка фидера]]))</f>
        <v>ЩСПЗ.1</v>
      </c>
      <c r="W19" s="6">
        <f>SUMIFS(Щиты[_Руст собств],Щиты[Путь],"*|"&amp;Щиты[[#This Row],[Щит]]&amp;"|*")</f>
        <v>3.4</v>
      </c>
      <c r="X19" s="6">
        <f>k_пк*Щиты[[#This Row],[Руст быт, кВт]]*Щиты[[#This Row],[Кс быт]]+Щиты[[#This Row],[Ко]]*Щиты[[#This Row],[Рр сил, кВт]]+Щиты[[#This Row],[Руст пост, кВт]]+Щиты[[#This Row],[Р отопления, кВт]]+Щиты[[#This Row],[Рр ВНГ, кВт]]</f>
        <v>3.4</v>
      </c>
      <c r="Y19" s="6">
        <f>IFERROR(MAX(MAX(Щиты[[#This Row],[P L1, кВт]],Щиты[[#This Row],[P L2, кВт]],Щиты[[#This Row],[P L3, кВт]])*Щиты[[#This Row],[Кс итог]]/((Uн_лин*1000/SQRT(3))/1000*Щиты[[#This Row],[cos φ]]),Щиты[[#This Row],[Рр, кВт]]/(SQRT(3)*Uн_лин*Щиты[[#This Row],[cos φ]])),0)</f>
        <v>7.4141743201689332</v>
      </c>
      <c r="Z19" s="6">
        <f>IFERROR(SUMIFS(Щиты[_Pcos собств],Щиты[Путь],"*|"&amp;Щиты[[#This Row],[Щит]]&amp;"|*")/SUMIFS(Щиты[_P собств],Щиты[Путь],"*|"&amp;Щиты[[#This Row],[Щит]]&amp;"|*"),0.95)</f>
        <v>0.8176470588235295</v>
      </c>
      <c r="AA19" s="6" cm="1">
        <f t="array" ref="AA19">SUMPRODUCT(--ISNUMBER(SEARCH("|"&amp;Щиты[Щит]&amp;"|",Щиты[[#This Row],[Путь]])),IFERROR(--Щиты[_ΔU фидера],0)+IFERROR(--Щиты[_ΔU источника],0))</f>
        <v>1.3160288498727977</v>
      </c>
      <c r="AB19" s="6">
        <f>IF(ISNUMBER(Щиты[[#This Row],[Zпетли на шинах, Ом]]),c_min*(Uн_лин*1000/SQRT(3))/Щиты[[#This Row],[Zпетли на шинах, Ом]],"")</f>
        <v>383.70309745500288</v>
      </c>
      <c r="AC19" s="6">
        <f>IF(ISNUMBER(Щиты[[#This Row],[Zmax на шинах, Ом]]),1.05*(Uн_лин*1000/SQRT(3))/Щиты[[#This Row],[Zmax на шинах, Ом]]/1000,"")</f>
        <v>1.3370225286125974</v>
      </c>
      <c r="AD19" t="str" cm="1">
        <f t="array" ref="AD19">_xlfn.LET(_xlpm.w,_xlfn.TEXTSPLIT(Щиты[[#This Row],[Путь]],"|"),_xlpm.names,_xlfn._xlws.FILTER(_xlpm.w,_xlpm.w&lt;&gt;""),_xlfn.REDUCE("",_xlpm.names,_xlfn.LAMBDA(_xlpm.acc,_xlpm.nm,_xlfn.LET(_xlpm.inp,N(_xlfn.XLOOKUP(_xlpm.nm,Щиты[Щит],Щиты[Вводов],1)),_xlpm.avr,LOWER(TRIM(_xlfn.XLOOKUP(_xlpm.nm,Щиты[Щит],Щиты[АВР],"нет")&amp;"")),_xlpm.own,IF(_xlpm.inp&gt;=2,IF(_xlpm.avr="да","I","II"),"III"),_xlpm.fr,_xlfn.XLOOKUP(_xlpm.nm,Щиты[Щит],Щиты[_строка фидера],""),_xlpm.bt,IF(_xlpm.fr="","",INDEX(Линии[Тип шины],_xlpm.fr)&amp;""),_xlpm.man,TRIM(_xlfn.XLOOKUP(_xlpm.nm,Щиты[Щит],Щиты[Кат. питающей линии (ручн.)],"")&amp;""),_xlpm.up,IF(_xlpm.acc="",_xlpm.man,IF(OR(_xlpm.bt="ИБП",_xlpm.bt="ДГУ"),"I особая",IF(_xlpm.bt="Одиночная","III",_xlpm.acc))),IF(_xlpm.own&lt;&gt;"III",_xlpm.own,IF(OR(_xlpm.up="I особая",_xlpm.up="I",_xlpm.up="II"),"II","III"))))))</f>
        <v>I</v>
      </c>
      <c r="AE19" t="str" cm="1">
        <f t="array" ref="AE19">_xlfn.LET(_xlpm.f,_xlfn.LAMBDA(_xlpm.x,IF(_xlpm.x="","",_xlfn.XLOOKUP(_xlpm.x,Щиты[Щит],Щиты[Питается от (итог)],"")&amp;"")),_xlpm.п0,Щиты[[#This Row],[Щит]],_xlpm.п1,_xlpm.f(_xlpm.п0),_xlpm.п2,_xlpm.f(_xlpm.п1),_xlpm.п3,_xlpm.f(_xlpm.п2),_xlpm.п4,_xlpm.f(_xlpm.п3),_xlpm.п5,_xlpm.f(_xlpm.п4),_xlpm.п6,_xlpm.f(_xlpm.п5),_xlpm.п7,_xlpm.f(_xlpm.п6),"|"&amp;_xlfn.TEXTJOIN("|",TRUE,_xlpm.п7,_xlpm.п6,_xlpm.п5,_xlpm.п4,_xlpm.п3,_xlpm.п2,_xlpm.п1,_xlpm.п0)&amp;"|")</f>
        <v>|ВРУ|ЩСПЗ|</v>
      </c>
      <c r="AF19" s="6" t="str">
        <f>_xlfn.TEXTBEFORE(MID(Щиты[[#This Row],[Путь]],2,999),"|")</f>
        <v>ВРУ</v>
      </c>
      <c r="AG19" t="str">
        <f>IF(TRIM(Щиты[[#This Row],[Питается от]]&amp;"")="",Щиты[[#This Row],[_авто питается от]],Щиты[[#This Row],[Питается от]])</f>
        <v>ВРУ</v>
      </c>
      <c r="AH19">
        <f>LEN(Щиты[[#This Row],[Путь]])-LEN(SUBSTITUTE(Щиты[[#This Row],[Путь]],"|",""))-2</f>
        <v>1</v>
      </c>
      <c r="AI19">
        <f>IFERROR(_xlfn.XMATCH(Щиты[[#This Row],[Щит]],Линии[_фидер]),"")</f>
        <v>8</v>
      </c>
      <c r="AJ19" t="str" cm="1">
        <f t="array" ref="AJ19">IFERROR(INDEX(Линии[Щит],Щиты[[#This Row],[_строка фидера]]),"")</f>
        <v>ВРУ</v>
      </c>
      <c r="AK19">
        <f>SUMIFS(Линии[_Руст (без Нет)],Линии[Щит],Щиты[[#This Row],[Щит]])</f>
        <v>3.4</v>
      </c>
      <c r="AL19">
        <f>SUMIFS(Линии[_Руст быт],Линии[Щит],Щиты[[#This Row],[Щит]])</f>
        <v>0</v>
      </c>
      <c r="AM19">
        <f>SUMIFS(Линии[_Рр сил],Линии[Щит],Щиты[[#This Row],[Щит]])</f>
        <v>3</v>
      </c>
      <c r="AN19">
        <f>SUMIFS(Линии[_Руст пост],Линии[Щит],Щиты[[#This Row],[Щит]])</f>
        <v>0.4</v>
      </c>
      <c r="AO19">
        <f>SUMIFS(Линии[_P для cos],Линии[Щит],Щиты[[#This Row],[Щит]])</f>
        <v>3.4</v>
      </c>
      <c r="AP19">
        <f>SUMIFS(Линии[_P·cos],Линии[Щит],Щиты[[#This Row],[Щит]])</f>
        <v>2.7800000000000002</v>
      </c>
      <c r="AQ19">
        <f>SUMIFS(Линии[_Р отопления],Линии[Щит],Щиты[[#This Row],[Щит]])</f>
        <v>0</v>
      </c>
      <c r="AR19">
        <f>SUMIFS(Линии[_Рр ВНГ],Линии[Щит],Щиты[[#This Row],[Щит]])</f>
        <v>0</v>
      </c>
      <c r="AS19" s="6">
        <f>SUMIFS(Щиты[_быт собств],Щиты[Путь],"*|"&amp;Щиты[[#This Row],[Щит]]&amp;"|*")</f>
        <v>0</v>
      </c>
      <c r="AT19" s="6" cm="1">
        <f t="array" ref="AT19">_xlfn.LET(_xlpm.x,Щиты[[#This Row],[Руст быт, кВт]],_xlpm.m,MATCH(_xlpm.x,Кс_Р,1),IF(_xlpm.x&gt;=INDEX(Кс_Р,ROWS(Кс_Р)),INDEX(Кс_К,ROWS(Кс_К)),INDEX(Кс_К,_xlpm.m)+(_xlpm.x-INDEX(Кс_Р,_xlpm.m))*(INDEX(Кс_К,_xlpm.m+1)-INDEX(Кс_К,_xlpm.m))/(INDEX(Кс_Р,_xlpm.m+1)-INDEX(Кс_Р,_xlpm.m))))</f>
        <v>0.8</v>
      </c>
      <c r="AU19" s="6">
        <f>SUMIFS(Щиты[_сил собств],Щиты[Путь],"*|"&amp;Щиты[[#This Row],[Щит]]&amp;"|*")</f>
        <v>3</v>
      </c>
      <c r="AV19" s="6">
        <f>SUMIFS(Щиты[_пост собств],Щиты[Путь],"*|"&amp;Щиты[[#This Row],[Щит]]&amp;"|*")</f>
        <v>0.4</v>
      </c>
      <c r="AW19" s="6">
        <f>SUMIFS(Щиты[_отоп собств],Щиты[Путь],"*|"&amp;Щиты[[#This Row],[Щит]]&amp;"|*")</f>
        <v>0</v>
      </c>
      <c r="AX19" s="6">
        <f>SUMIFS(Щиты[_внг собств],Щиты[Путь],"*|"&amp;Щиты[[#This Row],[Щит]]&amp;"|*")</f>
        <v>0</v>
      </c>
      <c r="AY19">
        <f>COUNTIFS(Линии[Щит],Щиты[[#This Row],[Щит]],Линии[Группа Кс (итог)],"Сил")</f>
        <v>1</v>
      </c>
      <c r="AZ19" s="6" cm="1">
        <f t="array" ref="AZ19">_xlfn.LET(_xlpm.n,Щиты[[#This Row],[_n силовых]],IF(_xlpm.n&lt;=1,1,IF(_xlpm.n&gt;=MAX(Кс75_n),INDEX(Кс75_k,ROWS(Кс75_k)),_xlfn.LET(_xlpm.m,MATCH(_xlpm.n,Кс75_n,1),INDEX(Кс75_k,_xlpm.m)+(_xlpm.n-INDEX(Кс75_n,_xlpm.m))*(INDEX(Кс75_k,_xlpm.m+1)-INDEX(Кс75_k,_xlpm.m))/(INDEX(Кс75_n,_xlpm.m+1)-INDEX(Кс75_n,_xlpm.m))))))</f>
        <v>1</v>
      </c>
      <c r="BA19" s="6">
        <f>IF(Методика="нормы 2026",IF(AND(Щиты[[#This Row],[Руст быт, кВт]]&gt;0,Щиты[[#This Row],[Рр сил, кВт]]&gt;0),Ко_сил,1),Ко_сил)</f>
        <v>1</v>
      </c>
      <c r="BB19" s="6">
        <f>IF(Щиты[[#This Row],[Руст, кВт]]=0,0,Щиты[[#This Row],[Рр, кВт]]/Щиты[[#This Row],[Руст, кВт]])</f>
        <v>1</v>
      </c>
      <c r="BC19" s="6">
        <f>SUMIFS(Линии[_Р линии, кВт],Линии[Щит],Щиты[[#This Row],[Щит]],Линии[_фаза итог],"L1,L2,L3",Линии[Группа Кс (итог)],"&lt;&gt;Нет")/3+SUMIFS(Линии[_Р линии, кВт],Линии[Щит],Щиты[[#This Row],[Щит]],Линии[_фаза итог],"L1",Линии[Группа Кс (итог)],"&lt;&gt;Нет")</f>
        <v>1.4</v>
      </c>
      <c r="BD19" s="6">
        <f>SUMIFS(Линии[_Р линии, кВт],Линии[Щит],Щиты[[#This Row],[Щит]],Линии[_фаза итог],"L1,L2,L3",Линии[Группа Кс (итог)],"&lt;&gt;Нет")/3+SUMIFS(Линии[_Р линии, кВт],Линии[Щит],Щиты[[#This Row],[Щит]],Линии[_фаза итог],"L2",Линии[Группа Кс (итог)],"&lt;&gt;Нет")</f>
        <v>1</v>
      </c>
      <c r="BE19" s="6">
        <f>SUMIFS(Линии[_Р линии, кВт],Линии[Щит],Щиты[[#This Row],[Щит]],Линии[_фаза итог],"L1,L2,L3",Линии[Группа Кс (итог)],"&lt;&gt;Нет")/3+SUMIFS(Линии[_Р линии, кВт],Линии[Щит],Щиты[[#This Row],[Щит]],Линии[_фаза итог],"L3",Линии[Группа Кс (итог)],"&lt;&gt;Нет")</f>
        <v>1</v>
      </c>
      <c r="BF19" cm="1">
        <f t="array" ref="BF19">IF(Щиты[[#This Row],[_строка фидера]]="","",INDEX(Линии[ΔU, %],Щиты[[#This Row],[_строка фидера]]))</f>
        <v>0.95</v>
      </c>
      <c r="BG19">
        <f>IF(OR(N(Щиты[[#This Row],[Питающий кабель: S, мм²]])=0,N(Щиты[[#This Row],[Длина, м]])=0),0,(IF(Щиты[[#This Row],[Материал]]="алюминий",0.036,0.0225)*N(Щиты[[#This Row],[Длина, м]])/(N(Щиты[[#This Row],[Питающий кабель: S, мм²]])*MAX(1,N(Щиты[[#This Row],[Кабелей параллельно]])))*Щиты[[#This Row],[cos φ]]+0.00008*N(Щиты[[#This Row],[Длина, м]])/MAX(1,N(Щиты[[#This Row],[Кабелей параллельно]]))*SIN(ACOS(Щиты[[#This Row],[cos φ]])))*Щиты[[#This Row],[Iр, А]]/(Uн_лин*1000/SQRT(3))*100)</f>
        <v>0</v>
      </c>
      <c r="BH19">
        <f>IF(Щиты[[#This Row],[Питается от (итог)]]&lt;&gt;"",0,IF(LEFT(UPPER(TRIM(Щиты[[#This Row],[Питание: от (ТП / сеть)]])),2)="ТП",0,N(Щиты[[#This Row],[ΔU до питающего, %]])+Щиты[[#This Row],[_ΔU пит. линии]]))</f>
        <v>0</v>
      </c>
      <c r="BI19">
        <f>IF(N(Щиты[[#This Row],[Питающий кабель: S, мм²]])&gt;0,2*IF(Щиты[[#This Row],[Материал]]="алюминий",ρкз_Al,ρкз_Cu)*N(Щиты[[#This Row],[Длина, м]])/(N(Щиты[[#This Row],[Питающий кабель: S, мм²]])*MAX(1,N(Щиты[[#This Row],[Кабелей параллельно]]))),0)</f>
        <v>0</v>
      </c>
      <c r="BJ19" t="str">
        <f>IF(Щиты[[#This Row],[Питается от (итог)]]&lt;&gt;"","",IF(N(Щиты[[#This Row],[Iкз min от сети, А]])&gt;0,c_min*(Uн_лин*1000/SQRT(3))/Щиты[[#This Row],[Iкз min от сети, А]],IF(AND(LEFT(UPPER(TRIM(Щиты[[#This Row],[Питание: от (ТП / сеть)]])),2)="ТП",N(Щиты[[#This Row],[Sтр, кВА]])&gt;0),0.055*Uн_лин^2/(Щиты[[#This Row],[Sтр, кВА]]/1000)*IF(Щиты[[#This Row],[Схема тр-ра]]="Y/Yн",3,1),"")))</f>
        <v/>
      </c>
      <c r="BK19" t="str">
        <f>IF(Щиты[[#This Row],[_Zсети]]="","",Щиты[[#This Row],[_Zсети]]+Щиты[[#This Row],[_петля пит. кабеля]])</f>
        <v/>
      </c>
      <c r="BL19" cm="1">
        <f t="array" ref="BL19">IF(Щиты[[#This Row],[_строка фидера]]="","",INDEX(Линии[_Zкабеля],Щиты[[#This Row],[_строка фидера]]))</f>
        <v>0.42080000000000001</v>
      </c>
      <c r="BM19" s="6" cm="1">
        <f t="array" ref="BM19">IF(_xlfn.XLOOKUP(Щиты[[#This Row],[Корень]],Щиты[Щит],Щиты[_Zисточника],"")="","",SUMPRODUCT(--ISNUMBER(SEARCH("|"&amp;Щиты[Щит]&amp;"|",Щиты[[#This Row],[Путь]])),IFERROR(--Щиты[_Zисточника],0)+IFERROR(--Щиты[_Zфидера],0))+SUMPRODUCT(--ISNUMBER(SEARCH("|"&amp;Щиты[Щит]&amp;"|",Щиты[[#This Row],[Путь]])))*R_пер)</f>
        <v>0.57177829354840215</v>
      </c>
      <c r="BN19" t="str">
        <f>IF(Щиты[[#This Row],[Питается от (итог)]]&lt;&gt;"","",IF(N(Щиты[[#This Row],[Iкз max от сети, кА]])&gt;0,1.05*(Uн_лин*1000/SQRT(3))/(Щиты[[#This Row],[Iкз max от сети, кА]]*1000),IF(AND(LEFT(UPPER(TRIM(Щиты[[#This Row],[Питание: от (ТП / сеть)]])),2)="ТП",N(Щиты[[#This Row],[Sтр, кВА]])&gt;0),0.055*Uн_лин^2/(Щиты[[#This Row],[Sтр, кВА]]/1000),"")))</f>
        <v/>
      </c>
      <c r="BO19" t="str">
        <f>IF(Щиты[[#This Row],[_Zmax сети]]="","",Щиты[[#This Row],[_Zmax сети]]+IF(N(Щиты[[#This Row],[Питающий кабель: S, мм²]])&gt;0,IF(Щиты[[#This Row],[Материал]]="алюминий",0.028,0.0175)*N(Щиты[[#This Row],[Длина, м]])/(N(Щиты[[#This Row],[Питающий кабель: S, мм²]])*MAX(1,N(Щиты[[#This Row],[Кабелей параллельно]]))),0))</f>
        <v/>
      </c>
      <c r="BP19" cm="1">
        <f t="array" ref="BP19">IF(Щиты[[#This Row],[_строка фидера]]="","",INDEX(Линии[_Zmax кабеля],Щиты[[#This Row],[_строка фидера]]))</f>
        <v>0.14000000000000001</v>
      </c>
      <c r="BQ19" s="6" cm="1">
        <f t="array" ref="BQ19">IF(_xlfn.XLOOKUP(Щиты[[#This Row],[Корень]],Щиты[Щит],Щиты[_Zmax источника],"")="","",SUMPRODUCT(--ISNUMBER(SEARCH("|"&amp;Щиты[Щит]&amp;"|",Щиты[[#This Row],[Путь]])),IFERROR(--Щиты[_Zmax источника],0)+IFERROR(--Щиты[_Zmax фидера],0)))</f>
        <v>0.18136352071140274</v>
      </c>
      <c r="BR19" cm="1">
        <f t="array" ref="BR19">IF(Щиты[[#This Row],[_строка фидера]]="","",INDEX(Линии[_ΔU по току, %],Щиты[[#This Row],[_строка фидера]]))</f>
        <v>0.95</v>
      </c>
      <c r="BS19" s="6" cm="1">
        <f t="array" ref="BS19">SUMPRODUCT(--ISNUMBER(SEARCH("|"&amp;Щиты[Щит]&amp;"|",Щиты[[#This Row],[Путь]])),IFERROR(--Щиты[_ΔU фидера (подбор)],0)+IFERROR(--Щиты[_ΔU источника],0))</f>
        <v>1.3160288498727977</v>
      </c>
      <c r="BT19" cm="1">
        <f t="array" ref="BT19">IF(Щиты[[#This Row],[_строка фидера]]="","",INDEX(Линии[_Zкабеля по току],Щиты[[#This Row],[_строка фидера]]))</f>
        <v>0.42080000000000001</v>
      </c>
      <c r="BU19" s="6" cm="1">
        <f t="array" ref="BU19">IF(_xlfn.XLOOKUP(Щиты[[#This Row],[Корень]],Щиты[Щит],Щиты[_Zисточника],"")="","",SUMPRODUCT(--ISNUMBER(SEARCH("|"&amp;Щиты[Щит]&amp;"|",Щиты[[#This Row],[Путь]])),IFERROR(--Щиты[_Zисточника],0)+IFERROR(--Щиты[_Zфидера (подбор)],0))+SUMPRODUCT(--ISNUMBER(SEARCH("|"&amp;Щиты[Щит]&amp;"|",Щиты[[#This Row],[Путь]])))*R_пер)</f>
        <v>0.57177829354840215</v>
      </c>
      <c r="BV19" s="6">
        <f>_xlfn.MAXIFS(Линии[Iпуск, А],Линии[Щит],Щиты[[#This Row],[Щит]])</f>
        <v>0</v>
      </c>
      <c r="BW19" t="str" cm="1">
        <f t="array" ref="BW19">IF(Щиты[[#This Row],[_строка фидера]]="","",INDEX(Линии[Источник для режимов],Щиты[[#This Row],[_строка фидера]]))</f>
        <v>Ввод 1</v>
      </c>
      <c r="BX19" t="str" cm="1">
        <f t="array" ref="BX19">IF(Щиты[[#This Row],[_строка фидера]]="","",INDEX(Линии[Пожарная (итог)],Щиты[[#This Row],[_строка фидера]]))</f>
        <v>да</v>
      </c>
      <c r="BY19" t="str" cm="1">
        <f t="array" ref="BY19">_xlfn.LET(_xlpm.b,Щиты[[#This Row],[Щит]],_xlpm.nn,Линии[_n],_xlpm.m,(Линии[Щит]=_xlpm.b)*(Линии[_свой автомат]=1),_xlpm.man,Линии[_фаза вручную],_xlpm.фз_,IFERROR(--Линии[_фаз группы],1),_xlpm.gp,IF(Линии[Группа Кс (итог)]="Нет",0,IFERROR(--Линии[_Р группы],0)),_xlpm.тр_,SUM(_xlpm.m*(_xlpm.man="L1,L2,L3")*_xlpm.gp)/3+SUM(_xlpm.m*(_xlpm.man="")*(_xlpm.фз_&gt;=3)*_xlpm.gp)/3,_xlpm.л1_,SUM(_xlpm.m*(_xlpm.man="L1")*_xlpm.gp)+_xlpm.тр_,_xlpm.л2_,SUM(_xlpm.m*(_xlpm.man="L2")*_xlpm.gp)+_xlpm.тр_,_xlpm.л3_,SUM(_xlpm.m*(_xlpm.man="L3")*_xlpm.gp)+_xlpm.тр_,_xlpm.sel,_xlpm.m*(_xlpm.man="")*(_xlpm.фз_&lt;3),IF(SUM(_xlpm.sel)=0,"",_xlfn.LET(_xlpm.ids,_xlfn._xlws.FILTER(_xlpm.nn,_xlpm.sel),_xlpm.ld,_xlfn._xlws.FILTER(_xlpm.gp,_xlpm.sel),_xlpm.ord,_xlfn.SORTBY(_xlfn.HSTACK(_xlpm.ids,_xlpm.ld),_xlpm.ld,-1,_xlpm.ids,1),_xlpm.res,_xlfn.REDUCE(_xlfn.HSTACK(_xlpm.л1_,_xlpm.л2_,_xlpm.л3_,""),_xlfn.SEQUENCE(ROWS(_xlpm.ord)),_xlfn.LAMBDA(_xlpm.acc,_xlpm.k,_xlfn.LET(_xlpm.фа,INDEX(_xlpm.acc,1,1),_xlpm.фб,INDEX(_xlpm.acc,1,2),_xlpm.фв,INDEX(_xlpm.acc,1,3),_xlpm.нг,INDEX(_xlpm.ord,_xlpm.k,2),_xlpm.ф,IF(_xlpm.фа&lt;=MIN(_xlpm.фб,_xlpm.фв),1,IF(_xlpm.фб&lt;=_xlpm.фв,2,3)),_xlfn.HSTACK(_xlpm.фа+(_xlpm.ф=1)*_xlpm.нг,_xlpm.фб+(_xlpm.ф=2)*_xlpm.нг,_xlpm.фв+(_xlpm.ф=3)*_xlpm.нг,INDEX(_xlpm.acc,1,4)&amp;";"&amp;INDEX(_xlpm.ord,_xlpm.k,1)&amp;":L"&amp;_xlpm.ф)))),INDEX(_xlpm.res,1,4)&amp;";")))</f>
        <v>;54:L1;</v>
      </c>
    </row>
  </sheetData>
  <mergeCells count="9">
    <mergeCell ref="B8:M8"/>
    <mergeCell ref="B9:M9"/>
    <mergeCell ref="B10:M10"/>
    <mergeCell ref="B2:M2"/>
    <mergeCell ref="B3:M3"/>
    <mergeCell ref="B4:M4"/>
    <mergeCell ref="B5:M5"/>
    <mergeCell ref="B6:M6"/>
    <mergeCell ref="B7:M7"/>
  </mergeCells>
  <conditionalFormatting sqref="B14:B120">
    <cfRule type="expression" dxfId="44" priority="1" stopIfTrue="1">
      <formula>_xlfn.ISFORMULA(B14)</formula>
    </cfRule>
    <cfRule type="expression" dxfId="43" priority="2" stopIfTrue="1">
      <formula>AND(NOT(_xlfn.ISFORMULA(B14)),B14&lt;&gt;"")</formula>
    </cfRule>
  </conditionalFormatting>
  <dataValidations count="1">
    <dataValidation type="list" allowBlank="1" showInputMessage="1" sqref="CC14" xr:uid="{4BA40668-E048-4E1A-9060-A33E77F058B9}">
      <formula1>"Ввод 1,Ввод 2,Ввод 3,ИБП,ДГУ,Одиночная"</formula1>
    </dataValidation>
  </dataValidations>
  <pageMargins left="0.7" right="0.7" top="0.75" bottom="0.75" header="0.3" footer="0.3"/>
  <legacy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80448-8262-4947-A62C-C08EBAE4D21B}">
  <sheetPr codeName="Лист5">
    <tabColor rgb="FFFFF2CC"/>
    <outlinePr summaryRight="0"/>
  </sheetPr>
  <dimension ref="A1:JZ57"/>
  <sheetViews>
    <sheetView tabSelected="1" workbookViewId="0">
      <pane xSplit="3" ySplit="2" topLeftCell="D3" activePane="bottomRight" state="frozenSplit"/>
      <selection pane="bottomLeft" activeCell="A3" sqref="A3"/>
      <selection pane="topRight" activeCell="D1" sqref="D1"/>
      <selection pane="bottomRight" activeCell="D3" sqref="D3"/>
    </sheetView>
  </sheetViews>
  <sheetFormatPr defaultColWidth="10.77734375" defaultRowHeight="14.4" outlineLevelCol="1" x14ac:dyDescent="0.3"/>
  <cols>
    <col min="1" max="1" width="9.77734375" customWidth="1"/>
    <col min="2" max="2" width="13.77734375" customWidth="1"/>
    <col min="3" max="3" width="30.77734375" customWidth="1"/>
    <col min="4" max="4" width="9.77734375" customWidth="1"/>
    <col min="5" max="5" width="8.77734375" customWidth="1"/>
    <col min="6" max="6" width="7.77734375" customWidth="1"/>
    <col min="7" max="7" width="16.77734375" customWidth="1"/>
    <col min="8" max="8" width="12.77734375" customWidth="1"/>
    <col min="9" max="9" width="14.77734375" customWidth="1"/>
    <col min="10" max="10" width="8.77734375" customWidth="1"/>
    <col min="11" max="12" width="9.77734375" customWidth="1"/>
    <col min="13" max="13" width="8.77734375" customWidth="1"/>
    <col min="14" max="14" width="38.77734375" customWidth="1"/>
    <col min="15" max="17" width="8.77734375" customWidth="1"/>
    <col min="18" max="18" width="22.77734375" customWidth="1"/>
    <col min="19" max="19" width="10.77734375" collapsed="1"/>
    <col min="20" max="24" width="0" hidden="1" customWidth="1" outlineLevel="1"/>
    <col min="25" max="25" width="8.77734375" hidden="1" customWidth="1" outlineLevel="1"/>
    <col min="26" max="26" width="0" hidden="1" customWidth="1" outlineLevel="1"/>
    <col min="27" max="27" width="12.77734375" hidden="1" customWidth="1" outlineLevel="1"/>
    <col min="28" max="52" width="0" hidden="1" customWidth="1" outlineLevel="1"/>
    <col min="53" max="286" width="0" hidden="1" customWidth="1"/>
  </cols>
  <sheetData>
    <row r="1" spans="1:286" ht="48" customHeight="1" x14ac:dyDescent="0.3">
      <c r="A1" s="144" t="str" cm="1">
        <f t="array" ref="A1">_xlfn.LET(_xlpm.v,_xlfn._xlws.FILTER(Линии[Щит],(Линии[_видна]=1)*(Линии[Щит]&lt;&gt;""),""),_xlpm.u,_xlfn.UNIQUE(_xlpm.v),IF(OR(ROWS(_xlpm.u)&lt;&gt;1,INDEX(_xlpm.u,1)=""),"Объект: щитов "&amp;ROWS(Щиты[Щит])&amp;", линий "&amp;SUM(--(Линии[Номер линии]&lt;&gt;""))&amp;", замечаний "&amp;COUNTIF(Линии[Замечания],"?*")&amp;CHAR(10)&amp;"Кнопка щита справа — показать один щит и его итоги",_xlfn.LET(_xlpm.щ,INDEX(_xlpm.u,1),_xlpm.X,_xlfn.LAMBDA(_xlpm.h,_xlfn.XLOOKUP(_xlpm.щ,Щиты[Щит],_xlpm.h,"")),_xlpm.щ&amp;IF(_xlpm.X(Щиты[Питается от (итог)])&lt;&gt;"","  ← от "&amp;_xlpm.X(Щиты[Питается от (итог)]),"")&amp;"   ·   листов схемы: "&amp;_xlfn.MAXIFS(Линии[Лист схемы],Линии[Щит],_xlpm.щ)&amp;"   ·   замечаний: "&amp;COUNTIFS(Линии[Щит],_xlpm.щ,Линии[Замечания],"?*")&amp;CHAR(10)&amp;"Руст "&amp;FIXED(_xlpm.X(Щиты[Руст, кВт]),1)&amp;" · Рр "&amp;FIXED(_xlpm.X(Щиты[Рр, кВт]),1)&amp;" кВт · Iр "&amp;FIXED(_xlpm.X(Щиты[Iр, А]),1)&amp;" А · cos φ "&amp;FIXED(_xlpm.X(Щиты[cos φ]),2)&amp;" · ΔU до шин "&amp;IFERROR(FIXED(_xlpm.X(Щиты[ΔU до шин, %]),2),"—")&amp;" %")))</f>
        <v>Объект: щитов 6, линий 53, замечаний 5
Кнопка щита справа — показать один щит и его итоги</v>
      </c>
      <c r="B1" s="145"/>
      <c r="C1" s="145"/>
    </row>
    <row r="2" spans="1:286" ht="48" customHeight="1" x14ac:dyDescent="0.3">
      <c r="A2" s="115" t="s">
        <v>4</v>
      </c>
      <c r="B2" s="115" t="s">
        <v>0</v>
      </c>
      <c r="C2" s="116" t="s">
        <v>6</v>
      </c>
      <c r="D2" s="115" t="s">
        <v>954</v>
      </c>
      <c r="E2" s="116" t="s">
        <v>446</v>
      </c>
      <c r="F2" s="115" t="s">
        <v>808</v>
      </c>
      <c r="G2" s="116" t="s">
        <v>7</v>
      </c>
      <c r="H2" s="116" t="s">
        <v>848</v>
      </c>
      <c r="I2" s="116" t="s">
        <v>865</v>
      </c>
      <c r="J2" s="116" t="s">
        <v>552</v>
      </c>
      <c r="K2" s="116" t="s">
        <v>955</v>
      </c>
      <c r="L2" s="116" t="s">
        <v>448</v>
      </c>
      <c r="M2" s="116" t="s">
        <v>444</v>
      </c>
      <c r="N2" s="117" t="s">
        <v>956</v>
      </c>
      <c r="O2" s="117" t="s">
        <v>754</v>
      </c>
      <c r="P2" s="117" t="s">
        <v>25</v>
      </c>
      <c r="Q2" s="117" t="s">
        <v>728</v>
      </c>
      <c r="R2" s="117" t="s">
        <v>9</v>
      </c>
      <c r="S2" s="117" t="s">
        <v>957</v>
      </c>
      <c r="T2" s="117" t="s">
        <v>958</v>
      </c>
      <c r="U2" s="117" t="s">
        <v>959</v>
      </c>
      <c r="V2" s="117" t="s">
        <v>960</v>
      </c>
      <c r="W2" s="117" t="s">
        <v>961</v>
      </c>
      <c r="X2" s="115" t="s">
        <v>962</v>
      </c>
      <c r="Y2" s="116" t="s">
        <v>963</v>
      </c>
      <c r="Z2" s="116" t="s">
        <v>2</v>
      </c>
      <c r="AA2" s="116" t="s">
        <v>190</v>
      </c>
      <c r="AB2" s="116" t="s">
        <v>544</v>
      </c>
      <c r="AC2" s="115" t="s">
        <v>726</v>
      </c>
      <c r="AD2" s="115" t="s">
        <v>964</v>
      </c>
      <c r="AE2" s="115" t="s">
        <v>965</v>
      </c>
      <c r="AF2" s="115" t="s">
        <v>802</v>
      </c>
      <c r="AG2" s="115" t="s">
        <v>966</v>
      </c>
      <c r="AH2" s="115" t="s">
        <v>967</v>
      </c>
      <c r="AI2" s="115" t="s">
        <v>861</v>
      </c>
      <c r="AJ2" s="115" t="s">
        <v>968</v>
      </c>
      <c r="AK2" s="116" t="s">
        <v>441</v>
      </c>
      <c r="AL2" s="115" t="s">
        <v>443</v>
      </c>
      <c r="AM2" s="115" t="s">
        <v>969</v>
      </c>
      <c r="AN2" s="116" t="s">
        <v>525</v>
      </c>
      <c r="AO2" s="116" t="s">
        <v>14</v>
      </c>
      <c r="AP2" s="115" t="s">
        <v>970</v>
      </c>
      <c r="AQ2" s="115" t="s">
        <v>192</v>
      </c>
      <c r="AR2" s="115" t="s">
        <v>200</v>
      </c>
      <c r="AS2" s="115" t="s">
        <v>199</v>
      </c>
      <c r="AT2" s="115" t="s">
        <v>58</v>
      </c>
      <c r="AU2" s="115" t="s">
        <v>48</v>
      </c>
      <c r="AV2" s="115" t="s">
        <v>518</v>
      </c>
      <c r="AW2" s="115" t="s">
        <v>519</v>
      </c>
      <c r="AX2" s="115" t="s">
        <v>520</v>
      </c>
      <c r="AY2" s="115" t="s">
        <v>521</v>
      </c>
      <c r="AZ2" s="115" t="s">
        <v>523</v>
      </c>
      <c r="BA2" s="117" t="s">
        <v>971</v>
      </c>
      <c r="BB2" s="117" t="s">
        <v>972</v>
      </c>
      <c r="BC2" s="117" t="s">
        <v>856</v>
      </c>
      <c r="BD2" s="117" t="s">
        <v>973</v>
      </c>
      <c r="BE2" s="117" t="s">
        <v>52</v>
      </c>
      <c r="BF2" s="117" t="s">
        <v>974</v>
      </c>
      <c r="BG2" s="117" t="s">
        <v>51</v>
      </c>
      <c r="BH2" s="117" t="s">
        <v>975</v>
      </c>
      <c r="BI2" s="117" t="s">
        <v>976</v>
      </c>
      <c r="BJ2" s="117" t="s">
        <v>977</v>
      </c>
      <c r="BK2" s="117" t="s">
        <v>978</v>
      </c>
      <c r="BL2" s="117" t="s">
        <v>979</v>
      </c>
      <c r="BM2" s="117" t="s">
        <v>980</v>
      </c>
      <c r="BN2" s="117" t="s">
        <v>981</v>
      </c>
      <c r="BO2" s="117" t="s">
        <v>982</v>
      </c>
      <c r="BP2" s="117" t="s">
        <v>983</v>
      </c>
      <c r="BQ2" s="117" t="s">
        <v>984</v>
      </c>
      <c r="BR2" s="117" t="s">
        <v>985</v>
      </c>
      <c r="BS2" s="117" t="s">
        <v>986</v>
      </c>
      <c r="BT2" s="117" t="s">
        <v>987</v>
      </c>
      <c r="BU2" s="117" t="s">
        <v>988</v>
      </c>
      <c r="BV2" s="117" t="s">
        <v>989</v>
      </c>
      <c r="BW2" s="117" t="s">
        <v>990</v>
      </c>
      <c r="BX2" s="117" t="s">
        <v>860</v>
      </c>
      <c r="BY2" s="117" t="s">
        <v>991</v>
      </c>
      <c r="BZ2" s="117" t="s">
        <v>992</v>
      </c>
      <c r="CA2" s="117" t="s">
        <v>993</v>
      </c>
      <c r="CB2" s="117" t="s">
        <v>859</v>
      </c>
      <c r="CC2" s="117" t="s">
        <v>994</v>
      </c>
      <c r="CD2" s="117" t="s">
        <v>995</v>
      </c>
      <c r="CE2" s="117" t="s">
        <v>750</v>
      </c>
      <c r="CF2" s="117" t="s">
        <v>996</v>
      </c>
      <c r="CG2" s="117" t="s">
        <v>997</v>
      </c>
      <c r="CH2" s="117" t="s">
        <v>998</v>
      </c>
      <c r="CI2" s="117" t="s">
        <v>999</v>
      </c>
      <c r="CJ2" s="117" t="s">
        <v>1000</v>
      </c>
      <c r="CK2" s="117" t="s">
        <v>1001</v>
      </c>
      <c r="CL2" s="117" t="s">
        <v>1002</v>
      </c>
      <c r="CM2" s="117" t="s">
        <v>1003</v>
      </c>
      <c r="CN2" s="117" t="s">
        <v>1004</v>
      </c>
      <c r="CO2" s="117" t="s">
        <v>1005</v>
      </c>
      <c r="CP2" s="117" t="s">
        <v>1006</v>
      </c>
      <c r="CQ2" s="117" t="s">
        <v>1007</v>
      </c>
      <c r="CR2" s="117" t="s">
        <v>1008</v>
      </c>
      <c r="CS2" s="117" t="s">
        <v>1009</v>
      </c>
      <c r="CT2" s="117" t="s">
        <v>1010</v>
      </c>
      <c r="CU2" s="117" t="s">
        <v>1011</v>
      </c>
      <c r="CV2" s="117" t="s">
        <v>1012</v>
      </c>
      <c r="CW2" s="117" t="s">
        <v>1013</v>
      </c>
      <c r="CX2" s="117" t="s">
        <v>1014</v>
      </c>
      <c r="CY2" s="117" t="s">
        <v>1015</v>
      </c>
      <c r="CZ2" s="117" t="s">
        <v>1016</v>
      </c>
      <c r="DA2" s="117" t="s">
        <v>1017</v>
      </c>
      <c r="DB2" s="117" t="s">
        <v>1018</v>
      </c>
      <c r="DC2" s="117" t="s">
        <v>1019</v>
      </c>
      <c r="DD2" s="117" t="s">
        <v>1020</v>
      </c>
      <c r="DE2" s="117" t="s">
        <v>1021</v>
      </c>
      <c r="DF2" s="117" t="s">
        <v>438</v>
      </c>
      <c r="DG2" s="117" t="s">
        <v>439</v>
      </c>
      <c r="DH2" s="117" t="s">
        <v>1022</v>
      </c>
      <c r="DI2" s="117" t="s">
        <v>1023</v>
      </c>
      <c r="DJ2" s="117" t="s">
        <v>1024</v>
      </c>
      <c r="DK2" s="117" t="s">
        <v>1025</v>
      </c>
      <c r="DL2" s="117" t="s">
        <v>1026</v>
      </c>
      <c r="DM2" s="117" t="s">
        <v>1027</v>
      </c>
      <c r="DN2" s="117" t="s">
        <v>1028</v>
      </c>
      <c r="DO2" s="117" t="s">
        <v>1029</v>
      </c>
      <c r="DP2" s="117" t="s">
        <v>1030</v>
      </c>
      <c r="DQ2" s="117" t="s">
        <v>1031</v>
      </c>
      <c r="DR2" s="117" t="s">
        <v>1032</v>
      </c>
      <c r="DS2" s="117" t="s">
        <v>1033</v>
      </c>
      <c r="DT2" s="117" t="s">
        <v>1034</v>
      </c>
      <c r="DU2" s="117" t="s">
        <v>1035</v>
      </c>
      <c r="DV2" s="117" t="s">
        <v>1036</v>
      </c>
      <c r="DW2" s="117" t="s">
        <v>1037</v>
      </c>
      <c r="DX2" s="117" t="s">
        <v>1038</v>
      </c>
      <c r="DY2" s="117" t="s">
        <v>1039</v>
      </c>
      <c r="DZ2" s="117" t="s">
        <v>1040</v>
      </c>
      <c r="EA2" s="117" t="s">
        <v>1041</v>
      </c>
      <c r="EB2" s="117" t="s">
        <v>1042</v>
      </c>
      <c r="EC2" s="117" t="s">
        <v>1043</v>
      </c>
      <c r="ED2" s="117" t="s">
        <v>1044</v>
      </c>
      <c r="EE2" s="117" t="s">
        <v>1045</v>
      </c>
      <c r="EF2" s="117" t="s">
        <v>1046</v>
      </c>
      <c r="EG2" s="117" t="s">
        <v>1047</v>
      </c>
      <c r="EH2" s="117" t="s">
        <v>1048</v>
      </c>
      <c r="EI2" s="117" t="s">
        <v>1049</v>
      </c>
      <c r="EJ2" s="117" t="s">
        <v>1050</v>
      </c>
      <c r="EK2" s="117" t="s">
        <v>1051</v>
      </c>
      <c r="EL2" s="117" t="s">
        <v>1052</v>
      </c>
      <c r="EM2" s="117" t="s">
        <v>1053</v>
      </c>
      <c r="EN2" s="117" t="s">
        <v>3</v>
      </c>
      <c r="EO2" s="117" t="s">
        <v>1054</v>
      </c>
      <c r="EP2" s="117" t="s">
        <v>1055</v>
      </c>
      <c r="EQ2" s="117" t="s">
        <v>1056</v>
      </c>
      <c r="ER2" s="117" t="s">
        <v>1057</v>
      </c>
      <c r="ES2" s="117" t="s">
        <v>1058</v>
      </c>
      <c r="ET2" s="117" t="s">
        <v>1059</v>
      </c>
      <c r="EU2" s="117" t="s">
        <v>1060</v>
      </c>
      <c r="EV2" s="117" t="s">
        <v>1061</v>
      </c>
      <c r="EW2" s="117" t="s">
        <v>1062</v>
      </c>
      <c r="EX2" s="117" t="s">
        <v>1063</v>
      </c>
      <c r="EY2" s="117" t="s">
        <v>1064</v>
      </c>
      <c r="EZ2" s="117" t="s">
        <v>1065</v>
      </c>
      <c r="FA2" s="117" t="s">
        <v>1066</v>
      </c>
      <c r="FB2" s="117" t="s">
        <v>1067</v>
      </c>
      <c r="FC2" s="117" t="s">
        <v>731</v>
      </c>
      <c r="FD2" s="117" t="s">
        <v>729</v>
      </c>
      <c r="FE2" s="117" t="s">
        <v>732</v>
      </c>
      <c r="FF2" s="117" t="s">
        <v>1068</v>
      </c>
      <c r="FG2" s="117" t="s">
        <v>727</v>
      </c>
      <c r="FH2" s="117" t="s">
        <v>538</v>
      </c>
      <c r="FI2" s="117" t="s">
        <v>757</v>
      </c>
      <c r="FJ2" s="117" t="s">
        <v>1069</v>
      </c>
      <c r="FK2" s="117" t="s">
        <v>1070</v>
      </c>
      <c r="FL2" s="117" t="s">
        <v>1071</v>
      </c>
      <c r="FM2" s="117" t="s">
        <v>1072</v>
      </c>
      <c r="FN2" s="117" t="s">
        <v>1073</v>
      </c>
      <c r="FO2" s="117" t="s">
        <v>1074</v>
      </c>
      <c r="FP2" s="117" t="s">
        <v>1075</v>
      </c>
      <c r="FQ2" s="117" t="s">
        <v>1076</v>
      </c>
      <c r="FR2" s="117" t="s">
        <v>1077</v>
      </c>
      <c r="FS2" s="117" t="s">
        <v>1078</v>
      </c>
      <c r="FT2" s="117" t="s">
        <v>1079</v>
      </c>
      <c r="FU2" s="117" t="s">
        <v>1080</v>
      </c>
      <c r="FV2" s="117" t="s">
        <v>1081</v>
      </c>
      <c r="FW2" s="117" t="s">
        <v>1082</v>
      </c>
      <c r="FX2" s="117" t="s">
        <v>1083</v>
      </c>
      <c r="FY2" s="117" t="s">
        <v>1084</v>
      </c>
      <c r="FZ2" s="117" t="s">
        <v>1085</v>
      </c>
      <c r="GA2" s="117" t="s">
        <v>787</v>
      </c>
      <c r="GB2" s="117" t="s">
        <v>1086</v>
      </c>
      <c r="GC2" s="117" t="s">
        <v>1087</v>
      </c>
      <c r="GD2" s="117" t="s">
        <v>1088</v>
      </c>
      <c r="GE2" s="117" t="s">
        <v>786</v>
      </c>
      <c r="GF2" s="117" t="s">
        <v>788</v>
      </c>
      <c r="GG2" s="117" t="s">
        <v>1089</v>
      </c>
      <c r="GH2" s="117" t="s">
        <v>1090</v>
      </c>
      <c r="GI2" s="117" t="s">
        <v>1091</v>
      </c>
      <c r="GJ2" s="117" t="s">
        <v>1092</v>
      </c>
      <c r="GK2" s="117" t="s">
        <v>1093</v>
      </c>
      <c r="GL2" s="117" t="s">
        <v>1094</v>
      </c>
      <c r="GM2" s="117" t="s">
        <v>1095</v>
      </c>
      <c r="GN2" s="117" t="s">
        <v>1096</v>
      </c>
      <c r="GO2" s="117" t="s">
        <v>1097</v>
      </c>
      <c r="GP2" s="117" t="s">
        <v>1098</v>
      </c>
      <c r="GQ2" s="117" t="s">
        <v>1099</v>
      </c>
      <c r="GR2" s="117" t="s">
        <v>1100</v>
      </c>
      <c r="GS2" s="117" t="s">
        <v>1101</v>
      </c>
      <c r="GT2" s="117" t="s">
        <v>1102</v>
      </c>
      <c r="GU2" s="117" t="s">
        <v>1103</v>
      </c>
      <c r="GV2" s="117" t="s">
        <v>1104</v>
      </c>
      <c r="GW2" s="117" t="s">
        <v>1105</v>
      </c>
      <c r="GX2" s="117" t="s">
        <v>1106</v>
      </c>
      <c r="GY2" s="117" t="s">
        <v>1107</v>
      </c>
      <c r="GZ2" s="117" t="s">
        <v>1108</v>
      </c>
      <c r="HA2" s="117" t="s">
        <v>1109</v>
      </c>
      <c r="HB2" s="117" t="s">
        <v>1110</v>
      </c>
      <c r="HC2" s="117" t="s">
        <v>1111</v>
      </c>
      <c r="HD2" s="117" t="s">
        <v>1112</v>
      </c>
      <c r="HE2" s="117" t="s">
        <v>1113</v>
      </c>
      <c r="HF2" s="117" t="s">
        <v>1114</v>
      </c>
      <c r="HG2" s="117" t="s">
        <v>1115</v>
      </c>
      <c r="HH2" s="117" t="s">
        <v>1116</v>
      </c>
      <c r="HI2" s="117" t="s">
        <v>1117</v>
      </c>
      <c r="HJ2" s="117" t="s">
        <v>1118</v>
      </c>
      <c r="HK2" s="117" t="s">
        <v>1119</v>
      </c>
      <c r="HL2" s="117" t="s">
        <v>1120</v>
      </c>
      <c r="HM2" s="117" t="s">
        <v>1121</v>
      </c>
      <c r="HN2" s="117" t="s">
        <v>1122</v>
      </c>
      <c r="HO2" s="117" t="s">
        <v>436</v>
      </c>
      <c r="HP2" s="117" t="s">
        <v>1123</v>
      </c>
      <c r="HQ2" s="117" t="s">
        <v>1124</v>
      </c>
      <c r="HR2" s="117" t="s">
        <v>1125</v>
      </c>
      <c r="HS2" s="117" t="s">
        <v>730</v>
      </c>
      <c r="HT2" s="117" t="s">
        <v>1126</v>
      </c>
      <c r="HU2" s="117" t="s">
        <v>1127</v>
      </c>
      <c r="HV2" s="117" t="s">
        <v>1128</v>
      </c>
      <c r="HW2" s="117" t="s">
        <v>1129</v>
      </c>
      <c r="HX2" s="117" t="s">
        <v>1130</v>
      </c>
      <c r="HY2" s="117" t="s">
        <v>1131</v>
      </c>
      <c r="HZ2" s="117" t="s">
        <v>1132</v>
      </c>
      <c r="IA2" s="117" t="s">
        <v>1133</v>
      </c>
      <c r="IB2" s="117" t="s">
        <v>1134</v>
      </c>
      <c r="IC2" s="117" t="s">
        <v>1135</v>
      </c>
      <c r="ID2" s="117" t="s">
        <v>1136</v>
      </c>
      <c r="IE2" s="117" t="s">
        <v>1137</v>
      </c>
      <c r="IF2" s="117" t="s">
        <v>1138</v>
      </c>
      <c r="IG2" s="117" t="s">
        <v>1139</v>
      </c>
      <c r="IH2" s="117" t="s">
        <v>1140</v>
      </c>
      <c r="II2" s="117" t="s">
        <v>1141</v>
      </c>
      <c r="IJ2" s="117" t="s">
        <v>1142</v>
      </c>
      <c r="IK2" s="117" t="s">
        <v>1143</v>
      </c>
      <c r="IL2" s="117" t="s">
        <v>1144</v>
      </c>
      <c r="IM2" s="117" t="s">
        <v>1145</v>
      </c>
      <c r="IN2" s="117" t="s">
        <v>1146</v>
      </c>
      <c r="IO2" s="117" t="s">
        <v>1147</v>
      </c>
      <c r="IP2" s="117" t="s">
        <v>1148</v>
      </c>
      <c r="IQ2" s="117" t="s">
        <v>1149</v>
      </c>
      <c r="IR2" s="117" t="s">
        <v>1150</v>
      </c>
      <c r="IS2" s="117" t="s">
        <v>1151</v>
      </c>
      <c r="IT2" s="117" t="s">
        <v>1152</v>
      </c>
      <c r="IU2" s="117" t="s">
        <v>1153</v>
      </c>
      <c r="IV2" s="117" t="s">
        <v>1154</v>
      </c>
      <c r="IW2" s="117" t="s">
        <v>1155</v>
      </c>
      <c r="IX2" s="117" t="s">
        <v>1156</v>
      </c>
      <c r="IY2" s="117" t="s">
        <v>1157</v>
      </c>
      <c r="IZ2" s="117" t="s">
        <v>1158</v>
      </c>
      <c r="JA2" s="117" t="s">
        <v>1159</v>
      </c>
      <c r="JB2" s="117" t="s">
        <v>1160</v>
      </c>
      <c r="JC2" s="117" t="s">
        <v>1161</v>
      </c>
      <c r="JD2" s="117" t="s">
        <v>1162</v>
      </c>
      <c r="JE2" s="117" t="s">
        <v>1163</v>
      </c>
      <c r="JF2" s="117" t="s">
        <v>1164</v>
      </c>
      <c r="JG2" s="117" t="s">
        <v>1165</v>
      </c>
      <c r="JH2" s="117" t="s">
        <v>1166</v>
      </c>
      <c r="JI2" s="117" t="s">
        <v>1167</v>
      </c>
      <c r="JJ2" s="117" t="s">
        <v>1168</v>
      </c>
      <c r="JK2" s="117" t="s">
        <v>1169</v>
      </c>
      <c r="JL2" s="117" t="s">
        <v>1170</v>
      </c>
      <c r="JM2" s="117" t="s">
        <v>1171</v>
      </c>
      <c r="JN2" s="117" t="s">
        <v>1172</v>
      </c>
      <c r="JO2" s="117" t="s">
        <v>1173</v>
      </c>
      <c r="JP2" s="117" t="s">
        <v>1174</v>
      </c>
      <c r="JQ2" s="117" t="s">
        <v>1175</v>
      </c>
      <c r="JR2" s="117" t="s">
        <v>1176</v>
      </c>
      <c r="JS2" s="117" t="s">
        <v>1177</v>
      </c>
      <c r="JT2" s="117" t="s">
        <v>1178</v>
      </c>
      <c r="JU2" s="117" t="s">
        <v>1179</v>
      </c>
      <c r="JV2" s="117" t="s">
        <v>1180</v>
      </c>
      <c r="JW2" s="117" t="s">
        <v>1181</v>
      </c>
      <c r="JX2" s="117" t="s">
        <v>1182</v>
      </c>
      <c r="JY2" s="117" t="s">
        <v>1183</v>
      </c>
      <c r="JZ2" s="117" t="s">
        <v>1184</v>
      </c>
    </row>
    <row r="3" spans="1:286" x14ac:dyDescent="0.3">
      <c r="A3" t="s">
        <v>151</v>
      </c>
      <c r="B3" t="s">
        <v>1185</v>
      </c>
      <c r="C3" t="s">
        <v>1236</v>
      </c>
      <c r="E3">
        <f>Линии[[#This Row],[_авто Р]]</f>
        <v>43.93</v>
      </c>
      <c r="G3" t="str">
        <f>Линии[[#This Row],[_авто автомат]]</f>
        <v>3P С80А</v>
      </c>
      <c r="H3" t="str">
        <f>Линии[[#This Row],[_авто управление]]</f>
        <v/>
      </c>
      <c r="I3" t="str">
        <f>Линии[[#This Row],[_авто аппараты]]</f>
        <v/>
      </c>
      <c r="J3">
        <v>95</v>
      </c>
      <c r="K3" t="str">
        <f>Линии[[#This Row],[_авто длина по плану]]</f>
        <v/>
      </c>
      <c r="L3" t="str">
        <f>Линии[[#This Row],[_авто фаза]]</f>
        <v>L1,L2,L3</v>
      </c>
      <c r="M3" t="str">
        <f>Линии[[#This Row],[_авто клемма]]</f>
        <v/>
      </c>
      <c r="N3" t="str">
        <f t="shared" ref="N3:N34" si="0">_xlfn.TEXTJOIN("; ",TRUE,IK3,IH3,IF(LEFT(IJ3,3)="Icu",IJ3,""),IF(AND(B3&lt;&gt;"",EN3="не подобрано"),"сечение не подобрано: проверьте длину и автомат или впишите сечение",""))</f>
        <v/>
      </c>
      <c r="O3" s="6" cm="1">
        <f t="array" ref="O3">IF(B3="","",IF(BH3&lt;&gt;"",IFERROR(_xlfn.XLOOKUP(BH3,Щиты[Щит],Щиты[Iр, А]),""),IF(BP3=1,IF(OR(N(_xlfn.XLOOKUP(A3,Щиты[Щит],Щиты[Вводов],1))&lt;=1,LOWER(TRIM(_xlfn.XLOOKUP(A3,Щиты[Щит],Щиты[АВР],"")&amp;""))="да"),IFERROR(_xlfn.XLOOKUP(A3,Щиты[Щит],Щиты[Iр, А]),""),IFERROR(N(BS3)*_xlfn.XLOOKUP(A3,Щиты[Щит],Щиты[Кс итог])/(SQRT(3)*Uн_лин*_xlfn.XLOOKUP(A3,Щиты[Щит],Щиты[cos φ])),"")),IF(BV3=1,IFERROR(BS3*1000/BU3,""),IFERROR(_xlfn.IFS(BX3=1,BS3/((Uн_лин/SQRT(3))*CE3),BX3=3,BS3/(SQRT(3)*Uн_лин*CE3)),"")))))</f>
        <v>56.895065355139202</v>
      </c>
      <c r="P3" s="7" t="str">
        <f>IF(B3="","",IFERROR(IF(VLOOKUP(BC3,Потребители_обозначение,4,FALSE)=1,VLOOKUP(BC3,Потребители_обозначение,3,FALSE)*(MAX(1,N(D3))*2-1)+EI3+VLOOKUP(BE3,Этаж_обозначение,3,FALSE)+VLOOKUP(BE3,Этаж_обозначение,4,FALSE),VLOOKUP(BC3,Потребители_обозначение,3,FALSE)*(MAX(1,N(D3))*2-1)+EI3),EI3))</f>
        <v/>
      </c>
      <c r="Q3" s="6" t="str">
        <f t="shared" ref="Q3:Q34" si="1">IF(ISNUMBER(EW3),EW3+IF(BV3=1,0,ED3),"")</f>
        <v/>
      </c>
      <c r="R3" t="str">
        <f t="shared" ref="R3:R34" si="2">IF(OR(B3="",EX3=""),"",IF(EN3="не подобрано",EX3&amp;" — сечение не подобрано",EY3))</f>
        <v>ВВГнг(А)-LS (5х95)</v>
      </c>
      <c r="S3" t="str">
        <f>IF(BM3="","",IF(BN3="вводной узел","узел ","")&amp;"л."&amp;(INT((BM3-1)/Столбцов_на_лист)+1)&amp;" / "&amp;(MOD(BM3-1,Столбцов_на_лист)+1))</f>
        <v>узел л.1 / 1</v>
      </c>
      <c r="T3" s="119" t="str">
        <f t="shared" ref="T3:T34" si="3">IF(OR(CG3=0,BH3&lt;&gt;"",BP3=1),"",IF(AND(CS3&lt;&gt;"",CS3=BA3),ROUND(N(CY3),1),ROUND(N(HV3)+N(HW3),1)))</f>
        <v/>
      </c>
      <c r="U3" s="7" t="str">
        <f>IF(OR(CG3=0,N(BV3)+N(IB3)=0),"",ROUNDUP(Запас_БП*(N(HY3)+N(HZ3)),0))</f>
        <v/>
      </c>
      <c r="V3" s="119" t="str">
        <f t="shared" ref="V3:V34" si="4">IF(OR(CG3=0,N(BV3)+N(IB3)=0),"",ROUND(MAX(N(HX3),N(IA3)),1))</f>
        <v/>
      </c>
      <c r="W3" s="7" t="str">
        <f>IFERROR(IF(OR(B3="",BP3=1,BV3=1,NOT(ISNUMBER(EN3)),N(DT3)=0),"",MAX(0,ROUNDDOWN((c_min*(Uн_лин*1000/SQRT(3))/(HT3*N(DT3))-_xlfn.XLOOKUP(A3,Щиты[Щит],Щиты[Zпетли на шинах, Ом]))*EN3/(2*ρкз_Cu),0))),"")</f>
        <v/>
      </c>
      <c r="Y3" t="str">
        <f>Линии[[#This Row],[_авто утечка]]</f>
        <v/>
      </c>
      <c r="Z3">
        <v>3</v>
      </c>
      <c r="AA3">
        <v>400</v>
      </c>
      <c r="AB3" t="s">
        <v>556</v>
      </c>
      <c r="AJ3" t="s">
        <v>1186</v>
      </c>
      <c r="AK3" t="str">
        <f>Линии[[#This Row],[_авто модуль]]</f>
        <v/>
      </c>
      <c r="AM3">
        <v>1</v>
      </c>
      <c r="AN3" t="s">
        <v>11</v>
      </c>
      <c r="AO3">
        <v>5</v>
      </c>
      <c r="BA3" cm="1">
        <f t="array" ref="BA3">ROW()-ROW(Линии[#Headers])</f>
        <v>1</v>
      </c>
      <c r="BC3" s="6" t="str">
        <f t="shared" ref="BC3:BC34" si="5">IF(B3="","",IFERROR(LEFT(B3,SEARCH(".",B3)-1),B3))</f>
        <v>Ввод</v>
      </c>
      <c r="BD3" t="str">
        <f t="shared" ref="BD3:BD34" si="6">IFERROR(RIGHT(B3,LEN(B3)-SEARCH(".",B3)),"")</f>
        <v>1</v>
      </c>
      <c r="BE3" t="str">
        <f t="shared" ref="BE3:BE34" si="7">IFERROR(LEFT(BD3,SEARCH(".",BD3)-1),BD3)</f>
        <v>1</v>
      </c>
      <c r="BF3" t="str">
        <f t="shared" ref="BF3:BF34" si="8">IFERROR(RIGHT(BD3,LEN(BD3)-SEARCH(".",BD3)),"")</f>
        <v/>
      </c>
      <c r="BG3" t="str">
        <f t="shared" ref="BG3:BG34" si="9">IFERROR(LEFT(BF3,SEARCH(".",BF3)-1),BF3)</f>
        <v/>
      </c>
      <c r="BH3" t="str">
        <f>IF(X3&lt;&gt;"",X3,IF(AND(B3&lt;&gt;"",B3&lt;&gt;A3,ISNUMBER(_xlfn.XMATCH(B3,Щиты[Щит]))),B3,""))</f>
        <v/>
      </c>
      <c r="BI3" t="str" cm="1">
        <f t="array" ref="BI3">IF(B3="","",IF(BH3&lt;&gt;"","Щит "&amp;BH3,_xlfn.LET(_xlpm.nm,IFERROR(_xlfn.XLOOKUP(BC3,Коды_код,Коды_имя)&amp;"",""),_xlpm.md,IFERROR(N(_xlfn.XLOOKUP(BC3,Коды_код,Коды_режим)),1),_xlpm.ex,IF(Имя_режим="по экспликации",IFERROR(_xlfn.XLOOKUP(BE3&amp;"|"&amp;BG3,Экспликация[Этаж]&amp;"|"&amp;Экспликация[Помещение],Экспликация[Название])&amp;"",""),""),_xlpm.rm,IF(BG3="","",IF(_xlpm.ex&lt;&gt;"",". "&amp;_xlpm.ex&amp;IF(Имя_пом="нет"," ("&amp;BG3&amp;")"," (пом. "&amp;BG3&amp;")"),IF(Имя_пом="нет"," ",", пом. ")&amp;BG3)),IF(_xlpm.nm="","",IF(_xlpm.md=2,_xlpm.nm&amp;" шлейф "&amp;BE3,_xlpm.nm&amp;_xlpm.rm)))))</f>
        <v>Ввод питающей линии</v>
      </c>
      <c r="BJ3" t="str">
        <f t="shared" ref="BJ3:BJ34" si="10">IF(TRIM(C3&amp;"")="",BI3,C3)</f>
        <v>Ввод 1 от ТП</v>
      </c>
      <c r="BK3">
        <f>IFERROR(_xlfn.XMATCH(A3,Щиты[Щит]),0)</f>
        <v>1</v>
      </c>
      <c r="BL3">
        <f>_xlfn.LET(_xlpm.k,IFERROR(_xlfn.XLOOKUP(A3,Щиты[Щит],Щиты[Мест под вводной узел]),""),IF(_xlpm.k="",Столбцов_на_лист,N(_xlpm.k)))</f>
        <v>4</v>
      </c>
      <c r="BM3">
        <f t="shared" ref="BM3:BM34" si="11">IF(AM3="-","",IF(ISNUMBER(AM3),AM3,_xlfn.LET(_xlpm.prev,IF(OR(BA3=1,A3&lt;&gt;A2),0,N(IF(BA3=1,"",BM2))),_xlpm.nx,_xlpm.prev+1,IF(AND(AJ3&lt;&gt;"вручную",_xlpm.nx&lt;=BL3),BL3+1,_xlpm.nx))))</f>
        <v>1</v>
      </c>
      <c r="BN3" t="str">
        <f t="shared" ref="BN3:BN34" si="12">IF(BM3="","",IF(BM3&lt;=BL3,"вводной узел","линии"))</f>
        <v>вводной узел</v>
      </c>
      <c r="BO3" s="6">
        <f>IFERROR(N(_xlfn.XLOOKUP(BC3,Коды_код,Коды_квт)),0)</f>
        <v>0</v>
      </c>
      <c r="BP3">
        <f t="shared" ref="BP3:BP34" si="13">IF(AND(B3&lt;&gt;"",BC3="Ввод"),1,0)</f>
        <v>1</v>
      </c>
      <c r="BQ3">
        <f>IF(B3="","",IF(BH3&lt;&gt;"",IFERROR(_xlfn.XLOOKUP(BH3,Щиты[Щит],Щиты[Руст, кВт]),0),IF(BP3=1,IF(OR(N(_xlfn.XLOOKUP(A3,Щиты[Щит],Щиты[Вводов],1))&lt;=1,LOWER(TRIM(_xlfn.XLOOKUP(A3,Щиты[Щит],Щиты[АВР],"")&amp;""))="да"),IFERROR(_xlfn.XLOOKUP(A3,Щиты[Щит],Щиты[Руст, кВт]),0),SUMIFS(Линии[_Р для вводов],Линии[Щит],A3,Линии[Источник для режимов],GF3)),IF(BO3&gt;0,ROUND(BO3*MAX(1,N(D3)),3),""))))</f>
        <v>43.93</v>
      </c>
      <c r="BR3">
        <f t="shared" ref="BR3:BR34" si="14">IF(TRIM(E3&amp;"")="",BQ3,E3)</f>
        <v>43.93</v>
      </c>
      <c r="BS3" s="6">
        <f>IF(B3="","",IF(BH3&lt;&gt;"",IFERROR(_xlfn.XLOOKUP(BH3,Щиты[Щит],Щиты[Руст, кВт]),0),N(BR3)))</f>
        <v>43.93</v>
      </c>
      <c r="BT3" t="str">
        <f>IF(B3="","",IFERROR(IF(VLOOKUP(BC3,Потребители_обозначение,8,FALSE)=0,"",VLOOKUP(BC3,Потребители_обозначение,8,FALSE)),""))</f>
        <v/>
      </c>
      <c r="BU3">
        <f t="shared" ref="BU3:BU34" si="15">IF(TRIM(AA3&amp;"")="",BT3,AA3)</f>
        <v>400</v>
      </c>
      <c r="BV3">
        <f t="shared" ref="BV3:BV34" si="16">IF(B3="",0,IF(AND(N(BU3)&gt;0,N(BU3)&lt;=50),1,0))</f>
        <v>0</v>
      </c>
      <c r="BW3">
        <f>IF(B3="","",IF(BH3&lt;&gt;"",3,IFERROR(IF(N(VLOOKUP(BC3,Потребители_обозначение,9,FALSE))=0,1,VLOOKUP(BC3,Потребители_обозначение,9,FALSE)),1)))</f>
        <v>1</v>
      </c>
      <c r="BX3">
        <f t="shared" ref="BX3:BX34" si="17">IF(B3="","",IF(TRIM(Z3&amp;"")="",BW3,N(Z3)))</f>
        <v>3</v>
      </c>
      <c r="BY3" t="str">
        <f>IF(B3="","",_xlfn.LET(_xlpm.bc,IFERROR(IF(VLOOKUP(BC3,Потребители_обозначение,6,FALSE)=0,"",VLOOKUP(BC3,Потребители_обозначение,6,FALSE)&amp;""),""),IF(AND(GA3="да",OR(_xlpm.bc="",_xlpm.bc="мс")),Марка_пож,IF(AND(_xlpm.bc="",BH3&lt;&gt;""),"мс",_xlpm.bc))))</f>
        <v/>
      </c>
      <c r="BZ3" t="str">
        <f t="shared" ref="BZ3:BZ34" si="18">IF(TRIM(AN3&amp;"")="",BY3,AN3)</f>
        <v>мс</v>
      </c>
      <c r="CA3">
        <f>IF(B3="","",_xlfn.LET(_xlpm.cc,IFERROR(N(VLOOKUP(BC3,Потребители_обозначение,7,FALSE)),0),IF(_xlpm.cc&gt;0,_xlpm.cc,IF(BZ3="","",IF(BV3=1,2,IF(N(BX3)=3,5,3))))))</f>
        <v>5</v>
      </c>
      <c r="CB3">
        <f t="shared" ref="CB3:CB34" si="19">IF(TRIM(AO3&amp;"")="",CA3,AO3)</f>
        <v>5</v>
      </c>
      <c r="CC3">
        <f>IFERROR(N(VLOOKUP(BC3,Потребители_обозначение,10,FALSE)),0)</f>
        <v>0</v>
      </c>
      <c r="CD3">
        <f>IFERROR(VLOOKUP(BC3,Потребители_обозначение,5,FALSE),0)</f>
        <v>1</v>
      </c>
      <c r="CE3" s="6" cm="1">
        <f t="array" ref="CE3">IF(B3="","",IF(BH3&lt;&gt;"",IFERROR(_xlfn.XLOOKUP(BH3,Щиты[Щит],Щиты[cos φ]),0.95),IF(BP3=1,IFERROR(_xlfn.XLOOKUP(A3,Щиты[Щит],Щиты[cos φ]),0.95),IF(ISNUMBER(AD3),AD3,IFERROR(IF(CD3=2,_xlfn.IFS(BX3=3,VLOOKUP(BS3,Справочная_двигатели,8,FALSE),BX3=1,VLOOKUP(BS3,Справочная_двигатели,10,TRUE)),IF(AND(Методика="нормы 2026",FG3="Сил"),0.8,0.95)),0.95)))))</f>
        <v>0.89451399954473043</v>
      </c>
      <c r="CF3">
        <f t="shared" ref="CF3:CF34" si="20">IF(OR(TRIM(F3&amp;"")="гр",TRIM(F3&amp;"")="=",TRIM(F3&amp;"")="^",TRIM(F3&amp;"")="↑"),1,0)</f>
        <v>0</v>
      </c>
      <c r="CG3">
        <f t="shared" ref="CG3:CG34" si="21">IF(AND(B3&lt;&gt;"",CF3=0),1,0)</f>
        <v>1</v>
      </c>
      <c r="CH3">
        <f t="shared" ref="CH3:CH34" si="22">IF(B3="",0,IF(TRIM(F3&amp;"")="узо",1,0))</f>
        <v>0</v>
      </c>
      <c r="CI3">
        <f>IF(B3="","",IF(BV3=1,IFERROR(BS3/((Uн_лин/SQRT(3))*MAX(0.5,N(CE3))),0),N(O3)))</f>
        <v>56.895065355139202</v>
      </c>
      <c r="CJ3">
        <f t="shared" ref="CJ3:CJ34" si="23">IF(AND(A4=A3,AJ4&lt;&gt;"вручную",OR(B4="",CF4=1)),IF(B4="",0,N(CI4))+N(CJ4),0)</f>
        <v>0</v>
      </c>
      <c r="CK3">
        <f t="shared" ref="CK3:CK34" si="24">IF(AND(A4=A3,AJ4&lt;&gt;"вручную",OR(B4="",CF4=1)),IF(B4="",0,N(BS4))+N(CK4),0)</f>
        <v>0</v>
      </c>
      <c r="CL3">
        <f t="shared" ref="CL3:CL34" si="25">IF(AND(A4=A3,AJ4&lt;&gt;"вручную",OR(B4="",CF4=1)),MAX(IF(B4="",0,N(BX4)),N(CL4)),0)</f>
        <v>0</v>
      </c>
      <c r="CM3">
        <f t="shared" ref="CM3:CM34" si="26">IF(AND(A4=A3,AJ4&lt;&gt;"вручную",OR(B4="",CF4=1)),MAX(IF(B4="",0,N(DB4)),N(CM4)),0)</f>
        <v>0</v>
      </c>
      <c r="CN3">
        <f t="shared" ref="CN3:CN34" si="27">IF(AND(A4=A3,AJ4&lt;&gt;"вручную",OR(B4="",CF4=1)),_xlfn.LET(_xlpm.a_,IF(B4="",0,N(CZ4)),_xlpm.b_,N(CN4),IF(_xlpm.a_=0,_xlpm.b_,IF(_xlpm.b_=0,_xlpm.a_,MIN(_xlpm.a_,_xlpm.b_)))),0)</f>
        <v>0</v>
      </c>
      <c r="CO3">
        <f>IF(BC3="",0,_xlfn.LET(_xlpm.v,IFERROR(_xlfn.XLOOKUP(B3,Коды_код,Коды_мА),IFERROR(_xlfn.XLOOKUP(BC3,Коды_код,Коды_мА),IFERROR(_xlfn.XLOOKUP(LEFT(BC3,2),Коды_код,Коды_мА),""))),IF(_xlpm.v="да",30,IF(ISNUMBER(_xlpm.v),_xlpm.v,0))))</f>
        <v>0</v>
      </c>
      <c r="CP3" t="str">
        <f t="shared" ref="CP3:CP34" si="28">IF(B3="","",IF(N(CO3)&gt;0,CO3,""))</f>
        <v/>
      </c>
      <c r="CQ3" t="str">
        <f>_xlfn.LET(_xlpm.k,IFERROR(_xlfn.XLOOKUP(BC3,Коды_код,Коды_утечка)&amp;"",""),IF(_xlpm.k="","дифавтомат",_xlpm.k))</f>
        <v>дифавтомат</v>
      </c>
      <c r="CR3" t="str" cm="1">
        <f t="array" ref="CR3">IF(CG3=0,"",_xlfn.LET(_xlpm.sg,TRIM(_xlfn.TEXTSPLIT(DD3&amp;"",";")),_xlpm.f_,_xlfn._xlws.FILTER(_xlpm.sg,LEFT(_xlpm.sg,3)="УЗО",""),IFERROR(INDEX(_xlpm.f_,1)&amp;"","")))</f>
        <v/>
      </c>
      <c r="CS3" t="str">
        <f t="shared" ref="CS3:CS34" si="29">IF(B3="",IF(OR(OR(BA3=1,A3&lt;&gt;A2),AJ3="вручную"),"",IF(BA3=1,"",CS2)),IF(CG3=1,IF(CH3=1,IF(OR(BA3=1,A3&lt;&gt;A2),"",IF(BA3=1,"",CS2)),IF(CR3&lt;&gt;"",BA3,"")),IF(AND(NOT(OR(BA3=1,A3&lt;&gt;A2)),AJ3&lt;&gt;"вручную",IF(BA3=1,"",DS2)="ok"),IF(BA3=1,"",CS2),"")))</f>
        <v/>
      </c>
      <c r="CT3" s="6" t="str" cm="1">
        <f t="array" ref="CT3">IF(CR3="","",_xlfn.LET(_xlpm.tk,_xlfn.TEXTSPLIT(UPPER(CR3)," ",,TRUE),_xlpm.a_,_xlfn._xlws.FILTER(_xlpm.tk,ISNUMBER(--LEFT(_xlpm.tk,1))*((ISNUMBER(SEARCH("А",_xlpm.tk))+ISNUMBER(SEARCH("A",_xlpm.tk)))&gt;0)*NOT(ISNUMBER(SEARCH("МА",_xlpm.tk)))*NOT(ISNUMBER(SEARCH("MA",_xlpm.tk))),""),IFERROR(--SUBSTITUTE(SUBSTITUTE(INDEX(_xlpm.a_,1),"А",""),"A",""),"")))</f>
        <v/>
      </c>
      <c r="CU3" t="str" cm="1">
        <f t="array" ref="CU3">IF(CR3="","",_xlfn.LET(_xlpm.tk,_xlfn.TEXTSPLIT(UPPER(CR3)," ",,TRUE),_xlpm.a_,_xlfn._xlws.FILTER(_xlpm.tk,ISNUMBER(--LEFT(_xlpm.tk,1))*((ISNUMBER(SEARCH("МА",_xlpm.tk))+ISNUMBER(SEARCH("MA",_xlpm.tk)))&gt;0),""),IFERROR(--SUBSTITUTE(SUBSTITUTE(INDEX(_xlpm.a_,1),"МА",""),"MA",""),30)))</f>
        <v/>
      </c>
      <c r="CV3" t="str">
        <f>IF(CS3="","",IFERROR(_xlfn.XLOOKUP(CS3,Линии[_n],Линии[_УЗО, мА]),30))</f>
        <v/>
      </c>
      <c r="CW3">
        <f>IF(CS3="",0,IF(ISNUMBER(SEARCH("4P",IFERROR(_xlfn.XLOOKUP(CS3,Линии[_n],Линии[_УЗО строки])&amp;"",""))),0,1))</f>
        <v>0</v>
      </c>
      <c r="CX3" t="str">
        <f>IF(AND(CS3&lt;&gt;"",CS3=BA3),SUMIFS(Линии[_ток на 230 В],Линии[_блок УЗО],BA3,Линии[Щит],A3),"")</f>
        <v/>
      </c>
      <c r="CY3" t="str">
        <f>IF(AND(CS3&lt;&gt;"",CS3=BA3),SUMIFS(Линии[_ток утечки линии, мА],Линии[_блок УЗО],BA3,Линии[Щит],A3),"")</f>
        <v/>
      </c>
      <c r="CZ3">
        <f t="shared" ref="CZ3:CZ34" si="30">IF(B3="",0,_xlfn.LET(_xlpm.v,IF(TRIM(Y3&amp;"")="",CP3,Y3),_xlpm.nm,IF(_xlpm.v&amp;""="нет",0,IF(_xlpm.v&amp;""="да",30,IFERROR(--_xlpm.v,0))),IF(OR(CQ3="УЗО на группу",CS3&lt;&gt;""),0,_xlpm.nm)))</f>
        <v>0</v>
      </c>
      <c r="DA3">
        <f t="shared" ref="DA3:DA34" si="31">IF(CG3=0,"",_xlfn.LET(_xlpm.a_,N(CZ3),_xlpm.b_,IF(AJ3="вручную",0,N(CN3)),IF(_xlpm.a_=0,_xlpm.b_,IF(_xlpm.b_=0,_xlpm.a_,MIN(_xlpm.a_,_xlpm.b_)))))</f>
        <v>0</v>
      </c>
      <c r="DB3">
        <f>IF(B3="",0,IFERROR(--_xlfn.XLOOKUP(B3,Коды_код,Коды_минавт),IFERROR(--_xlfn.XLOOKUP(BC3,Коды_код,Коды_минавт),IFERROR(--_xlfn.XLOOKUP(LEFT(BC3,2),Коды_код,Коды_минавт),0))))</f>
        <v>0</v>
      </c>
      <c r="DC3" t="str">
        <f>IF(B3="","",IFERROR(_xlfn.XLOOKUP(BC3,Коды_код,Коды_апп)&amp;"",""))</f>
        <v/>
      </c>
      <c r="DD3" t="str">
        <f t="shared" ref="DD3:DD34" si="32">IF(TRIM(I3&amp;"")="",DC3,I3)</f>
        <v/>
      </c>
      <c r="DE3" t="str" cm="1">
        <f t="array" ref="DE3">IF(TRIM(DD3&amp;"")="","",IFERROR(TRIM(INDEX(_xlfn.TEXTSPLIT(DD3&amp;";;;",";"),1)),""))</f>
        <v/>
      </c>
      <c r="DF3" t="str" cm="1">
        <f t="array" ref="DF3">IF(TRIM(DD3&amp;"")="","",IFERROR(TRIM(INDEX(_xlfn.TEXTSPLIT(DD3&amp;";;;",";"),2)),""))</f>
        <v/>
      </c>
      <c r="DG3" t="str" cm="1">
        <f t="array" ref="DG3">IF(TRIM(DD3&amp;"")="","",IFERROR(TRIM(INDEX(_xlfn.TEXTSPLIT(DD3&amp;";;;",";"),3)),""))</f>
        <v/>
      </c>
      <c r="DH3">
        <f t="shared" ref="DH3:DH34" si="33">IF(DD3="",0,IF(OR(LEFT(DE3,2)="T ",LEFT(DE3,2)="Т ",ISNUMBER(SEARCH("БП",DD3)),ISNUMBER(SEARCH("; T ",DD3)),ISNUMBER(SEARCH("; Т ",DD3))),1,0))</f>
        <v>0</v>
      </c>
      <c r="DI3" t="str">
        <f>IF(B3="","",_xlfn.LET(_xlpm.t,LOWER(AZ3&amp;""),IF(ISNUMBER(SEARCH("dim",_xlpm.t)),"DIM",IF(ISNUMBER(SEARCH("dali",_xlpm.t)),"DALI",IF(OR(ISNUMBER(SEARCH("relay",_xlpm.t)),ISNUMBER(SEARCH("реле",_xlpm.t))),"Relay",IF(ISNUMBER(SEARCH("кнопк",_xlpm.t)),"",IFERROR(_xlfn.XLOOKUP(BC3,Коды_код,Коды_упр)&amp;"","")))))))</f>
        <v/>
      </c>
      <c r="DJ3" t="str">
        <f t="shared" ref="DJ3:DJ34" si="34">IF(TRIM(H3&amp;"")="",DI3,H3)</f>
        <v/>
      </c>
      <c r="DK3">
        <f>IF(B3="","",_xlfn.LET(_xlpm.ig,IF(N(CX3)&gt;0,N(CX3),N(CI3)+IF(AJ3="вручную",0,N(CJ3))),_xlpm.n0,IFERROR(VLOOKUP(_xlpm.ig,Автомат_номиналы,2,TRUE),0),_xlpm.mn,MAX(DB3,IF(AJ3="вручную",0,N(CM3))),MAX(_xlpm.n0,_xlpm.mn,IF(DH3=1,Мин_автомат_БП,0))))</f>
        <v>80</v>
      </c>
      <c r="DL3">
        <f t="shared" ref="DL3:DL34" si="35">IF(B3="","",MAX(N(BX3),IF(AJ3="вручную",0,N(CL3))))</f>
        <v>3</v>
      </c>
      <c r="DM3" t="str">
        <f t="shared" ref="DM3:DM34" si="36">IF(B3="","",IF(N(DL3)&gt;=3,IF(N(DA3)&gt;0,"4P","3P"),IF(N(DA3)&gt;0,"2P","1P")))</f>
        <v>3P</v>
      </c>
      <c r="DN3" t="str">
        <f>_xlfn.LET(_xlpm.cc,UPPER(TRIM(IFERROR(_xlfn.XLOOKUP(BC3,Коды_код,Коды_хар)&amp;"",""))),IF(OR(_xlpm.cc="B",_xlpm.cc="В"),"B",IF(_xlpm.cc="D","D","С")))</f>
        <v>С</v>
      </c>
      <c r="DO3" t="str">
        <f t="shared" ref="DO3:DO34" si="37">IF(B3="","",IF(CG3=0,IF(AND(AND(NOT(OR(BA3=1,A3&lt;&gt;A2)),AJ3&lt;&gt;"вручную",IF(BA3=1,"",DS2)="ok"),IF(BA3=1,"",DU2)&lt;&gt;""),"↑ "&amp;IF(BA3=1,"",DU2),""),IF(N(DK3)=0,"",DM3&amp;" "&amp;DN3&amp;DK3&amp;"А"&amp;IF(N(DA3)&gt;0," "&amp;DA3&amp;"мА",""))))</f>
        <v>3P С80А</v>
      </c>
      <c r="DP3" t="str">
        <f t="shared" ref="DP3:DP34" si="38">IF(TRIM(G3&amp;"")="",DO3,G3)</f>
        <v>3P С80А</v>
      </c>
      <c r="DQ3" t="str">
        <f t="shared" ref="DQ3:DQ34" si="39">IF(CG3=0,"",_xlfn.LET(_xlpm.v,TRIM(DP3&amp;""),IF(_xlpm.v="","",IF(ISNUMBER(--_xlpm.v),DM3&amp;" "&amp;DN3&amp;(--_xlpm.v)&amp;"А"&amp;IF(N(DA3)&gt;0," "&amp;DA3&amp;"мА",""),IF(ISNUMBER(SEARCH("P",UPPER(_xlpm.v))),_xlpm.v,DM3&amp;" "&amp;_xlpm.v)))))</f>
        <v>3P С80А</v>
      </c>
      <c r="DR3" cm="1">
        <f t="array" ref="DR3">IF(DQ3="","",_xlfn.LET(_xlpm.t,SUBSTITUTE(SUBSTITUTE(SUBSTITUTE(UPPER(DQ3),"С","C"),"А","A"),"В","B"),_xlpm.tk,_xlfn.TEXTSPLIT(_xlpm.t," "),_xlpm.f,_xlfn._xlws.FILTER(_xlpm.tk,ISNUMBER(--MID(_xlpm.tk,2,1))*ISNUMBER(SEARCH(LEFT(_xlpm.tk,1)&amp;"#","B#C#D#"))*(LEN(_xlpm.tk)&gt;1),""),_xlpm.x,INDEX(_xlpm.f,1),IFERROR(--SUBSTITUTE(MID(_xlpm.x,2,9),"A",""),IFERROR(--SUBSTITUTE(INDEX(_xlfn._xlws.FILTER(_xlpm.tk,ISNUMBER(--SUBSTITUTE(_xlpm.tk,"A","")),""),1),"A",""),""))))</f>
        <v>80</v>
      </c>
      <c r="DS3" t="str">
        <f t="shared" ref="DS3:DS34" si="40">IF(CG3=1,IF(AJ3="вручную","узел","ok"),IF(OR(OR(BA3=1,A3&lt;&gt;A2),AJ3="вручную"),"",IF(BA3=1,"",DS2)))</f>
        <v>узел</v>
      </c>
      <c r="DT3">
        <f t="shared" ref="DT3:DT34" si="41">IF(CG3=1,DR3,IF(AND(NOT(OR(BA3=1,A3&lt;&gt;A2)),AJ3&lt;&gt;"вручную",IF(BA3=1,"",DS2)="ok"),IF(BA3=1,"",DT2),""))</f>
        <v>80</v>
      </c>
      <c r="DU3" t="str">
        <f t="shared" ref="DU3:DU34" si="42">IF(CG3=1,DQ3,IF(AND(NOT(OR(BA3=1,A3&lt;&gt;A2)),AJ3&lt;&gt;"вручную",IF(BA3=1,"",DS2)="ok"),IF(BA3=1,"",DU2),""))</f>
        <v>3P С80А</v>
      </c>
      <c r="DV3">
        <f t="shared" ref="DV3:DV34" si="43">IF(CG3=1,DA3,IF(AND(NOT(OR(BA3=1,A3&lt;&gt;A2)),AJ3&lt;&gt;"вручную",IF(BA3=1,"",DS2)="ok"),IF(BA3=1,"",DV2),""))</f>
        <v>0</v>
      </c>
      <c r="DW3">
        <f t="shared" ref="DW3:DW34" si="44">IF(OR(N(DV3)&gt;0,CS3&lt;&gt;""),1,0)</f>
        <v>0</v>
      </c>
      <c r="DX3">
        <f t="shared" ref="DX3:DX34" si="45">IF(CG3=1,DH3,IF(AND(NOT(OR(BA3=1,A3&lt;&gt;A2)),AJ3&lt;&gt;"вручную",IF(BA3=1,"",DS2)="ok"),N(IF(BA3=1,"",DX2)),0))</f>
        <v>0</v>
      </c>
      <c r="DY3">
        <f t="shared" ref="DY3:DY34" si="46">IF(CG3=1,IF(N(CX3)&gt;0,N(CX3),N(CI3)+IF(AJ3="вручную",0,N(CJ3))),"")</f>
        <v>56.895065355139202</v>
      </c>
      <c r="DZ3">
        <f t="shared" ref="DZ3:DZ34" si="47">IF(N(CB3)=1,1,IF(BX3=1,1,IF(N(CB3)&gt;=4,0.92,1)))</f>
        <v>0.92</v>
      </c>
      <c r="EA3">
        <f>IF(ISNUMBER(AP3),AP3,К_прокл)</f>
        <v>1</v>
      </c>
      <c r="EB3">
        <f t="shared" ref="EB3:EB34" si="48">IF(N(CB3)=1,1,IF(BX3=1,2,3))</f>
        <v>3</v>
      </c>
      <c r="EC3">
        <f>IFERROR(N(VLOOKUP(BZ3,Кабель_обозначение,3,FALSE)),1)</f>
        <v>1</v>
      </c>
      <c r="ED3">
        <f>IFERROR(N(_xlfn.XLOOKUP(A3,Щиты[Щит],Щиты[ΔU до шин, %])),0)</f>
        <v>0.3660288498727976</v>
      </c>
      <c r="EE3">
        <f>IFERROR(_xlfn.XLOOKUP(A3,Щиты[Щит],Щиты[Zпетли на шинах, Ом]),"")</f>
        <v>0.13597829354840207</v>
      </c>
      <c r="EF3">
        <f>IFERROR(N(_xlfn.XLOOKUP(A3,Щиты[Щит],Щиты[ΔU до шин (подбор), %])),0)</f>
        <v>0.3660288498727976</v>
      </c>
      <c r="EG3">
        <f>IFERROR(_xlfn.XLOOKUP(A3,Щиты[Щит],Щиты[Zпетли на шинах (подбор), Ом]),"")</f>
        <v>0.13597829354840207</v>
      </c>
      <c r="EH3" t="str">
        <f t="shared" ref="EH3:EH34" si="49">IF(COUNT(AV3,AW3)=0,"",ROUNDUP(SUM(AV3,AW3),0))</f>
        <v/>
      </c>
      <c r="EI3" t="str">
        <f t="shared" ref="EI3:EI34" si="50">IF(TRIM(K3&amp;"")="",EH3,K3)</f>
        <v/>
      </c>
      <c r="EJ3">
        <f t="shared" ref="EJ3:EJ34" si="51">IF(BX3=1,2,IF(BX3=3,1,""))</f>
        <v>1</v>
      </c>
      <c r="EK3">
        <f t="shared" ref="EK3:EK34" si="52">IFERROR(ROUND(SIN(ACOS(CE3)),2),"")</f>
        <v>0.45</v>
      </c>
      <c r="EL3" s="6">
        <f>IF(B3="","",IF(BV3=1,dU_LED,IF(IFERROR(_xlfn.XLOOKUP(BC3,Коды_код,Коды_уго),"")="Светильник",3,4)+IF(Методика="нормы 2026",MIN(0.5,MAX(0,N(P3)-100)*0.005),0)))</f>
        <v>4</v>
      </c>
      <c r="EM3" cm="1">
        <f t="array" ref="EM3">IF(OR(B3="",BZ3="",EC3&lt;&gt;1),"",_xlfn.LET(_xlpm.sz,Iдоп_S,_xlpm.t_,CHOOSE(EB3,Iдоп_1ж,Iдоп_2ж,Iдоп_3ж)*DZ3*EA3,_xlpm.dcx,BV3=1,_xlpm.inn,IF(_xlpm.dcx,N(O3),N(DT3)),_xlpm.smin,MAX(1.5,CC3),_xlpm.L_,N(P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N(BU3)*100,999),IFERROR(N(EJ3)*(_xlpm.rho*_xlpm.L_/_xlpm.sz*N(CE3)+_xlpm.xx*_xlpm.L_*N(EK3)/1000)*N(O3)/((Uн_лин/SQRT(3))*1000)*100,999)),_xlpm.kz,IF(OR(_xlpm.dcx,DW3=1,NOT(ISNUMBER(EG3)),_xlpm.L_=0,_xlpm.inn=0),1,IFERROR(--(c_min*(Uн_лин*1000/SQRT(3))/(EG3+2*ρкз_Cu*_xlpm.L_/_xlpm.sz)&gt;=HT3*_xlpm.inn),0)),_xlpm.ok,IFERROR((_xlpm.sz&gt;=_xlpm.smin)*(_xlpm.t_&gt;=_xlpm.inn)*IF(_xlpm.L_&gt;0,(_xlpm.du_+IF(_xlpm.dcx,0,EF3)&lt;=EL3+0.00001),1)*_xlpm.kz,0),_xlpm.r_,_xlfn._xlws.FILTER(_xlpm.sz,_xlpm.ok,"не подобрано"),INDEX(_xlpm.r_,1)))</f>
        <v>25</v>
      </c>
      <c r="EN3">
        <f t="shared" ref="EN3:EN34" si="53">IF(B3="","",IF(TRIM(J3&amp;"")="",EM3,J3))</f>
        <v>95</v>
      </c>
      <c r="EO3" cm="1">
        <f t="array" ref="EO3">IF(OR(B3="",BZ3="",EC3&lt;&gt;1),"",_xlfn.LET(_xlpm.sz,Iдоп_S,_xlpm.t_,CHOOSE(EB3,Iдоп_1ж,Iдоп_2ж,Iдоп_3ж)*DZ3*EA3,_xlpm.ok,IFERROR((_xlpm.sz&gt;=MAX(1.5,CC3))*(_xlpm.t_&gt;=N(DT3)),0),_xlpm.r_,_xlfn._xlws.FILTER(_xlpm.sz,_xlpm.ok,""),INDEX(_xlpm.r_,1)))</f>
        <v>25</v>
      </c>
      <c r="EP3" s="6" cm="1">
        <f t="array" ref="EP3">IFERROR(ROUNDUP(N(EJ3)*(_xlfn.XLOOKUP(EO3,INDEX(Кабель_сопротивление,0,1),INDEX(Кабель_сопротивление,0,3))*N(P3)/EO3*N(CE3)+_xlfn.XLOOKUP(EO3,INDEX(Кабель_сопротивление,0,1),INDEX(Кабель_сопротивление,0,2))*N(P3)*N(EK3)/1000)*N(O3)/((Uн_лин/SQRT(3))*1000)*100,2),"")</f>
        <v>0</v>
      </c>
      <c r="EQ3">
        <f>IFERROR(2*ρкз_Cu*N(P3)/EO3,"")</f>
        <v>0</v>
      </c>
      <c r="ER3">
        <f>IFERROR(VLOOKUP(EN3,Кабель_сопротивление,3,FALSE),"")</f>
        <v>2.2499999999999999E-2</v>
      </c>
      <c r="ES3">
        <f>IFERROR(VLOOKUP(EN3,Кабель_сопротивление,2,FALSE),"")</f>
        <v>6.0199999999999997E-2</v>
      </c>
      <c r="ET3" t="str">
        <f t="shared" ref="ET3:ET34" si="54">IF(AR3&lt;&gt;"",AR3,IF(OR(EI3="",AT3=""),"",IF(AT3=1,MAX(0,P3-ROUNDUP(N(AW3),0)-4),ROUNDUP(N(AV3),0))))</f>
        <v/>
      </c>
      <c r="EU3" t="str">
        <f t="shared" ref="EU3:EU34" si="55">IF(AS3&lt;&gt;"",AS3,IF(OR(EI3="",AT3=""),"",IF(AT3=2,MAX(0,P3-ROUNDUP(N(AV3),0)-4),ROUNDUP(N(AW3),0))))</f>
        <v/>
      </c>
      <c r="EV3" t="str">
        <f t="shared" ref="EV3:EV34" si="56">IFERROR(IF(BV3=1,2*ER3*P3/EN3*O3,EJ3*(ER3*P3/EN3*CE3+ES3*P3*EK3/1000)*O3),"")</f>
        <v/>
      </c>
      <c r="EW3" s="6" t="str">
        <f>IFERROR(ROUNDUP(EV3/IF(BV3=1,BU3,(Uн_лин/SQRT(3))*1000)*100,2),"")</f>
        <v/>
      </c>
      <c r="EX3" t="str">
        <f>IFERROR(VLOOKUP(BZ3,Кабель_обозначение,2,FALSE),"")</f>
        <v>ВВГнг(А)-LS</v>
      </c>
      <c r="EY3" t="str">
        <f t="shared" ref="EY3:EY34" si="57">IFERROR(IF(EC3=1,IF(ISNUMBER(EN3),EX3&amp;" ("&amp;CB3&amp;"х"&amp;EN3&amp;")",EX3),EX3),"")</f>
        <v>ВВГнг(А)-LS (5х95)</v>
      </c>
      <c r="EZ3" t="str">
        <f t="shared" ref="EZ3:EZ34" si="58">IF(OR(B3="",EX3="",AND(BR3&lt;&gt;"",NOT(ISNUMBER(BR3)))),"",IF(N(EN3)=0,EX3,EY3&amp;IF(N(P3)=0,"",CHAR(10)&amp;"L="&amp;P3&amp;"-"&amp;EW3&amp;"%")))</f>
        <v>ВВГнг(А)-LS (5х95)</v>
      </c>
      <c r="FA3" t="str">
        <f>IFERROR(2*ρкз_Cu*P3/EN3,"")</f>
        <v/>
      </c>
      <c r="FB3">
        <f t="shared" ref="FB3:FB34" si="59">IFERROR(0.0175*N(P3)/EN3,"")</f>
        <v>0</v>
      </c>
      <c r="FC3" s="6" t="str">
        <f>IFERROR(IF(OR(B3="",BV3=1,NOT(ISNUMBER(EN3)),N(P3)=0),"",_xlfn.XLOOKUP(A3,Щиты[Щит],Щиты[Zпетли на шинах, Ом])+FA3),"")</f>
        <v/>
      </c>
      <c r="FD3" s="6" t="str">
        <f>IF(ISNUMBER(FC3),c_min*(Uн_лин*1000/SQRT(3))/FC3,"")</f>
        <v/>
      </c>
      <c r="FE3" s="6">
        <f>IFERROR(IF(OR(B3="",NOT(ISNUMBER(EN3))),"",1.05*(Uн_лин*1000/SQRT(3))/(_xlfn.XLOOKUP(A3,Щиты[Щит],Щиты[Zmax на шинах, Ом])+FB3)/1000),"")</f>
        <v>5.8623422012719573</v>
      </c>
      <c r="FF3" s="6" t="str">
        <f>IF(B3="","",IF(ISNUMBER(AC3),"Сил",IF(IFERROR(_xlfn.XLOOKUP(BC3,Коды_код,Коды_группа)&amp;"","")="","Быт",_xlfn.XLOOKUP(BC3,Коды_код,Коды_группа)&amp;"")))</f>
        <v>Нет</v>
      </c>
      <c r="FG3" s="6" t="str">
        <f t="shared" ref="FG3:FG34" si="60">IF(B3="","",IF(BH3&lt;&gt;"","Щит",IF(TRIM(AB3&amp;"")="",FF3,AB3)))</f>
        <v>Нет</v>
      </c>
      <c r="FH3" s="6">
        <f>IF(FG3="Щит","щит",IF(FG3="","",IF(FG3="Быт",IFERROR(_xlfn.XLOOKUP(A3,Щиты[Щит],Щиты[Кс быт]),1),IF(FG3="Сил",IF(ISNUMBER(AC3),AC3,IF(Методика="нормы 2026",IFERROR(_xlfn.XLOOKUP(A3,Щиты[Щит],Щиты[Кс силовых (табл. 7.5)]),1),1)),IF(OR(FG3="Пост",FG3="Отоп"),1,IF(FG3="ВНГ",0.7,0))))))</f>
        <v>0</v>
      </c>
      <c r="FI3">
        <f>IF(FG3="","",IF(AND(BP3=1,TRIM(AE3&amp;"")=""),IF(COUNTIFS(Линии[Щит],A3,Линии[Секция (1/2/3)],"&gt;=2")&gt;0,MIN(3,MAX(1,IFERROR(--BD3,1))),1),IFERROR(MIN(3,MAX(1,INT(--AE3))),1)))</f>
        <v>1</v>
      </c>
      <c r="FJ3">
        <f t="shared" ref="FJ3:FJ34" si="61">IF(OR(FG3="",FG3="Нет",FG3="Щит"),0,N(BS3))</f>
        <v>0</v>
      </c>
      <c r="FK3">
        <f t="shared" ref="FK3:FK34" si="62">IF(FG3="Быт",N(BS3),0)</f>
        <v>0</v>
      </c>
      <c r="FL3">
        <f t="shared" ref="FL3:FL34" si="63">IF(FG3="Сил",N(BS3)*N(FH3),0)</f>
        <v>0</v>
      </c>
      <c r="FM3">
        <f t="shared" ref="FM3:FM34" si="64">IF(FG3="Пост",N(BS3),0)</f>
        <v>0</v>
      </c>
      <c r="FN3">
        <f t="shared" ref="FN3:FN34" si="65">IF(FG3="Отоп",N(BS3),0)</f>
        <v>0</v>
      </c>
      <c r="FO3">
        <f t="shared" ref="FO3:FO34" si="66">IF(FG3="ВНГ",N(BS3)*0.7,0)</f>
        <v>0</v>
      </c>
      <c r="FP3">
        <f t="shared" ref="FP3:FP34" si="67">IF(OR(B3="",FG3="Нет"),0,N(BS3))</f>
        <v>0</v>
      </c>
      <c r="FQ3">
        <f t="shared" ref="FQ3:FQ34" si="68">IF(OR(B3="",FG3="Щит",FG3="Нет"),0,N(BS3))</f>
        <v>0</v>
      </c>
      <c r="FR3">
        <f t="shared" ref="FR3:FR34" si="69">IF(OR(B3="",FG3="Щит",FG3="Нет"),0,N(BS3)*N(CE3))</f>
        <v>0</v>
      </c>
      <c r="FS3">
        <f>IF(CG3=1,IF(AND(CH3=1,CW3=1),0,IF(AND(CS3&lt;&gt;"",CS3=BA3,CW3=1),SUMIFS(Линии[_Р линии, кВт],Линии[_блок УЗО],BA3,Линии[Щит],A3),N(BS3)+IF(AJ3="вручную",0,N(CK3)))),0)</f>
        <v>43.93</v>
      </c>
      <c r="FT3" t="str">
        <f t="shared" ref="FT3:FT34" si="70">IF(B3="","",IF(_xlfn.ISFORMULA(L3),"",_xlfn.LET(_xlpm.v,UPPER(SUBSTITUTE(TRIM(L3&amp;"")," ","")),IF(_xlpm.v="","",IF(OR(_xlpm.v="1,2,3",_xlpm.v="L1,L2,L3",_xlpm.v="123",_xlpm.v="3Ф"),"L1,L2,L3",IF(OR(_xlpm.v="1",_xlpm.v="2",_xlpm.v="3"),"L"&amp;_xlpm.v,IF(OR(_xlpm.v="L1",_xlpm.v="L2",_xlpm.v="L3"),_xlpm.v,"")))))))</f>
        <v/>
      </c>
      <c r="FU3" t="str">
        <f>IF(B3="","",IF(CG3=0,IF(BA3=1,"",FW2),IF(AND(CH3=1,CW3=1,CS3&lt;&gt;""),IFERROR(_xlfn.XLOOKUP(CS3,Линии[_n],Линии[_фаза итог]),"L1"),IF(OR(N(DL3)&gt;=3,N(BX3)&gt;=3),"L1,L2,L3",IFERROR(_xlfn.TEXTBEFORE(_xlfn.TEXTAFTER(_xlfn.XLOOKUP(A3,Щиты[Щит],Щиты[_фазы авто]),";"&amp;BA3&amp;":"),";"),"L1")))))</f>
        <v>L1,L2,L3</v>
      </c>
      <c r="FV3" t="str">
        <f t="shared" ref="FV3:FV34" si="71">IF(B3="","",_xlfn.LET(_xlpm.v,UPPER(SUBSTITUTE(TRIM(L3&amp;"")," ","")),IF(_xlpm.v="",FU3,IF(OR(_xlpm.v="1,2,3",_xlpm.v="L1,L2,L3",_xlpm.v="123",_xlpm.v="3Ф"),"L1,L2,L3",IF(OR(_xlpm.v="1",_xlpm.v="2",_xlpm.v="3"),"L"&amp;_xlpm.v,IF(OR(_xlpm.v="L1",_xlpm.v="L2",_xlpm.v="L3"),_xlpm.v,IF(_xlpm.v="УПР","",_xlpm.v)))))))</f>
        <v>L1,L2,L3</v>
      </c>
      <c r="FW3" t="str">
        <f t="shared" ref="FW3:FW34" si="72">IF(CG3=1,FV3,IF(AND(NOT(OR(BA3=1,A3&lt;&gt;A2)),AJ3&lt;&gt;"вручную",IF(BA3=1,"",DS2)="ok"),IF(BA3=1,"",FW2),""))</f>
        <v>L1,L2,L3</v>
      </c>
      <c r="FX3" cm="1">
        <f t="array" ref="FX3">IFERROR(IF(CD3=2,_xlfn.IFS(BX3=3,VLOOKUP(BS3,Справочная_двигатели,3,FALSE),BX3=1,VLOOKUP(BS3,Справочная_двигатели,5,TRUE)),0),0)</f>
        <v>0</v>
      </c>
      <c r="FY3">
        <f>IFERROR(IF(CD3=3,VLOOKUP(BS3,Справочная_ЛЭД,2,TRUE),0),0)</f>
        <v>0</v>
      </c>
      <c r="FZ3" s="6">
        <f t="shared" ref="FZ3:FZ34" si="73">IF(B3="","",IF(FX3=0,FY3,FX3))</f>
        <v>0</v>
      </c>
      <c r="GA3" t="str">
        <f>IF(B3="","",IF(TRIM(AH3&amp;"")&lt;&gt;"",IF(LOWER(TRIM(AH3&amp;""))="да","да","нет"),IF(IFERROR(_xlfn.XLOOKUP(BC3,Коды_код,Коды_пожарная),"")="да","да","нет")))</f>
        <v>нет</v>
      </c>
      <c r="GB3" t="str">
        <f t="shared" ref="GB3:GB34" si="74">IF(AF3&lt;&gt;"",AF3,IF(CG3=1,"",IF(GU3="","",IF(BA3=1,"",GB2))))</f>
        <v/>
      </c>
      <c r="GC3" t="str">
        <f t="shared" ref="GC3:GC34" si="75">IF(B3="","",IF(GB3="","основная",GB3))</f>
        <v>основная</v>
      </c>
      <c r="GD3">
        <f>IF(AND(BP3=1,TRIM(AE3&amp;"")=""),IF(COUNTIFS(Линии[Щит],A3,Линии[Секция (1/2/3)],"&gt;=2")&gt;0,MIN(3,MAX(1,IFERROR(--BD3,1))),1),IFERROR(MIN(3,MAX(1,INT(--AE3))),1))</f>
        <v>1</v>
      </c>
      <c r="GE3" t="str" cm="1">
        <f t="array" ref="GE3">IF(B3="","",_xlfn.LET(_xlpm.t,IFERROR(_xlfn.XLOOKUP(1,(Шины[Шина]=GC3)*(((Шины[Щит]=A3)+(Шины[Щит]=""))&gt;0),Шины[Тип]),"")&amp;"",IF(_xlpm.t&lt;&gt;"",_xlpm.t,IF(ISNUMBER(SEARCH("ИБП",GC3)),"ИБП",IF(ISNUMBER(SEARCH("ДГУ",GC3)),"ДГУ","Ввод "&amp;GD3)))))</f>
        <v>Ввод 1</v>
      </c>
      <c r="GF3" t="str">
        <f t="shared" ref="GF3:GF34" si="76">IF(B3="","",IF(OR(GE3="ИБП",GE3="ДГУ"),GE3,IF(LEFT(GE3,5)="Ввод ",GE3,"Ввод "&amp;GD3)))</f>
        <v>Ввод 1</v>
      </c>
      <c r="GG3" t="str">
        <f>IF(BP3=0,"",IF(TRIM(AG3&amp;"")&lt;&gt;"",TRIM(AG3&amp;""),IF(OR(GE3="ИБП",GE3="ДГУ"),"I особая",_xlfn.XLOOKUP(A3,Щиты[Щит],Щиты[Категория шины «Ввод»],"III"))))</f>
        <v>I</v>
      </c>
      <c r="GH3" t="str">
        <f>IF(A3="","",_xlfn.XLOOKUP(A3,Щиты[Щит],Щиты[Путь],""))</f>
        <v>|ВРУ|</v>
      </c>
      <c r="GI3" t="str">
        <f>IF(B3="","",IF(AI3&lt;&gt;"",AI3,IF(IFERROR(_xlfn.XLOOKUP(BC3,Коды_код,Коды_вид)&amp;"","")="","Прочее",_xlfn.XLOOKUP(BC3,Коды_код,Коды_вид)&amp;"")))</f>
        <v>Прочее</v>
      </c>
      <c r="GJ3">
        <f>IF(BM3="","",INT((BM3-1)/Столбцов_на_лист)+1)</f>
        <v>1</v>
      </c>
      <c r="GK3" t="str">
        <f t="shared" ref="GK3:GK34" si="77">IF(B3="","",SUBSTITUTE(EZ3,CHAR(10)," "))</f>
        <v>ВВГнг(А)-LS (5х95)</v>
      </c>
      <c r="GL3">
        <f t="shared" ref="GL3:GL34" si="78">IF(B3="","",IFERROR(--BS3,""))</f>
        <v>43.93</v>
      </c>
      <c r="GM3">
        <f t="shared" ref="GM3:GM34" si="79">IF(B3="","",IFERROR(ROUNDUP(O3,2),""))</f>
        <v>56.9</v>
      </c>
      <c r="GN3">
        <f t="shared" ref="GN3:GN34" si="80">IF(B3="","",IFERROR(--BX3,1))</f>
        <v>3</v>
      </c>
      <c r="GO3">
        <f t="shared" ref="GO3:GO34" si="81">IF(OR(AL3="+",AND(B3&lt;&gt;"",B3=IF(BA3=1,"",B2))),1,0)</f>
        <v>0</v>
      </c>
      <c r="GP3">
        <f t="shared" ref="GP3:GP34" si="82">IF(OR(BM3="",AJ3="вручную",AND(BN3="вводной узел",AJ3&lt;&gt;"рисовать")),0,1)</f>
        <v>0</v>
      </c>
      <c r="GQ3" t="str">
        <f>IF(BM3="","",IF(AND(CG3=1,GP3=1),COUNTIFS(A$3:A3,A3,CG$3:CG3,1,GP$3:GP3,1),IF(OR(OR(BA3=1,A3&lt;&gt;A2),AJ3="вручную",GP3=0),"",IF(BA3=1,"",GR2))))</f>
        <v/>
      </c>
      <c r="GR3" t="str">
        <f t="shared" ref="GR3:GR34" si="83">IF(BM3="",IF(OR(BA3=1,A3&lt;&gt;A2),"",IF(BA3=1,"",GR2)),GQ3)</f>
        <v/>
      </c>
      <c r="GS3">
        <f>IF(B3="","",IFERROR(LOOKUP(INDEX(CHOOSE(EB3,Iдоп_1ж,Iдоп_2ж,Iдоп_3ж),MATCH(EN3,Iдоп_S,0))*DZ3*EA3,{6,10,16,20,25,32,40,50,63,80,100,125,160,200,250,315,400,500,630}),""))</f>
        <v>200</v>
      </c>
      <c r="GT3" t="str">
        <f t="shared" ref="GT3:GT34" si="84">IF(AND(CG3=1,GP3=1,GQ3&lt;&gt;""),IF(N(DA3)&gt;0,"QFD","QF")&amp;GQ3,"")</f>
        <v/>
      </c>
      <c r="GU3" t="str">
        <f t="shared" ref="GU3:GU34" si="85">IF(GT3&lt;&gt;"",GT3,IF(OR(OR(BA3=1,A3&lt;&gt;A2),AJ3="вручную"),"",IF(BA3=1,"",GU2)))</f>
        <v/>
      </c>
      <c r="GV3" t="str">
        <f t="shared" ref="GV3:GV34" si="86">IF(GT3&lt;&gt;"",_xlfn.TEXTJOIN(" → ",TRUE,DE3,DF3,DG3),IF(GU3="","",IF(BA3=1,"",GV2)))</f>
        <v/>
      </c>
      <c r="GW3">
        <f t="shared" ref="GW3:GW34" si="87">IF(GV3="",0,IF(OR(LEFT(GV3,2)="T ",LEFT(GV3,2)="Т ",ISNUMBER(SEARCH("→ T ",GV3)),ISNUMBER(SEARCH("→ Т ",GV3)),ISNUMBER(SEARCH("БП",GV3))),1,0))</f>
        <v>0</v>
      </c>
      <c r="GX3" t="str">
        <f>IF(OR(B3="",DJ3=""),"",IFERROR(_xlfn.XLOOKUP(DJ3,Модули_умолч[Управление],Модули_умолч[Модель])&amp;"",""))</f>
        <v/>
      </c>
      <c r="GY3">
        <f>IF(DJ3="",1,IFERROR(MAX(0,N(_xlfn.XLOOKUP(DJ3,Модули_умолч[Управление],Модули_умолч[Каналов на линию]))),1))</f>
        <v>1</v>
      </c>
      <c r="GZ3" t="str">
        <f t="shared" ref="GZ3:GZ34" si="88">IF(_xlfn.ISFORMULA(AK3),"",TRIM(AK3&amp;""))</f>
        <v/>
      </c>
      <c r="HA3" t="str">
        <f t="shared" ref="HA3:HA34" si="89">IF(GZ3="-","",IF(GZ3&lt;&gt;"","M",IF(AND(NOT(OR(BA3=1,A3&lt;&gt;A2)),IF(BA3=1,"",HA2)="M"),"M",IF(GX3&lt;&gt;"","A",IF(AND(NOT(OR(BA3=1,A3&lt;&gt;A2)),IF(BA3=1,"",HA2)="A",B3="",OR(AL3="р",AL3="+",AL3="=")),"A","")))))</f>
        <v/>
      </c>
      <c r="HB3" t="str">
        <f t="shared" ref="HB3:HB34" si="90">IF(HA3="A",IF(GX3&lt;&gt;"",GX3,IF(BA3=1,"",HB2)),"")</f>
        <v/>
      </c>
      <c r="HC3">
        <f>IF(HB3="",0,IFERROR(N(VLOOKUP(HB3,Модули_спр,3,FALSE)),0))</f>
        <v>0</v>
      </c>
      <c r="HD3" t="str">
        <f t="shared" ref="HD3:HD34" si="91">IF(HA3="A",IF(OR(OR(BA3=1,A3&lt;&gt;A2),IF(BA3=1,"",HA2)&lt;&gt;"A",IF(BA3=1,"",HB2)&lt;&gt;HB3,AND(HC3&gt;0,GY3&gt;0,N(IF(BA3=1,"",HK2))+GY3&gt;HC3)),HB3,""),IF(AND(HA3="",NOT(OR(BA3=1,A3&lt;&gt;A2)),IF(BA3=1,"",HA2)="A",GZ3=""),"-",""))</f>
        <v/>
      </c>
      <c r="HE3" t="str">
        <f t="shared" ref="HE3:HE34" si="92">IF(GZ3&lt;&gt;"",GZ3,HD3)</f>
        <v/>
      </c>
      <c r="HF3" t="str">
        <f>IF(OR(HE3="",HE3="-"),"",IFERROR(VLOOKUP(HE3,Модули_спр,2,FALSE),"R"))</f>
        <v/>
      </c>
      <c r="HG3" t="str">
        <f>IF(HF3="","",HF3&amp;"."&amp;COUNTIFS(A$3:A3,A3,HF$3:HF3,HF3))</f>
        <v/>
      </c>
      <c r="HH3" t="str">
        <f t="shared" ref="HH3:HH34" si="93">IF(HE3="-","",IF(HG3&lt;&gt;"",HG3,IF(OR(BA3=1,A3&lt;&gt;A2),"",IF(BA3=1,"",HH2))))</f>
        <v/>
      </c>
      <c r="HI3" t="str">
        <f t="shared" ref="HI3:HI34" si="94">IF(HH3="","",IF(AND(HE3&lt;&gt;"",HE3&lt;&gt;"-"),HE3,IF(BA3=1,"",HI2)))</f>
        <v/>
      </c>
      <c r="HJ3" t="str">
        <f t="shared" ref="HJ3:HJ34" si="95">IF(AL3="=",IF(BA3=1,"",HK2),IF(ISNUMBER(AL3),AL3,IF(HH3="","",IF(OR(B3&lt;&gt;"",AL3="+",AL3="р"),IF(OR(HG3&lt;&gt;"",IF(BA3=1,"",HK2)=""),1,IF(BA3=1,"",HK2)+IF(GY3=0,0,1)),""))))</f>
        <v/>
      </c>
      <c r="HK3" t="str">
        <f t="shared" ref="HK3:HK34" si="96">IF(HJ3&lt;&gt;"",MAX(HJ3,HJ3+GY3-1),IF(OR(OR(BA3=1,A3&lt;&gt;A2),HE3="-",HG3&lt;&gt;""),"",IF(BA3=1,"",HK2)))</f>
        <v/>
      </c>
      <c r="HL3">
        <f t="shared" ref="HL3:HL34" si="97">IF(OR(AL3="б/к",AJ3="вручную"),0,IF(OR(EZ3&lt;&gt;"",AL3="+",AL3="="),1,0))</f>
        <v>0</v>
      </c>
      <c r="HM3" t="str">
        <f>IF(HL3=1,"XT"&amp;COUNTIFS(A$3:A3,A3,HL$3:HL3,1),"")</f>
        <v/>
      </c>
      <c r="HN3" t="str">
        <f t="shared" ref="HN3:HN34" si="98">_xlfn.LET(_xlpm.v,TRIM(M3&amp;""),IF(_xlpm.v="нет","",IF(_xlpm.v="",HM3,_xlpm.v)))</f>
        <v/>
      </c>
      <c r="HO3" t="str">
        <f t="shared" ref="HO3:HO34" si="99">IF(OR(B3&lt;&gt;"",HJ3&lt;&gt;"",HL3=1),GU3,"")</f>
        <v/>
      </c>
      <c r="HP3" t="str">
        <f t="shared" ref="HP3:HP34" si="100">IF(OR(HJ3&lt;&gt;"",AND(HE3&lt;&gt;"",HE3&lt;&gt;"-")),HH3,"")</f>
        <v/>
      </c>
      <c r="HQ3" t="str">
        <f t="shared" ref="HQ3:HQ34" si="101">IF(B3="","",IF(AND(CG3=1,DQ3&lt;&gt;"",DR3=""),"номинал автомата не распознан",IF(DT3="",IF(CF3=1,"«гр»: нет автомата выше",""),IF(AND(CG3=1,N(DY3)&gt;N(DT3)),"ПЕРЕГРУЗ",IF(AND(N(DX3)=0,ISNUMBER(GS3),N(GS3)&lt;N(DT3)),"КАБЕЛЬ НЕ ЗАЩИЩЁН","ok")))))</f>
        <v>ok</v>
      </c>
      <c r="HR3" t="str">
        <f>IF(OR(HJ3="",HH3=""),"",IF(HJ3+MAX(0,GY3-1)&gt;IFERROR(VLOOKUP(HI3,Модули_спр,3,FALSE),99),"ЛИШНИЙ КАНАЛ",IF(AND(AL3&lt;&gt;"=",GY3&gt;0,COUNTIFS(Линии[_модуль гр.],HH3,Линии[Канал (итог)],HJ3,Линии[Канал],"&lt;&gt;=",Линии[Щит],A3)&gt;1),"ДУБЛЬ КАНАЛА","")))</f>
        <v/>
      </c>
      <c r="HS3" s="6" t="str">
        <f t="shared" ref="HS3:HS34" si="102">IFERROR(IF(ISNUMBER(FD3),FD3/N(DT3),""),"")</f>
        <v/>
      </c>
      <c r="HT3">
        <f t="shared" ref="HT3:HT34" si="103">IF(OR(ISNUMBER(SEARCH(" B"," "&amp;DU3)),ISNUMBER(SEARCH(" В"," "&amp;DU3))),5,IF(ISNUMBER(SEARCH(" D"," "&amp;DU3)),20,10))</f>
        <v>10</v>
      </c>
      <c r="HU3" t="str">
        <f t="shared" ref="HU3:HU34" si="104">IF(NOT(ISNUMBER(HS3)),"",IF(HS3&gt;=HT3,"ok",IF(N(DW3)=1,"ok (дифзащита "&amp;IF(CS3&lt;&gt;"",CV3,DV3)&amp;" мА)","мало: Iкз &lt; "&amp;HT3&amp;"·In")))</f>
        <v/>
      </c>
      <c r="HV3">
        <f t="shared" ref="HV3:HV34" si="105">IF(OR(B3="",BH3&lt;&gt;"",BP3=1),0,0.4*N(CI3)+IF(BV3=1,0,0.01*N(P3)))</f>
        <v>0</v>
      </c>
      <c r="HW3">
        <f t="shared" ref="HW3:HW34" si="106">IF(AND(A4=A3,AJ4&lt;&gt;"вручную",OR(B4="",CF4=1)),IF(B4="",0,N(HV4))+N(HW4),0)</f>
        <v>0</v>
      </c>
      <c r="HX3">
        <f t="shared" ref="HX3:HX34" si="107">IF(BV3=1,N(BU3)+N(EV3),0)</f>
        <v>0</v>
      </c>
      <c r="HY3">
        <f t="shared" ref="HY3:HY34" si="108">IF(BV3=1,(N(BU3)+N(EV3))*N(O3),0)</f>
        <v>0</v>
      </c>
      <c r="HZ3">
        <f t="shared" ref="HZ3:HZ34" si="109">IF(AND(A4=A3,AJ4&lt;&gt;"вручную",OR(B4="",CF4=1)),IF(B4="",0,N(HY4))+N(HZ4),0)</f>
        <v>0</v>
      </c>
      <c r="IA3">
        <f t="shared" ref="IA3:IA34" si="110">IF(AND(A4=A3,AJ4&lt;&gt;"вручную",OR(B4="",CF4=1)),MAX(IF(B4="",0,N(HX4)),N(IA4)),0)</f>
        <v>0</v>
      </c>
      <c r="IB3">
        <f t="shared" ref="IB3:IB34" si="111">IF(AND(A4=A3,AJ4&lt;&gt;"вручную",OR(B4="",CF4=1)),IF(B4="",0,N(BV4))+N(IB4),0)</f>
        <v>0</v>
      </c>
      <c r="IC3" t="str">
        <f t="shared" ref="IC3:IC34" si="112">IF(CG3=0,"",IFERROR(TRIM(MID(DD3,SEARCH("БП",DD3),40)),""))</f>
        <v/>
      </c>
      <c r="ID3" t="str" cm="1">
        <f t="array" ref="ID3">IF(IC3="","",_xlfn.LET(_xlpm.tk,_xlfn.TEXTSPLIT(SUBSTITUTE(SUBSTITUTE(IC3,";"," "),"→"," ")," ",,TRUE),_xlpm.w_,_xlfn._xlws.FILTER(_xlpm.tk,ISNUMBER(--LEFT(_xlpm.tk,1))*((ISNUMBER(SEARCH("W",_xlpm.tk))+ISNUMBER(SEARCH("Вт",_xlpm.tk)))&gt;0),""),IFERROR(--SUBSTITUTE(SUBSTITUTE(UPPER(INDEX(_xlpm.w_,1)),"W",""),"ВТ",""),"")))</f>
        <v/>
      </c>
      <c r="IE3" t="str" cm="1">
        <f t="array" ref="IE3">IF(IC3="","",_xlfn.LET(_xlpm.tk,_xlfn.TEXTSPLIT(SUBSTITUTE(SUBSTITUTE(IC3,";"," "),"→"," ")," ",,TRUE),_xlpm.v_,_xlfn._xlws.FILTER(_xlpm.tk,ISNUMBER(--LEFT(_xlpm.tk,1))*((ISNUMBER(SEARCH("V",_xlpm.tk))+(RIGHT(UPPER(_xlpm.tk))="В"))&gt;0),""),IFERROR(--SUBSTITUTE(SUBSTITUTE(UPPER(INDEX(_xlpm.v_,1)),"V",""),"В",""),"")))</f>
        <v/>
      </c>
      <c r="IF3" s="6" t="str">
        <f>IF(OR(BV3=0,HI3="",HJ3=""),"",IFERROR(N(_xlfn.XLOOKUP(HI3,Каталог!$C$4:$C$500,Каталог!$Q$4:$Q$500)),""))</f>
        <v/>
      </c>
      <c r="IG3" s="6" t="str">
        <f>IF(N(IF3)=0,"",SUMIFS(Линии[Iр, А],Линии[Щит],A3,Линии[_модуль гр.],HH3,Линии[Канал (итог)],HJ3))</f>
        <v/>
      </c>
      <c r="IH3" t="str">
        <f>IF(AND(B3="",HO3=""),"",_xlfn.TEXTJOIN("; ",TRUE,IF(AND(B3&lt;&gt;"",FV3=""),"нет фазы",""),IF(AND(B3&lt;&gt;"",N(GL3)=0,FG3&lt;&gt;"Нет"),"нет мощности",""),IF(AND(HN3&lt;&gt;"",COUNTIFS(Линии[Щит],A3,Линии[Клемма (итог)],HN3)&gt;1),"дубль клеммы "&amp;HN3,""),IF(AND(HQ3&lt;&gt;"",HQ3&lt;&gt;"ok"),HQ3,""),IF(HR3&lt;&gt;"",HR3,""),IF(AND(N(CB3)&gt;=4,N(BX3)=1),CB3&amp;" жил на 1 фазе",""),IF(AND(BC3="R",CG3=1,IF(CS3&lt;&gt;"",N(CV3)&gt;30,OR(N(DA3)=0,N(DA3)&gt;30))),"розетка без дифзащиты до 30 мА",""),IF(AND(CG3=1,N(DA3)&gt;0,ISNUMBER(T3)),IF(T3&gt;N(DA3)/3,"ток утечки "&amp;FIXED(T3,1)&amp;" мА &gt; 1/3 уставки ("&amp;DA3&amp;" мА)",""),""),IF(AND(CH3=1,CS3=""),"«узо»: нет строки с УЗО выше (УЗО 2P 40А 30мА в «Аппаратах»)",""),IF(AND(CS3&lt;&gt;"",CS3=BA3),IF(CT3="","впишите номинал УЗО (УЗО 2P 40А 30мА)",IF(N(CT3)&lt;N(DT3),"УЗО "&amp;CT3&amp;" А &lt; автомата "&amp;DT3&amp;" А перед ним",IF(N(CT3)&lt;N(CX3),"УЗО "&amp;CT3&amp;" А &lt; тока блока "&amp;FIXED(CX3,1)&amp;" А",""))),""),IF(AND(CS3&lt;&gt;"",CS3=BA3,ISNUMBER(CY3)),IF(CY3&gt;N(CV3)/3,"ток утечки блока УЗО "&amp;FIXED(CY3,1)&amp;" мА &gt; 1/3 уставки ("&amp;CV3&amp;" мА)",""),""),IF(AND(CG3=1,N(BV3)+N(IB3)&gt;0,IC3=""),"линии до 50 В без БП: впишите в «Аппараты» (БП 24V 480W)",""),IF(AND(CG3=1,ISNUMBER(ID3),ISNUMBER(U3)),IF(U3&gt;ID3,"БП "&amp;ID3&amp;" Вт &lt; нужно "&amp;U3&amp;" Вт (×"&amp;Запас_БП&amp;")",""),""),IF(AND(CG3=1,ISNUMBER(IE3),N(BV3)=1),IF(IE3&lt;&gt;N(BU3),"БП на "&amp;IE3&amp;" В, линия "&amp;BU3&amp;" В",""),""),IF(AND(N(IF3)&gt;0,N(IG3)&gt;N(IF3)),HH3&amp;" канал "&amp;HJ3&amp;": "&amp;FIXED(IG3,1)&amp;" А &gt; "&amp;IF3&amp;" А",""),IFERROR(IF(AND(ISNUMBER(Q3),Q3&gt;EL3),"потери "&amp;FIXED(Q3,1)&amp;" % &gt; "&amp;EL3&amp;" %",""),""),IFERROR(IF(LEFT(HU3,4)="мало","Iкз мало — отключение &gt; 0,4 с",""),""),IF(AND(B3&lt;&gt;"",BM3=""),"не на схеме",""),IF(AND(CG3=0,B3&lt;&gt;"",FV3&lt;&gt;"",IF(BA3=1,"",FW2)&lt;&gt;"",FV3&lt;&gt;IF(BA3=1,"",FW2)),"фаза не как у автомата группы ("&amp;IF(BA3=1,"",FW2)&amp;")","")))</f>
        <v/>
      </c>
      <c r="II3" s="6">
        <f>IF(OR(CG3=0,DQ3=""),"",_xlfn.LET(_xlpm.t,IFERROR(_xlfn.XLOOKUP(DQ3,Каталог!$U$4:$U$500,Каталог!$G$4:$G$500),""),_xlpm.k,SEARCH("кА",_xlpm.t),IFERROR(--TRIM(RIGHT(SUBSTITUTE(MID(_xlpm.t,MAX(1,_xlpm.k-4),_xlpm.k-MAX(1,_xlpm.k-4))," ",REPT(" ",9)),5)),"")))</f>
        <v>10</v>
      </c>
      <c r="IJ3" t="str">
        <f>IF(OR(II3="",CG3=0),"",IF(_xlfn.XLOOKUP(A3,Щиты[Щит],Щиты[Iкз max на шинах, кА],"")="","",IF(II3&lt;_xlfn.XLOOKUP(A3,Щиты[Щит],Щиты[Iкз max на шинах, кА]),"Icu "&amp;II3&amp;" кА &lt; Iкз max","ok")))</f>
        <v>ok</v>
      </c>
      <c r="IK3" t="str">
        <f t="shared" ref="IK3:IK34" si="113">IF(OR(AND(BA3&gt;1,N(BA2)&lt;&gt;BA3-1),AND(BA4&lt;&gt;"",N(BA4)&lt;&gt;BA3+1)),"строки сдвинуты (вставка или удаление) — нажмите «Починить формулы»","")</f>
        <v/>
      </c>
      <c r="IL3" t="str">
        <f t="shared" ref="IL3:IL34" si="114">IF(OR(AJ3="вручную",BM3="",AND(B3="",HN3="")),"",_xlfn.TEXTJOIN("|",TRUE,GU3,SUBSTITUTE(GV3," → ","|"),IF(HH3&lt;&gt;"",HH3&amp;IF(HJ3&lt;&gt;""," к."&amp;HJ3,""),""),HN3))</f>
        <v/>
      </c>
      <c r="IM3" t="str">
        <f t="shared" ref="IM3:IM34" si="115">IF(IL3="","",IL3&amp;IF(B3&lt;&gt;"","|кабель "&amp;EY3&amp;" → "&amp;BJ3,""))</f>
        <v/>
      </c>
      <c r="IN3" t="str" cm="1">
        <f t="array" ref="IN3">IF(IM3="","",_xlfn.LET(_xlpm.nd,_xlfn.TEXTSPLIT(IM3,"|"),IF(COLUMNS(_xlpm.nd)&gt;1,A3&amp;"¦"&amp;INDEX(_xlpm.nd,1)&amp;"¦"&amp;INDEX(_xlpm.nd,2),"")))</f>
        <v/>
      </c>
      <c r="IO3" t="str">
        <f t="shared" ref="IO3:IO34" si="116">IF(IN3="","",B3&amp;"¦"&amp;BJ3)</f>
        <v/>
      </c>
      <c r="IP3" t="str" cm="1">
        <f t="array" ref="IP3">IF(IM3="","",_xlfn.LET(_xlpm.nd,_xlfn.TEXTSPLIT(IM3,"|"),IF(COLUMNS(_xlpm.nd)&gt;2,A3&amp;"¦"&amp;INDEX(_xlpm.nd,2)&amp;"¦"&amp;INDEX(_xlpm.nd,3),"")))</f>
        <v/>
      </c>
      <c r="IQ3" t="str">
        <f t="shared" ref="IQ3:IQ34" si="117">IF(IP3="","",B3&amp;"¦"&amp;BJ3)</f>
        <v/>
      </c>
      <c r="IR3" t="str" cm="1">
        <f t="array" ref="IR3">IF(IM3="","",_xlfn.LET(_xlpm.nd,_xlfn.TEXTSPLIT(IM3,"|"),IF(COLUMNS(_xlpm.nd)&gt;3,A3&amp;"¦"&amp;INDEX(_xlpm.nd,3)&amp;"¦"&amp;INDEX(_xlpm.nd,4),"")))</f>
        <v/>
      </c>
      <c r="IS3" t="str">
        <f t="shared" ref="IS3:IS34" si="118">IF(IR3="","",B3&amp;"¦"&amp;BJ3)</f>
        <v/>
      </c>
      <c r="IT3" t="str" cm="1">
        <f t="array" ref="IT3">IF(IM3="","",_xlfn.LET(_xlpm.nd,_xlfn.TEXTSPLIT(IM3,"|"),IF(COLUMNS(_xlpm.nd)&gt;4,A3&amp;"¦"&amp;INDEX(_xlpm.nd,4)&amp;"¦"&amp;INDEX(_xlpm.nd,5),"")))</f>
        <v/>
      </c>
      <c r="IU3" t="str">
        <f t="shared" ref="IU3:IU34" si="119">IF(IT3="","",B3&amp;"¦"&amp;BJ3)</f>
        <v/>
      </c>
      <c r="IV3" t="str" cm="1">
        <f t="array" ref="IV3">IF(IM3="","",_xlfn.LET(_xlpm.nd,_xlfn.TEXTSPLIT(IM3,"|"),IF(COLUMNS(_xlpm.nd)&gt;5,A3&amp;"¦"&amp;INDEX(_xlpm.nd,5)&amp;"¦"&amp;INDEX(_xlpm.nd,6),"")))</f>
        <v/>
      </c>
      <c r="IW3" t="str">
        <f t="shared" ref="IW3:IW34" si="120">IF(IV3="","",B3&amp;"¦"&amp;BJ3)</f>
        <v/>
      </c>
      <c r="IX3" t="str" cm="1">
        <f t="array" ref="IX3">IF(IM3="","",_xlfn.LET(_xlpm.nd,_xlfn.TEXTSPLIT(IM3,"|"),IF(COLUMNS(_xlpm.nd)&gt;6,A3&amp;"¦"&amp;INDEX(_xlpm.nd,6)&amp;"¦"&amp;INDEX(_xlpm.nd,7),"")))</f>
        <v/>
      </c>
      <c r="IY3" t="str">
        <f t="shared" ref="IY3:IY34" si="121">IF(IX3="","",B3&amp;"¦"&amp;BJ3)</f>
        <v/>
      </c>
      <c r="IZ3" t="str">
        <f t="shared" ref="IZ3:IZ34" si="122">IF(HP3="","",HI3)</f>
        <v/>
      </c>
      <c r="JA3" t="str">
        <f t="shared" ref="JA3:JA34" si="123">IF(AND(B3="",HJ3="",HN3=""),"",_xlfn.TEXTJOIN(" → ",TRUE,GU3,GV3,IF(HH3&lt;&gt;"",HH3&amp;IF(HJ3&lt;&gt;""," к."&amp;HJ3,""),IF(HJ3&lt;&gt;"","к."&amp;HJ3,"")),HN3,IF(GO3=1,"(в кабель выше)","")))</f>
        <v/>
      </c>
      <c r="JB3">
        <f t="shared" ref="JB3:JB34" si="124">IF(AF3="",0,1)</f>
        <v>0</v>
      </c>
      <c r="JC3">
        <f t="shared" ref="JC3:JC34" si="125">IF(GT3="",0,IF(LEFT(GT3,3)="QFD",1,0))</f>
        <v>0</v>
      </c>
      <c r="JD3" t="str">
        <f t="shared" ref="JD3:JD34" si="126">IF(AL3="=","=",IF(AL3="+","+",IF(AL3="р","R","")))</f>
        <v/>
      </c>
      <c r="JE3" t="str">
        <f t="shared" ref="JE3:JE34" si="127">IF(DE3="","",IF(OR(LEFT(DE3,1)="T",LEFT(DE3,1)="Т"),"T",IF(LEFT(UPPER(DE3),2)="БП","PS",IF(OR(LEFT(UPPER(DE3),2)="МК",LEFT(UPPER(DE3),2)="MK"),"MK",IF(OR(LEFT(UPPER(DE3),2)="КМ",LEFT(UPPER(DE3),2)="KM"),"KM","X")))))</f>
        <v/>
      </c>
      <c r="JF3" t="str">
        <f t="shared" ref="JF3:JF34" si="128">IF(DF3="","",IF(OR(LEFT(DF3,1)="T",LEFT(DF3,1)="Т"),"T",IF(LEFT(UPPER(DF3),2)="БП","PS",IF(OR(LEFT(UPPER(DF3),2)="МК",LEFT(UPPER(DF3),2)="MK"),"MK",IF(OR(LEFT(UPPER(DF3),2)="КМ",LEFT(UPPER(DF3),2)="KM"),"KM","X")))))</f>
        <v/>
      </c>
      <c r="JG3" t="str">
        <f t="shared" ref="JG3:JG34" si="129">IF(DG3="","",IF(OR(LEFT(DG3,1)="T",LEFT(DG3,1)="Т"),"T",IF(LEFT(UPPER(DG3),2)="БП","PS",IF(OR(LEFT(UPPER(DG3),2)="МК",LEFT(UPPER(DG3),2)="MK"),"MK",IF(OR(LEFT(UPPER(DG3),2)="КМ",LEFT(UPPER(DG3),2)="KM"),"KM","X")))))</f>
        <v/>
      </c>
      <c r="JH3">
        <f>IF(B3="","",IFERROR(_xlfn.XLOOKUP(B3,Коды_код,Коды_уго),IFERROR(_xlfn.XLOOKUP(BC3,Коды_код,Коды_уго),IFERROR(_xlfn.XLOOKUP(LEFT(BC3,2),Коды_код,Коды_уго),""))))</f>
        <v>0</v>
      </c>
      <c r="JI3" t="str">
        <f>IF(B3="","",IF(OR(JH3="",JH3=0),"BOX",IFERROR(IF(VLOOKUP(JH3,УГО_блоки,3,FALSE)&amp;""&lt;&gt;"",VLOOKUP(JH3,УГО_блоки,3,FALSE),VLOOKUP(JH3,УГО_блоки,2,FALSE)),JH3)))</f>
        <v>BOX</v>
      </c>
      <c r="JJ3">
        <f t="shared" ref="JJ3:JJ34" si="130">IF(B3="",0,1)</f>
        <v>1</v>
      </c>
      <c r="JK3">
        <f>IF(DQ3="","",IF(COUNTIF(DQ$3:DQ3,DQ3)=1,MAX(JK$2:JK2)+1,""))</f>
        <v>1</v>
      </c>
      <c r="JL3" t="str">
        <f>IF(DE3="","",IF(COUNTIF(DE$3:DE3,DE3)+COUNTIF(DF$2:DF2,DE3)+COUNTIF(DG$2:DG2,DE3)=1,MAX(JL$2:JN2)+1,""))</f>
        <v/>
      </c>
      <c r="JM3" t="str">
        <f>IF(DF3="","",IF(COUNTIF(DE$3:DE3,DF3)+COUNTIF(DF$3:DF3,DF3)+COUNTIF(DG$2:DG2,DF3)=1,MAX(JL$2:JN2,JL3)+1,""))</f>
        <v/>
      </c>
      <c r="JN3" t="str">
        <f>IF(DG3="","",IF(COUNTIF(DE$3:DE3,DG3)+COUNTIF(DF$3:DF3,DG3)+COUNTIF(DG$3:DG3,DG3)=1,MAX(JL$2:JN2,JL3,JM3)+1,""))</f>
        <v/>
      </c>
      <c r="JO3" t="str">
        <f t="shared" ref="JO3:JO34" si="131">IF(HL3=1,IFERROR(MID(GK3,FIND(" (",GK3)+2,FIND(")",GK3,FIND(" (",GK3))-FIND(" (",GK3)-2),"?"),"")</f>
        <v/>
      </c>
      <c r="JP3" t="str">
        <f>IF(JO3="","",IF(COUNTIF(JO$3:JO3,JO3)=1,MAX(JP$2:JP2)+1,""))</f>
        <v/>
      </c>
      <c r="JQ3" t="str">
        <f>IF(HG3="","",COUNTIF(HG$3:HG3,"?*"))</f>
        <v/>
      </c>
      <c r="JR3" t="str">
        <f>IF(OR(HG3="",HI3=""),"",IF(COUNTIFS(HG$3:HG3,"?*",HI$3:HI3,HI3)=1,MAX(JR$2:JR2)+1,""))</f>
        <v/>
      </c>
      <c r="JS3">
        <f t="shared" ref="JS3:JS34" si="132">IF(IH3="",0,IF(OR(ISNUMBER(SEARCH("дубль",IH3)),ISNUMBER(SEARCH("ПЕРЕГРУЗ",IH3)),ISNUMBER(SEARCH("ЗАЩИЩ",IH3)),ISNUMBER(SEARCH("КАНАЛ",IH3)),ISNUMBER(SEARCH("без диф",IH3))),2,1))</f>
        <v>0</v>
      </c>
      <c r="JT3">
        <f>IF(B3="","",COUNTIF(B$3:B3,"?*"))</f>
        <v>1</v>
      </c>
      <c r="JU3">
        <f>IF(HL3&lt;&gt;1,0,_xlfn.LET(_xlpm.k,MAX(IFERROR(--_xlfn.XLOOKUP(B3,Коды_код,Коды_3L),0),IFERROR(--_xlfn.XLOOKUP(BC3,Коды_код,Коды_3L),0),IFERROR(--_xlfn.XLOOKUP(LEFT(BC3,2),Коды_код,Коды_3L),0)),IF(_xlpm.k&gt;0,_xlpm.k,IF(IFERROR(--LEFT(SUBSTITUTE(JO3,"x","х"),FIND("х",SUBSTITUTE(JO3,"x","х"))-1),3)&gt;3,Каталог!$S$9,1))))</f>
        <v>0</v>
      </c>
      <c r="JV3">
        <f t="shared" ref="JV3:JV34" si="133">IF(HL3&lt;&gt;1,0,MAX(0,IFERROR(--LEFT(SUBSTITUTE(JO3,"x","х"),FIND("х",SUBSTITUTE(JO3,"x","х"))-1),3)-3*JU3))</f>
        <v>0</v>
      </c>
      <c r="JW3" t="str">
        <f t="shared" ref="JW3:JW34" si="134">IF(CG3=1,"авто","")</f>
        <v>авто</v>
      </c>
      <c r="JX3" t="str">
        <f t="shared" ref="JX3:JX34" si="135">IF(CG3=1,IF(N(DA3)&gt;0,DA3,""),"")</f>
        <v/>
      </c>
      <c r="JY3">
        <f t="shared" ref="JY3:JY34" si="136">IF(CG3=1,IF(N(DA3)&gt;0,1,0),"")</f>
        <v>0</v>
      </c>
      <c r="JZ3">
        <f t="shared" ref="JZ3:JZ34" si="137">SUBTOTAL(103,A3)</f>
        <v>1</v>
      </c>
    </row>
    <row r="4" spans="1:286" x14ac:dyDescent="0.3">
      <c r="A4" t="s">
        <v>151</v>
      </c>
      <c r="B4" t="s">
        <v>1187</v>
      </c>
      <c r="C4" t="s">
        <v>1237</v>
      </c>
      <c r="E4">
        <f>Линии[[#This Row],[_авто Р]]</f>
        <v>43.93</v>
      </c>
      <c r="G4" t="str">
        <f>Линии[[#This Row],[_авто автомат]]</f>
        <v>3P С80А</v>
      </c>
      <c r="H4" t="str">
        <f>Линии[[#This Row],[_авто управление]]</f>
        <v/>
      </c>
      <c r="I4" t="str">
        <f>Линии[[#This Row],[_авто аппараты]]</f>
        <v/>
      </c>
      <c r="J4">
        <v>95</v>
      </c>
      <c r="K4" t="str">
        <f>Линии[[#This Row],[_авто длина по плану]]</f>
        <v/>
      </c>
      <c r="L4" t="str">
        <f>Линии[[#This Row],[_авто фаза]]</f>
        <v>L1,L2,L3</v>
      </c>
      <c r="M4" t="str">
        <f>Линии[[#This Row],[_авто клемма]]</f>
        <v/>
      </c>
      <c r="N4" t="str">
        <f t="shared" si="0"/>
        <v/>
      </c>
      <c r="O4" s="6" cm="1">
        <f t="array" ref="O4">IF(B4="","",IF(BH4&lt;&gt;"",IFERROR(_xlfn.XLOOKUP(BH4,Щиты[Щит],Щиты[Iр, А]),""),IF(BP4=1,IF(OR(N(_xlfn.XLOOKUP(A4,Щиты[Щит],Щиты[Вводов],1))&lt;=1,LOWER(TRIM(_xlfn.XLOOKUP(A4,Щиты[Щит],Щиты[АВР],"")&amp;""))="да"),IFERROR(_xlfn.XLOOKUP(A4,Щиты[Щит],Щиты[Iр, А]),""),IFERROR(N(BS4)*_xlfn.XLOOKUP(A4,Щиты[Щит],Щиты[Кс итог])/(SQRT(3)*Uн_лин*_xlfn.XLOOKUP(A4,Щиты[Щит],Щиты[cos φ])),"")),IF(BV4=1,IFERROR(BS4*1000/BU4,""),IFERROR(_xlfn.IFS(BX4=1,BS4/((Uн_лин/SQRT(3))*CE4),BX4=3,BS4/(SQRT(3)*Uн_лин*CE4)),"")))))</f>
        <v>56.895065355139202</v>
      </c>
      <c r="P4" s="7" t="str">
        <f>IF(B4="","",IFERROR(IF(VLOOKUP(BC4,Потребители_обозначение,4,FALSE)=1,VLOOKUP(BC4,Потребители_обозначение,3,FALSE)*(MAX(1,N(D4))*2-1)+EI4+VLOOKUP(BE4,Этаж_обозначение,3,FALSE)+VLOOKUP(BE4,Этаж_обозначение,4,FALSE),VLOOKUP(BC4,Потребители_обозначение,3,FALSE)*(MAX(1,N(D4))*2-1)+EI4),EI4))</f>
        <v/>
      </c>
      <c r="Q4" s="6" t="str">
        <f t="shared" si="1"/>
        <v/>
      </c>
      <c r="R4" t="str">
        <f t="shared" si="2"/>
        <v>ВВГнг(А)-LS (5х95)</v>
      </c>
      <c r="S4" t="str">
        <f>IF(BM4="","",IF(BN4="вводной узел","узел ","")&amp;"л."&amp;(INT((BM4-1)/Столбцов_на_лист)+1)&amp;" / "&amp;(MOD(BM4-1,Столбцов_на_лист)+1))</f>
        <v>узел л.1 / 3</v>
      </c>
      <c r="T4" s="119" t="str">
        <f t="shared" si="3"/>
        <v/>
      </c>
      <c r="U4" s="7" t="str">
        <f>IF(OR(CG4=0,N(BV4)+N(IB4)=0),"",ROUNDUP(Запас_БП*(N(HY4)+N(HZ4)),0))</f>
        <v/>
      </c>
      <c r="V4" s="119" t="str">
        <f t="shared" si="4"/>
        <v/>
      </c>
      <c r="W4" s="7" t="str">
        <f>IFERROR(IF(OR(B4="",BP4=1,BV4=1,NOT(ISNUMBER(EN4)),N(DT4)=0),"",MAX(0,ROUNDDOWN((c_min*(Uн_лин*1000/SQRT(3))/(HT4*N(DT4))-_xlfn.XLOOKUP(A4,Щиты[Щит],Щиты[Zпетли на шинах, Ом]))*EN4/(2*ρкз_Cu),0))),"")</f>
        <v/>
      </c>
      <c r="Y4" t="str">
        <f>Линии[[#This Row],[_авто утечка]]</f>
        <v/>
      </c>
      <c r="Z4">
        <v>3</v>
      </c>
      <c r="AA4">
        <v>400</v>
      </c>
      <c r="AB4" t="s">
        <v>556</v>
      </c>
      <c r="AJ4" t="s">
        <v>1186</v>
      </c>
      <c r="AK4" t="str">
        <f>Линии[[#This Row],[_авто модуль]]</f>
        <v/>
      </c>
      <c r="AM4">
        <v>3</v>
      </c>
      <c r="AN4" t="s">
        <v>11</v>
      </c>
      <c r="AO4">
        <v>5</v>
      </c>
      <c r="BA4" cm="1">
        <f t="array" ref="BA4">ROW()-ROW(Линии[#Headers])</f>
        <v>2</v>
      </c>
      <c r="BC4" s="6" t="str">
        <f t="shared" si="5"/>
        <v>Ввод</v>
      </c>
      <c r="BD4" t="str">
        <f t="shared" si="6"/>
        <v>2</v>
      </c>
      <c r="BE4" t="str">
        <f t="shared" si="7"/>
        <v>2</v>
      </c>
      <c r="BF4" t="str">
        <f t="shared" si="8"/>
        <v/>
      </c>
      <c r="BG4" t="str">
        <f t="shared" si="9"/>
        <v/>
      </c>
      <c r="BH4" t="str">
        <f>IF(X4&lt;&gt;"",X4,IF(AND(B4&lt;&gt;"",B4&lt;&gt;A4,ISNUMBER(_xlfn.XMATCH(B4,Щиты[Щит]))),B4,""))</f>
        <v/>
      </c>
      <c r="BI4" t="str" cm="1">
        <f t="array" ref="BI4">IF(B4="","",IF(BH4&lt;&gt;"","Щит "&amp;BH4,_xlfn.LET(_xlpm.nm,IFERROR(_xlfn.XLOOKUP(BC4,Коды_код,Коды_имя)&amp;"",""),_xlpm.md,IFERROR(N(_xlfn.XLOOKUP(BC4,Коды_код,Коды_режим)),1),_xlpm.ex,IF(Имя_режим="по экспликации",IFERROR(_xlfn.XLOOKUP(BE4&amp;"|"&amp;BG4,Экспликация[Этаж]&amp;"|"&amp;Экспликация[Помещение],Экспликация[Название])&amp;"",""),""),_xlpm.rm,IF(BG4="","",IF(_xlpm.ex&lt;&gt;"",". "&amp;_xlpm.ex&amp;IF(Имя_пом="нет"," ("&amp;BG4&amp;")"," (пом. "&amp;BG4&amp;")"),IF(Имя_пом="нет"," ",", пом. ")&amp;BG4)),IF(_xlpm.nm="","",IF(_xlpm.md=2,_xlpm.nm&amp;" шлейф "&amp;BE4,_xlpm.nm&amp;_xlpm.rm)))))</f>
        <v>Ввод питающей линии</v>
      </c>
      <c r="BJ4" t="str">
        <f t="shared" si="10"/>
        <v>Ввод 2 от ТП</v>
      </c>
      <c r="BK4">
        <f>IFERROR(_xlfn.XMATCH(A4,Щиты[Щит]),0)</f>
        <v>1</v>
      </c>
      <c r="BL4">
        <f>_xlfn.LET(_xlpm.k,IFERROR(_xlfn.XLOOKUP(A4,Щиты[Щит],Щиты[Мест под вводной узел]),""),IF(_xlpm.k="",Столбцов_на_лист,N(_xlpm.k)))</f>
        <v>4</v>
      </c>
      <c r="BM4">
        <f t="shared" si="11"/>
        <v>3</v>
      </c>
      <c r="BN4" t="str">
        <f t="shared" si="12"/>
        <v>вводной узел</v>
      </c>
      <c r="BO4" s="6">
        <f>IFERROR(N(_xlfn.XLOOKUP(BC4,Коды_код,Коды_квт)),0)</f>
        <v>0</v>
      </c>
      <c r="BP4">
        <f t="shared" si="13"/>
        <v>1</v>
      </c>
      <c r="BQ4">
        <f>IF(B4="","",IF(BH4&lt;&gt;"",IFERROR(_xlfn.XLOOKUP(BH4,Щиты[Щит],Щиты[Руст, кВт]),0),IF(BP4=1,IF(OR(N(_xlfn.XLOOKUP(A4,Щиты[Щит],Щиты[Вводов],1))&lt;=1,LOWER(TRIM(_xlfn.XLOOKUP(A4,Щиты[Щит],Щиты[АВР],"")&amp;""))="да"),IFERROR(_xlfn.XLOOKUP(A4,Щиты[Щит],Щиты[Руст, кВт]),0),SUMIFS(Линии[_Р для вводов],Линии[Щит],A4,Линии[Источник для режимов],GF4)),IF(BO4&gt;0,ROUND(BO4*MAX(1,N(D4)),3),""))))</f>
        <v>43.93</v>
      </c>
      <c r="BR4">
        <f t="shared" si="14"/>
        <v>43.93</v>
      </c>
      <c r="BS4" s="6">
        <f>IF(B4="","",IF(BH4&lt;&gt;"",IFERROR(_xlfn.XLOOKUP(BH4,Щиты[Щит],Щиты[Руст, кВт]),0),N(BR4)))</f>
        <v>43.93</v>
      </c>
      <c r="BT4" t="str">
        <f>IF(B4="","",IFERROR(IF(VLOOKUP(BC4,Потребители_обозначение,8,FALSE)=0,"",VLOOKUP(BC4,Потребители_обозначение,8,FALSE)),""))</f>
        <v/>
      </c>
      <c r="BU4">
        <f t="shared" si="15"/>
        <v>400</v>
      </c>
      <c r="BV4">
        <f t="shared" si="16"/>
        <v>0</v>
      </c>
      <c r="BW4">
        <f>IF(B4="","",IF(BH4&lt;&gt;"",3,IFERROR(IF(N(VLOOKUP(BC4,Потребители_обозначение,9,FALSE))=0,1,VLOOKUP(BC4,Потребители_обозначение,9,FALSE)),1)))</f>
        <v>1</v>
      </c>
      <c r="BX4">
        <f t="shared" si="17"/>
        <v>3</v>
      </c>
      <c r="BY4" t="str">
        <f>IF(B4="","",_xlfn.LET(_xlpm.bc,IFERROR(IF(VLOOKUP(BC4,Потребители_обозначение,6,FALSE)=0,"",VLOOKUP(BC4,Потребители_обозначение,6,FALSE)&amp;""),""),IF(AND(GA4="да",OR(_xlpm.bc="",_xlpm.bc="мс")),Марка_пож,IF(AND(_xlpm.bc="",BH4&lt;&gt;""),"мс",_xlpm.bc))))</f>
        <v/>
      </c>
      <c r="BZ4" t="str">
        <f t="shared" si="18"/>
        <v>мс</v>
      </c>
      <c r="CA4">
        <f>IF(B4="","",_xlfn.LET(_xlpm.cc,IFERROR(N(VLOOKUP(BC4,Потребители_обозначение,7,FALSE)),0),IF(_xlpm.cc&gt;0,_xlpm.cc,IF(BZ4="","",IF(BV4=1,2,IF(N(BX4)=3,5,3))))))</f>
        <v>5</v>
      </c>
      <c r="CB4">
        <f t="shared" si="19"/>
        <v>5</v>
      </c>
      <c r="CC4">
        <f>IFERROR(N(VLOOKUP(BC4,Потребители_обозначение,10,FALSE)),0)</f>
        <v>0</v>
      </c>
      <c r="CD4">
        <f>IFERROR(VLOOKUP(BC4,Потребители_обозначение,5,FALSE),0)</f>
        <v>1</v>
      </c>
      <c r="CE4" s="6" cm="1">
        <f t="array" ref="CE4">IF(B4="","",IF(BH4&lt;&gt;"",IFERROR(_xlfn.XLOOKUP(BH4,Щиты[Щит],Щиты[cos φ]),0.95),IF(BP4=1,IFERROR(_xlfn.XLOOKUP(A4,Щиты[Щит],Щиты[cos φ]),0.95),IF(ISNUMBER(AD4),AD4,IFERROR(IF(CD4=2,_xlfn.IFS(BX4=3,VLOOKUP(BS4,Справочная_двигатели,8,FALSE),BX4=1,VLOOKUP(BS4,Справочная_двигатели,10,TRUE)),IF(AND(Методика="нормы 2026",FG4="Сил"),0.8,0.95)),0.95)))))</f>
        <v>0.89451399954473043</v>
      </c>
      <c r="CF4">
        <f t="shared" si="20"/>
        <v>0</v>
      </c>
      <c r="CG4">
        <f t="shared" si="21"/>
        <v>1</v>
      </c>
      <c r="CH4">
        <f t="shared" si="22"/>
        <v>0</v>
      </c>
      <c r="CI4">
        <f>IF(B4="","",IF(BV4=1,IFERROR(BS4/((Uн_лин/SQRT(3))*MAX(0.5,N(CE4))),0),N(O4)))</f>
        <v>56.895065355139202</v>
      </c>
      <c r="CJ4">
        <f t="shared" si="23"/>
        <v>0</v>
      </c>
      <c r="CK4">
        <f t="shared" si="24"/>
        <v>0</v>
      </c>
      <c r="CL4">
        <f t="shared" si="25"/>
        <v>0</v>
      </c>
      <c r="CM4">
        <f t="shared" si="26"/>
        <v>0</v>
      </c>
      <c r="CN4">
        <f t="shared" si="27"/>
        <v>0</v>
      </c>
      <c r="CO4">
        <f>IF(BC4="",0,_xlfn.LET(_xlpm.v,IFERROR(_xlfn.XLOOKUP(B4,Коды_код,Коды_мА),IFERROR(_xlfn.XLOOKUP(BC4,Коды_код,Коды_мА),IFERROR(_xlfn.XLOOKUP(LEFT(BC4,2),Коды_код,Коды_мА),""))),IF(_xlpm.v="да",30,IF(ISNUMBER(_xlpm.v),_xlpm.v,0))))</f>
        <v>0</v>
      </c>
      <c r="CP4" t="str">
        <f t="shared" si="28"/>
        <v/>
      </c>
      <c r="CQ4" t="str">
        <f>_xlfn.LET(_xlpm.k,IFERROR(_xlfn.XLOOKUP(BC4,Коды_код,Коды_утечка)&amp;"",""),IF(_xlpm.k="","дифавтомат",_xlpm.k))</f>
        <v>дифавтомат</v>
      </c>
      <c r="CR4" t="str" cm="1">
        <f t="array" ref="CR4">IF(CG4=0,"",_xlfn.LET(_xlpm.sg,TRIM(_xlfn.TEXTSPLIT(DD4&amp;"",";")),_xlpm.f_,_xlfn._xlws.FILTER(_xlpm.sg,LEFT(_xlpm.sg,3)="УЗО",""),IFERROR(INDEX(_xlpm.f_,1)&amp;"","")))</f>
        <v/>
      </c>
      <c r="CS4" t="str">
        <f t="shared" si="29"/>
        <v/>
      </c>
      <c r="CT4" s="6" t="str" cm="1">
        <f t="array" ref="CT4">IF(CR4="","",_xlfn.LET(_xlpm.tk,_xlfn.TEXTSPLIT(UPPER(CR4)," ",,TRUE),_xlpm.a_,_xlfn._xlws.FILTER(_xlpm.tk,ISNUMBER(--LEFT(_xlpm.tk,1))*((ISNUMBER(SEARCH("А",_xlpm.tk))+ISNUMBER(SEARCH("A",_xlpm.tk)))&gt;0)*NOT(ISNUMBER(SEARCH("МА",_xlpm.tk)))*NOT(ISNUMBER(SEARCH("MA",_xlpm.tk))),""),IFERROR(--SUBSTITUTE(SUBSTITUTE(INDEX(_xlpm.a_,1),"А",""),"A",""),"")))</f>
        <v/>
      </c>
      <c r="CU4" t="str" cm="1">
        <f t="array" ref="CU4">IF(CR4="","",_xlfn.LET(_xlpm.tk,_xlfn.TEXTSPLIT(UPPER(CR4)," ",,TRUE),_xlpm.a_,_xlfn._xlws.FILTER(_xlpm.tk,ISNUMBER(--LEFT(_xlpm.tk,1))*((ISNUMBER(SEARCH("МА",_xlpm.tk))+ISNUMBER(SEARCH("MA",_xlpm.tk)))&gt;0),""),IFERROR(--SUBSTITUTE(SUBSTITUTE(INDEX(_xlpm.a_,1),"МА",""),"MA",""),30)))</f>
        <v/>
      </c>
      <c r="CV4" t="str">
        <f>IF(CS4="","",IFERROR(_xlfn.XLOOKUP(CS4,Линии[_n],Линии[_УЗО, мА]),30))</f>
        <v/>
      </c>
      <c r="CW4">
        <f>IF(CS4="",0,IF(ISNUMBER(SEARCH("4P",IFERROR(_xlfn.XLOOKUP(CS4,Линии[_n],Линии[_УЗО строки])&amp;"",""))),0,1))</f>
        <v>0</v>
      </c>
      <c r="CX4" t="str">
        <f>IF(AND(CS4&lt;&gt;"",CS4=BA4),SUMIFS(Линии[_ток на 230 В],Линии[_блок УЗО],BA4,Линии[Щит],A4),"")</f>
        <v/>
      </c>
      <c r="CY4" t="str">
        <f>IF(AND(CS4&lt;&gt;"",CS4=BA4),SUMIFS(Линии[_ток утечки линии, мА],Линии[_блок УЗО],BA4,Линии[Щит],A4),"")</f>
        <v/>
      </c>
      <c r="CZ4">
        <f t="shared" si="30"/>
        <v>0</v>
      </c>
      <c r="DA4">
        <f t="shared" si="31"/>
        <v>0</v>
      </c>
      <c r="DB4">
        <f>IF(B4="",0,IFERROR(--_xlfn.XLOOKUP(B4,Коды_код,Коды_минавт),IFERROR(--_xlfn.XLOOKUP(BC4,Коды_код,Коды_минавт),IFERROR(--_xlfn.XLOOKUP(LEFT(BC4,2),Коды_код,Коды_минавт),0))))</f>
        <v>0</v>
      </c>
      <c r="DC4" t="str">
        <f>IF(B4="","",IFERROR(_xlfn.XLOOKUP(BC4,Коды_код,Коды_апп)&amp;"",""))</f>
        <v/>
      </c>
      <c r="DD4" t="str">
        <f t="shared" si="32"/>
        <v/>
      </c>
      <c r="DE4" t="str" cm="1">
        <f t="array" ref="DE4">IF(TRIM(DD4&amp;"")="","",IFERROR(TRIM(INDEX(_xlfn.TEXTSPLIT(DD4&amp;";;;",";"),1)),""))</f>
        <v/>
      </c>
      <c r="DF4" t="str" cm="1">
        <f t="array" ref="DF4">IF(TRIM(DD4&amp;"")="","",IFERROR(TRIM(INDEX(_xlfn.TEXTSPLIT(DD4&amp;";;;",";"),2)),""))</f>
        <v/>
      </c>
      <c r="DG4" t="str" cm="1">
        <f t="array" ref="DG4">IF(TRIM(DD4&amp;"")="","",IFERROR(TRIM(INDEX(_xlfn.TEXTSPLIT(DD4&amp;";;;",";"),3)),""))</f>
        <v/>
      </c>
      <c r="DH4">
        <f t="shared" si="33"/>
        <v>0</v>
      </c>
      <c r="DI4" t="str">
        <f>IF(B4="","",_xlfn.LET(_xlpm.t,LOWER(AZ4&amp;""),IF(ISNUMBER(SEARCH("dim",_xlpm.t)),"DIM",IF(ISNUMBER(SEARCH("dali",_xlpm.t)),"DALI",IF(OR(ISNUMBER(SEARCH("relay",_xlpm.t)),ISNUMBER(SEARCH("реле",_xlpm.t))),"Relay",IF(ISNUMBER(SEARCH("кнопк",_xlpm.t)),"",IFERROR(_xlfn.XLOOKUP(BC4,Коды_код,Коды_упр)&amp;"","")))))))</f>
        <v/>
      </c>
      <c r="DJ4" t="str">
        <f t="shared" si="34"/>
        <v/>
      </c>
      <c r="DK4">
        <f>IF(B4="","",_xlfn.LET(_xlpm.ig,IF(N(CX4)&gt;0,N(CX4),N(CI4)+IF(AJ4="вручную",0,N(CJ4))),_xlpm.n0,IFERROR(VLOOKUP(_xlpm.ig,Автомат_номиналы,2,TRUE),0),_xlpm.mn,MAX(DB4,IF(AJ4="вручную",0,N(CM4))),MAX(_xlpm.n0,_xlpm.mn,IF(DH4=1,Мин_автомат_БП,0))))</f>
        <v>80</v>
      </c>
      <c r="DL4">
        <f t="shared" si="35"/>
        <v>3</v>
      </c>
      <c r="DM4" t="str">
        <f t="shared" si="36"/>
        <v>3P</v>
      </c>
      <c r="DN4" t="str">
        <f>_xlfn.LET(_xlpm.cc,UPPER(TRIM(IFERROR(_xlfn.XLOOKUP(BC4,Коды_код,Коды_хар)&amp;"",""))),IF(OR(_xlpm.cc="B",_xlpm.cc="В"),"B",IF(_xlpm.cc="D","D","С")))</f>
        <v>С</v>
      </c>
      <c r="DO4" t="str">
        <f t="shared" si="37"/>
        <v>3P С80А</v>
      </c>
      <c r="DP4" t="str">
        <f t="shared" si="38"/>
        <v>3P С80А</v>
      </c>
      <c r="DQ4" t="str">
        <f t="shared" si="39"/>
        <v>3P С80А</v>
      </c>
      <c r="DR4" cm="1">
        <f t="array" ref="DR4">IF(DQ4="","",_xlfn.LET(_xlpm.t,SUBSTITUTE(SUBSTITUTE(SUBSTITUTE(UPPER(DQ4),"С","C"),"А","A"),"В","B"),_xlpm.tk,_xlfn.TEXTSPLIT(_xlpm.t," "),_xlpm.f,_xlfn._xlws.FILTER(_xlpm.tk,ISNUMBER(--MID(_xlpm.tk,2,1))*ISNUMBER(SEARCH(LEFT(_xlpm.tk,1)&amp;"#","B#C#D#"))*(LEN(_xlpm.tk)&gt;1),""),_xlpm.x,INDEX(_xlpm.f,1),IFERROR(--SUBSTITUTE(MID(_xlpm.x,2,9),"A",""),IFERROR(--SUBSTITUTE(INDEX(_xlfn._xlws.FILTER(_xlpm.tk,ISNUMBER(--SUBSTITUTE(_xlpm.tk,"A","")),""),1),"A",""),""))))</f>
        <v>80</v>
      </c>
      <c r="DS4" t="str">
        <f t="shared" si="40"/>
        <v>узел</v>
      </c>
      <c r="DT4">
        <f t="shared" si="41"/>
        <v>80</v>
      </c>
      <c r="DU4" t="str">
        <f t="shared" si="42"/>
        <v>3P С80А</v>
      </c>
      <c r="DV4">
        <f t="shared" si="43"/>
        <v>0</v>
      </c>
      <c r="DW4">
        <f t="shared" si="44"/>
        <v>0</v>
      </c>
      <c r="DX4">
        <f t="shared" si="45"/>
        <v>0</v>
      </c>
      <c r="DY4">
        <f t="shared" si="46"/>
        <v>56.895065355139202</v>
      </c>
      <c r="DZ4">
        <f t="shared" si="47"/>
        <v>0.92</v>
      </c>
      <c r="EA4">
        <f>IF(ISNUMBER(AP4),AP4,К_прокл)</f>
        <v>1</v>
      </c>
      <c r="EB4">
        <f t="shared" si="48"/>
        <v>3</v>
      </c>
      <c r="EC4">
        <f>IFERROR(N(VLOOKUP(BZ4,Кабель_обозначение,3,FALSE)),1)</f>
        <v>1</v>
      </c>
      <c r="ED4">
        <f>IFERROR(N(_xlfn.XLOOKUP(A4,Щиты[Щит],Щиты[ΔU до шин, %])),0)</f>
        <v>0.3660288498727976</v>
      </c>
      <c r="EE4">
        <f>IFERROR(_xlfn.XLOOKUP(A4,Щиты[Щит],Щиты[Zпетли на шинах, Ом]),"")</f>
        <v>0.13597829354840207</v>
      </c>
      <c r="EF4">
        <f>IFERROR(N(_xlfn.XLOOKUP(A4,Щиты[Щит],Щиты[ΔU до шин (подбор), %])),0)</f>
        <v>0.3660288498727976</v>
      </c>
      <c r="EG4">
        <f>IFERROR(_xlfn.XLOOKUP(A4,Щиты[Щит],Щиты[Zпетли на шинах (подбор), Ом]),"")</f>
        <v>0.13597829354840207</v>
      </c>
      <c r="EH4" t="str">
        <f t="shared" si="49"/>
        <v/>
      </c>
      <c r="EI4" t="str">
        <f t="shared" si="50"/>
        <v/>
      </c>
      <c r="EJ4">
        <f t="shared" si="51"/>
        <v>1</v>
      </c>
      <c r="EK4">
        <f t="shared" si="52"/>
        <v>0.45</v>
      </c>
      <c r="EL4" s="6">
        <f>IF(B4="","",IF(BV4=1,dU_LED,IF(IFERROR(_xlfn.XLOOKUP(BC4,Коды_код,Коды_уго),"")="Светильник",3,4)+IF(Методика="нормы 2026",MIN(0.5,MAX(0,N(P4)-100)*0.005),0)))</f>
        <v>4</v>
      </c>
      <c r="EM4" cm="1">
        <f t="array" ref="EM4">IF(OR(B4="",BZ4="",EC4&lt;&gt;1),"",_xlfn.LET(_xlpm.sz,Iдоп_S,_xlpm.t_,CHOOSE(EB4,Iдоп_1ж,Iдоп_2ж,Iдоп_3ж)*DZ4*EA4,_xlpm.dcx,BV4=1,_xlpm.inn,IF(_xlpm.dcx,N(O4),N(DT4)),_xlpm.smin,MAX(1.5,CC4),_xlpm.L_,N(P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N(BU4)*100,999),IFERROR(N(EJ4)*(_xlpm.rho*_xlpm.L_/_xlpm.sz*N(CE4)+_xlpm.xx*_xlpm.L_*N(EK4)/1000)*N(O4)/((Uн_лин/SQRT(3))*1000)*100,999)),_xlpm.kz,IF(OR(_xlpm.dcx,DW4=1,NOT(ISNUMBER(EG4)),_xlpm.L_=0,_xlpm.inn=0),1,IFERROR(--(c_min*(Uн_лин*1000/SQRT(3))/(EG4+2*ρкз_Cu*_xlpm.L_/_xlpm.sz)&gt;=HT4*_xlpm.inn),0)),_xlpm.ok,IFERROR((_xlpm.sz&gt;=_xlpm.smin)*(_xlpm.t_&gt;=_xlpm.inn)*IF(_xlpm.L_&gt;0,(_xlpm.du_+IF(_xlpm.dcx,0,EF4)&lt;=EL4+0.00001),1)*_xlpm.kz,0),_xlpm.r_,_xlfn._xlws.FILTER(_xlpm.sz,_xlpm.ok,"не подобрано"),INDEX(_xlpm.r_,1)))</f>
        <v>25</v>
      </c>
      <c r="EN4">
        <f t="shared" si="53"/>
        <v>95</v>
      </c>
      <c r="EO4" cm="1">
        <f t="array" ref="EO4">IF(OR(B4="",BZ4="",EC4&lt;&gt;1),"",_xlfn.LET(_xlpm.sz,Iдоп_S,_xlpm.t_,CHOOSE(EB4,Iдоп_1ж,Iдоп_2ж,Iдоп_3ж)*DZ4*EA4,_xlpm.ok,IFERROR((_xlpm.sz&gt;=MAX(1.5,CC4))*(_xlpm.t_&gt;=N(DT4)),0),_xlpm.r_,_xlfn._xlws.FILTER(_xlpm.sz,_xlpm.ok,""),INDEX(_xlpm.r_,1)))</f>
        <v>25</v>
      </c>
      <c r="EP4" s="6" cm="1">
        <f t="array" ref="EP4">IFERROR(ROUNDUP(N(EJ4)*(_xlfn.XLOOKUP(EO4,INDEX(Кабель_сопротивление,0,1),INDEX(Кабель_сопротивление,0,3))*N(P4)/EO4*N(CE4)+_xlfn.XLOOKUP(EO4,INDEX(Кабель_сопротивление,0,1),INDEX(Кабель_сопротивление,0,2))*N(P4)*N(EK4)/1000)*N(O4)/((Uн_лин/SQRT(3))*1000)*100,2),"")</f>
        <v>0</v>
      </c>
      <c r="EQ4">
        <f>IFERROR(2*ρкз_Cu*N(P4)/EO4,"")</f>
        <v>0</v>
      </c>
      <c r="ER4">
        <f>IFERROR(VLOOKUP(EN4,Кабель_сопротивление,3,FALSE),"")</f>
        <v>2.2499999999999999E-2</v>
      </c>
      <c r="ES4">
        <f>IFERROR(VLOOKUP(EN4,Кабель_сопротивление,2,FALSE),"")</f>
        <v>6.0199999999999997E-2</v>
      </c>
      <c r="ET4" t="str">
        <f t="shared" si="54"/>
        <v/>
      </c>
      <c r="EU4" t="str">
        <f t="shared" si="55"/>
        <v/>
      </c>
      <c r="EV4" t="str">
        <f t="shared" si="56"/>
        <v/>
      </c>
      <c r="EW4" s="6" t="str">
        <f>IFERROR(ROUNDUP(EV4/IF(BV4=1,BU4,(Uн_лин/SQRT(3))*1000)*100,2),"")</f>
        <v/>
      </c>
      <c r="EX4" t="str">
        <f>IFERROR(VLOOKUP(BZ4,Кабель_обозначение,2,FALSE),"")</f>
        <v>ВВГнг(А)-LS</v>
      </c>
      <c r="EY4" t="str">
        <f t="shared" si="57"/>
        <v>ВВГнг(А)-LS (5х95)</v>
      </c>
      <c r="EZ4" t="str">
        <f t="shared" si="58"/>
        <v>ВВГнг(А)-LS (5х95)</v>
      </c>
      <c r="FA4" t="str">
        <f>IFERROR(2*ρкз_Cu*P4/EN4,"")</f>
        <v/>
      </c>
      <c r="FB4">
        <f t="shared" si="59"/>
        <v>0</v>
      </c>
      <c r="FC4" s="6" t="str">
        <f>IFERROR(IF(OR(B4="",BV4=1,NOT(ISNUMBER(EN4)),N(P4)=0),"",_xlfn.XLOOKUP(A4,Щиты[Щит],Щиты[Zпетли на шинах, Ом])+FA4),"")</f>
        <v/>
      </c>
      <c r="FD4" s="6" t="str">
        <f>IF(ISNUMBER(FC4),c_min*(Uн_лин*1000/SQRT(3))/FC4,"")</f>
        <v/>
      </c>
      <c r="FE4" s="6">
        <f>IFERROR(IF(OR(B4="",NOT(ISNUMBER(EN4))),"",1.05*(Uн_лин*1000/SQRT(3))/(_xlfn.XLOOKUP(A4,Щиты[Щит],Щиты[Zmax на шинах, Ом])+FB4)/1000),"")</f>
        <v>5.8623422012719573</v>
      </c>
      <c r="FF4" s="6" t="str">
        <f>IF(B4="","",IF(ISNUMBER(AC4),"Сил",IF(IFERROR(_xlfn.XLOOKUP(BC4,Коды_код,Коды_группа)&amp;"","")="","Быт",_xlfn.XLOOKUP(BC4,Коды_код,Коды_группа)&amp;"")))</f>
        <v>Нет</v>
      </c>
      <c r="FG4" s="6" t="str">
        <f t="shared" si="60"/>
        <v>Нет</v>
      </c>
      <c r="FH4" s="6">
        <f>IF(FG4="Щит","щит",IF(FG4="","",IF(FG4="Быт",IFERROR(_xlfn.XLOOKUP(A4,Щиты[Щит],Щиты[Кс быт]),1),IF(FG4="Сил",IF(ISNUMBER(AC4),AC4,IF(Методика="нормы 2026",IFERROR(_xlfn.XLOOKUP(A4,Щиты[Щит],Щиты[Кс силовых (табл. 7.5)]),1),1)),IF(OR(FG4="Пост",FG4="Отоп"),1,IF(FG4="ВНГ",0.7,0))))))</f>
        <v>0</v>
      </c>
      <c r="FI4">
        <f>IF(FG4="","",IF(AND(BP4=1,TRIM(AE4&amp;"")=""),IF(COUNTIFS(Линии[Щит],A4,Линии[Секция (1/2/3)],"&gt;=2")&gt;0,MIN(3,MAX(1,IFERROR(--BD4,1))),1),IFERROR(MIN(3,MAX(1,INT(--AE4))),1)))</f>
        <v>2</v>
      </c>
      <c r="FJ4">
        <f t="shared" si="61"/>
        <v>0</v>
      </c>
      <c r="FK4">
        <f t="shared" si="62"/>
        <v>0</v>
      </c>
      <c r="FL4">
        <f t="shared" si="63"/>
        <v>0</v>
      </c>
      <c r="FM4">
        <f t="shared" si="64"/>
        <v>0</v>
      </c>
      <c r="FN4">
        <f t="shared" si="65"/>
        <v>0</v>
      </c>
      <c r="FO4">
        <f t="shared" si="66"/>
        <v>0</v>
      </c>
      <c r="FP4">
        <f t="shared" si="67"/>
        <v>0</v>
      </c>
      <c r="FQ4">
        <f t="shared" si="68"/>
        <v>0</v>
      </c>
      <c r="FR4">
        <f t="shared" si="69"/>
        <v>0</v>
      </c>
      <c r="FS4">
        <f>IF(CG4=1,IF(AND(CH4=1,CW4=1),0,IF(AND(CS4&lt;&gt;"",CS4=BA4,CW4=1),SUMIFS(Линии[_Р линии, кВт],Линии[_блок УЗО],BA4,Линии[Щит],A4),N(BS4)+IF(AJ4="вручную",0,N(CK4)))),0)</f>
        <v>43.93</v>
      </c>
      <c r="FT4" t="str">
        <f t="shared" si="70"/>
        <v/>
      </c>
      <c r="FU4" t="str">
        <f>IF(B4="","",IF(CG4=0,IF(BA4=1,"",FW3),IF(AND(CH4=1,CW4=1,CS4&lt;&gt;""),IFERROR(_xlfn.XLOOKUP(CS4,Линии[_n],Линии[_фаза итог]),"L1"),IF(OR(N(DL4)&gt;=3,N(BX4)&gt;=3),"L1,L2,L3",IFERROR(_xlfn.TEXTBEFORE(_xlfn.TEXTAFTER(_xlfn.XLOOKUP(A4,Щиты[Щит],Щиты[_фазы авто]),";"&amp;BA4&amp;":"),";"),"L1")))))</f>
        <v>L1,L2,L3</v>
      </c>
      <c r="FV4" t="str">
        <f t="shared" si="71"/>
        <v>L1,L2,L3</v>
      </c>
      <c r="FW4" t="str">
        <f t="shared" si="72"/>
        <v>L1,L2,L3</v>
      </c>
      <c r="FX4" cm="1">
        <f t="array" ref="FX4">IFERROR(IF(CD4=2,_xlfn.IFS(BX4=3,VLOOKUP(BS4,Справочная_двигатели,3,FALSE),BX4=1,VLOOKUP(BS4,Справочная_двигатели,5,TRUE)),0),0)</f>
        <v>0</v>
      </c>
      <c r="FY4">
        <f>IFERROR(IF(CD4=3,VLOOKUP(BS4,Справочная_ЛЭД,2,TRUE),0),0)</f>
        <v>0</v>
      </c>
      <c r="FZ4" s="6">
        <f t="shared" si="73"/>
        <v>0</v>
      </c>
      <c r="GA4" t="str">
        <f>IF(B4="","",IF(TRIM(AH4&amp;"")&lt;&gt;"",IF(LOWER(TRIM(AH4&amp;""))="да","да","нет"),IF(IFERROR(_xlfn.XLOOKUP(BC4,Коды_код,Коды_пожарная),"")="да","да","нет")))</f>
        <v>нет</v>
      </c>
      <c r="GB4" t="str">
        <f t="shared" si="74"/>
        <v/>
      </c>
      <c r="GC4" t="str">
        <f t="shared" si="75"/>
        <v>основная</v>
      </c>
      <c r="GD4">
        <f>IF(AND(BP4=1,TRIM(AE4&amp;"")=""),IF(COUNTIFS(Линии[Щит],A4,Линии[Секция (1/2/3)],"&gt;=2")&gt;0,MIN(3,MAX(1,IFERROR(--BD4,1))),1),IFERROR(MIN(3,MAX(1,INT(--AE4))),1))</f>
        <v>2</v>
      </c>
      <c r="GE4" t="str" cm="1">
        <f t="array" ref="GE4">IF(B4="","",_xlfn.LET(_xlpm.t,IFERROR(_xlfn.XLOOKUP(1,(Шины[Шина]=GC4)*(((Шины[Щит]=A4)+(Шины[Щит]=""))&gt;0),Шины[Тип]),"")&amp;"",IF(_xlpm.t&lt;&gt;"",_xlpm.t,IF(ISNUMBER(SEARCH("ИБП",GC4)),"ИБП",IF(ISNUMBER(SEARCH("ДГУ",GC4)),"ДГУ","Ввод "&amp;GD4)))))</f>
        <v>Ввод 2</v>
      </c>
      <c r="GF4" t="str">
        <f t="shared" si="76"/>
        <v>Ввод 2</v>
      </c>
      <c r="GG4" t="str">
        <f>IF(BP4=0,"",IF(TRIM(AG4&amp;"")&lt;&gt;"",TRIM(AG4&amp;""),IF(OR(GE4="ИБП",GE4="ДГУ"),"I особая",_xlfn.XLOOKUP(A4,Щиты[Щит],Щиты[Категория шины «Ввод»],"III"))))</f>
        <v>I</v>
      </c>
      <c r="GH4" t="str">
        <f>IF(A4="","",_xlfn.XLOOKUP(A4,Щиты[Щит],Щиты[Путь],""))</f>
        <v>|ВРУ|</v>
      </c>
      <c r="GI4" t="str">
        <f>IF(B4="","",IF(AI4&lt;&gt;"",AI4,IF(IFERROR(_xlfn.XLOOKUP(BC4,Коды_код,Коды_вид)&amp;"","")="","Прочее",_xlfn.XLOOKUP(BC4,Коды_код,Коды_вид)&amp;"")))</f>
        <v>Прочее</v>
      </c>
      <c r="GJ4">
        <f>IF(BM4="","",INT((BM4-1)/Столбцов_на_лист)+1)</f>
        <v>1</v>
      </c>
      <c r="GK4" t="str">
        <f t="shared" si="77"/>
        <v>ВВГнг(А)-LS (5х95)</v>
      </c>
      <c r="GL4">
        <f t="shared" si="78"/>
        <v>43.93</v>
      </c>
      <c r="GM4">
        <f t="shared" si="79"/>
        <v>56.9</v>
      </c>
      <c r="GN4">
        <f t="shared" si="80"/>
        <v>3</v>
      </c>
      <c r="GO4">
        <f t="shared" si="81"/>
        <v>0</v>
      </c>
      <c r="GP4">
        <f t="shared" si="82"/>
        <v>0</v>
      </c>
      <c r="GQ4" t="str">
        <f>IF(BM4="","",IF(AND(CG4=1,GP4=1),COUNTIFS(A$3:A4,A4,CG$3:CG4,1,GP$3:GP4,1),IF(OR(OR(BA4=1,A4&lt;&gt;A3),AJ4="вручную",GP4=0),"",IF(BA4=1,"",GR3))))</f>
        <v/>
      </c>
      <c r="GR4" t="str">
        <f t="shared" si="83"/>
        <v/>
      </c>
      <c r="GS4">
        <f>IF(B4="","",IFERROR(LOOKUP(INDEX(CHOOSE(EB4,Iдоп_1ж,Iдоп_2ж,Iдоп_3ж),MATCH(EN4,Iдоп_S,0))*DZ4*EA4,{6,10,16,20,25,32,40,50,63,80,100,125,160,200,250,315,400,500,630}),""))</f>
        <v>200</v>
      </c>
      <c r="GT4" t="str">
        <f t="shared" si="84"/>
        <v/>
      </c>
      <c r="GU4" t="str">
        <f t="shared" si="85"/>
        <v/>
      </c>
      <c r="GV4" t="str">
        <f t="shared" si="86"/>
        <v/>
      </c>
      <c r="GW4">
        <f t="shared" si="87"/>
        <v>0</v>
      </c>
      <c r="GX4" t="str">
        <f>IF(OR(B4="",DJ4=""),"",IFERROR(_xlfn.XLOOKUP(DJ4,Модули_умолч[Управление],Модули_умолч[Модель])&amp;"",""))</f>
        <v/>
      </c>
      <c r="GY4">
        <f>IF(DJ4="",1,IFERROR(MAX(0,N(_xlfn.XLOOKUP(DJ4,Модули_умолч[Управление],Модули_умолч[Каналов на линию]))),1))</f>
        <v>1</v>
      </c>
      <c r="GZ4" t="str">
        <f t="shared" si="88"/>
        <v/>
      </c>
      <c r="HA4" t="str">
        <f t="shared" si="89"/>
        <v/>
      </c>
      <c r="HB4" t="str">
        <f t="shared" si="90"/>
        <v/>
      </c>
      <c r="HC4">
        <f>IF(HB4="",0,IFERROR(N(VLOOKUP(HB4,Модули_спр,3,FALSE)),0))</f>
        <v>0</v>
      </c>
      <c r="HD4" t="str">
        <f t="shared" si="91"/>
        <v/>
      </c>
      <c r="HE4" t="str">
        <f t="shared" si="92"/>
        <v/>
      </c>
      <c r="HF4" t="str">
        <f>IF(OR(HE4="",HE4="-"),"",IFERROR(VLOOKUP(HE4,Модули_спр,2,FALSE),"R"))</f>
        <v/>
      </c>
      <c r="HG4" t="str">
        <f>IF(HF4="","",HF4&amp;"."&amp;COUNTIFS(A$3:A4,A4,HF$3:HF4,HF4))</f>
        <v/>
      </c>
      <c r="HH4" t="str">
        <f t="shared" si="93"/>
        <v/>
      </c>
      <c r="HI4" t="str">
        <f t="shared" si="94"/>
        <v/>
      </c>
      <c r="HJ4" t="str">
        <f t="shared" si="95"/>
        <v/>
      </c>
      <c r="HK4" t="str">
        <f t="shared" si="96"/>
        <v/>
      </c>
      <c r="HL4">
        <f t="shared" si="97"/>
        <v>0</v>
      </c>
      <c r="HM4" t="str">
        <f>IF(HL4=1,"XT"&amp;COUNTIFS(A$3:A4,A4,HL$3:HL4,1),"")</f>
        <v/>
      </c>
      <c r="HN4" t="str">
        <f t="shared" si="98"/>
        <v/>
      </c>
      <c r="HO4" t="str">
        <f t="shared" si="99"/>
        <v/>
      </c>
      <c r="HP4" t="str">
        <f t="shared" si="100"/>
        <v/>
      </c>
      <c r="HQ4" t="str">
        <f t="shared" si="101"/>
        <v>ok</v>
      </c>
      <c r="HR4" t="str">
        <f>IF(OR(HJ4="",HH4=""),"",IF(HJ4+MAX(0,GY4-1)&gt;IFERROR(VLOOKUP(HI4,Модули_спр,3,FALSE),99),"ЛИШНИЙ КАНАЛ",IF(AND(AL4&lt;&gt;"=",GY4&gt;0,COUNTIFS(Линии[_модуль гр.],HH4,Линии[Канал (итог)],HJ4,Линии[Канал],"&lt;&gt;=",Линии[Щит],A4)&gt;1),"ДУБЛЬ КАНАЛА","")))</f>
        <v/>
      </c>
      <c r="HS4" s="6" t="str">
        <f t="shared" si="102"/>
        <v/>
      </c>
      <c r="HT4">
        <f t="shared" si="103"/>
        <v>10</v>
      </c>
      <c r="HU4" t="str">
        <f t="shared" si="104"/>
        <v/>
      </c>
      <c r="HV4">
        <f t="shared" si="105"/>
        <v>0</v>
      </c>
      <c r="HW4">
        <f t="shared" si="106"/>
        <v>0</v>
      </c>
      <c r="HX4">
        <f t="shared" si="107"/>
        <v>0</v>
      </c>
      <c r="HY4">
        <f t="shared" si="108"/>
        <v>0</v>
      </c>
      <c r="HZ4">
        <f t="shared" si="109"/>
        <v>0</v>
      </c>
      <c r="IA4">
        <f t="shared" si="110"/>
        <v>0</v>
      </c>
      <c r="IB4">
        <f t="shared" si="111"/>
        <v>0</v>
      </c>
      <c r="IC4" t="str">
        <f t="shared" si="112"/>
        <v/>
      </c>
      <c r="ID4" t="str" cm="1">
        <f t="array" ref="ID4">IF(IC4="","",_xlfn.LET(_xlpm.tk,_xlfn.TEXTSPLIT(SUBSTITUTE(SUBSTITUTE(IC4,";"," "),"→"," ")," ",,TRUE),_xlpm.w_,_xlfn._xlws.FILTER(_xlpm.tk,ISNUMBER(--LEFT(_xlpm.tk,1))*((ISNUMBER(SEARCH("W",_xlpm.tk))+ISNUMBER(SEARCH("Вт",_xlpm.tk)))&gt;0),""),IFERROR(--SUBSTITUTE(SUBSTITUTE(UPPER(INDEX(_xlpm.w_,1)),"W",""),"ВТ",""),"")))</f>
        <v/>
      </c>
      <c r="IE4" t="str" cm="1">
        <f t="array" ref="IE4">IF(IC4="","",_xlfn.LET(_xlpm.tk,_xlfn.TEXTSPLIT(SUBSTITUTE(SUBSTITUTE(IC4,";"," "),"→"," ")," ",,TRUE),_xlpm.v_,_xlfn._xlws.FILTER(_xlpm.tk,ISNUMBER(--LEFT(_xlpm.tk,1))*((ISNUMBER(SEARCH("V",_xlpm.tk))+(RIGHT(UPPER(_xlpm.tk))="В"))&gt;0),""),IFERROR(--SUBSTITUTE(SUBSTITUTE(UPPER(INDEX(_xlpm.v_,1)),"V",""),"В",""),"")))</f>
        <v/>
      </c>
      <c r="IF4" s="6" t="str">
        <f>IF(OR(BV4=0,HI4="",HJ4=""),"",IFERROR(N(_xlfn.XLOOKUP(HI4,Каталог!$C$4:$C$500,Каталог!$Q$4:$Q$500)),""))</f>
        <v/>
      </c>
      <c r="IG4" s="6" t="str">
        <f>IF(N(IF4)=0,"",SUMIFS(Линии[Iр, А],Линии[Щит],A4,Линии[_модуль гр.],HH4,Линии[Канал (итог)],HJ4))</f>
        <v/>
      </c>
      <c r="IH4" t="str">
        <f>IF(AND(B4="",HO4=""),"",_xlfn.TEXTJOIN("; ",TRUE,IF(AND(B4&lt;&gt;"",FV4=""),"нет фазы",""),IF(AND(B4&lt;&gt;"",N(GL4)=0,FG4&lt;&gt;"Нет"),"нет мощности",""),IF(AND(HN4&lt;&gt;"",COUNTIFS(Линии[Щит],A4,Линии[Клемма (итог)],HN4)&gt;1),"дубль клеммы "&amp;HN4,""),IF(AND(HQ4&lt;&gt;"",HQ4&lt;&gt;"ok"),HQ4,""),IF(HR4&lt;&gt;"",HR4,""),IF(AND(N(CB4)&gt;=4,N(BX4)=1),CB4&amp;" жил на 1 фазе",""),IF(AND(BC4="R",CG4=1,IF(CS4&lt;&gt;"",N(CV4)&gt;30,OR(N(DA4)=0,N(DA4)&gt;30))),"розетка без дифзащиты до 30 мА",""),IF(AND(CG4=1,N(DA4)&gt;0,ISNUMBER(T4)),IF(T4&gt;N(DA4)/3,"ток утечки "&amp;FIXED(T4,1)&amp;" мА &gt; 1/3 уставки ("&amp;DA4&amp;" мА)",""),""),IF(AND(CH4=1,CS4=""),"«узо»: нет строки с УЗО выше (УЗО 2P 40А 30мА в «Аппаратах»)",""),IF(AND(CS4&lt;&gt;"",CS4=BA4),IF(CT4="","впишите номинал УЗО (УЗО 2P 40А 30мА)",IF(N(CT4)&lt;N(DT4),"УЗО "&amp;CT4&amp;" А &lt; автомата "&amp;DT4&amp;" А перед ним",IF(N(CT4)&lt;N(CX4),"УЗО "&amp;CT4&amp;" А &lt; тока блока "&amp;FIXED(CX4,1)&amp;" А",""))),""),IF(AND(CS4&lt;&gt;"",CS4=BA4,ISNUMBER(CY4)),IF(CY4&gt;N(CV4)/3,"ток утечки блока УЗО "&amp;FIXED(CY4,1)&amp;" мА &gt; 1/3 уставки ("&amp;CV4&amp;" мА)",""),""),IF(AND(CG4=1,N(BV4)+N(IB4)&gt;0,IC4=""),"линии до 50 В без БП: впишите в «Аппараты» (БП 24V 480W)",""),IF(AND(CG4=1,ISNUMBER(ID4),ISNUMBER(U4)),IF(U4&gt;ID4,"БП "&amp;ID4&amp;" Вт &lt; нужно "&amp;U4&amp;" Вт (×"&amp;Запас_БП&amp;")",""),""),IF(AND(CG4=1,ISNUMBER(IE4),N(BV4)=1),IF(IE4&lt;&gt;N(BU4),"БП на "&amp;IE4&amp;" В, линия "&amp;BU4&amp;" В",""),""),IF(AND(N(IF4)&gt;0,N(IG4)&gt;N(IF4)),HH4&amp;" канал "&amp;HJ4&amp;": "&amp;FIXED(IG4,1)&amp;" А &gt; "&amp;IF4&amp;" А",""),IFERROR(IF(AND(ISNUMBER(Q4),Q4&gt;EL4),"потери "&amp;FIXED(Q4,1)&amp;" % &gt; "&amp;EL4&amp;" %",""),""),IFERROR(IF(LEFT(HU4,4)="мало","Iкз мало — отключение &gt; 0,4 с",""),""),IF(AND(B4&lt;&gt;"",BM4=""),"не на схеме",""),IF(AND(CG4=0,B4&lt;&gt;"",FV4&lt;&gt;"",IF(BA4=1,"",FW3)&lt;&gt;"",FV4&lt;&gt;IF(BA4=1,"",FW3)),"фаза не как у автомата группы ("&amp;IF(BA4=1,"",FW3)&amp;")","")))</f>
        <v/>
      </c>
      <c r="II4" s="6">
        <f>IF(OR(CG4=0,DQ4=""),"",_xlfn.LET(_xlpm.t,IFERROR(_xlfn.XLOOKUP(DQ4,Каталог!$U$4:$U$500,Каталог!$G$4:$G$500),""),_xlpm.k,SEARCH("кА",_xlpm.t),IFERROR(--TRIM(RIGHT(SUBSTITUTE(MID(_xlpm.t,MAX(1,_xlpm.k-4),_xlpm.k-MAX(1,_xlpm.k-4))," ",REPT(" ",9)),5)),"")))</f>
        <v>10</v>
      </c>
      <c r="IJ4" t="str">
        <f>IF(OR(II4="",CG4=0),"",IF(_xlfn.XLOOKUP(A4,Щиты[Щит],Щиты[Iкз max на шинах, кА],"")="","",IF(II4&lt;_xlfn.XLOOKUP(A4,Щиты[Щит],Щиты[Iкз max на шинах, кА]),"Icu "&amp;II4&amp;" кА &lt; Iкз max","ok")))</f>
        <v>ok</v>
      </c>
      <c r="IK4" t="str">
        <f t="shared" si="113"/>
        <v/>
      </c>
      <c r="IL4" t="str">
        <f t="shared" si="114"/>
        <v/>
      </c>
      <c r="IM4" t="str">
        <f t="shared" si="115"/>
        <v/>
      </c>
      <c r="IN4" t="str" cm="1">
        <f t="array" ref="IN4">IF(IM4="","",_xlfn.LET(_xlpm.nd,_xlfn.TEXTSPLIT(IM4,"|"),IF(COLUMNS(_xlpm.nd)&gt;1,A4&amp;"¦"&amp;INDEX(_xlpm.nd,1)&amp;"¦"&amp;INDEX(_xlpm.nd,2),"")))</f>
        <v/>
      </c>
      <c r="IO4" t="str">
        <f t="shared" si="116"/>
        <v/>
      </c>
      <c r="IP4" t="str" cm="1">
        <f t="array" ref="IP4">IF(IM4="","",_xlfn.LET(_xlpm.nd,_xlfn.TEXTSPLIT(IM4,"|"),IF(COLUMNS(_xlpm.nd)&gt;2,A4&amp;"¦"&amp;INDEX(_xlpm.nd,2)&amp;"¦"&amp;INDEX(_xlpm.nd,3),"")))</f>
        <v/>
      </c>
      <c r="IQ4" t="str">
        <f t="shared" si="117"/>
        <v/>
      </c>
      <c r="IR4" t="str" cm="1">
        <f t="array" ref="IR4">IF(IM4="","",_xlfn.LET(_xlpm.nd,_xlfn.TEXTSPLIT(IM4,"|"),IF(COLUMNS(_xlpm.nd)&gt;3,A4&amp;"¦"&amp;INDEX(_xlpm.nd,3)&amp;"¦"&amp;INDEX(_xlpm.nd,4),"")))</f>
        <v/>
      </c>
      <c r="IS4" t="str">
        <f t="shared" si="118"/>
        <v/>
      </c>
      <c r="IT4" t="str" cm="1">
        <f t="array" ref="IT4">IF(IM4="","",_xlfn.LET(_xlpm.nd,_xlfn.TEXTSPLIT(IM4,"|"),IF(COLUMNS(_xlpm.nd)&gt;4,A4&amp;"¦"&amp;INDEX(_xlpm.nd,4)&amp;"¦"&amp;INDEX(_xlpm.nd,5),"")))</f>
        <v/>
      </c>
      <c r="IU4" t="str">
        <f t="shared" si="119"/>
        <v/>
      </c>
      <c r="IV4" t="str" cm="1">
        <f t="array" ref="IV4">IF(IM4="","",_xlfn.LET(_xlpm.nd,_xlfn.TEXTSPLIT(IM4,"|"),IF(COLUMNS(_xlpm.nd)&gt;5,A4&amp;"¦"&amp;INDEX(_xlpm.nd,5)&amp;"¦"&amp;INDEX(_xlpm.nd,6),"")))</f>
        <v/>
      </c>
      <c r="IW4" t="str">
        <f t="shared" si="120"/>
        <v/>
      </c>
      <c r="IX4" t="str" cm="1">
        <f t="array" ref="IX4">IF(IM4="","",_xlfn.LET(_xlpm.nd,_xlfn.TEXTSPLIT(IM4,"|"),IF(COLUMNS(_xlpm.nd)&gt;6,A4&amp;"¦"&amp;INDEX(_xlpm.nd,6)&amp;"¦"&amp;INDEX(_xlpm.nd,7),"")))</f>
        <v/>
      </c>
      <c r="IY4" t="str">
        <f t="shared" si="121"/>
        <v/>
      </c>
      <c r="IZ4" t="str">
        <f t="shared" si="122"/>
        <v/>
      </c>
      <c r="JA4" t="str">
        <f t="shared" si="123"/>
        <v/>
      </c>
      <c r="JB4">
        <f t="shared" si="124"/>
        <v>0</v>
      </c>
      <c r="JC4">
        <f t="shared" si="125"/>
        <v>0</v>
      </c>
      <c r="JD4" t="str">
        <f t="shared" si="126"/>
        <v/>
      </c>
      <c r="JE4" t="str">
        <f t="shared" si="127"/>
        <v/>
      </c>
      <c r="JF4" t="str">
        <f t="shared" si="128"/>
        <v/>
      </c>
      <c r="JG4" t="str">
        <f t="shared" si="129"/>
        <v/>
      </c>
      <c r="JH4">
        <f>IF(B4="","",IFERROR(_xlfn.XLOOKUP(B4,Коды_код,Коды_уго),IFERROR(_xlfn.XLOOKUP(BC4,Коды_код,Коды_уго),IFERROR(_xlfn.XLOOKUP(LEFT(BC4,2),Коды_код,Коды_уго),""))))</f>
        <v>0</v>
      </c>
      <c r="JI4" t="str">
        <f>IF(B4="","",IF(OR(JH4="",JH4=0),"BOX",IFERROR(IF(VLOOKUP(JH4,УГО_блоки,3,FALSE)&amp;""&lt;&gt;"",VLOOKUP(JH4,УГО_блоки,3,FALSE),VLOOKUP(JH4,УГО_блоки,2,FALSE)),JH4)))</f>
        <v>BOX</v>
      </c>
      <c r="JJ4">
        <f t="shared" si="130"/>
        <v>1</v>
      </c>
      <c r="JK4" t="str">
        <f>IF(DQ4="","",IF(COUNTIF(DQ$3:DQ4,DQ4)=1,MAX(JK$2:JK3)+1,""))</f>
        <v/>
      </c>
      <c r="JL4" t="str">
        <f>IF(DE4="","",IF(COUNTIF(DE$3:DE4,DE4)+COUNTIF(DF$2:DF3,DE4)+COUNTIF(DG$2:DG3,DE4)=1,MAX(JL$2:JN3)+1,""))</f>
        <v/>
      </c>
      <c r="JM4" t="str">
        <f>IF(DF4="","",IF(COUNTIF(DE$3:DE4,DF4)+COUNTIF(DF$3:DF4,DF4)+COUNTIF(DG$2:DG3,DF4)=1,MAX(JL$2:JN3,JL4)+1,""))</f>
        <v/>
      </c>
      <c r="JN4" t="str">
        <f>IF(DG4="","",IF(COUNTIF(DE$3:DE4,DG4)+COUNTIF(DF$3:DF4,DG4)+COUNTIF(DG$3:DG4,DG4)=1,MAX(JL$2:JN3,JL4,JM4)+1,""))</f>
        <v/>
      </c>
      <c r="JO4" t="str">
        <f t="shared" si="131"/>
        <v/>
      </c>
      <c r="JP4" t="str">
        <f>IF(JO4="","",IF(COUNTIF(JO$3:JO4,JO4)=1,MAX(JP$2:JP3)+1,""))</f>
        <v/>
      </c>
      <c r="JQ4" t="str">
        <f>IF(HG4="","",COUNTIF(HG$3:HG4,"?*"))</f>
        <v/>
      </c>
      <c r="JR4" t="str">
        <f>IF(OR(HG4="",HI4=""),"",IF(COUNTIFS(HG$3:HG4,"?*",HI$3:HI4,HI4)=1,MAX(JR$2:JR3)+1,""))</f>
        <v/>
      </c>
      <c r="JS4">
        <f t="shared" si="132"/>
        <v>0</v>
      </c>
      <c r="JT4">
        <f>IF(B4="","",COUNTIF(B$3:B4,"?*"))</f>
        <v>2</v>
      </c>
      <c r="JU4">
        <f>IF(HL4&lt;&gt;1,0,_xlfn.LET(_xlpm.k,MAX(IFERROR(--_xlfn.XLOOKUP(B4,Коды_код,Коды_3L),0),IFERROR(--_xlfn.XLOOKUP(BC4,Коды_код,Коды_3L),0),IFERROR(--_xlfn.XLOOKUP(LEFT(BC4,2),Коды_код,Коды_3L),0)),IF(_xlpm.k&gt;0,_xlpm.k,IF(IFERROR(--LEFT(SUBSTITUTE(JO4,"x","х"),FIND("х",SUBSTITUTE(JO4,"x","х"))-1),3)&gt;3,Каталог!$S$9,1))))</f>
        <v>0</v>
      </c>
      <c r="JV4">
        <f t="shared" si="133"/>
        <v>0</v>
      </c>
      <c r="JW4" t="str">
        <f t="shared" si="134"/>
        <v>авто</v>
      </c>
      <c r="JX4" t="str">
        <f t="shared" si="135"/>
        <v/>
      </c>
      <c r="JY4">
        <f t="shared" si="136"/>
        <v>0</v>
      </c>
      <c r="JZ4">
        <f t="shared" si="137"/>
        <v>1</v>
      </c>
    </row>
    <row r="5" spans="1:286" x14ac:dyDescent="0.3">
      <c r="A5" t="s">
        <v>151</v>
      </c>
      <c r="B5" t="s">
        <v>1188</v>
      </c>
      <c r="C5" t="s">
        <v>1238</v>
      </c>
      <c r="E5">
        <v>0.1</v>
      </c>
      <c r="G5" t="str">
        <f>Линии[[#This Row],[_авто автомат]]</f>
        <v>1P С6А</v>
      </c>
      <c r="H5" t="str">
        <f>Линии[[#This Row],[_авто управление]]</f>
        <v/>
      </c>
      <c r="I5" t="str">
        <f>Линии[[#This Row],[_авто аппараты]]</f>
        <v/>
      </c>
      <c r="J5">
        <f>Линии[[#This Row],[_авто сечение]]</f>
        <v>1.5</v>
      </c>
      <c r="K5">
        <v>2</v>
      </c>
      <c r="L5" t="str">
        <f>Линии[[#This Row],[_авто фаза]]</f>
        <v>L3</v>
      </c>
      <c r="M5" t="str">
        <f>Линии[[#This Row],[_авто клемма]]</f>
        <v>XT1</v>
      </c>
      <c r="N5" t="str">
        <f t="shared" si="0"/>
        <v/>
      </c>
      <c r="O5" s="6" cm="1">
        <f t="array" ref="O5">IF(B5="","",IF(BH5&lt;&gt;"",IFERROR(_xlfn.XLOOKUP(BH5,Щиты[Щит],Щиты[Iр, А]),""),IF(BP5=1,IF(OR(N(_xlfn.XLOOKUP(A5,Щиты[Щит],Щиты[Вводов],1))&lt;=1,LOWER(TRIM(_xlfn.XLOOKUP(A5,Щиты[Щит],Щиты[АВР],"")&amp;""))="да"),IFERROR(_xlfn.XLOOKUP(A5,Щиты[Щит],Щиты[Iр, А]),""),IFERROR(N(BS5)*_xlfn.XLOOKUP(A5,Щиты[Щит],Щиты[Кс итог])/(SQRT(3)*Uн_лин*_xlfn.XLOOKUP(A5,Щиты[Щит],Щиты[cos φ])),"")),IF(BV5=1,IFERROR(BS5*1000/BU5,""),IFERROR(_xlfn.IFS(BX5=1,BS5/((Uн_лин/SQRT(3))*CE5),BX5=3,BS5/(SQRT(3)*Uн_лин*CE5)),"")))))</f>
        <v>0.455802844097073</v>
      </c>
      <c r="P5" s="7">
        <f>IF(B5="","",IFERROR(IF(VLOOKUP(BC5,Потребители_обозначение,4,FALSE)=1,VLOOKUP(BC5,Потребители_обозначение,3,FALSE)*(MAX(1,N(D5))*2-1)+EI5+VLOOKUP(BE5,Этаж_обозначение,3,FALSE)+VLOOKUP(BE5,Этаж_обозначение,4,FALSE),VLOOKUP(BC5,Потребители_обозначение,3,FALSE)*(MAX(1,N(D5))*2-1)+EI5),EI5))</f>
        <v>3</v>
      </c>
      <c r="Q5" s="6">
        <f t="shared" si="1"/>
        <v>0.38602884987279762</v>
      </c>
      <c r="R5" t="str">
        <f t="shared" si="2"/>
        <v>ВВГнг(А)-LS (3х1,5)</v>
      </c>
      <c r="S5" t="str">
        <f>IF(BM5="","",IF(BN5="вводной узел","узел ","")&amp;"л."&amp;(INT((BM5-1)/Столбцов_на_лист)+1)&amp;" / "&amp;(MOD(BM5-1,Столбцов_на_лист)+1))</f>
        <v>узел л.1 / 4</v>
      </c>
      <c r="T5" s="119">
        <f t="shared" si="3"/>
        <v>0.2</v>
      </c>
      <c r="U5" s="7" t="str">
        <f>IF(OR(CG5=0,N(BV5)+N(IB5)=0),"",ROUNDUP(Запас_БП*(N(HY5)+N(HZ5)),0))</f>
        <v/>
      </c>
      <c r="V5" s="119" t="str">
        <f t="shared" si="4"/>
        <v/>
      </c>
      <c r="W5" s="7">
        <f>IFERROR(IF(OR(B5="",BP5=1,BV5=1,NOT(ISNUMBER(EN5)),N(DT5)=0),"",MAX(0,ROUNDDOWN((c_min*(Uн_лин*1000/SQRT(3))/(HT5*N(DT5))-_xlfn.XLOOKUP(A5,Щиты[Щит],Щиты[Zпетли на шинах, Ом]))*EN5/(2*ρкз_Cu),0))),"")</f>
        <v>100</v>
      </c>
      <c r="Y5" t="str">
        <f>Линии[[#This Row],[_авто утечка]]</f>
        <v/>
      </c>
      <c r="Z5">
        <v>1</v>
      </c>
      <c r="AA5">
        <v>230</v>
      </c>
      <c r="AB5" t="str">
        <f>Линии[[#This Row],[_авто группа Кс]]</f>
        <v>Пост</v>
      </c>
      <c r="AJ5" t="s">
        <v>1189</v>
      </c>
      <c r="AK5" t="str">
        <f>Линии[[#This Row],[_авто модуль]]</f>
        <v/>
      </c>
      <c r="AM5">
        <v>4</v>
      </c>
      <c r="AN5" t="s">
        <v>11</v>
      </c>
      <c r="AO5">
        <v>3</v>
      </c>
      <c r="BA5" cm="1">
        <f t="array" ref="BA5">ROW()-ROW(Линии[#Headers])</f>
        <v>3</v>
      </c>
      <c r="BC5" s="6" t="str">
        <f t="shared" si="5"/>
        <v>АСУ</v>
      </c>
      <c r="BD5" t="str">
        <f t="shared" si="6"/>
        <v>0.001.1</v>
      </c>
      <c r="BE5" t="str">
        <f t="shared" si="7"/>
        <v>0</v>
      </c>
      <c r="BF5" t="str">
        <f t="shared" si="8"/>
        <v>001.1</v>
      </c>
      <c r="BG5" t="str">
        <f t="shared" si="9"/>
        <v>001</v>
      </c>
      <c r="BH5" t="str">
        <f>IF(X5&lt;&gt;"",X5,IF(AND(B5&lt;&gt;"",B5&lt;&gt;A5,ISNUMBER(_xlfn.XMATCH(B5,Щиты[Щит]))),B5,""))</f>
        <v/>
      </c>
      <c r="BI5" t="str" cm="1">
        <f t="array" ref="BI5">IF(B5="","",IF(BH5&lt;&gt;"","Щит "&amp;BH5,_xlfn.LET(_xlpm.nm,IFERROR(_xlfn.XLOOKUP(BC5,Коды_код,Коды_имя)&amp;"",""),_xlpm.md,IFERROR(N(_xlfn.XLOOKUP(BC5,Коды_код,Коды_режим)),1),_xlpm.ex,IF(Имя_режим="по экспликации",IFERROR(_xlfn.XLOOKUP(BE5&amp;"|"&amp;BG5,Экспликация[Этаж]&amp;"|"&amp;Экспликация[Помещение],Экспликация[Название])&amp;"",""),""),_xlpm.rm,IF(BG5="","",IF(_xlpm.ex&lt;&gt;"",". "&amp;_xlpm.ex&amp;IF(Имя_пом="нет"," ("&amp;BG5&amp;")"," (пом. "&amp;BG5&amp;")"),IF(Имя_пом="нет"," ",", пом. ")&amp;BG5)),IF(_xlpm.nm="","",IF(_xlpm.md=2,_xlpm.nm&amp;" шлейф "&amp;BE5,_xlpm.nm&amp;_xlpm.rm)))))</f>
        <v>Питание системы автоматизации, пом. 001</v>
      </c>
      <c r="BJ5" t="str">
        <f t="shared" si="10"/>
        <v>Питание автоматики АВР</v>
      </c>
      <c r="BK5">
        <f>IFERROR(_xlfn.XMATCH(A5,Щиты[Щит]),0)</f>
        <v>1</v>
      </c>
      <c r="BL5">
        <f>_xlfn.LET(_xlpm.k,IFERROR(_xlfn.XLOOKUP(A5,Щиты[Щит],Щиты[Мест под вводной узел]),""),IF(_xlpm.k="",Столбцов_на_лист,N(_xlpm.k)))</f>
        <v>4</v>
      </c>
      <c r="BM5">
        <f t="shared" si="11"/>
        <v>4</v>
      </c>
      <c r="BN5" t="str">
        <f t="shared" si="12"/>
        <v>вводной узел</v>
      </c>
      <c r="BO5" s="6">
        <f>IFERROR(N(_xlfn.XLOOKUP(BC5,Коды_код,Коды_квт)),0)</f>
        <v>0</v>
      </c>
      <c r="BP5">
        <f t="shared" si="13"/>
        <v>0</v>
      </c>
      <c r="BQ5" t="str">
        <f>IF(B5="","",IF(BH5&lt;&gt;"",IFERROR(_xlfn.XLOOKUP(BH5,Щиты[Щит],Щиты[Руст, кВт]),0),IF(BP5=1,IF(OR(N(_xlfn.XLOOKUP(A5,Щиты[Щит],Щиты[Вводов],1))&lt;=1,LOWER(TRIM(_xlfn.XLOOKUP(A5,Щиты[Щит],Щиты[АВР],"")&amp;""))="да"),IFERROR(_xlfn.XLOOKUP(A5,Щиты[Щит],Щиты[Руст, кВт]),0),SUMIFS(Линии[_Р для вводов],Линии[Щит],A5,Линии[Источник для режимов],GF5)),IF(BO5&gt;0,ROUND(BO5*MAX(1,N(D5)),3),""))))</f>
        <v/>
      </c>
      <c r="BR5">
        <f t="shared" si="14"/>
        <v>0.1</v>
      </c>
      <c r="BS5" s="6">
        <f>IF(B5="","",IF(BH5&lt;&gt;"",IFERROR(_xlfn.XLOOKUP(BH5,Щиты[Щит],Щиты[Руст, кВт]),0),N(BR5)))</f>
        <v>0.1</v>
      </c>
      <c r="BT5" t="str">
        <f>IF(B5="","",IFERROR(IF(VLOOKUP(BC5,Потребители_обозначение,8,FALSE)=0,"",VLOOKUP(BC5,Потребители_обозначение,8,FALSE)),""))</f>
        <v/>
      </c>
      <c r="BU5">
        <f t="shared" si="15"/>
        <v>230</v>
      </c>
      <c r="BV5">
        <f t="shared" si="16"/>
        <v>0</v>
      </c>
      <c r="BW5">
        <f>IF(B5="","",IF(BH5&lt;&gt;"",3,IFERROR(IF(N(VLOOKUP(BC5,Потребители_обозначение,9,FALSE))=0,1,VLOOKUP(BC5,Потребители_обозначение,9,FALSE)),1)))</f>
        <v>1</v>
      </c>
      <c r="BX5">
        <f t="shared" si="17"/>
        <v>1</v>
      </c>
      <c r="BY5" t="str">
        <f>IF(B5="","",_xlfn.LET(_xlpm.bc,IFERROR(IF(VLOOKUP(BC5,Потребители_обозначение,6,FALSE)=0,"",VLOOKUP(BC5,Потребители_обозначение,6,FALSE)&amp;""),""),IF(AND(GA5="да",OR(_xlpm.bc="",_xlpm.bc="мс")),Марка_пож,IF(AND(_xlpm.bc="",BH5&lt;&gt;""),"мс",_xlpm.bc))))</f>
        <v>мс</v>
      </c>
      <c r="BZ5" t="str">
        <f t="shared" si="18"/>
        <v>мс</v>
      </c>
      <c r="CA5">
        <f>IF(B5="","",_xlfn.LET(_xlpm.cc,IFERROR(N(VLOOKUP(BC5,Потребители_обозначение,7,FALSE)),0),IF(_xlpm.cc&gt;0,_xlpm.cc,IF(BZ5="","",IF(BV5=1,2,IF(N(BX5)=3,5,3))))))</f>
        <v>3</v>
      </c>
      <c r="CB5">
        <f t="shared" si="19"/>
        <v>3</v>
      </c>
      <c r="CC5">
        <f>IFERROR(N(VLOOKUP(BC5,Потребители_обозначение,10,FALSE)),0)</f>
        <v>0</v>
      </c>
      <c r="CD5">
        <f>IFERROR(VLOOKUP(BC5,Потребители_обозначение,5,FALSE),0)</f>
        <v>1</v>
      </c>
      <c r="CE5" s="6" cm="1">
        <f t="array" ref="CE5">IF(B5="","",IF(BH5&lt;&gt;"",IFERROR(_xlfn.XLOOKUP(BH5,Щиты[Щит],Щиты[cos φ]),0.95),IF(BP5=1,IFERROR(_xlfn.XLOOKUP(A5,Щиты[Щит],Щиты[cos φ]),0.95),IF(ISNUMBER(AD5),AD5,IFERROR(IF(CD5=2,_xlfn.IFS(BX5=3,VLOOKUP(BS5,Справочная_двигатели,8,FALSE),BX5=1,VLOOKUP(BS5,Справочная_двигатели,10,TRUE)),IF(AND(Методика="нормы 2026",FG5="Сил"),0.8,0.95)),0.95)))))</f>
        <v>0.95</v>
      </c>
      <c r="CF5">
        <f t="shared" si="20"/>
        <v>0</v>
      </c>
      <c r="CG5">
        <f t="shared" si="21"/>
        <v>1</v>
      </c>
      <c r="CH5">
        <f t="shared" si="22"/>
        <v>0</v>
      </c>
      <c r="CI5">
        <f>IF(B5="","",IF(BV5=1,IFERROR(BS5/((Uн_лин/SQRT(3))*MAX(0.5,N(CE5))),0),N(O5)))</f>
        <v>0.455802844097073</v>
      </c>
      <c r="CJ5">
        <f t="shared" si="23"/>
        <v>0</v>
      </c>
      <c r="CK5">
        <f t="shared" si="24"/>
        <v>0</v>
      </c>
      <c r="CL5">
        <f t="shared" si="25"/>
        <v>0</v>
      </c>
      <c r="CM5">
        <f t="shared" si="26"/>
        <v>0</v>
      </c>
      <c r="CN5">
        <f t="shared" si="27"/>
        <v>0</v>
      </c>
      <c r="CO5">
        <f>IF(BC5="",0,_xlfn.LET(_xlpm.v,IFERROR(_xlfn.XLOOKUP(B5,Коды_код,Коды_мА),IFERROR(_xlfn.XLOOKUP(BC5,Коды_код,Коды_мА),IFERROR(_xlfn.XLOOKUP(LEFT(BC5,2),Коды_код,Коды_мА),""))),IF(_xlpm.v="да",30,IF(ISNUMBER(_xlpm.v),_xlpm.v,0))))</f>
        <v>0</v>
      </c>
      <c r="CP5" t="str">
        <f t="shared" si="28"/>
        <v/>
      </c>
      <c r="CQ5" t="str">
        <f>_xlfn.LET(_xlpm.k,IFERROR(_xlfn.XLOOKUP(BC5,Коды_код,Коды_утечка)&amp;"",""),IF(_xlpm.k="","дифавтомат",_xlpm.k))</f>
        <v>дифавтомат</v>
      </c>
      <c r="CR5" t="str" cm="1">
        <f t="array" ref="CR5">IF(CG5=0,"",_xlfn.LET(_xlpm.sg,TRIM(_xlfn.TEXTSPLIT(DD5&amp;"",";")),_xlpm.f_,_xlfn._xlws.FILTER(_xlpm.sg,LEFT(_xlpm.sg,3)="УЗО",""),IFERROR(INDEX(_xlpm.f_,1)&amp;"","")))</f>
        <v/>
      </c>
      <c r="CS5" t="str">
        <f t="shared" si="29"/>
        <v/>
      </c>
      <c r="CT5" s="6" t="str" cm="1">
        <f t="array" ref="CT5">IF(CR5="","",_xlfn.LET(_xlpm.tk,_xlfn.TEXTSPLIT(UPPER(CR5)," ",,TRUE),_xlpm.a_,_xlfn._xlws.FILTER(_xlpm.tk,ISNUMBER(--LEFT(_xlpm.tk,1))*((ISNUMBER(SEARCH("А",_xlpm.tk))+ISNUMBER(SEARCH("A",_xlpm.tk)))&gt;0)*NOT(ISNUMBER(SEARCH("МА",_xlpm.tk)))*NOT(ISNUMBER(SEARCH("MA",_xlpm.tk))),""),IFERROR(--SUBSTITUTE(SUBSTITUTE(INDEX(_xlpm.a_,1),"А",""),"A",""),"")))</f>
        <v/>
      </c>
      <c r="CU5" t="str" cm="1">
        <f t="array" ref="CU5">IF(CR5="","",_xlfn.LET(_xlpm.tk,_xlfn.TEXTSPLIT(UPPER(CR5)," ",,TRUE),_xlpm.a_,_xlfn._xlws.FILTER(_xlpm.tk,ISNUMBER(--LEFT(_xlpm.tk,1))*((ISNUMBER(SEARCH("МА",_xlpm.tk))+ISNUMBER(SEARCH("MA",_xlpm.tk)))&gt;0),""),IFERROR(--SUBSTITUTE(SUBSTITUTE(INDEX(_xlpm.a_,1),"МА",""),"MA",""),30)))</f>
        <v/>
      </c>
      <c r="CV5" t="str">
        <f>IF(CS5="","",IFERROR(_xlfn.XLOOKUP(CS5,Линии[_n],Линии[_УЗО, мА]),30))</f>
        <v/>
      </c>
      <c r="CW5">
        <f>IF(CS5="",0,IF(ISNUMBER(SEARCH("4P",IFERROR(_xlfn.XLOOKUP(CS5,Линии[_n],Линии[_УЗО строки])&amp;"",""))),0,1))</f>
        <v>0</v>
      </c>
      <c r="CX5" t="str">
        <f>IF(AND(CS5&lt;&gt;"",CS5=BA5),SUMIFS(Линии[_ток на 230 В],Линии[_блок УЗО],BA5,Линии[Щит],A5),"")</f>
        <v/>
      </c>
      <c r="CY5" t="str">
        <f>IF(AND(CS5&lt;&gt;"",CS5=BA5),SUMIFS(Линии[_ток утечки линии, мА],Линии[_блок УЗО],BA5,Линии[Щит],A5),"")</f>
        <v/>
      </c>
      <c r="CZ5">
        <f t="shared" si="30"/>
        <v>0</v>
      </c>
      <c r="DA5">
        <f t="shared" si="31"/>
        <v>0</v>
      </c>
      <c r="DB5">
        <f>IF(B5="",0,IFERROR(--_xlfn.XLOOKUP(B5,Коды_код,Коды_минавт),IFERROR(--_xlfn.XLOOKUP(BC5,Коды_код,Коды_минавт),IFERROR(--_xlfn.XLOOKUP(LEFT(BC5,2),Коды_код,Коды_минавт),0))))</f>
        <v>0</v>
      </c>
      <c r="DC5" t="str">
        <f>IF(B5="","",IFERROR(_xlfn.XLOOKUP(BC5,Коды_код,Коды_апп)&amp;"",""))</f>
        <v/>
      </c>
      <c r="DD5" t="str">
        <f t="shared" si="32"/>
        <v/>
      </c>
      <c r="DE5" t="str" cm="1">
        <f t="array" ref="DE5">IF(TRIM(DD5&amp;"")="","",IFERROR(TRIM(INDEX(_xlfn.TEXTSPLIT(DD5&amp;";;;",";"),1)),""))</f>
        <v/>
      </c>
      <c r="DF5" t="str" cm="1">
        <f t="array" ref="DF5">IF(TRIM(DD5&amp;"")="","",IFERROR(TRIM(INDEX(_xlfn.TEXTSPLIT(DD5&amp;";;;",";"),2)),""))</f>
        <v/>
      </c>
      <c r="DG5" t="str" cm="1">
        <f t="array" ref="DG5">IF(TRIM(DD5&amp;"")="","",IFERROR(TRIM(INDEX(_xlfn.TEXTSPLIT(DD5&amp;";;;",";"),3)),""))</f>
        <v/>
      </c>
      <c r="DH5">
        <f t="shared" si="33"/>
        <v>0</v>
      </c>
      <c r="DI5" t="str">
        <f>IF(B5="","",_xlfn.LET(_xlpm.t,LOWER(AZ5&amp;""),IF(ISNUMBER(SEARCH("dim",_xlpm.t)),"DIM",IF(ISNUMBER(SEARCH("dali",_xlpm.t)),"DALI",IF(OR(ISNUMBER(SEARCH("relay",_xlpm.t)),ISNUMBER(SEARCH("реле",_xlpm.t))),"Relay",IF(ISNUMBER(SEARCH("кнопк",_xlpm.t)),"",IFERROR(_xlfn.XLOOKUP(BC5,Коды_код,Коды_упр)&amp;"","")))))))</f>
        <v/>
      </c>
      <c r="DJ5" t="str">
        <f t="shared" si="34"/>
        <v/>
      </c>
      <c r="DK5">
        <f>IF(B5="","",_xlfn.LET(_xlpm.ig,IF(N(CX5)&gt;0,N(CX5),N(CI5)+IF(AJ5="вручную",0,N(CJ5))),_xlpm.n0,IFERROR(VLOOKUP(_xlpm.ig,Автомат_номиналы,2,TRUE),0),_xlpm.mn,MAX(DB5,IF(AJ5="вручную",0,N(CM5))),MAX(_xlpm.n0,_xlpm.mn,IF(DH5=1,Мин_автомат_БП,0))))</f>
        <v>6</v>
      </c>
      <c r="DL5">
        <f t="shared" si="35"/>
        <v>1</v>
      </c>
      <c r="DM5" t="str">
        <f t="shared" si="36"/>
        <v>1P</v>
      </c>
      <c r="DN5" t="str">
        <f>_xlfn.LET(_xlpm.cc,UPPER(TRIM(IFERROR(_xlfn.XLOOKUP(BC5,Коды_код,Коды_хар)&amp;"",""))),IF(OR(_xlpm.cc="B",_xlpm.cc="В"),"B",IF(_xlpm.cc="D","D","С")))</f>
        <v>С</v>
      </c>
      <c r="DO5" t="str">
        <f t="shared" si="37"/>
        <v>1P С6А</v>
      </c>
      <c r="DP5" t="str">
        <f t="shared" si="38"/>
        <v>1P С6А</v>
      </c>
      <c r="DQ5" t="str">
        <f t="shared" si="39"/>
        <v>1P С6А</v>
      </c>
      <c r="DR5" cm="1">
        <f t="array" ref="DR5">IF(DQ5="","",_xlfn.LET(_xlpm.t,SUBSTITUTE(SUBSTITUTE(SUBSTITUTE(UPPER(DQ5),"С","C"),"А","A"),"В","B"),_xlpm.tk,_xlfn.TEXTSPLIT(_xlpm.t," "),_xlpm.f,_xlfn._xlws.FILTER(_xlpm.tk,ISNUMBER(--MID(_xlpm.tk,2,1))*ISNUMBER(SEARCH(LEFT(_xlpm.tk,1)&amp;"#","B#C#D#"))*(LEN(_xlpm.tk)&gt;1),""),_xlpm.x,INDEX(_xlpm.f,1),IFERROR(--SUBSTITUTE(MID(_xlpm.x,2,9),"A",""),IFERROR(--SUBSTITUTE(INDEX(_xlfn._xlws.FILTER(_xlpm.tk,ISNUMBER(--SUBSTITUTE(_xlpm.tk,"A","")),""),1),"A",""),""))))</f>
        <v>6</v>
      </c>
      <c r="DS5" t="str">
        <f t="shared" si="40"/>
        <v>ok</v>
      </c>
      <c r="DT5">
        <f t="shared" si="41"/>
        <v>6</v>
      </c>
      <c r="DU5" t="str">
        <f t="shared" si="42"/>
        <v>1P С6А</v>
      </c>
      <c r="DV5">
        <f t="shared" si="43"/>
        <v>0</v>
      </c>
      <c r="DW5">
        <f t="shared" si="44"/>
        <v>0</v>
      </c>
      <c r="DX5">
        <f t="shared" si="45"/>
        <v>0</v>
      </c>
      <c r="DY5">
        <f t="shared" si="46"/>
        <v>0.455802844097073</v>
      </c>
      <c r="DZ5">
        <f t="shared" si="47"/>
        <v>1</v>
      </c>
      <c r="EA5">
        <f>IF(ISNUMBER(AP5),AP5,К_прокл)</f>
        <v>1</v>
      </c>
      <c r="EB5">
        <f t="shared" si="48"/>
        <v>2</v>
      </c>
      <c r="EC5">
        <f>IFERROR(N(VLOOKUP(BZ5,Кабель_обозначение,3,FALSE)),1)</f>
        <v>1</v>
      </c>
      <c r="ED5">
        <f>IFERROR(N(_xlfn.XLOOKUP(A5,Щиты[Щит],Щиты[ΔU до шин, %])),0)</f>
        <v>0.3660288498727976</v>
      </c>
      <c r="EE5">
        <f>IFERROR(_xlfn.XLOOKUP(A5,Щиты[Щит],Щиты[Zпетли на шинах, Ом]),"")</f>
        <v>0.13597829354840207</v>
      </c>
      <c r="EF5">
        <f>IFERROR(N(_xlfn.XLOOKUP(A5,Щиты[Щит],Щиты[ΔU до шин (подбор), %])),0)</f>
        <v>0.3660288498727976</v>
      </c>
      <c r="EG5">
        <f>IFERROR(_xlfn.XLOOKUP(A5,Щиты[Щит],Щиты[Zпетли на шинах (подбор), Ом]),"")</f>
        <v>0.13597829354840207</v>
      </c>
      <c r="EH5" t="str">
        <f t="shared" si="49"/>
        <v/>
      </c>
      <c r="EI5">
        <f t="shared" si="50"/>
        <v>2</v>
      </c>
      <c r="EJ5">
        <f t="shared" si="51"/>
        <v>2</v>
      </c>
      <c r="EK5">
        <f t="shared" si="52"/>
        <v>0.31</v>
      </c>
      <c r="EL5" s="6">
        <f>IF(B5="","",IF(BV5=1,dU_LED,IF(IFERROR(_xlfn.XLOOKUP(BC5,Коды_код,Коды_уго),"")="Светильник",3,4)+IF(Методика="нормы 2026",MIN(0.5,MAX(0,N(P5)-100)*0.005),0)))</f>
        <v>4</v>
      </c>
      <c r="EM5" cm="1">
        <f t="array" ref="EM5">IF(OR(B5="",BZ5="",EC5&lt;&gt;1),"",_xlfn.LET(_xlpm.sz,Iдоп_S,_xlpm.t_,CHOOSE(EB5,Iдоп_1ж,Iдоп_2ж,Iдоп_3ж)*DZ5*EA5,_xlpm.dcx,BV5=1,_xlpm.inn,IF(_xlpm.dcx,N(O5),N(DT5)),_xlpm.smin,MAX(1.5,CC5),_xlpm.L_,N(P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N(BU5)*100,999),IFERROR(N(EJ5)*(_xlpm.rho*_xlpm.L_/_xlpm.sz*N(CE5)+_xlpm.xx*_xlpm.L_*N(EK5)/1000)*N(O5)/((Uн_лин/SQRT(3))*1000)*100,999)),_xlpm.kz,IF(OR(_xlpm.dcx,DW5=1,NOT(ISNUMBER(EG5)),_xlpm.L_=0,_xlpm.inn=0),1,IFERROR(--(c_min*(Uн_лин*1000/SQRT(3))/(EG5+2*ρкз_Cu*_xlpm.L_/_xlpm.sz)&gt;=HT5*_xlpm.inn),0)),_xlpm.ok,IFERROR((_xlpm.sz&gt;=_xlpm.smin)*(_xlpm.t_&gt;=_xlpm.inn)*IF(_xlpm.L_&gt;0,(_xlpm.du_+IF(_xlpm.dcx,0,EF5)&lt;=EL5+0.00001),1)*_xlpm.kz,0),_xlpm.r_,_xlfn._xlws.FILTER(_xlpm.sz,_xlpm.ok,"не подобрано"),INDEX(_xlpm.r_,1)))</f>
        <v>1.5</v>
      </c>
      <c r="EN5">
        <f t="shared" si="53"/>
        <v>1.5</v>
      </c>
      <c r="EO5" cm="1">
        <f t="array" ref="EO5">IF(OR(B5="",BZ5="",EC5&lt;&gt;1),"",_xlfn.LET(_xlpm.sz,Iдоп_S,_xlpm.t_,CHOOSE(EB5,Iдоп_1ж,Iдоп_2ж,Iдоп_3ж)*DZ5*EA5,_xlpm.ok,IFERROR((_xlpm.sz&gt;=MAX(1.5,CC5))*(_xlpm.t_&gt;=N(DT5)),0),_xlpm.r_,_xlfn._xlws.FILTER(_xlpm.sz,_xlpm.ok,""),INDEX(_xlpm.r_,1)))</f>
        <v>1.5</v>
      </c>
      <c r="EP5" s="6" cm="1">
        <f t="array" ref="EP5">IFERROR(ROUNDUP(N(EJ5)*(_xlfn.XLOOKUP(EO5,INDEX(Кабель_сопротивление,0,1),INDEX(Кабель_сопротивление,0,3))*N(P5)/EO5*N(CE5)+_xlfn.XLOOKUP(EO5,INDEX(Кабель_сопротивление,0,1),INDEX(Кабель_сопротивление,0,2))*N(P5)*N(EK5)/1000)*N(O5)/((Uн_лин/SQRT(3))*1000)*100,2),"")</f>
        <v>0.02</v>
      </c>
      <c r="EQ5">
        <f>IFERROR(2*ρкз_Cu*N(P5)/EO5,"")</f>
        <v>0.1052</v>
      </c>
      <c r="ER5">
        <f>IFERROR(VLOOKUP(EN5,Кабель_сопротивление,3,FALSE),"")</f>
        <v>2.2499999999999999E-2</v>
      </c>
      <c r="ES5">
        <f>IFERROR(VLOOKUP(EN5,Кабель_сопротивление,2,FALSE),"")</f>
        <v>0.11</v>
      </c>
      <c r="ET5" t="str">
        <f t="shared" si="54"/>
        <v/>
      </c>
      <c r="EU5" t="str">
        <f t="shared" si="55"/>
        <v/>
      </c>
      <c r="EV5">
        <f t="shared" si="56"/>
        <v>3.9064400432202002E-2</v>
      </c>
      <c r="EW5" s="6">
        <f>IFERROR(ROUNDUP(EV5/IF(BV5=1,BU5,(Uн_лин/SQRT(3))*1000)*100,2),"")</f>
        <v>0.02</v>
      </c>
      <c r="EX5" t="str">
        <f>IFERROR(VLOOKUP(BZ5,Кабель_обозначение,2,FALSE),"")</f>
        <v>ВВГнг(А)-LS</v>
      </c>
      <c r="EY5" t="str">
        <f t="shared" si="57"/>
        <v>ВВГнг(А)-LS (3х1,5)</v>
      </c>
      <c r="EZ5" t="str">
        <f t="shared" si="58"/>
        <v>ВВГнг(А)-LS (3х1,5)
L=3-0,02%</v>
      </c>
      <c r="FA5">
        <f>IFERROR(2*ρкз_Cu*P5/EN5,"")</f>
        <v>0.1052</v>
      </c>
      <c r="FB5">
        <f t="shared" si="59"/>
        <v>3.5000000000000003E-2</v>
      </c>
      <c r="FC5" s="6">
        <f>IFERROR(IF(OR(B5="",BV5=1,NOT(ISNUMBER(EN5)),N(P5)=0),"",_xlfn.XLOOKUP(A5,Щиты[Щит],Щиты[Zпетли на шинах, Ом])+FA5),"")</f>
        <v>0.24117829354840209</v>
      </c>
      <c r="FD5" s="6">
        <f>IF(ISNUMBER(FC5),c_min*(Uн_лин*1000/SQRT(3))/FC5,"")</f>
        <v>909.67184096120889</v>
      </c>
      <c r="FE5" s="6">
        <f>IFERROR(IF(OR(B5="",NOT(ISNUMBER(EN5))),"",1.05*(Uн_лин*1000/SQRT(3))/(_xlfn.XLOOKUP(A5,Щиты[Щит],Щиты[Zmax на шинах, Ом])+FB5)/1000),"")</f>
        <v>3.1754312897131034</v>
      </c>
      <c r="FF5" s="6" t="str">
        <f>IF(B5="","",IF(ISNUMBER(AC5),"Сил",IF(IFERROR(_xlfn.XLOOKUP(BC5,Коды_код,Коды_группа)&amp;"","")="","Быт",_xlfn.XLOOKUP(BC5,Коды_код,Коды_группа)&amp;"")))</f>
        <v>Пост</v>
      </c>
      <c r="FG5" s="6" t="str">
        <f t="shared" si="60"/>
        <v>Пост</v>
      </c>
      <c r="FH5" s="6">
        <f>IF(FG5="Щит","щит",IF(FG5="","",IF(FG5="Быт",IFERROR(_xlfn.XLOOKUP(A5,Щиты[Щит],Щиты[Кс быт]),1),IF(FG5="Сил",IF(ISNUMBER(AC5),AC5,IF(Методика="нормы 2026",IFERROR(_xlfn.XLOOKUP(A5,Щиты[Щит],Щиты[Кс силовых (табл. 7.5)]),1),1)),IF(OR(FG5="Пост",FG5="Отоп"),1,IF(FG5="ВНГ",0.7,0))))))</f>
        <v>1</v>
      </c>
      <c r="FI5">
        <f>IF(FG5="","",IF(AND(BP5=1,TRIM(AE5&amp;"")=""),IF(COUNTIFS(Линии[Щит],A5,Линии[Секция (1/2/3)],"&gt;=2")&gt;0,MIN(3,MAX(1,IFERROR(--BD5,1))),1),IFERROR(MIN(3,MAX(1,INT(--AE5))),1)))</f>
        <v>1</v>
      </c>
      <c r="FJ5">
        <f t="shared" si="61"/>
        <v>0.1</v>
      </c>
      <c r="FK5">
        <f t="shared" si="62"/>
        <v>0</v>
      </c>
      <c r="FL5">
        <f t="shared" si="63"/>
        <v>0</v>
      </c>
      <c r="FM5">
        <f t="shared" si="64"/>
        <v>0.1</v>
      </c>
      <c r="FN5">
        <f t="shared" si="65"/>
        <v>0</v>
      </c>
      <c r="FO5">
        <f t="shared" si="66"/>
        <v>0</v>
      </c>
      <c r="FP5">
        <f t="shared" si="67"/>
        <v>0.1</v>
      </c>
      <c r="FQ5">
        <f t="shared" si="68"/>
        <v>0.1</v>
      </c>
      <c r="FR5">
        <f t="shared" si="69"/>
        <v>9.5000000000000001E-2</v>
      </c>
      <c r="FS5">
        <f>IF(CG5=1,IF(AND(CH5=1,CW5=1),0,IF(AND(CS5&lt;&gt;"",CS5=BA5,CW5=1),SUMIFS(Линии[_Р линии, кВт],Линии[_блок УЗО],BA5,Линии[Щит],A5),N(BS5)+IF(AJ5="вручную",0,N(CK5)))),0)</f>
        <v>0.1</v>
      </c>
      <c r="FT5" t="str">
        <f t="shared" si="70"/>
        <v/>
      </c>
      <c r="FU5" t="str">
        <f>IF(B5="","",IF(CG5=0,IF(BA5=1,"",FW4),IF(AND(CH5=1,CW5=1,CS5&lt;&gt;""),IFERROR(_xlfn.XLOOKUP(CS5,Линии[_n],Линии[_фаза итог]),"L1"),IF(OR(N(DL5)&gt;=3,N(BX5)&gt;=3),"L1,L2,L3",IFERROR(_xlfn.TEXTBEFORE(_xlfn.TEXTAFTER(_xlfn.XLOOKUP(A5,Щиты[Щит],Щиты[_фазы авто]),";"&amp;BA5&amp;":"),";"),"L1")))))</f>
        <v>L3</v>
      </c>
      <c r="FV5" t="str">
        <f t="shared" si="71"/>
        <v>L3</v>
      </c>
      <c r="FW5" t="str">
        <f t="shared" si="72"/>
        <v>L3</v>
      </c>
      <c r="FX5" cm="1">
        <f t="array" ref="FX5">IFERROR(IF(CD5=2,_xlfn.IFS(BX5=3,VLOOKUP(BS5,Справочная_двигатели,3,FALSE),BX5=1,VLOOKUP(BS5,Справочная_двигатели,5,TRUE)),0),0)</f>
        <v>0</v>
      </c>
      <c r="FY5">
        <f>IFERROR(IF(CD5=3,VLOOKUP(BS5,Справочная_ЛЭД,2,TRUE),0),0)</f>
        <v>0</v>
      </c>
      <c r="FZ5" s="6">
        <f t="shared" si="73"/>
        <v>0</v>
      </c>
      <c r="GA5" t="str">
        <f>IF(B5="","",IF(TRIM(AH5&amp;"")&lt;&gt;"",IF(LOWER(TRIM(AH5&amp;""))="да","да","нет"),IF(IFERROR(_xlfn.XLOOKUP(BC5,Коды_код,Коды_пожарная),"")="да","да","нет")))</f>
        <v>нет</v>
      </c>
      <c r="GB5" t="str">
        <f t="shared" si="74"/>
        <v/>
      </c>
      <c r="GC5" t="str">
        <f t="shared" si="75"/>
        <v>основная</v>
      </c>
      <c r="GD5">
        <f>IF(AND(BP5=1,TRIM(AE5&amp;"")=""),IF(COUNTIFS(Линии[Щит],A5,Линии[Секция (1/2/3)],"&gt;=2")&gt;0,MIN(3,MAX(1,IFERROR(--BD5,1))),1),IFERROR(MIN(3,MAX(1,INT(--AE5))),1))</f>
        <v>1</v>
      </c>
      <c r="GE5" t="str" cm="1">
        <f t="array" ref="GE5">IF(B5="","",_xlfn.LET(_xlpm.t,IFERROR(_xlfn.XLOOKUP(1,(Шины[Шина]=GC5)*(((Шины[Щит]=A5)+(Шины[Щит]=""))&gt;0),Шины[Тип]),"")&amp;"",IF(_xlpm.t&lt;&gt;"",_xlpm.t,IF(ISNUMBER(SEARCH("ИБП",GC5)),"ИБП",IF(ISNUMBER(SEARCH("ДГУ",GC5)),"ДГУ","Ввод "&amp;GD5)))))</f>
        <v>Ввод 1</v>
      </c>
      <c r="GF5" t="str">
        <f t="shared" si="76"/>
        <v>Ввод 1</v>
      </c>
      <c r="GG5" t="str">
        <f>IF(BP5=0,"",IF(TRIM(AG5&amp;"")&lt;&gt;"",TRIM(AG5&amp;""),IF(OR(GE5="ИБП",GE5="ДГУ"),"I особая",_xlfn.XLOOKUP(A5,Щиты[Щит],Щиты[Категория шины «Ввод»],"III"))))</f>
        <v/>
      </c>
      <c r="GH5" t="str">
        <f>IF(A5="","",_xlfn.XLOOKUP(A5,Щиты[Щит],Щиты[Путь],""))</f>
        <v>|ВРУ|</v>
      </c>
      <c r="GI5" t="str">
        <f>IF(B5="","",IF(AI5&lt;&gt;"",AI5,IF(IFERROR(_xlfn.XLOOKUP(BC5,Коды_код,Коды_вид)&amp;"","")="","Прочее",_xlfn.XLOOKUP(BC5,Коды_код,Коды_вид)&amp;"")))</f>
        <v>Слаботочные системы, автоматизация, KNX</v>
      </c>
      <c r="GJ5">
        <f>IF(BM5="","",INT((BM5-1)/Столбцов_на_лист)+1)</f>
        <v>1</v>
      </c>
      <c r="GK5" t="str">
        <f t="shared" si="77"/>
        <v>ВВГнг(А)-LS (3х1,5) L=3-0,02%</v>
      </c>
      <c r="GL5">
        <f t="shared" si="78"/>
        <v>0.1</v>
      </c>
      <c r="GM5">
        <f t="shared" si="79"/>
        <v>0.46</v>
      </c>
      <c r="GN5">
        <f t="shared" si="80"/>
        <v>1</v>
      </c>
      <c r="GO5">
        <f t="shared" si="81"/>
        <v>0</v>
      </c>
      <c r="GP5">
        <f t="shared" si="82"/>
        <v>1</v>
      </c>
      <c r="GQ5">
        <f>IF(BM5="","",IF(AND(CG5=1,GP5=1),COUNTIFS(A$3:A5,A5,CG$3:CG5,1,GP$3:GP5,1),IF(OR(OR(BA5=1,A5&lt;&gt;A4),AJ5="вручную",GP5=0),"",IF(BA5=1,"",GR4))))</f>
        <v>1</v>
      </c>
      <c r="GR5">
        <f t="shared" si="83"/>
        <v>1</v>
      </c>
      <c r="GS5">
        <f>IF(B5="","",IFERROR(LOOKUP(INDEX(CHOOSE(EB5,Iдоп_1ж,Iдоп_2ж,Iдоп_3ж),MATCH(EN5,Iдоп_S,0))*DZ5*EA5,{6,10,16,20,25,32,40,50,63,80,100,125,160,200,250,315,400,500,630}),""))</f>
        <v>16</v>
      </c>
      <c r="GT5" t="str">
        <f t="shared" si="84"/>
        <v>QF1</v>
      </c>
      <c r="GU5" t="str">
        <f t="shared" si="85"/>
        <v>QF1</v>
      </c>
      <c r="GV5" t="str">
        <f t="shared" si="86"/>
        <v/>
      </c>
      <c r="GW5">
        <f t="shared" si="87"/>
        <v>0</v>
      </c>
      <c r="GX5" t="str">
        <f>IF(OR(B5="",DJ5=""),"",IFERROR(_xlfn.XLOOKUP(DJ5,Модули_умолч[Управление],Модули_умолч[Модель])&amp;"",""))</f>
        <v/>
      </c>
      <c r="GY5">
        <f>IF(DJ5="",1,IFERROR(MAX(0,N(_xlfn.XLOOKUP(DJ5,Модули_умолч[Управление],Модули_умолч[Каналов на линию]))),1))</f>
        <v>1</v>
      </c>
      <c r="GZ5" t="str">
        <f t="shared" si="88"/>
        <v/>
      </c>
      <c r="HA5" t="str">
        <f t="shared" si="89"/>
        <v/>
      </c>
      <c r="HB5" t="str">
        <f t="shared" si="90"/>
        <v/>
      </c>
      <c r="HC5">
        <f>IF(HB5="",0,IFERROR(N(VLOOKUP(HB5,Модули_спр,3,FALSE)),0))</f>
        <v>0</v>
      </c>
      <c r="HD5" t="str">
        <f t="shared" si="91"/>
        <v/>
      </c>
      <c r="HE5" t="str">
        <f t="shared" si="92"/>
        <v/>
      </c>
      <c r="HF5" t="str">
        <f>IF(OR(HE5="",HE5="-"),"",IFERROR(VLOOKUP(HE5,Модули_спр,2,FALSE),"R"))</f>
        <v/>
      </c>
      <c r="HG5" t="str">
        <f>IF(HF5="","",HF5&amp;"."&amp;COUNTIFS(A$3:A5,A5,HF$3:HF5,HF5))</f>
        <v/>
      </c>
      <c r="HH5" t="str">
        <f t="shared" si="93"/>
        <v/>
      </c>
      <c r="HI5" t="str">
        <f t="shared" si="94"/>
        <v/>
      </c>
      <c r="HJ5" t="str">
        <f t="shared" si="95"/>
        <v/>
      </c>
      <c r="HK5" t="str">
        <f t="shared" si="96"/>
        <v/>
      </c>
      <c r="HL5">
        <f t="shared" si="97"/>
        <v>1</v>
      </c>
      <c r="HM5" t="str">
        <f>IF(HL5=1,"XT"&amp;COUNTIFS(A$3:A5,A5,HL$3:HL5,1),"")</f>
        <v>XT1</v>
      </c>
      <c r="HN5" t="str">
        <f t="shared" si="98"/>
        <v>XT1</v>
      </c>
      <c r="HO5" t="str">
        <f t="shared" si="99"/>
        <v>QF1</v>
      </c>
      <c r="HP5" t="str">
        <f t="shared" si="100"/>
        <v/>
      </c>
      <c r="HQ5" t="str">
        <f t="shared" si="101"/>
        <v>ok</v>
      </c>
      <c r="HR5" t="str">
        <f>IF(OR(HJ5="",HH5=""),"",IF(HJ5+MAX(0,GY5-1)&gt;IFERROR(VLOOKUP(HI5,Модули_спр,3,FALSE),99),"ЛИШНИЙ КАНАЛ",IF(AND(AL5&lt;&gt;"=",GY5&gt;0,COUNTIFS(Линии[_модуль гр.],HH5,Линии[Канал (итог)],HJ5,Линии[Канал],"&lt;&gt;=",Линии[Щит],A5)&gt;1),"ДУБЛЬ КАНАЛА","")))</f>
        <v/>
      </c>
      <c r="HS5" s="6">
        <f t="shared" si="102"/>
        <v>151.6119734935348</v>
      </c>
      <c r="HT5">
        <f t="shared" si="103"/>
        <v>10</v>
      </c>
      <c r="HU5" t="str">
        <f t="shared" si="104"/>
        <v>ok</v>
      </c>
      <c r="HV5">
        <f t="shared" si="105"/>
        <v>0.2123211376388292</v>
      </c>
      <c r="HW5">
        <f t="shared" si="106"/>
        <v>0</v>
      </c>
      <c r="HX5">
        <f t="shared" si="107"/>
        <v>0</v>
      </c>
      <c r="HY5">
        <f t="shared" si="108"/>
        <v>0</v>
      </c>
      <c r="HZ5">
        <f t="shared" si="109"/>
        <v>0</v>
      </c>
      <c r="IA5">
        <f t="shared" si="110"/>
        <v>0</v>
      </c>
      <c r="IB5">
        <f t="shared" si="111"/>
        <v>0</v>
      </c>
      <c r="IC5" t="str">
        <f t="shared" si="112"/>
        <v/>
      </c>
      <c r="ID5" t="str" cm="1">
        <f t="array" ref="ID5">IF(IC5="","",_xlfn.LET(_xlpm.tk,_xlfn.TEXTSPLIT(SUBSTITUTE(SUBSTITUTE(IC5,";"," "),"→"," ")," ",,TRUE),_xlpm.w_,_xlfn._xlws.FILTER(_xlpm.tk,ISNUMBER(--LEFT(_xlpm.tk,1))*((ISNUMBER(SEARCH("W",_xlpm.tk))+ISNUMBER(SEARCH("Вт",_xlpm.tk)))&gt;0),""),IFERROR(--SUBSTITUTE(SUBSTITUTE(UPPER(INDEX(_xlpm.w_,1)),"W",""),"ВТ",""),"")))</f>
        <v/>
      </c>
      <c r="IE5" t="str" cm="1">
        <f t="array" ref="IE5">IF(IC5="","",_xlfn.LET(_xlpm.tk,_xlfn.TEXTSPLIT(SUBSTITUTE(SUBSTITUTE(IC5,";"," "),"→"," ")," ",,TRUE),_xlpm.v_,_xlfn._xlws.FILTER(_xlpm.tk,ISNUMBER(--LEFT(_xlpm.tk,1))*((ISNUMBER(SEARCH("V",_xlpm.tk))+(RIGHT(UPPER(_xlpm.tk))="В"))&gt;0),""),IFERROR(--SUBSTITUTE(SUBSTITUTE(UPPER(INDEX(_xlpm.v_,1)),"V",""),"В",""),"")))</f>
        <v/>
      </c>
      <c r="IF5" s="6" t="str">
        <f>IF(OR(BV5=0,HI5="",HJ5=""),"",IFERROR(N(_xlfn.XLOOKUP(HI5,Каталог!$C$4:$C$500,Каталог!$Q$4:$Q$500)),""))</f>
        <v/>
      </c>
      <c r="IG5" s="6" t="str">
        <f>IF(N(IF5)=0,"",SUMIFS(Линии[Iр, А],Линии[Щит],A5,Линии[_модуль гр.],HH5,Линии[Канал (итог)],HJ5))</f>
        <v/>
      </c>
      <c r="IH5" t="str">
        <f>IF(AND(B5="",HO5=""),"",_xlfn.TEXTJOIN("; ",TRUE,IF(AND(B5&lt;&gt;"",FV5=""),"нет фазы",""),IF(AND(B5&lt;&gt;"",N(GL5)=0,FG5&lt;&gt;"Нет"),"нет мощности",""),IF(AND(HN5&lt;&gt;"",COUNTIFS(Линии[Щит],A5,Линии[Клемма (итог)],HN5)&gt;1),"дубль клеммы "&amp;HN5,""),IF(AND(HQ5&lt;&gt;"",HQ5&lt;&gt;"ok"),HQ5,""),IF(HR5&lt;&gt;"",HR5,""),IF(AND(N(CB5)&gt;=4,N(BX5)=1),CB5&amp;" жил на 1 фазе",""),IF(AND(BC5="R",CG5=1,IF(CS5&lt;&gt;"",N(CV5)&gt;30,OR(N(DA5)=0,N(DA5)&gt;30))),"розетка без дифзащиты до 30 мА",""),IF(AND(CG5=1,N(DA5)&gt;0,ISNUMBER(T5)),IF(T5&gt;N(DA5)/3,"ток утечки "&amp;FIXED(T5,1)&amp;" мА &gt; 1/3 уставки ("&amp;DA5&amp;" мА)",""),""),IF(AND(CH5=1,CS5=""),"«узо»: нет строки с УЗО выше (УЗО 2P 40А 30мА в «Аппаратах»)",""),IF(AND(CS5&lt;&gt;"",CS5=BA5),IF(CT5="","впишите номинал УЗО (УЗО 2P 40А 30мА)",IF(N(CT5)&lt;N(DT5),"УЗО "&amp;CT5&amp;" А &lt; автомата "&amp;DT5&amp;" А перед ним",IF(N(CT5)&lt;N(CX5),"УЗО "&amp;CT5&amp;" А &lt; тока блока "&amp;FIXED(CX5,1)&amp;" А",""))),""),IF(AND(CS5&lt;&gt;"",CS5=BA5,ISNUMBER(CY5)),IF(CY5&gt;N(CV5)/3,"ток утечки блока УЗО "&amp;FIXED(CY5,1)&amp;" мА &gt; 1/3 уставки ("&amp;CV5&amp;" мА)",""),""),IF(AND(CG5=1,N(BV5)+N(IB5)&gt;0,IC5=""),"линии до 50 В без БП: впишите в «Аппараты» (БП 24V 480W)",""),IF(AND(CG5=1,ISNUMBER(ID5),ISNUMBER(U5)),IF(U5&gt;ID5,"БП "&amp;ID5&amp;" Вт &lt; нужно "&amp;U5&amp;" Вт (×"&amp;Запас_БП&amp;")",""),""),IF(AND(CG5=1,ISNUMBER(IE5),N(BV5)=1),IF(IE5&lt;&gt;N(BU5),"БП на "&amp;IE5&amp;" В, линия "&amp;BU5&amp;" В",""),""),IF(AND(N(IF5)&gt;0,N(IG5)&gt;N(IF5)),HH5&amp;" канал "&amp;HJ5&amp;": "&amp;FIXED(IG5,1)&amp;" А &gt; "&amp;IF5&amp;" А",""),IFERROR(IF(AND(ISNUMBER(Q5),Q5&gt;EL5),"потери "&amp;FIXED(Q5,1)&amp;" % &gt; "&amp;EL5&amp;" %",""),""),IFERROR(IF(LEFT(HU5,4)="мало","Iкз мало — отключение &gt; 0,4 с",""),""),IF(AND(B5&lt;&gt;"",BM5=""),"не на схеме",""),IF(AND(CG5=0,B5&lt;&gt;"",FV5&lt;&gt;"",IF(BA5=1,"",FW4)&lt;&gt;"",FV5&lt;&gt;IF(BA5=1,"",FW4)),"фаза не как у автомата группы ("&amp;IF(BA5=1,"",FW4)&amp;")","")))</f>
        <v/>
      </c>
      <c r="II5" s="6" t="str">
        <f>IF(OR(CG5=0,DQ5=""),"",_xlfn.LET(_xlpm.t,IFERROR(_xlfn.XLOOKUP(DQ5,Каталог!$U$4:$U$500,Каталог!$G$4:$G$500),""),_xlpm.k,SEARCH("кА",_xlpm.t),IFERROR(--TRIM(RIGHT(SUBSTITUTE(MID(_xlpm.t,MAX(1,_xlpm.k-4),_xlpm.k-MAX(1,_xlpm.k-4))," ",REPT(" ",9)),5)),"")))</f>
        <v/>
      </c>
      <c r="IJ5" t="str">
        <f>IF(OR(II5="",CG5=0),"",IF(_xlfn.XLOOKUP(A5,Щиты[Щит],Щиты[Iкз max на шинах, кА],"")="","",IF(II5&lt;_xlfn.XLOOKUP(A5,Щиты[Щит],Щиты[Iкз max на шинах, кА]),"Icu "&amp;II5&amp;" кА &lt; Iкз max","ok")))</f>
        <v/>
      </c>
      <c r="IK5" t="str">
        <f t="shared" si="113"/>
        <v/>
      </c>
      <c r="IL5" t="str">
        <f t="shared" si="114"/>
        <v>QF1|XT1</v>
      </c>
      <c r="IM5" t="str">
        <f t="shared" si="115"/>
        <v>QF1|XT1|кабель ВВГнг(А)-LS (3х1,5) → Питание автоматики АВР</v>
      </c>
      <c r="IN5" t="str" cm="1">
        <f t="array" ref="IN5">IF(IM5="","",_xlfn.LET(_xlpm.nd,_xlfn.TEXTSPLIT(IM5,"|"),IF(COLUMNS(_xlpm.nd)&gt;1,A5&amp;"¦"&amp;INDEX(_xlpm.nd,1)&amp;"¦"&amp;INDEX(_xlpm.nd,2),"")))</f>
        <v>ВРУ¦QF1¦XT1</v>
      </c>
      <c r="IO5" t="str">
        <f t="shared" si="116"/>
        <v>АСУ.0.001.1¦Питание автоматики АВР</v>
      </c>
      <c r="IP5" t="str" cm="1">
        <f t="array" ref="IP5">IF(IM5="","",_xlfn.LET(_xlpm.nd,_xlfn.TEXTSPLIT(IM5,"|"),IF(COLUMNS(_xlpm.nd)&gt;2,A5&amp;"¦"&amp;INDEX(_xlpm.nd,2)&amp;"¦"&amp;INDEX(_xlpm.nd,3),"")))</f>
        <v>ВРУ¦XT1¦кабель ВВГнг(А)-LS (3х1,5) → Питание автоматики АВР</v>
      </c>
      <c r="IQ5" t="str">
        <f t="shared" si="117"/>
        <v>АСУ.0.001.1¦Питание автоматики АВР</v>
      </c>
      <c r="IR5" t="str" cm="1">
        <f t="array" ref="IR5">IF(IM5="","",_xlfn.LET(_xlpm.nd,_xlfn.TEXTSPLIT(IM5,"|"),IF(COLUMNS(_xlpm.nd)&gt;3,A5&amp;"¦"&amp;INDEX(_xlpm.nd,3)&amp;"¦"&amp;INDEX(_xlpm.nd,4),"")))</f>
        <v/>
      </c>
      <c r="IS5" t="str">
        <f t="shared" si="118"/>
        <v/>
      </c>
      <c r="IT5" t="str" cm="1">
        <f t="array" ref="IT5">IF(IM5="","",_xlfn.LET(_xlpm.nd,_xlfn.TEXTSPLIT(IM5,"|"),IF(COLUMNS(_xlpm.nd)&gt;4,A5&amp;"¦"&amp;INDEX(_xlpm.nd,4)&amp;"¦"&amp;INDEX(_xlpm.nd,5),"")))</f>
        <v/>
      </c>
      <c r="IU5" t="str">
        <f t="shared" si="119"/>
        <v/>
      </c>
      <c r="IV5" t="str" cm="1">
        <f t="array" ref="IV5">IF(IM5="","",_xlfn.LET(_xlpm.nd,_xlfn.TEXTSPLIT(IM5,"|"),IF(COLUMNS(_xlpm.nd)&gt;5,A5&amp;"¦"&amp;INDEX(_xlpm.nd,5)&amp;"¦"&amp;INDEX(_xlpm.nd,6),"")))</f>
        <v/>
      </c>
      <c r="IW5" t="str">
        <f t="shared" si="120"/>
        <v/>
      </c>
      <c r="IX5" t="str" cm="1">
        <f t="array" ref="IX5">IF(IM5="","",_xlfn.LET(_xlpm.nd,_xlfn.TEXTSPLIT(IM5,"|"),IF(COLUMNS(_xlpm.nd)&gt;6,A5&amp;"¦"&amp;INDEX(_xlpm.nd,6)&amp;"¦"&amp;INDEX(_xlpm.nd,7),"")))</f>
        <v/>
      </c>
      <c r="IY5" t="str">
        <f t="shared" si="121"/>
        <v/>
      </c>
      <c r="IZ5" t="str">
        <f t="shared" si="122"/>
        <v/>
      </c>
      <c r="JA5" t="str">
        <f t="shared" si="123"/>
        <v>QF1 → XT1</v>
      </c>
      <c r="JB5">
        <f t="shared" si="124"/>
        <v>0</v>
      </c>
      <c r="JC5">
        <f t="shared" si="125"/>
        <v>0</v>
      </c>
      <c r="JD5" t="str">
        <f t="shared" si="126"/>
        <v/>
      </c>
      <c r="JE5" t="str">
        <f t="shared" si="127"/>
        <v/>
      </c>
      <c r="JF5" t="str">
        <f t="shared" si="128"/>
        <v/>
      </c>
      <c r="JG5" t="str">
        <f t="shared" si="129"/>
        <v/>
      </c>
      <c r="JH5" t="str">
        <f>IF(B5="","",IFERROR(_xlfn.XLOOKUP(B5,Коды_код,Коды_уго),IFERROR(_xlfn.XLOOKUP(BC5,Коды_код,Коды_уго),IFERROR(_xlfn.XLOOKUP(LEFT(BC5,2),Коды_код,Коды_уго),""))))</f>
        <v>Прочее (прямоуг. с подписью)</v>
      </c>
      <c r="JI5" t="str">
        <f>IF(B5="","",IF(OR(JH5="",JH5=0),"BOX",IFERROR(IF(VLOOKUP(JH5,УГО_блоки,3,FALSE)&amp;""&lt;&gt;"",VLOOKUP(JH5,УГО_блоки,3,FALSE),VLOOKUP(JH5,УГО_блоки,2,FALSE)),JH5)))</f>
        <v>BOX</v>
      </c>
      <c r="JJ5">
        <f t="shared" si="130"/>
        <v>1</v>
      </c>
      <c r="JK5">
        <f>IF(DQ5="","",IF(COUNTIF(DQ$3:DQ5,DQ5)=1,MAX(JK$2:JK4)+1,""))</f>
        <v>2</v>
      </c>
      <c r="JL5" t="str">
        <f>IF(DE5="","",IF(COUNTIF(DE$3:DE5,DE5)+COUNTIF(DF$2:DF4,DE5)+COUNTIF(DG$2:DG4,DE5)=1,MAX(JL$2:JN4)+1,""))</f>
        <v/>
      </c>
      <c r="JM5" t="str">
        <f>IF(DF5="","",IF(COUNTIF(DE$3:DE5,DF5)+COUNTIF(DF$3:DF5,DF5)+COUNTIF(DG$2:DG4,DF5)=1,MAX(JL$2:JN4,JL5)+1,""))</f>
        <v/>
      </c>
      <c r="JN5" t="str">
        <f>IF(DG5="","",IF(COUNTIF(DE$3:DE5,DG5)+COUNTIF(DF$3:DF5,DG5)+COUNTIF(DG$3:DG5,DG5)=1,MAX(JL$2:JN4,JL5,JM5)+1,""))</f>
        <v/>
      </c>
      <c r="JO5" t="str">
        <f t="shared" si="131"/>
        <v>3х1,5</v>
      </c>
      <c r="JP5">
        <f>IF(JO5="","",IF(COUNTIF(JO$3:JO5,JO5)=1,MAX(JP$2:JP4)+1,""))</f>
        <v>1</v>
      </c>
      <c r="JQ5" t="str">
        <f>IF(HG5="","",COUNTIF(HG$3:HG5,"?*"))</f>
        <v/>
      </c>
      <c r="JR5" t="str">
        <f>IF(OR(HG5="",HI5=""),"",IF(COUNTIFS(HG$3:HG5,"?*",HI$3:HI5,HI5)=1,MAX(JR$2:JR4)+1,""))</f>
        <v/>
      </c>
      <c r="JS5">
        <f t="shared" si="132"/>
        <v>0</v>
      </c>
      <c r="JT5">
        <f>IF(B5="","",COUNTIF(B$3:B5,"?*"))</f>
        <v>3</v>
      </c>
      <c r="JU5">
        <f>IF(HL5&lt;&gt;1,0,_xlfn.LET(_xlpm.k,MAX(IFERROR(--_xlfn.XLOOKUP(B5,Коды_код,Коды_3L),0),IFERROR(--_xlfn.XLOOKUP(BC5,Коды_код,Коды_3L),0),IFERROR(--_xlfn.XLOOKUP(LEFT(BC5,2),Коды_код,Коды_3L),0)),IF(_xlpm.k&gt;0,_xlpm.k,IF(IFERROR(--LEFT(SUBSTITUTE(JO5,"x","х"),FIND("х",SUBSTITUTE(JO5,"x","х"))-1),3)&gt;3,Каталог!$S$9,1))))</f>
        <v>1</v>
      </c>
      <c r="JV5">
        <f t="shared" si="133"/>
        <v>0</v>
      </c>
      <c r="JW5" t="str">
        <f t="shared" si="134"/>
        <v>авто</v>
      </c>
      <c r="JX5" t="str">
        <f t="shared" si="135"/>
        <v/>
      </c>
      <c r="JY5">
        <f t="shared" si="136"/>
        <v>0</v>
      </c>
      <c r="JZ5">
        <f t="shared" si="137"/>
        <v>1</v>
      </c>
    </row>
    <row r="6" spans="1:286" x14ac:dyDescent="0.3">
      <c r="A6" t="s">
        <v>151</v>
      </c>
      <c r="B6" t="s">
        <v>1190</v>
      </c>
      <c r="C6" t="s">
        <v>1239</v>
      </c>
      <c r="D6">
        <v>2</v>
      </c>
      <c r="E6">
        <v>1.5</v>
      </c>
      <c r="G6" t="str">
        <f>Линии[[#This Row],[_авто автомат]]</f>
        <v>2P С16А 30мА</v>
      </c>
      <c r="H6" t="str">
        <f>Линии[[#This Row],[_авто управление]]</f>
        <v/>
      </c>
      <c r="I6" t="str">
        <f>Линии[[#This Row],[_авто аппараты]]</f>
        <v/>
      </c>
      <c r="J6">
        <f>Линии[[#This Row],[_авто сечение]]</f>
        <v>2.5</v>
      </c>
      <c r="K6">
        <v>12</v>
      </c>
      <c r="L6" t="str">
        <f>Линии[[#This Row],[_авто фаза]]</f>
        <v>L3</v>
      </c>
      <c r="M6" t="str">
        <f>Линии[[#This Row],[_авто клемма]]</f>
        <v>XT2</v>
      </c>
      <c r="N6" t="str">
        <f t="shared" si="0"/>
        <v/>
      </c>
      <c r="O6" s="6" cm="1">
        <f t="array" ref="O6">IF(B6="","",IF(BH6&lt;&gt;"",IFERROR(_xlfn.XLOOKUP(BH6,Щиты[Щит],Щиты[Iр, А]),""),IF(BP6=1,IF(OR(N(_xlfn.XLOOKUP(A6,Щиты[Щит],Щиты[Вводов],1))&lt;=1,LOWER(TRIM(_xlfn.XLOOKUP(A6,Щиты[Щит],Щиты[АВР],"")&amp;""))="да"),IFERROR(_xlfn.XLOOKUP(A6,Щиты[Щит],Щиты[Iр, А]),""),IFERROR(N(BS6)*_xlfn.XLOOKUP(A6,Щиты[Щит],Щиты[Кс итог])/(SQRT(3)*Uн_лин*_xlfn.XLOOKUP(A6,Щиты[Щит],Щиты[cos φ])),"")),IF(BV6=1,IFERROR(BS6*1000/BU6,""),IFERROR(_xlfn.IFS(BX6=1,BS6/((Uн_лин/SQRT(3))*CE6),BX6=3,BS6/(SQRT(3)*Uн_лин*CE6)),"")))))</f>
        <v>6.8370426614560946</v>
      </c>
      <c r="P6" s="7">
        <f>IF(B6="","",IFERROR(IF(VLOOKUP(BC6,Потребители_обозначение,4,FALSE)=1,VLOOKUP(BC6,Потребители_обозначение,3,FALSE)*(MAX(1,N(D6))*2-1)+EI6+VLOOKUP(BE6,Этаж_обозначение,3,FALSE)+VLOOKUP(BE6,Этаж_обозначение,4,FALSE),VLOOKUP(BC6,Потребители_обозначение,3,FALSE)*(MAX(1,N(D6))*2-1)+EI6),EI6))</f>
        <v>18</v>
      </c>
      <c r="Q6" s="6">
        <f t="shared" si="1"/>
        <v>1.2860288498727976</v>
      </c>
      <c r="R6" t="str">
        <f t="shared" si="2"/>
        <v>ВВГнг(А)-LS (3х2,5)</v>
      </c>
      <c r="S6" t="str">
        <f>IF(BM6="","",IF(BN6="вводной узел","узел ","")&amp;"л."&amp;(INT((BM6-1)/Столбцов_на_лист)+1)&amp;" / "&amp;(MOD(BM6-1,Столбцов_на_лист)+1))</f>
        <v>л.2 / 3</v>
      </c>
      <c r="T6" s="119">
        <f t="shared" si="3"/>
        <v>2.9</v>
      </c>
      <c r="U6" s="7" t="str">
        <f>IF(OR(CG6=0,N(BV6)+N(IB6)=0),"",ROUNDUP(Запас_БП*(N(HY6)+N(HZ6)),0))</f>
        <v/>
      </c>
      <c r="V6" s="119" t="str">
        <f t="shared" si="4"/>
        <v/>
      </c>
      <c r="W6" s="7">
        <f>IFERROR(IF(OR(B6="",BP6=1,BV6=1,NOT(ISNUMBER(EN6)),N(DT6)=0),"",MAX(0,ROUNDDOWN((c_min*(Uн_лин*1000/SQRT(3))/(HT6*N(DT6))-_xlfn.XLOOKUP(A6,Щиты[Щит],Щиты[Zпетли на шинах, Ом]))*EN6/(2*ρкз_Cu),0))),"")</f>
        <v>58</v>
      </c>
      <c r="Y6">
        <f>Линии[[#This Row],[_авто утечка]]</f>
        <v>30</v>
      </c>
      <c r="Z6">
        <v>1</v>
      </c>
      <c r="AA6">
        <v>230</v>
      </c>
      <c r="AB6" t="str">
        <f>Линии[[#This Row],[_авто группа Кс]]</f>
        <v>Быт</v>
      </c>
      <c r="AK6" t="str">
        <f>Линии[[#This Row],[_авто модуль]]</f>
        <v/>
      </c>
      <c r="AM6">
        <v>20</v>
      </c>
      <c r="AN6" t="s">
        <v>11</v>
      </c>
      <c r="AO6">
        <v>3</v>
      </c>
      <c r="BA6" cm="1">
        <f t="array" ref="BA6">ROW()-ROW(Линии[#Headers])</f>
        <v>4</v>
      </c>
      <c r="BC6" s="6" t="str">
        <f t="shared" si="5"/>
        <v>R</v>
      </c>
      <c r="BD6" t="str">
        <f t="shared" si="6"/>
        <v>0.004.1</v>
      </c>
      <c r="BE6" t="str">
        <f t="shared" si="7"/>
        <v>0</v>
      </c>
      <c r="BF6" t="str">
        <f t="shared" si="8"/>
        <v>004.1</v>
      </c>
      <c r="BG6" t="str">
        <f t="shared" si="9"/>
        <v>004</v>
      </c>
      <c r="BH6" t="str">
        <f>IF(X6&lt;&gt;"",X6,IF(AND(B6&lt;&gt;"",B6&lt;&gt;A6,ISNUMBER(_xlfn.XMATCH(B6,Щиты[Щит]))),B6,""))</f>
        <v/>
      </c>
      <c r="BI6" t="str" cm="1">
        <f t="array" ref="BI6">IF(B6="","",IF(BH6&lt;&gt;"","Щит "&amp;BH6,_xlfn.LET(_xlpm.nm,IFERROR(_xlfn.XLOOKUP(BC6,Коды_код,Коды_имя)&amp;"",""),_xlpm.md,IFERROR(N(_xlfn.XLOOKUP(BC6,Коды_код,Коды_режим)),1),_xlpm.ex,IF(Имя_режим="по экспликации",IFERROR(_xlfn.XLOOKUP(BE6&amp;"|"&amp;BG6,Экспликация[Этаж]&amp;"|"&amp;Экспликация[Помещение],Экспликация[Название])&amp;"",""),""),_xlpm.rm,IF(BG6="","",IF(_xlpm.ex&lt;&gt;"",". "&amp;_xlpm.ex&amp;IF(Имя_пом="нет"," ("&amp;BG6&amp;")"," (пом. "&amp;BG6&amp;")"),IF(Имя_пом="нет"," ",", пом. ")&amp;BG6)),IF(_xlpm.nm="","",IF(_xlpm.md=2,_xlpm.nm&amp;" шлейф "&amp;BE6,_xlpm.nm&amp;_xlpm.rm)))))</f>
        <v>Розеточная группа, пом. 004</v>
      </c>
      <c r="BJ6" t="str">
        <f t="shared" si="10"/>
        <v>Розетки техпомещения</v>
      </c>
      <c r="BK6">
        <f>IFERROR(_xlfn.XMATCH(A6,Щиты[Щит]),0)</f>
        <v>1</v>
      </c>
      <c r="BL6">
        <f>_xlfn.LET(_xlpm.k,IFERROR(_xlfn.XLOOKUP(A6,Щиты[Щит],Щиты[Мест под вводной узел]),""),IF(_xlpm.k="",Столбцов_на_лист,N(_xlpm.k)))</f>
        <v>4</v>
      </c>
      <c r="BM6">
        <f t="shared" si="11"/>
        <v>20</v>
      </c>
      <c r="BN6" t="str">
        <f t="shared" si="12"/>
        <v>линии</v>
      </c>
      <c r="BO6" s="6">
        <f>IFERROR(N(_xlfn.XLOOKUP(BC6,Коды_код,Коды_квт)),0)</f>
        <v>0.06</v>
      </c>
      <c r="BP6">
        <f t="shared" si="13"/>
        <v>0</v>
      </c>
      <c r="BQ6">
        <f>IF(B6="","",IF(BH6&lt;&gt;"",IFERROR(_xlfn.XLOOKUP(BH6,Щиты[Щит],Щиты[Руст, кВт]),0),IF(BP6=1,IF(OR(N(_xlfn.XLOOKUP(A6,Щиты[Щит],Щиты[Вводов],1))&lt;=1,LOWER(TRIM(_xlfn.XLOOKUP(A6,Щиты[Щит],Щиты[АВР],"")&amp;""))="да"),IFERROR(_xlfn.XLOOKUP(A6,Щиты[Щит],Щиты[Руст, кВт]),0),SUMIFS(Линии[_Р для вводов],Линии[Щит],A6,Линии[Источник для режимов],GF6)),IF(BO6&gt;0,ROUND(BO6*MAX(1,N(D6)),3),""))))</f>
        <v>0.12</v>
      </c>
      <c r="BR6">
        <f t="shared" si="14"/>
        <v>1.5</v>
      </c>
      <c r="BS6" s="6">
        <f>IF(B6="","",IF(BH6&lt;&gt;"",IFERROR(_xlfn.XLOOKUP(BH6,Щиты[Щит],Щиты[Руст, кВт]),0),N(BR6)))</f>
        <v>1.5</v>
      </c>
      <c r="BT6">
        <f>IF(B6="","",IFERROR(IF(VLOOKUP(BC6,Потребители_обозначение,8,FALSE)=0,"",VLOOKUP(BC6,Потребители_обозначение,8,FALSE)),""))</f>
        <v>230</v>
      </c>
      <c r="BU6">
        <f t="shared" si="15"/>
        <v>230</v>
      </c>
      <c r="BV6">
        <f t="shared" si="16"/>
        <v>0</v>
      </c>
      <c r="BW6">
        <f>IF(B6="","",IF(BH6&lt;&gt;"",3,IFERROR(IF(N(VLOOKUP(BC6,Потребители_обозначение,9,FALSE))=0,1,VLOOKUP(BC6,Потребители_обозначение,9,FALSE)),1)))</f>
        <v>1</v>
      </c>
      <c r="BX6">
        <f t="shared" si="17"/>
        <v>1</v>
      </c>
      <c r="BY6" t="str">
        <f>IF(B6="","",_xlfn.LET(_xlpm.bc,IFERROR(IF(VLOOKUP(BC6,Потребители_обозначение,6,FALSE)=0,"",VLOOKUP(BC6,Потребители_обозначение,6,FALSE)&amp;""),""),IF(AND(GA6="да",OR(_xlpm.bc="",_xlpm.bc="мс")),Марка_пож,IF(AND(_xlpm.bc="",BH6&lt;&gt;""),"мс",_xlpm.bc))))</f>
        <v>мс</v>
      </c>
      <c r="BZ6" t="str">
        <f t="shared" si="18"/>
        <v>мс</v>
      </c>
      <c r="CA6">
        <f>IF(B6="","",_xlfn.LET(_xlpm.cc,IFERROR(N(VLOOKUP(BC6,Потребители_обозначение,7,FALSE)),0),IF(_xlpm.cc&gt;0,_xlpm.cc,IF(BZ6="","",IF(BV6=1,2,IF(N(BX6)=3,5,3))))))</f>
        <v>3</v>
      </c>
      <c r="CB6">
        <f t="shared" si="19"/>
        <v>3</v>
      </c>
      <c r="CC6">
        <f>IFERROR(N(VLOOKUP(BC6,Потребители_обозначение,10,FALSE)),0)</f>
        <v>2.5</v>
      </c>
      <c r="CD6">
        <f>IFERROR(VLOOKUP(BC6,Потребители_обозначение,5,FALSE),0)</f>
        <v>1</v>
      </c>
      <c r="CE6" s="6" cm="1">
        <f t="array" ref="CE6">IF(B6="","",IF(BH6&lt;&gt;"",IFERROR(_xlfn.XLOOKUP(BH6,Щиты[Щит],Щиты[cos φ]),0.95),IF(BP6=1,IFERROR(_xlfn.XLOOKUP(A6,Щиты[Щит],Щиты[cos φ]),0.95),IF(ISNUMBER(AD6),AD6,IFERROR(IF(CD6=2,_xlfn.IFS(BX6=3,VLOOKUP(BS6,Справочная_двигатели,8,FALSE),BX6=1,VLOOKUP(BS6,Справочная_двигатели,10,TRUE)),IF(AND(Методика="нормы 2026",FG6="Сил"),0.8,0.95)),0.95)))))</f>
        <v>0.95</v>
      </c>
      <c r="CF6">
        <f t="shared" si="20"/>
        <v>0</v>
      </c>
      <c r="CG6">
        <f t="shared" si="21"/>
        <v>1</v>
      </c>
      <c r="CH6">
        <f t="shared" si="22"/>
        <v>0</v>
      </c>
      <c r="CI6">
        <f>IF(B6="","",IF(BV6=1,IFERROR(BS6/((Uн_лин/SQRT(3))*MAX(0.5,N(CE6))),0),N(O6)))</f>
        <v>6.8370426614560946</v>
      </c>
      <c r="CJ6">
        <f t="shared" si="23"/>
        <v>0</v>
      </c>
      <c r="CK6">
        <f t="shared" si="24"/>
        <v>0</v>
      </c>
      <c r="CL6">
        <f t="shared" si="25"/>
        <v>0</v>
      </c>
      <c r="CM6">
        <f t="shared" si="26"/>
        <v>0</v>
      </c>
      <c r="CN6">
        <f t="shared" si="27"/>
        <v>0</v>
      </c>
      <c r="CO6">
        <f>IF(BC6="",0,_xlfn.LET(_xlpm.v,IFERROR(_xlfn.XLOOKUP(B6,Коды_код,Коды_мА),IFERROR(_xlfn.XLOOKUP(BC6,Коды_код,Коды_мА),IFERROR(_xlfn.XLOOKUP(LEFT(BC6,2),Коды_код,Коды_мА),""))),IF(_xlpm.v="да",30,IF(ISNUMBER(_xlpm.v),_xlpm.v,0))))</f>
        <v>30</v>
      </c>
      <c r="CP6">
        <f t="shared" si="28"/>
        <v>30</v>
      </c>
      <c r="CQ6" t="str">
        <f>_xlfn.LET(_xlpm.k,IFERROR(_xlfn.XLOOKUP(BC6,Коды_код,Коды_утечка)&amp;"",""),IF(_xlpm.k="","дифавтомат",_xlpm.k))</f>
        <v>дифавтомат</v>
      </c>
      <c r="CR6" t="str" cm="1">
        <f t="array" ref="CR6">IF(CG6=0,"",_xlfn.LET(_xlpm.sg,TRIM(_xlfn.TEXTSPLIT(DD6&amp;"",";")),_xlpm.f_,_xlfn._xlws.FILTER(_xlpm.sg,LEFT(_xlpm.sg,3)="УЗО",""),IFERROR(INDEX(_xlpm.f_,1)&amp;"","")))</f>
        <v/>
      </c>
      <c r="CS6" t="str">
        <f t="shared" si="29"/>
        <v/>
      </c>
      <c r="CT6" s="6" t="str" cm="1">
        <f t="array" ref="CT6">IF(CR6="","",_xlfn.LET(_xlpm.tk,_xlfn.TEXTSPLIT(UPPER(CR6)," ",,TRUE),_xlpm.a_,_xlfn._xlws.FILTER(_xlpm.tk,ISNUMBER(--LEFT(_xlpm.tk,1))*((ISNUMBER(SEARCH("А",_xlpm.tk))+ISNUMBER(SEARCH("A",_xlpm.tk)))&gt;0)*NOT(ISNUMBER(SEARCH("МА",_xlpm.tk)))*NOT(ISNUMBER(SEARCH("MA",_xlpm.tk))),""),IFERROR(--SUBSTITUTE(SUBSTITUTE(INDEX(_xlpm.a_,1),"А",""),"A",""),"")))</f>
        <v/>
      </c>
      <c r="CU6" t="str" cm="1">
        <f t="array" ref="CU6">IF(CR6="","",_xlfn.LET(_xlpm.tk,_xlfn.TEXTSPLIT(UPPER(CR6)," ",,TRUE),_xlpm.a_,_xlfn._xlws.FILTER(_xlpm.tk,ISNUMBER(--LEFT(_xlpm.tk,1))*((ISNUMBER(SEARCH("МА",_xlpm.tk))+ISNUMBER(SEARCH("MA",_xlpm.tk)))&gt;0),""),IFERROR(--SUBSTITUTE(SUBSTITUTE(INDEX(_xlpm.a_,1),"МА",""),"MA",""),30)))</f>
        <v/>
      </c>
      <c r="CV6" t="str">
        <f>IF(CS6="","",IFERROR(_xlfn.XLOOKUP(CS6,Линии[_n],Линии[_УЗО, мА]),30))</f>
        <v/>
      </c>
      <c r="CW6">
        <f>IF(CS6="",0,IF(ISNUMBER(SEARCH("4P",IFERROR(_xlfn.XLOOKUP(CS6,Линии[_n],Линии[_УЗО строки])&amp;"",""))),0,1))</f>
        <v>0</v>
      </c>
      <c r="CX6" t="str">
        <f>IF(AND(CS6&lt;&gt;"",CS6=BA6),SUMIFS(Линии[_ток на 230 В],Линии[_блок УЗО],BA6,Линии[Щит],A6),"")</f>
        <v/>
      </c>
      <c r="CY6" t="str">
        <f>IF(AND(CS6&lt;&gt;"",CS6=BA6),SUMIFS(Линии[_ток утечки линии, мА],Линии[_блок УЗО],BA6,Линии[Щит],A6),"")</f>
        <v/>
      </c>
      <c r="CZ6">
        <f t="shared" si="30"/>
        <v>30</v>
      </c>
      <c r="DA6">
        <f t="shared" si="31"/>
        <v>30</v>
      </c>
      <c r="DB6">
        <f>IF(B6="",0,IFERROR(--_xlfn.XLOOKUP(B6,Коды_код,Коды_минавт),IFERROR(--_xlfn.XLOOKUP(BC6,Коды_код,Коды_минавт),IFERROR(--_xlfn.XLOOKUP(LEFT(BC6,2),Коды_код,Коды_минавт),0))))</f>
        <v>16</v>
      </c>
      <c r="DC6" t="str">
        <f>IF(B6="","",IFERROR(_xlfn.XLOOKUP(BC6,Коды_код,Коды_апп)&amp;"",""))</f>
        <v/>
      </c>
      <c r="DD6" t="str">
        <f t="shared" si="32"/>
        <v/>
      </c>
      <c r="DE6" t="str" cm="1">
        <f t="array" ref="DE6">IF(TRIM(DD6&amp;"")="","",IFERROR(TRIM(INDEX(_xlfn.TEXTSPLIT(DD6&amp;";;;",";"),1)),""))</f>
        <v/>
      </c>
      <c r="DF6" t="str" cm="1">
        <f t="array" ref="DF6">IF(TRIM(DD6&amp;"")="","",IFERROR(TRIM(INDEX(_xlfn.TEXTSPLIT(DD6&amp;";;;",";"),2)),""))</f>
        <v/>
      </c>
      <c r="DG6" t="str" cm="1">
        <f t="array" ref="DG6">IF(TRIM(DD6&amp;"")="","",IFERROR(TRIM(INDEX(_xlfn.TEXTSPLIT(DD6&amp;";;;",";"),3)),""))</f>
        <v/>
      </c>
      <c r="DH6">
        <f t="shared" si="33"/>
        <v>0</v>
      </c>
      <c r="DI6" t="str">
        <f>IF(B6="","",_xlfn.LET(_xlpm.t,LOWER(AZ6&amp;""),IF(ISNUMBER(SEARCH("dim",_xlpm.t)),"DIM",IF(ISNUMBER(SEARCH("dali",_xlpm.t)),"DALI",IF(OR(ISNUMBER(SEARCH("relay",_xlpm.t)),ISNUMBER(SEARCH("реле",_xlpm.t))),"Relay",IF(ISNUMBER(SEARCH("кнопк",_xlpm.t)),"",IFERROR(_xlfn.XLOOKUP(BC6,Коды_код,Коды_упр)&amp;"","")))))))</f>
        <v/>
      </c>
      <c r="DJ6" t="str">
        <f t="shared" si="34"/>
        <v/>
      </c>
      <c r="DK6">
        <f>IF(B6="","",_xlfn.LET(_xlpm.ig,IF(N(CX6)&gt;0,N(CX6),N(CI6)+IF(AJ6="вручную",0,N(CJ6))),_xlpm.n0,IFERROR(VLOOKUP(_xlpm.ig,Автомат_номиналы,2,TRUE),0),_xlpm.mn,MAX(DB6,IF(AJ6="вручную",0,N(CM6))),MAX(_xlpm.n0,_xlpm.mn,IF(DH6=1,Мин_автомат_БП,0))))</f>
        <v>16</v>
      </c>
      <c r="DL6">
        <f t="shared" si="35"/>
        <v>1</v>
      </c>
      <c r="DM6" t="str">
        <f t="shared" si="36"/>
        <v>2P</v>
      </c>
      <c r="DN6" t="str">
        <f>_xlfn.LET(_xlpm.cc,UPPER(TRIM(IFERROR(_xlfn.XLOOKUP(BC6,Коды_код,Коды_хар)&amp;"",""))),IF(OR(_xlpm.cc="B",_xlpm.cc="В"),"B",IF(_xlpm.cc="D","D","С")))</f>
        <v>С</v>
      </c>
      <c r="DO6" t="str">
        <f t="shared" si="37"/>
        <v>2P С16А 30мА</v>
      </c>
      <c r="DP6" t="str">
        <f t="shared" si="38"/>
        <v>2P С16А 30мА</v>
      </c>
      <c r="DQ6" t="str">
        <f t="shared" si="39"/>
        <v>2P С16А 30мА</v>
      </c>
      <c r="DR6" cm="1">
        <f t="array" ref="DR6">IF(DQ6="","",_xlfn.LET(_xlpm.t,SUBSTITUTE(SUBSTITUTE(SUBSTITUTE(UPPER(DQ6),"С","C"),"А","A"),"В","B"),_xlpm.tk,_xlfn.TEXTSPLIT(_xlpm.t," "),_xlpm.f,_xlfn._xlws.FILTER(_xlpm.tk,ISNUMBER(--MID(_xlpm.tk,2,1))*ISNUMBER(SEARCH(LEFT(_xlpm.tk,1)&amp;"#","B#C#D#"))*(LEN(_xlpm.tk)&gt;1),""),_xlpm.x,INDEX(_xlpm.f,1),IFERROR(--SUBSTITUTE(MID(_xlpm.x,2,9),"A",""),IFERROR(--SUBSTITUTE(INDEX(_xlfn._xlws.FILTER(_xlpm.tk,ISNUMBER(--SUBSTITUTE(_xlpm.tk,"A","")),""),1),"A",""),""))))</f>
        <v>16</v>
      </c>
      <c r="DS6" t="str">
        <f t="shared" si="40"/>
        <v>ok</v>
      </c>
      <c r="DT6">
        <f t="shared" si="41"/>
        <v>16</v>
      </c>
      <c r="DU6" t="str">
        <f t="shared" si="42"/>
        <v>2P С16А 30мА</v>
      </c>
      <c r="DV6">
        <f t="shared" si="43"/>
        <v>30</v>
      </c>
      <c r="DW6">
        <f t="shared" si="44"/>
        <v>1</v>
      </c>
      <c r="DX6">
        <f t="shared" si="45"/>
        <v>0</v>
      </c>
      <c r="DY6">
        <f t="shared" si="46"/>
        <v>6.8370426614560946</v>
      </c>
      <c r="DZ6">
        <f t="shared" si="47"/>
        <v>1</v>
      </c>
      <c r="EA6">
        <f>IF(ISNUMBER(AP6),AP6,К_прокл)</f>
        <v>1</v>
      </c>
      <c r="EB6">
        <f t="shared" si="48"/>
        <v>2</v>
      </c>
      <c r="EC6">
        <f>IFERROR(N(VLOOKUP(BZ6,Кабель_обозначение,3,FALSE)),1)</f>
        <v>1</v>
      </c>
      <c r="ED6">
        <f>IFERROR(N(_xlfn.XLOOKUP(A6,Щиты[Щит],Щиты[ΔU до шин, %])),0)</f>
        <v>0.3660288498727976</v>
      </c>
      <c r="EE6">
        <f>IFERROR(_xlfn.XLOOKUP(A6,Щиты[Щит],Щиты[Zпетли на шинах, Ом]),"")</f>
        <v>0.13597829354840207</v>
      </c>
      <c r="EF6">
        <f>IFERROR(N(_xlfn.XLOOKUP(A6,Щиты[Щит],Щиты[ΔU до шин (подбор), %])),0)</f>
        <v>0.3660288498727976</v>
      </c>
      <c r="EG6">
        <f>IFERROR(_xlfn.XLOOKUP(A6,Щиты[Щит],Щиты[Zпетли на шинах (подбор), Ом]),"")</f>
        <v>0.13597829354840207</v>
      </c>
      <c r="EH6" t="str">
        <f t="shared" si="49"/>
        <v/>
      </c>
      <c r="EI6">
        <f t="shared" si="50"/>
        <v>12</v>
      </c>
      <c r="EJ6">
        <f t="shared" si="51"/>
        <v>2</v>
      </c>
      <c r="EK6">
        <f t="shared" si="52"/>
        <v>0.31</v>
      </c>
      <c r="EL6" s="6">
        <f>IF(B6="","",IF(BV6=1,dU_LED,IF(IFERROR(_xlfn.XLOOKUP(BC6,Коды_код,Коды_уго),"")="Светильник",3,4)+IF(Методика="нормы 2026",MIN(0.5,MAX(0,N(P6)-100)*0.005),0)))</f>
        <v>4</v>
      </c>
      <c r="EM6" cm="1">
        <f t="array" ref="EM6">IF(OR(B6="",BZ6="",EC6&lt;&gt;1),"",_xlfn.LET(_xlpm.sz,Iдоп_S,_xlpm.t_,CHOOSE(EB6,Iдоп_1ж,Iдоп_2ж,Iдоп_3ж)*DZ6*EA6,_xlpm.dcx,BV6=1,_xlpm.inn,IF(_xlpm.dcx,N(O6),N(DT6)),_xlpm.smin,MAX(1.5,CC6),_xlpm.L_,N(P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6)/N(BU6)*100,999),IFERROR(N(EJ6)*(_xlpm.rho*_xlpm.L_/_xlpm.sz*N(CE6)+_xlpm.xx*_xlpm.L_*N(EK6)/1000)*N(O6)/((Uн_лин/SQRT(3))*1000)*100,999)),_xlpm.kz,IF(OR(_xlpm.dcx,DW6=1,NOT(ISNUMBER(EG6)),_xlpm.L_=0,_xlpm.inn=0),1,IFERROR(--(c_min*(Uн_лин*1000/SQRT(3))/(EG6+2*ρкз_Cu*_xlpm.L_/_xlpm.sz)&gt;=HT6*_xlpm.inn),0)),_xlpm.ok,IFERROR((_xlpm.sz&gt;=_xlpm.smin)*(_xlpm.t_&gt;=_xlpm.inn)*IF(_xlpm.L_&gt;0,(_xlpm.du_+IF(_xlpm.dcx,0,EF6)&lt;=EL6+0.00001),1)*_xlpm.kz,0),_xlpm.r_,_xlfn._xlws.FILTER(_xlpm.sz,_xlpm.ok,"не подобрано"),INDEX(_xlpm.r_,1)))</f>
        <v>2.5</v>
      </c>
      <c r="EN6">
        <f t="shared" si="53"/>
        <v>2.5</v>
      </c>
      <c r="EO6" cm="1">
        <f t="array" ref="EO6">IF(OR(B6="",BZ6="",EC6&lt;&gt;1),"",_xlfn.LET(_xlpm.sz,Iдоп_S,_xlpm.t_,CHOOSE(EB6,Iдоп_1ж,Iдоп_2ж,Iдоп_3ж)*DZ6*EA6,_xlpm.ok,IFERROR((_xlpm.sz&gt;=MAX(1.5,CC6))*(_xlpm.t_&gt;=N(DT6)),0),_xlpm.r_,_xlfn._xlws.FILTER(_xlpm.sz,_xlpm.ok,""),INDEX(_xlpm.r_,1)))</f>
        <v>2.5</v>
      </c>
      <c r="EP6" s="6" cm="1">
        <f t="array" ref="EP6">IFERROR(ROUNDUP(N(EJ6)*(_xlfn.XLOOKUP(EO6,INDEX(Кабель_сопротивление,0,1),INDEX(Кабель_сопротивление,0,3))*N(P6)/EO6*N(CE6)+_xlfn.XLOOKUP(EO6,INDEX(Кабель_сопротивление,0,1),INDEX(Кабель_сопротивление,0,2))*N(P6)*N(EK6)/1000)*N(O6)/((Uн_лин/SQRT(3))*1000)*100,2),"")</f>
        <v>0.92</v>
      </c>
      <c r="EQ6">
        <f>IFERROR(2*ρкз_Cu*N(P6)/EO6,"")</f>
        <v>0.37872</v>
      </c>
      <c r="ER6">
        <f>IFERROR(VLOOKUP(EN6,Кабель_сопротивление,3,FALSE),"")</f>
        <v>2.2499999999999999E-2</v>
      </c>
      <c r="ES6">
        <f>IFERROR(VLOOKUP(EN6,Кабель_сопротивление,2,FALSE),"")</f>
        <v>0.1</v>
      </c>
      <c r="ET6" t="str">
        <f t="shared" si="54"/>
        <v/>
      </c>
      <c r="EU6" t="str">
        <f t="shared" si="55"/>
        <v/>
      </c>
      <c r="EV6">
        <f t="shared" si="56"/>
        <v>2.1120718708063708</v>
      </c>
      <c r="EW6" s="6">
        <f>IFERROR(ROUNDUP(EV6/IF(BV6=1,BU6,(Uн_лин/SQRT(3))*1000)*100,2),"")</f>
        <v>0.92</v>
      </c>
      <c r="EX6" t="str">
        <f>IFERROR(VLOOKUP(BZ6,Кабель_обозначение,2,FALSE),"")</f>
        <v>ВВГнг(А)-LS</v>
      </c>
      <c r="EY6" t="str">
        <f t="shared" si="57"/>
        <v>ВВГнг(А)-LS (3х2,5)</v>
      </c>
      <c r="EZ6" t="str">
        <f t="shared" si="58"/>
        <v>ВВГнг(А)-LS (3х2,5)
L=18-0,92%</v>
      </c>
      <c r="FA6">
        <f>IFERROR(2*ρкз_Cu*P6/EN6,"")</f>
        <v>0.37872</v>
      </c>
      <c r="FB6">
        <f t="shared" si="59"/>
        <v>0.12600000000000003</v>
      </c>
      <c r="FC6" s="6">
        <f>IFERROR(IF(OR(B6="",BV6=1,NOT(ISNUMBER(EN6)),N(P6)=0),"",_xlfn.XLOOKUP(A6,Щиты[Щит],Щиты[Zпетли на шинах, Ом])+FA6),"")</f>
        <v>0.51469829354840213</v>
      </c>
      <c r="FD6" s="6">
        <f>IF(ISNUMBER(FC6),c_min*(Uн_лин*1000/SQRT(3))/FC6,"")</f>
        <v>426.25574058062443</v>
      </c>
      <c r="FE6" s="6">
        <f>IFERROR(IF(OR(B6="",NOT(ISNUMBER(EN6))),"",1.05*(Uн_лин*1000/SQRT(3))/(_xlfn.XLOOKUP(A6,Щиты[Щит],Щиты[Zmax на шинах, Ом])+FB6)/1000),"")</f>
        <v>1.4488647946034863</v>
      </c>
      <c r="FF6" s="6" t="str">
        <f>IF(B6="","",IF(ISNUMBER(AC6),"Сил",IF(IFERROR(_xlfn.XLOOKUP(BC6,Коды_код,Коды_группа)&amp;"","")="","Быт",_xlfn.XLOOKUP(BC6,Коды_код,Коды_группа)&amp;"")))</f>
        <v>Быт</v>
      </c>
      <c r="FG6" s="6" t="str">
        <f t="shared" si="60"/>
        <v>Быт</v>
      </c>
      <c r="FH6" s="6">
        <f>IF(FG6="Щит","щит",IF(FG6="","",IF(FG6="Быт",IFERROR(_xlfn.XLOOKUP(A6,Щиты[Щит],Щиты[Кс быт]),1),IF(FG6="Сил",IF(ISNUMBER(AC6),AC6,IF(Методика="нормы 2026",IFERROR(_xlfn.XLOOKUP(A6,Щиты[Щит],Щиты[Кс силовых (табл. 7.5)]),1),1)),IF(OR(FG6="Пост",FG6="Отоп"),1,IF(FG6="ВНГ",0.7,0))))))</f>
        <v>0.74050000000000005</v>
      </c>
      <c r="FI6">
        <f>IF(FG6="","",IF(AND(BP6=1,TRIM(AE6&amp;"")=""),IF(COUNTIFS(Линии[Щит],A6,Линии[Секция (1/2/3)],"&gt;=2")&gt;0,MIN(3,MAX(1,IFERROR(--BD6,1))),1),IFERROR(MIN(3,MAX(1,INT(--AE6))),1)))</f>
        <v>1</v>
      </c>
      <c r="FJ6">
        <f t="shared" si="61"/>
        <v>1.5</v>
      </c>
      <c r="FK6">
        <f t="shared" si="62"/>
        <v>1.5</v>
      </c>
      <c r="FL6">
        <f t="shared" si="63"/>
        <v>0</v>
      </c>
      <c r="FM6">
        <f t="shared" si="64"/>
        <v>0</v>
      </c>
      <c r="FN6">
        <f t="shared" si="65"/>
        <v>0</v>
      </c>
      <c r="FO6">
        <f t="shared" si="66"/>
        <v>0</v>
      </c>
      <c r="FP6">
        <f t="shared" si="67"/>
        <v>1.5</v>
      </c>
      <c r="FQ6">
        <f t="shared" si="68"/>
        <v>1.5</v>
      </c>
      <c r="FR6">
        <f t="shared" si="69"/>
        <v>1.4249999999999998</v>
      </c>
      <c r="FS6">
        <f>IF(CG6=1,IF(AND(CH6=1,CW6=1),0,IF(AND(CS6&lt;&gt;"",CS6=BA6,CW6=1),SUMIFS(Линии[_Р линии, кВт],Линии[_блок УЗО],BA6,Линии[Щит],A6),N(BS6)+IF(AJ6="вручную",0,N(CK6)))),0)</f>
        <v>1.5</v>
      </c>
      <c r="FT6" t="str">
        <f t="shared" si="70"/>
        <v/>
      </c>
      <c r="FU6" t="str">
        <f>IF(B6="","",IF(CG6=0,IF(BA6=1,"",FW5),IF(AND(CH6=1,CW6=1,CS6&lt;&gt;""),IFERROR(_xlfn.XLOOKUP(CS6,Линии[_n],Линии[_фаза итог]),"L1"),IF(OR(N(DL6)&gt;=3,N(BX6)&gt;=3),"L1,L2,L3",IFERROR(_xlfn.TEXTBEFORE(_xlfn.TEXTAFTER(_xlfn.XLOOKUP(A6,Щиты[Щит],Щиты[_фазы авто]),";"&amp;BA6&amp;":"),";"),"L1")))))</f>
        <v>L3</v>
      </c>
      <c r="FV6" t="str">
        <f t="shared" si="71"/>
        <v>L3</v>
      </c>
      <c r="FW6" t="str">
        <f t="shared" si="72"/>
        <v>L3</v>
      </c>
      <c r="FX6" cm="1">
        <f t="array" ref="FX6">IFERROR(IF(CD6=2,_xlfn.IFS(BX6=3,VLOOKUP(BS6,Справочная_двигатели,3,FALSE),BX6=1,VLOOKUP(BS6,Справочная_двигатели,5,TRUE)),0),0)</f>
        <v>0</v>
      </c>
      <c r="FY6">
        <f>IFERROR(IF(CD6=3,VLOOKUP(BS6,Справочная_ЛЭД,2,TRUE),0),0)</f>
        <v>0</v>
      </c>
      <c r="FZ6" s="6">
        <f t="shared" si="73"/>
        <v>0</v>
      </c>
      <c r="GA6" t="str">
        <f>IF(B6="","",IF(TRIM(AH6&amp;"")&lt;&gt;"",IF(LOWER(TRIM(AH6&amp;""))="да","да","нет"),IF(IFERROR(_xlfn.XLOOKUP(BC6,Коды_код,Коды_пожарная),"")="да","да","нет")))</f>
        <v>нет</v>
      </c>
      <c r="GB6" t="str">
        <f t="shared" si="74"/>
        <v/>
      </c>
      <c r="GC6" t="str">
        <f t="shared" si="75"/>
        <v>основная</v>
      </c>
      <c r="GD6">
        <f>IF(AND(BP6=1,TRIM(AE6&amp;"")=""),IF(COUNTIFS(Линии[Щит],A6,Линии[Секция (1/2/3)],"&gt;=2")&gt;0,MIN(3,MAX(1,IFERROR(--BD6,1))),1),IFERROR(MIN(3,MAX(1,INT(--AE6))),1))</f>
        <v>1</v>
      </c>
      <c r="GE6" t="str" cm="1">
        <f t="array" ref="GE6">IF(B6="","",_xlfn.LET(_xlpm.t,IFERROR(_xlfn.XLOOKUP(1,(Шины[Шина]=GC6)*(((Шины[Щит]=A6)+(Шины[Щит]=""))&gt;0),Шины[Тип]),"")&amp;"",IF(_xlpm.t&lt;&gt;"",_xlpm.t,IF(ISNUMBER(SEARCH("ИБП",GC6)),"ИБП",IF(ISNUMBER(SEARCH("ДГУ",GC6)),"ДГУ","Ввод "&amp;GD6)))))</f>
        <v>Ввод 1</v>
      </c>
      <c r="GF6" t="str">
        <f t="shared" si="76"/>
        <v>Ввод 1</v>
      </c>
      <c r="GG6" t="str">
        <f>IF(BP6=0,"",IF(TRIM(AG6&amp;"")&lt;&gt;"",TRIM(AG6&amp;""),IF(OR(GE6="ИБП",GE6="ДГУ"),"I особая",_xlfn.XLOOKUP(A6,Щиты[Щит],Щиты[Категория шины «Ввод»],"III"))))</f>
        <v/>
      </c>
      <c r="GH6" t="str">
        <f>IF(A6="","",_xlfn.XLOOKUP(A6,Щиты[Щит],Щиты[Путь],""))</f>
        <v>|ВРУ|</v>
      </c>
      <c r="GI6" t="str">
        <f>IF(B6="","",IF(AI6&lt;&gt;"",AI6,IF(IFERROR(_xlfn.XLOOKUP(BC6,Коды_код,Коды_вид)&amp;"","")="","Прочее",_xlfn.XLOOKUP(BC6,Коды_код,Коды_вид)&amp;"")))</f>
        <v>Розеточная сеть и бытовые приборы</v>
      </c>
      <c r="GJ6">
        <f>IF(BM6="","",INT((BM6-1)/Столбцов_на_лист)+1)</f>
        <v>2</v>
      </c>
      <c r="GK6" t="str">
        <f t="shared" si="77"/>
        <v>ВВГнг(А)-LS (3х2,5) L=18-0,92%</v>
      </c>
      <c r="GL6">
        <f t="shared" si="78"/>
        <v>1.5</v>
      </c>
      <c r="GM6">
        <f t="shared" si="79"/>
        <v>6.84</v>
      </c>
      <c r="GN6">
        <f t="shared" si="80"/>
        <v>1</v>
      </c>
      <c r="GO6">
        <f t="shared" si="81"/>
        <v>0</v>
      </c>
      <c r="GP6">
        <f t="shared" si="82"/>
        <v>1</v>
      </c>
      <c r="GQ6">
        <f>IF(BM6="","",IF(AND(CG6=1,GP6=1),COUNTIFS(A$3:A6,A6,CG$3:CG6,1,GP$3:GP6,1),IF(OR(OR(BA6=1,A6&lt;&gt;A5),AJ6="вручную",GP6=0),"",IF(BA6=1,"",GR5))))</f>
        <v>2</v>
      </c>
      <c r="GR6">
        <f t="shared" si="83"/>
        <v>2</v>
      </c>
      <c r="GS6">
        <f>IF(B6="","",IFERROR(LOOKUP(INDEX(CHOOSE(EB6,Iдоп_1ж,Iдоп_2ж,Iдоп_3ж),MATCH(EN6,Iдоп_S,0))*DZ6*EA6,{6,10,16,20,25,32,40,50,63,80,100,125,160,200,250,315,400,500,630}),""))</f>
        <v>25</v>
      </c>
      <c r="GT6" t="str">
        <f t="shared" si="84"/>
        <v>QFD2</v>
      </c>
      <c r="GU6" t="str">
        <f t="shared" si="85"/>
        <v>QFD2</v>
      </c>
      <c r="GV6" t="str">
        <f t="shared" si="86"/>
        <v/>
      </c>
      <c r="GW6">
        <f t="shared" si="87"/>
        <v>0</v>
      </c>
      <c r="GX6" t="str">
        <f>IF(OR(B6="",DJ6=""),"",IFERROR(_xlfn.XLOOKUP(DJ6,Модули_умолч[Управление],Модули_умолч[Модель])&amp;"",""))</f>
        <v/>
      </c>
      <c r="GY6">
        <f>IF(DJ6="",1,IFERROR(MAX(0,N(_xlfn.XLOOKUP(DJ6,Модули_умолч[Управление],Модули_умолч[Каналов на линию]))),1))</f>
        <v>1</v>
      </c>
      <c r="GZ6" t="str">
        <f t="shared" si="88"/>
        <v/>
      </c>
      <c r="HA6" t="str">
        <f t="shared" si="89"/>
        <v/>
      </c>
      <c r="HB6" t="str">
        <f t="shared" si="90"/>
        <v/>
      </c>
      <c r="HC6">
        <f>IF(HB6="",0,IFERROR(N(VLOOKUP(HB6,Модули_спр,3,FALSE)),0))</f>
        <v>0</v>
      </c>
      <c r="HD6" t="str">
        <f t="shared" si="91"/>
        <v/>
      </c>
      <c r="HE6" t="str">
        <f t="shared" si="92"/>
        <v/>
      </c>
      <c r="HF6" t="str">
        <f>IF(OR(HE6="",HE6="-"),"",IFERROR(VLOOKUP(HE6,Модули_спр,2,FALSE),"R"))</f>
        <v/>
      </c>
      <c r="HG6" t="str">
        <f>IF(HF6="","",HF6&amp;"."&amp;COUNTIFS(A$3:A6,A6,HF$3:HF6,HF6))</f>
        <v/>
      </c>
      <c r="HH6" t="str">
        <f t="shared" si="93"/>
        <v/>
      </c>
      <c r="HI6" t="str">
        <f t="shared" si="94"/>
        <v/>
      </c>
      <c r="HJ6" t="str">
        <f t="shared" si="95"/>
        <v/>
      </c>
      <c r="HK6" t="str">
        <f t="shared" si="96"/>
        <v/>
      </c>
      <c r="HL6">
        <f t="shared" si="97"/>
        <v>1</v>
      </c>
      <c r="HM6" t="str">
        <f>IF(HL6=1,"XT"&amp;COUNTIFS(A$3:A6,A6,HL$3:HL6,1),"")</f>
        <v>XT2</v>
      </c>
      <c r="HN6" t="str">
        <f t="shared" si="98"/>
        <v>XT2</v>
      </c>
      <c r="HO6" t="str">
        <f t="shared" si="99"/>
        <v>QFD2</v>
      </c>
      <c r="HP6" t="str">
        <f t="shared" si="100"/>
        <v/>
      </c>
      <c r="HQ6" t="str">
        <f t="shared" si="101"/>
        <v>ok</v>
      </c>
      <c r="HR6" t="str">
        <f>IF(OR(HJ6="",HH6=""),"",IF(HJ6+MAX(0,GY6-1)&gt;IFERROR(VLOOKUP(HI6,Модули_спр,3,FALSE),99),"ЛИШНИЙ КАНАЛ",IF(AND(AL6&lt;&gt;"=",GY6&gt;0,COUNTIFS(Линии[_модуль гр.],HH6,Линии[Канал (итог)],HJ6,Линии[Канал],"&lt;&gt;=",Линии[Щит],A6)&gt;1),"ДУБЛЬ КАНАЛА","")))</f>
        <v/>
      </c>
      <c r="HS6" s="6">
        <f t="shared" si="102"/>
        <v>26.640983786289027</v>
      </c>
      <c r="HT6">
        <f t="shared" si="103"/>
        <v>10</v>
      </c>
      <c r="HU6" t="str">
        <f t="shared" si="104"/>
        <v>ok</v>
      </c>
      <c r="HV6">
        <f t="shared" si="105"/>
        <v>2.9148170645824383</v>
      </c>
      <c r="HW6">
        <f t="shared" si="106"/>
        <v>0</v>
      </c>
      <c r="HX6">
        <f t="shared" si="107"/>
        <v>0</v>
      </c>
      <c r="HY6">
        <f t="shared" si="108"/>
        <v>0</v>
      </c>
      <c r="HZ6">
        <f t="shared" si="109"/>
        <v>0</v>
      </c>
      <c r="IA6">
        <f t="shared" si="110"/>
        <v>0</v>
      </c>
      <c r="IB6">
        <f t="shared" si="111"/>
        <v>0</v>
      </c>
      <c r="IC6" t="str">
        <f t="shared" si="112"/>
        <v/>
      </c>
      <c r="ID6" t="str" cm="1">
        <f t="array" ref="ID6">IF(IC6="","",_xlfn.LET(_xlpm.tk,_xlfn.TEXTSPLIT(SUBSTITUTE(SUBSTITUTE(IC6,";"," "),"→"," ")," ",,TRUE),_xlpm.w_,_xlfn._xlws.FILTER(_xlpm.tk,ISNUMBER(--LEFT(_xlpm.tk,1))*((ISNUMBER(SEARCH("W",_xlpm.tk))+ISNUMBER(SEARCH("Вт",_xlpm.tk)))&gt;0),""),IFERROR(--SUBSTITUTE(SUBSTITUTE(UPPER(INDEX(_xlpm.w_,1)),"W",""),"ВТ",""),"")))</f>
        <v/>
      </c>
      <c r="IE6" t="str" cm="1">
        <f t="array" ref="IE6">IF(IC6="","",_xlfn.LET(_xlpm.tk,_xlfn.TEXTSPLIT(SUBSTITUTE(SUBSTITUTE(IC6,";"," "),"→"," ")," ",,TRUE),_xlpm.v_,_xlfn._xlws.FILTER(_xlpm.tk,ISNUMBER(--LEFT(_xlpm.tk,1))*((ISNUMBER(SEARCH("V",_xlpm.tk))+(RIGHT(UPPER(_xlpm.tk))="В"))&gt;0),""),IFERROR(--SUBSTITUTE(SUBSTITUTE(UPPER(INDEX(_xlpm.v_,1)),"V",""),"В",""),"")))</f>
        <v/>
      </c>
      <c r="IF6" s="6" t="str">
        <f>IF(OR(BV6=0,HI6="",HJ6=""),"",IFERROR(N(_xlfn.XLOOKUP(HI6,Каталог!$C$4:$C$500,Каталог!$Q$4:$Q$500)),""))</f>
        <v/>
      </c>
      <c r="IG6" s="6" t="str">
        <f>IF(N(IF6)=0,"",SUMIFS(Линии[Iр, А],Линии[Щит],A6,Линии[_модуль гр.],HH6,Линии[Канал (итог)],HJ6))</f>
        <v/>
      </c>
      <c r="IH6" t="str">
        <f>IF(AND(B6="",HO6=""),"",_xlfn.TEXTJOIN("; ",TRUE,IF(AND(B6&lt;&gt;"",FV6=""),"нет фазы",""),IF(AND(B6&lt;&gt;"",N(GL6)=0,FG6&lt;&gt;"Нет"),"нет мощности",""),IF(AND(HN6&lt;&gt;"",COUNTIFS(Линии[Щит],A6,Линии[Клемма (итог)],HN6)&gt;1),"дубль клеммы "&amp;HN6,""),IF(AND(HQ6&lt;&gt;"",HQ6&lt;&gt;"ok"),HQ6,""),IF(HR6&lt;&gt;"",HR6,""),IF(AND(N(CB6)&gt;=4,N(BX6)=1),CB6&amp;" жил на 1 фазе",""),IF(AND(BC6="R",CG6=1,IF(CS6&lt;&gt;"",N(CV6)&gt;30,OR(N(DA6)=0,N(DA6)&gt;30))),"розетка без дифзащиты до 30 мА",""),IF(AND(CG6=1,N(DA6)&gt;0,ISNUMBER(T6)),IF(T6&gt;N(DA6)/3,"ток утечки "&amp;FIXED(T6,1)&amp;" мА &gt; 1/3 уставки ("&amp;DA6&amp;" мА)",""),""),IF(AND(CH6=1,CS6=""),"«узо»: нет строки с УЗО выше (УЗО 2P 40А 30мА в «Аппаратах»)",""),IF(AND(CS6&lt;&gt;"",CS6=BA6),IF(CT6="","впишите номинал УЗО (УЗО 2P 40А 30мА)",IF(N(CT6)&lt;N(DT6),"УЗО "&amp;CT6&amp;" А &lt; автомата "&amp;DT6&amp;" А перед ним",IF(N(CT6)&lt;N(CX6),"УЗО "&amp;CT6&amp;" А &lt; тока блока "&amp;FIXED(CX6,1)&amp;" А",""))),""),IF(AND(CS6&lt;&gt;"",CS6=BA6,ISNUMBER(CY6)),IF(CY6&gt;N(CV6)/3,"ток утечки блока УЗО "&amp;FIXED(CY6,1)&amp;" мА &gt; 1/3 уставки ("&amp;CV6&amp;" мА)",""),""),IF(AND(CG6=1,N(BV6)+N(IB6)&gt;0,IC6=""),"линии до 50 В без БП: впишите в «Аппараты» (БП 24V 480W)",""),IF(AND(CG6=1,ISNUMBER(ID6),ISNUMBER(U6)),IF(U6&gt;ID6,"БП "&amp;ID6&amp;" Вт &lt; нужно "&amp;U6&amp;" Вт (×"&amp;Запас_БП&amp;")",""),""),IF(AND(CG6=1,ISNUMBER(IE6),N(BV6)=1),IF(IE6&lt;&gt;N(BU6),"БП на "&amp;IE6&amp;" В, линия "&amp;BU6&amp;" В",""),""),IF(AND(N(IF6)&gt;0,N(IG6)&gt;N(IF6)),HH6&amp;" канал "&amp;HJ6&amp;": "&amp;FIXED(IG6,1)&amp;" А &gt; "&amp;IF6&amp;" А",""),IFERROR(IF(AND(ISNUMBER(Q6),Q6&gt;EL6),"потери "&amp;FIXED(Q6,1)&amp;" % &gt; "&amp;EL6&amp;" %",""),""),IFERROR(IF(LEFT(HU6,4)="мало","Iкз мало — отключение &gt; 0,4 с",""),""),IF(AND(B6&lt;&gt;"",BM6=""),"не на схеме",""),IF(AND(CG6=0,B6&lt;&gt;"",FV6&lt;&gt;"",IF(BA6=1,"",FW5)&lt;&gt;"",FV6&lt;&gt;IF(BA6=1,"",FW5)),"фаза не как у автомата группы ("&amp;IF(BA6=1,"",FW5)&amp;")","")))</f>
        <v/>
      </c>
      <c r="II6" s="6">
        <f>IF(OR(CG6=0,DQ6=""),"",_xlfn.LET(_xlpm.t,IFERROR(_xlfn.XLOOKUP(DQ6,Каталог!$U$4:$U$500,Каталог!$G$4:$G$500),""),_xlpm.k,SEARCH("кА",_xlpm.t),IFERROR(--TRIM(RIGHT(SUBSTITUTE(MID(_xlpm.t,MAX(1,_xlpm.k-4),_xlpm.k-MAX(1,_xlpm.k-4))," ",REPT(" ",9)),5)),"")))</f>
        <v>6</v>
      </c>
      <c r="IJ6" t="str">
        <f>IF(OR(II6="",CG6=0),"",IF(_xlfn.XLOOKUP(A6,Щиты[Щит],Щиты[Iкз max на шинах, кА],"")="","",IF(II6&lt;_xlfn.XLOOKUP(A6,Щиты[Щит],Щиты[Iкз max на шинах, кА]),"Icu "&amp;II6&amp;" кА &lt; Iкз max","ok")))</f>
        <v>ok</v>
      </c>
      <c r="IK6" t="str">
        <f t="shared" si="113"/>
        <v/>
      </c>
      <c r="IL6" t="str">
        <f t="shared" si="114"/>
        <v>QFD2|XT2</v>
      </c>
      <c r="IM6" t="str">
        <f t="shared" si="115"/>
        <v>QFD2|XT2|кабель ВВГнг(А)-LS (3х2,5) → Розетки техпомещения</v>
      </c>
      <c r="IN6" t="str" cm="1">
        <f t="array" ref="IN6">IF(IM6="","",_xlfn.LET(_xlpm.nd,_xlfn.TEXTSPLIT(IM6,"|"),IF(COLUMNS(_xlpm.nd)&gt;1,A6&amp;"¦"&amp;INDEX(_xlpm.nd,1)&amp;"¦"&amp;INDEX(_xlpm.nd,2),"")))</f>
        <v>ВРУ¦QFD2¦XT2</v>
      </c>
      <c r="IO6" t="str">
        <f t="shared" si="116"/>
        <v>R.0.004.1¦Розетки техпомещения</v>
      </c>
      <c r="IP6" t="str" cm="1">
        <f t="array" ref="IP6">IF(IM6="","",_xlfn.LET(_xlpm.nd,_xlfn.TEXTSPLIT(IM6,"|"),IF(COLUMNS(_xlpm.nd)&gt;2,A6&amp;"¦"&amp;INDEX(_xlpm.nd,2)&amp;"¦"&amp;INDEX(_xlpm.nd,3),"")))</f>
        <v>ВРУ¦XT2¦кабель ВВГнг(А)-LS (3х2,5) → Розетки техпомещения</v>
      </c>
      <c r="IQ6" t="str">
        <f t="shared" si="117"/>
        <v>R.0.004.1¦Розетки техпомещения</v>
      </c>
      <c r="IR6" t="str" cm="1">
        <f t="array" ref="IR6">IF(IM6="","",_xlfn.LET(_xlpm.nd,_xlfn.TEXTSPLIT(IM6,"|"),IF(COLUMNS(_xlpm.nd)&gt;3,A6&amp;"¦"&amp;INDEX(_xlpm.nd,3)&amp;"¦"&amp;INDEX(_xlpm.nd,4),"")))</f>
        <v/>
      </c>
      <c r="IS6" t="str">
        <f t="shared" si="118"/>
        <v/>
      </c>
      <c r="IT6" t="str" cm="1">
        <f t="array" ref="IT6">IF(IM6="","",_xlfn.LET(_xlpm.nd,_xlfn.TEXTSPLIT(IM6,"|"),IF(COLUMNS(_xlpm.nd)&gt;4,A6&amp;"¦"&amp;INDEX(_xlpm.nd,4)&amp;"¦"&amp;INDEX(_xlpm.nd,5),"")))</f>
        <v/>
      </c>
      <c r="IU6" t="str">
        <f t="shared" si="119"/>
        <v/>
      </c>
      <c r="IV6" t="str" cm="1">
        <f t="array" ref="IV6">IF(IM6="","",_xlfn.LET(_xlpm.nd,_xlfn.TEXTSPLIT(IM6,"|"),IF(COLUMNS(_xlpm.nd)&gt;5,A6&amp;"¦"&amp;INDEX(_xlpm.nd,5)&amp;"¦"&amp;INDEX(_xlpm.nd,6),"")))</f>
        <v/>
      </c>
      <c r="IW6" t="str">
        <f t="shared" si="120"/>
        <v/>
      </c>
      <c r="IX6" t="str" cm="1">
        <f t="array" ref="IX6">IF(IM6="","",_xlfn.LET(_xlpm.nd,_xlfn.TEXTSPLIT(IM6,"|"),IF(COLUMNS(_xlpm.nd)&gt;6,A6&amp;"¦"&amp;INDEX(_xlpm.nd,6)&amp;"¦"&amp;INDEX(_xlpm.nd,7),"")))</f>
        <v/>
      </c>
      <c r="IY6" t="str">
        <f t="shared" si="121"/>
        <v/>
      </c>
      <c r="IZ6" t="str">
        <f t="shared" si="122"/>
        <v/>
      </c>
      <c r="JA6" t="str">
        <f t="shared" si="123"/>
        <v>QFD2 → XT2</v>
      </c>
      <c r="JB6">
        <f t="shared" si="124"/>
        <v>0</v>
      </c>
      <c r="JC6">
        <f t="shared" si="125"/>
        <v>1</v>
      </c>
      <c r="JD6" t="str">
        <f t="shared" si="126"/>
        <v/>
      </c>
      <c r="JE6" t="str">
        <f t="shared" si="127"/>
        <v/>
      </c>
      <c r="JF6" t="str">
        <f t="shared" si="128"/>
        <v/>
      </c>
      <c r="JG6" t="str">
        <f t="shared" si="129"/>
        <v/>
      </c>
      <c r="JH6" t="str">
        <f>IF(B6="","",IFERROR(_xlfn.XLOOKUP(B6,Коды_код,Коды_уго),IFERROR(_xlfn.XLOOKUP(BC6,Коды_код,Коды_уго),IFERROR(_xlfn.XLOOKUP(LEFT(BC6,2),Коды_код,Коды_уго),""))))</f>
        <v>Розетка</v>
      </c>
      <c r="JI6" t="str">
        <f>IF(B6="","",IF(OR(JH6="",JH6=0),"BOX",IFERROR(IF(VLOOKUP(JH6,УГО_блоки,3,FALSE)&amp;""&lt;&gt;"",VLOOKUP(JH6,УГО_блоки,3,FALSE),VLOOKUP(JH6,УГО_блоки,2,FALSE)),JH6)))</f>
        <v>SOCKET</v>
      </c>
      <c r="JJ6">
        <f t="shared" si="130"/>
        <v>1</v>
      </c>
      <c r="JK6">
        <f>IF(DQ6="","",IF(COUNTIF(DQ$3:DQ6,DQ6)=1,MAX(JK$2:JK5)+1,""))</f>
        <v>3</v>
      </c>
      <c r="JL6" t="str">
        <f>IF(DE6="","",IF(COUNTIF(DE$3:DE6,DE6)+COUNTIF(DF$2:DF5,DE6)+COUNTIF(DG$2:DG5,DE6)=1,MAX(JL$2:JN5)+1,""))</f>
        <v/>
      </c>
      <c r="JM6" t="str">
        <f>IF(DF6="","",IF(COUNTIF(DE$3:DE6,DF6)+COUNTIF(DF$3:DF6,DF6)+COUNTIF(DG$2:DG5,DF6)=1,MAX(JL$2:JN5,JL6)+1,""))</f>
        <v/>
      </c>
      <c r="JN6" t="str">
        <f>IF(DG6="","",IF(COUNTIF(DE$3:DE6,DG6)+COUNTIF(DF$3:DF6,DG6)+COUNTIF(DG$3:DG6,DG6)=1,MAX(JL$2:JN5,JL6,JM6)+1,""))</f>
        <v/>
      </c>
      <c r="JO6" t="str">
        <f t="shared" si="131"/>
        <v>3х2,5</v>
      </c>
      <c r="JP6">
        <f>IF(JO6="","",IF(COUNTIF(JO$3:JO6,JO6)=1,MAX(JP$2:JP5)+1,""))</f>
        <v>2</v>
      </c>
      <c r="JQ6" t="str">
        <f>IF(HG6="","",COUNTIF(HG$3:HG6,"?*"))</f>
        <v/>
      </c>
      <c r="JR6" t="str">
        <f>IF(OR(HG6="",HI6=""),"",IF(COUNTIFS(HG$3:HG6,"?*",HI$3:HI6,HI6)=1,MAX(JR$2:JR5)+1,""))</f>
        <v/>
      </c>
      <c r="JS6">
        <f t="shared" si="132"/>
        <v>0</v>
      </c>
      <c r="JT6">
        <f>IF(B6="","",COUNTIF(B$3:B6,"?*"))</f>
        <v>4</v>
      </c>
      <c r="JU6">
        <f>IF(HL6&lt;&gt;1,0,_xlfn.LET(_xlpm.k,MAX(IFERROR(--_xlfn.XLOOKUP(B6,Коды_код,Коды_3L),0),IFERROR(--_xlfn.XLOOKUP(BC6,Коды_код,Коды_3L),0),IFERROR(--_xlfn.XLOOKUP(LEFT(BC6,2),Коды_код,Коды_3L),0)),IF(_xlpm.k&gt;0,_xlpm.k,IF(IFERROR(--LEFT(SUBSTITUTE(JO6,"x","х"),FIND("х",SUBSTITUTE(JO6,"x","х"))-1),3)&gt;3,Каталог!$S$9,1))))</f>
        <v>1</v>
      </c>
      <c r="JV6">
        <f t="shared" si="133"/>
        <v>0</v>
      </c>
      <c r="JW6" t="str">
        <f t="shared" si="134"/>
        <v>авто</v>
      </c>
      <c r="JX6">
        <f t="shared" si="135"/>
        <v>30</v>
      </c>
      <c r="JY6">
        <f t="shared" si="136"/>
        <v>1</v>
      </c>
      <c r="JZ6">
        <f t="shared" si="137"/>
        <v>1</v>
      </c>
    </row>
    <row r="7" spans="1:286" x14ac:dyDescent="0.3">
      <c r="A7" t="s">
        <v>151</v>
      </c>
      <c r="B7" t="s">
        <v>947</v>
      </c>
      <c r="C7" t="str">
        <f>Линии[[#This Row],[_авто наименование]]</f>
        <v>Щит ЩР-1</v>
      </c>
      <c r="E7">
        <f>Линии[[#This Row],[_авто Р]]</f>
        <v>19.22</v>
      </c>
      <c r="G7" t="str">
        <f>Линии[[#This Row],[_авто автомат]]</f>
        <v>3P С40А</v>
      </c>
      <c r="H7" t="str">
        <f>Линии[[#This Row],[_авто управление]]</f>
        <v/>
      </c>
      <c r="I7" t="str">
        <f>Линии[[#This Row],[_авто аппараты]]</f>
        <v/>
      </c>
      <c r="J7">
        <f>Линии[[#This Row],[_авто сечение]]</f>
        <v>10</v>
      </c>
      <c r="K7">
        <v>25</v>
      </c>
      <c r="L7" t="str">
        <f>Линии[[#This Row],[_авто фаза]]</f>
        <v>L1,L2,L3</v>
      </c>
      <c r="M7" t="str">
        <f>Линии[[#This Row],[_авто клемма]]</f>
        <v>XT3</v>
      </c>
      <c r="N7" t="str">
        <f t="shared" si="0"/>
        <v/>
      </c>
      <c r="O7" s="6" cm="1">
        <f t="array" ref="O7">IF(B7="","",IF(BH7&lt;&gt;"",IFERROR(_xlfn.XLOOKUP(BH7,Щиты[Щит],Щиты[Iр, А]),""),IF(BP7=1,IF(OR(N(_xlfn.XLOOKUP(A7,Щиты[Щит],Щиты[Вводов],1))&lt;=1,LOWER(TRIM(_xlfn.XLOOKUP(A7,Щиты[Щит],Щиты[АВР],"")&amp;""))="да"),IFERROR(_xlfn.XLOOKUP(A7,Щиты[Щит],Щиты[Iр, А]),""),IFERROR(N(BS7)*_xlfn.XLOOKUP(A7,Щиты[Щит],Щиты[Кс итог])/(SQRT(3)*Uн_лин*_xlfn.XLOOKUP(A7,Щиты[Щит],Щиты[cos φ])),"")),IF(BV7=1,IFERROR(BS7*1000/BU7,""),IFERROR(_xlfn.IFS(BX7=1,BS7/((Uн_лин/SQRT(3))*CE7),BX7=3,BS7/(SQRT(3)*Uн_лин*CE7)),"")))))</f>
        <v>29.932612698433285</v>
      </c>
      <c r="P7" s="7">
        <f>IF(B7="","",IFERROR(IF(VLOOKUP(BC7,Потребители_обозначение,4,FALSE)=1,VLOOKUP(BC7,Потребители_обозначение,3,FALSE)*(MAX(1,N(D7))*2-1)+EI7+VLOOKUP(BE7,Этаж_обозначение,3,FALSE)+VLOOKUP(BE7,Этаж_обозначение,4,FALSE),VLOOKUP(BC7,Потребители_обозначение,3,FALSE)*(MAX(1,N(D7))*2-1)+EI7),EI7))</f>
        <v>25</v>
      </c>
      <c r="Q7" s="6">
        <f t="shared" si="1"/>
        <v>1.0560288498727977</v>
      </c>
      <c r="R7" t="str">
        <f t="shared" si="2"/>
        <v>ВВГнг(А)-LS (5х10)</v>
      </c>
      <c r="S7" t="str">
        <f>IF(BM7="","",IF(BN7="вводной узел","узел ","")&amp;"л."&amp;(INT((BM7-1)/Столбцов_на_лист)+1)&amp;" / "&amp;(MOD(BM7-1,Столбцов_на_лист)+1))</f>
        <v>л.2 / 4</v>
      </c>
      <c r="T7" s="119" t="str">
        <f t="shared" si="3"/>
        <v/>
      </c>
      <c r="U7" s="7" t="str">
        <f>IF(OR(CG7=0,N(BV7)+N(IB7)=0),"",ROUNDUP(Запас_БП*(N(HY7)+N(HZ7)),0))</f>
        <v/>
      </c>
      <c r="V7" s="119" t="str">
        <f t="shared" si="4"/>
        <v/>
      </c>
      <c r="W7" s="7">
        <f>IFERROR(IF(OR(B7="",BP7=1,BV7=1,NOT(ISNUMBER(EN7)),N(DT7)=0),"",MAX(0,ROUNDDOWN((c_min*(Uн_лин*1000/SQRT(3))/(HT7*N(DT7))-_xlfn.XLOOKUP(A7,Щиты[Щит],Щиты[Zпетли на шинах, Ом]))*EN7/(2*ρкз_Cu),0))),"")</f>
        <v>78</v>
      </c>
      <c r="Y7" t="str">
        <f>Линии[[#This Row],[_авто утечка]]</f>
        <v/>
      </c>
      <c r="Z7">
        <v>3</v>
      </c>
      <c r="AA7">
        <v>400</v>
      </c>
      <c r="AB7" t="str">
        <f>Линии[[#This Row],[_авто группа Кс]]</f>
        <v>Быт</v>
      </c>
      <c r="AG7" t="s">
        <v>760</v>
      </c>
      <c r="AK7" t="str">
        <f>Линии[[#This Row],[_авто модуль]]</f>
        <v/>
      </c>
      <c r="AN7" t="s">
        <v>11</v>
      </c>
      <c r="AO7">
        <v>5</v>
      </c>
      <c r="BA7" cm="1">
        <f t="array" ref="BA7">ROW()-ROW(Линии[#Headers])</f>
        <v>5</v>
      </c>
      <c r="BC7" s="6" t="str">
        <f t="shared" si="5"/>
        <v>ЩР-1</v>
      </c>
      <c r="BD7" t="str">
        <f t="shared" si="6"/>
        <v/>
      </c>
      <c r="BE7" t="str">
        <f t="shared" si="7"/>
        <v/>
      </c>
      <c r="BF7" t="str">
        <f t="shared" si="8"/>
        <v/>
      </c>
      <c r="BG7" t="str">
        <f t="shared" si="9"/>
        <v/>
      </c>
      <c r="BH7" t="str">
        <f>IF(X7&lt;&gt;"",X7,IF(AND(B7&lt;&gt;"",B7&lt;&gt;A7,ISNUMBER(_xlfn.XMATCH(B7,Щиты[Щит]))),B7,""))</f>
        <v>ЩР-1</v>
      </c>
      <c r="BI7" t="str" cm="1">
        <f t="array" ref="BI7">IF(B7="","",IF(BH7&lt;&gt;"","Щит "&amp;BH7,_xlfn.LET(_xlpm.nm,IFERROR(_xlfn.XLOOKUP(BC7,Коды_код,Коды_имя)&amp;"",""),_xlpm.md,IFERROR(N(_xlfn.XLOOKUP(BC7,Коды_код,Коды_режим)),1),_xlpm.ex,IF(Имя_режим="по экспликации",IFERROR(_xlfn.XLOOKUP(BE7&amp;"|"&amp;BG7,Экспликация[Этаж]&amp;"|"&amp;Экспликация[Помещение],Экспликация[Название])&amp;"",""),""),_xlpm.rm,IF(BG7="","",IF(_xlpm.ex&lt;&gt;"",". "&amp;_xlpm.ex&amp;IF(Имя_пом="нет"," ("&amp;BG7&amp;")"," (пом. "&amp;BG7&amp;")"),IF(Имя_пом="нет"," ",", пом. ")&amp;BG7)),IF(_xlpm.nm="","",IF(_xlpm.md=2,_xlpm.nm&amp;" шлейф "&amp;BE7,_xlpm.nm&amp;_xlpm.rm)))))</f>
        <v>Щит ЩР-1</v>
      </c>
      <c r="BJ7" t="str">
        <f t="shared" si="10"/>
        <v>Щит ЩР-1</v>
      </c>
      <c r="BK7">
        <f>IFERROR(_xlfn.XMATCH(A7,Щиты[Щит]),0)</f>
        <v>1</v>
      </c>
      <c r="BL7">
        <f>_xlfn.LET(_xlpm.k,IFERROR(_xlfn.XLOOKUP(A7,Щиты[Щит],Щиты[Мест под вводной узел]),""),IF(_xlpm.k="",Столбцов_на_лист,N(_xlpm.k)))</f>
        <v>4</v>
      </c>
      <c r="BM7">
        <f t="shared" si="11"/>
        <v>21</v>
      </c>
      <c r="BN7" t="str">
        <f t="shared" si="12"/>
        <v>линии</v>
      </c>
      <c r="BO7" s="6">
        <f>IFERROR(N(_xlfn.XLOOKUP(BC7,Коды_код,Коды_квт)),0)</f>
        <v>0</v>
      </c>
      <c r="BP7">
        <f t="shared" si="13"/>
        <v>0</v>
      </c>
      <c r="BQ7">
        <f>IF(B7="","",IF(BH7&lt;&gt;"",IFERROR(_xlfn.XLOOKUP(BH7,Щиты[Щит],Щиты[Руст, кВт]),0),IF(BP7=1,IF(OR(N(_xlfn.XLOOKUP(A7,Щиты[Щит],Щиты[Вводов],1))&lt;=1,LOWER(TRIM(_xlfn.XLOOKUP(A7,Щиты[Щит],Щиты[АВР],"")&amp;""))="да"),IFERROR(_xlfn.XLOOKUP(A7,Щиты[Щит],Щиты[Руст, кВт]),0),SUMIFS(Линии[_Р для вводов],Линии[Щит],A7,Линии[Источник для режимов],GF7)),IF(BO7&gt;0,ROUND(BO7*MAX(1,N(D7)),3),""))))</f>
        <v>19.22</v>
      </c>
      <c r="BR7">
        <f t="shared" si="14"/>
        <v>19.22</v>
      </c>
      <c r="BS7" s="6">
        <f>IF(B7="","",IF(BH7&lt;&gt;"",IFERROR(_xlfn.XLOOKUP(BH7,Щиты[Щит],Щиты[Руст, кВт]),0),N(BR7)))</f>
        <v>19.22</v>
      </c>
      <c r="BT7" t="str">
        <f>IF(B7="","",IFERROR(IF(VLOOKUP(BC7,Потребители_обозначение,8,FALSE)=0,"",VLOOKUP(BC7,Потребители_обозначение,8,FALSE)),""))</f>
        <v/>
      </c>
      <c r="BU7">
        <f t="shared" si="15"/>
        <v>400</v>
      </c>
      <c r="BV7">
        <f t="shared" si="16"/>
        <v>0</v>
      </c>
      <c r="BW7">
        <f>IF(B7="","",IF(BH7&lt;&gt;"",3,IFERROR(IF(N(VLOOKUP(BC7,Потребители_обозначение,9,FALSE))=0,1,VLOOKUP(BC7,Потребители_обозначение,9,FALSE)),1)))</f>
        <v>3</v>
      </c>
      <c r="BX7">
        <f t="shared" si="17"/>
        <v>3</v>
      </c>
      <c r="BY7" t="str">
        <f>IF(B7="","",_xlfn.LET(_xlpm.bc,IFERROR(IF(VLOOKUP(BC7,Потребители_обозначение,6,FALSE)=0,"",VLOOKUP(BC7,Потребители_обозначение,6,FALSE)&amp;""),""),IF(AND(GA7="да",OR(_xlpm.bc="",_xlpm.bc="мс")),Марка_пож,IF(AND(_xlpm.bc="",BH7&lt;&gt;""),"мс",_xlpm.bc))))</f>
        <v>мс</v>
      </c>
      <c r="BZ7" t="str">
        <f t="shared" si="18"/>
        <v>мс</v>
      </c>
      <c r="CA7">
        <f>IF(B7="","",_xlfn.LET(_xlpm.cc,IFERROR(N(VLOOKUP(BC7,Потребители_обозначение,7,FALSE)),0),IF(_xlpm.cc&gt;0,_xlpm.cc,IF(BZ7="","",IF(BV7=1,2,IF(N(BX7)=3,5,3))))))</f>
        <v>5</v>
      </c>
      <c r="CB7">
        <f t="shared" si="19"/>
        <v>5</v>
      </c>
      <c r="CC7">
        <f>IFERROR(N(VLOOKUP(BC7,Потребители_обозначение,10,FALSE)),0)</f>
        <v>0</v>
      </c>
      <c r="CD7">
        <f>IFERROR(VLOOKUP(BC7,Потребители_обозначение,5,FALSE),0)</f>
        <v>0</v>
      </c>
      <c r="CE7" s="6" cm="1">
        <f t="array" ref="CE7">IF(B7="","",IF(BH7&lt;&gt;"",IFERROR(_xlfn.XLOOKUP(BH7,Щиты[Щит],Щиты[cos φ]),0.95),IF(BP7=1,IFERROR(_xlfn.XLOOKUP(A7,Щиты[Щит],Щиты[cos φ]),0.95),IF(ISNUMBER(AD7),AD7,IFERROR(IF(CD7=2,_xlfn.IFS(BX7=3,VLOOKUP(BS7,Справочная_двигатели,8,FALSE),BX7=1,VLOOKUP(BS7,Справочная_двигатели,10,TRUE)),IF(AND(Методика="нормы 2026",FG7="Сил"),0.8,0.95)),0.95)))))</f>
        <v>0.9265868886576486</v>
      </c>
      <c r="CF7">
        <f t="shared" si="20"/>
        <v>0</v>
      </c>
      <c r="CG7">
        <f t="shared" si="21"/>
        <v>1</v>
      </c>
      <c r="CH7">
        <f t="shared" si="22"/>
        <v>0</v>
      </c>
      <c r="CI7">
        <f>IF(B7="","",IF(BV7=1,IFERROR(BS7/((Uн_лин/SQRT(3))*MAX(0.5,N(CE7))),0),N(O7)))</f>
        <v>29.932612698433285</v>
      </c>
      <c r="CJ7">
        <f t="shared" si="23"/>
        <v>0</v>
      </c>
      <c r="CK7">
        <f t="shared" si="24"/>
        <v>0</v>
      </c>
      <c r="CL7">
        <f t="shared" si="25"/>
        <v>0</v>
      </c>
      <c r="CM7">
        <f t="shared" si="26"/>
        <v>0</v>
      </c>
      <c r="CN7">
        <f t="shared" si="27"/>
        <v>0</v>
      </c>
      <c r="CO7">
        <f>IF(BC7="",0,_xlfn.LET(_xlpm.v,IFERROR(_xlfn.XLOOKUP(B7,Коды_код,Коды_мА),IFERROR(_xlfn.XLOOKUP(BC7,Коды_код,Коды_мА),IFERROR(_xlfn.XLOOKUP(LEFT(BC7,2),Коды_код,Коды_мА),""))),IF(_xlpm.v="да",30,IF(ISNUMBER(_xlpm.v),_xlpm.v,0))))</f>
        <v>0</v>
      </c>
      <c r="CP7" t="str">
        <f t="shared" si="28"/>
        <v/>
      </c>
      <c r="CQ7" t="str">
        <f>_xlfn.LET(_xlpm.k,IFERROR(_xlfn.XLOOKUP(BC7,Коды_код,Коды_утечка)&amp;"",""),IF(_xlpm.k="","дифавтомат",_xlpm.k))</f>
        <v>дифавтомат</v>
      </c>
      <c r="CR7" t="str" cm="1">
        <f t="array" ref="CR7">IF(CG7=0,"",_xlfn.LET(_xlpm.sg,TRIM(_xlfn.TEXTSPLIT(DD7&amp;"",";")),_xlpm.f_,_xlfn._xlws.FILTER(_xlpm.sg,LEFT(_xlpm.sg,3)="УЗО",""),IFERROR(INDEX(_xlpm.f_,1)&amp;"","")))</f>
        <v/>
      </c>
      <c r="CS7" t="str">
        <f t="shared" si="29"/>
        <v/>
      </c>
      <c r="CT7" s="6" t="str" cm="1">
        <f t="array" ref="CT7">IF(CR7="","",_xlfn.LET(_xlpm.tk,_xlfn.TEXTSPLIT(UPPER(CR7)," ",,TRUE),_xlpm.a_,_xlfn._xlws.FILTER(_xlpm.tk,ISNUMBER(--LEFT(_xlpm.tk,1))*((ISNUMBER(SEARCH("А",_xlpm.tk))+ISNUMBER(SEARCH("A",_xlpm.tk)))&gt;0)*NOT(ISNUMBER(SEARCH("МА",_xlpm.tk)))*NOT(ISNUMBER(SEARCH("MA",_xlpm.tk))),""),IFERROR(--SUBSTITUTE(SUBSTITUTE(INDEX(_xlpm.a_,1),"А",""),"A",""),"")))</f>
        <v/>
      </c>
      <c r="CU7" t="str" cm="1">
        <f t="array" ref="CU7">IF(CR7="","",_xlfn.LET(_xlpm.tk,_xlfn.TEXTSPLIT(UPPER(CR7)," ",,TRUE),_xlpm.a_,_xlfn._xlws.FILTER(_xlpm.tk,ISNUMBER(--LEFT(_xlpm.tk,1))*((ISNUMBER(SEARCH("МА",_xlpm.tk))+ISNUMBER(SEARCH("MA",_xlpm.tk)))&gt;0),""),IFERROR(--SUBSTITUTE(SUBSTITUTE(INDEX(_xlpm.a_,1),"МА",""),"MA",""),30)))</f>
        <v/>
      </c>
      <c r="CV7" t="str">
        <f>IF(CS7="","",IFERROR(_xlfn.XLOOKUP(CS7,Линии[_n],Линии[_УЗО, мА]),30))</f>
        <v/>
      </c>
      <c r="CW7">
        <f>IF(CS7="",0,IF(ISNUMBER(SEARCH("4P",IFERROR(_xlfn.XLOOKUP(CS7,Линии[_n],Линии[_УЗО строки])&amp;"",""))),0,1))</f>
        <v>0</v>
      </c>
      <c r="CX7" t="str">
        <f>IF(AND(CS7&lt;&gt;"",CS7=BA7),SUMIFS(Линии[_ток на 230 В],Линии[_блок УЗО],BA7,Линии[Щит],A7),"")</f>
        <v/>
      </c>
      <c r="CY7" t="str">
        <f>IF(AND(CS7&lt;&gt;"",CS7=BA7),SUMIFS(Линии[_ток утечки линии, мА],Линии[_блок УЗО],BA7,Линии[Щит],A7),"")</f>
        <v/>
      </c>
      <c r="CZ7">
        <f t="shared" si="30"/>
        <v>0</v>
      </c>
      <c r="DA7">
        <f t="shared" si="31"/>
        <v>0</v>
      </c>
      <c r="DB7">
        <f>IF(B7="",0,IFERROR(--_xlfn.XLOOKUP(B7,Коды_код,Коды_минавт),IFERROR(--_xlfn.XLOOKUP(BC7,Коды_код,Коды_минавт),IFERROR(--_xlfn.XLOOKUP(LEFT(BC7,2),Коды_код,Коды_минавт),0))))</f>
        <v>0</v>
      </c>
      <c r="DC7" t="str">
        <f>IF(B7="","",IFERROR(_xlfn.XLOOKUP(BC7,Коды_код,Коды_апп)&amp;"",""))</f>
        <v/>
      </c>
      <c r="DD7" t="str">
        <f t="shared" si="32"/>
        <v/>
      </c>
      <c r="DE7" t="str" cm="1">
        <f t="array" ref="DE7">IF(TRIM(DD7&amp;"")="","",IFERROR(TRIM(INDEX(_xlfn.TEXTSPLIT(DD7&amp;";;;",";"),1)),""))</f>
        <v/>
      </c>
      <c r="DF7" t="str" cm="1">
        <f t="array" ref="DF7">IF(TRIM(DD7&amp;"")="","",IFERROR(TRIM(INDEX(_xlfn.TEXTSPLIT(DD7&amp;";;;",";"),2)),""))</f>
        <v/>
      </c>
      <c r="DG7" t="str" cm="1">
        <f t="array" ref="DG7">IF(TRIM(DD7&amp;"")="","",IFERROR(TRIM(INDEX(_xlfn.TEXTSPLIT(DD7&amp;";;;",";"),3)),""))</f>
        <v/>
      </c>
      <c r="DH7">
        <f t="shared" si="33"/>
        <v>0</v>
      </c>
      <c r="DI7" t="str">
        <f>IF(B7="","",_xlfn.LET(_xlpm.t,LOWER(AZ7&amp;""),IF(ISNUMBER(SEARCH("dim",_xlpm.t)),"DIM",IF(ISNUMBER(SEARCH("dali",_xlpm.t)),"DALI",IF(OR(ISNUMBER(SEARCH("relay",_xlpm.t)),ISNUMBER(SEARCH("реле",_xlpm.t))),"Relay",IF(ISNUMBER(SEARCH("кнопк",_xlpm.t)),"",IFERROR(_xlfn.XLOOKUP(BC7,Коды_код,Коды_упр)&amp;"","")))))))</f>
        <v/>
      </c>
      <c r="DJ7" t="str">
        <f t="shared" si="34"/>
        <v/>
      </c>
      <c r="DK7">
        <f>IF(B7="","",_xlfn.LET(_xlpm.ig,IF(N(CX7)&gt;0,N(CX7),N(CI7)+IF(AJ7="вручную",0,N(CJ7))),_xlpm.n0,IFERROR(VLOOKUP(_xlpm.ig,Автомат_номиналы,2,TRUE),0),_xlpm.mn,MAX(DB7,IF(AJ7="вручную",0,N(CM7))),MAX(_xlpm.n0,_xlpm.mn,IF(DH7=1,Мин_автомат_БП,0))))</f>
        <v>40</v>
      </c>
      <c r="DL7">
        <f t="shared" si="35"/>
        <v>3</v>
      </c>
      <c r="DM7" t="str">
        <f t="shared" si="36"/>
        <v>3P</v>
      </c>
      <c r="DN7" t="str">
        <f>_xlfn.LET(_xlpm.cc,UPPER(TRIM(IFERROR(_xlfn.XLOOKUP(BC7,Коды_код,Коды_хар)&amp;"",""))),IF(OR(_xlpm.cc="B",_xlpm.cc="В"),"B",IF(_xlpm.cc="D","D","С")))</f>
        <v>С</v>
      </c>
      <c r="DO7" t="str">
        <f t="shared" si="37"/>
        <v>3P С40А</v>
      </c>
      <c r="DP7" t="str">
        <f t="shared" si="38"/>
        <v>3P С40А</v>
      </c>
      <c r="DQ7" t="str">
        <f t="shared" si="39"/>
        <v>3P С40А</v>
      </c>
      <c r="DR7" cm="1">
        <f t="array" ref="DR7">IF(DQ7="","",_xlfn.LET(_xlpm.t,SUBSTITUTE(SUBSTITUTE(SUBSTITUTE(UPPER(DQ7),"С","C"),"А","A"),"В","B"),_xlpm.tk,_xlfn.TEXTSPLIT(_xlpm.t," "),_xlpm.f,_xlfn._xlws.FILTER(_xlpm.tk,ISNUMBER(--MID(_xlpm.tk,2,1))*ISNUMBER(SEARCH(LEFT(_xlpm.tk,1)&amp;"#","B#C#D#"))*(LEN(_xlpm.tk)&gt;1),""),_xlpm.x,INDEX(_xlpm.f,1),IFERROR(--SUBSTITUTE(MID(_xlpm.x,2,9),"A",""),IFERROR(--SUBSTITUTE(INDEX(_xlfn._xlws.FILTER(_xlpm.tk,ISNUMBER(--SUBSTITUTE(_xlpm.tk,"A","")),""),1),"A",""),""))))</f>
        <v>40</v>
      </c>
      <c r="DS7" t="str">
        <f t="shared" si="40"/>
        <v>ok</v>
      </c>
      <c r="DT7">
        <f t="shared" si="41"/>
        <v>40</v>
      </c>
      <c r="DU7" t="str">
        <f t="shared" si="42"/>
        <v>3P С40А</v>
      </c>
      <c r="DV7">
        <f t="shared" si="43"/>
        <v>0</v>
      </c>
      <c r="DW7">
        <f t="shared" si="44"/>
        <v>0</v>
      </c>
      <c r="DX7">
        <f t="shared" si="45"/>
        <v>0</v>
      </c>
      <c r="DY7">
        <f t="shared" si="46"/>
        <v>29.932612698433285</v>
      </c>
      <c r="DZ7">
        <f t="shared" si="47"/>
        <v>0.92</v>
      </c>
      <c r="EA7">
        <f>IF(ISNUMBER(AP7),AP7,К_прокл)</f>
        <v>1</v>
      </c>
      <c r="EB7">
        <f t="shared" si="48"/>
        <v>3</v>
      </c>
      <c r="EC7">
        <f>IFERROR(N(VLOOKUP(BZ7,Кабель_обозначение,3,FALSE)),1)</f>
        <v>1</v>
      </c>
      <c r="ED7">
        <f>IFERROR(N(_xlfn.XLOOKUP(A7,Щиты[Щит],Щиты[ΔU до шин, %])),0)</f>
        <v>0.3660288498727976</v>
      </c>
      <c r="EE7">
        <f>IFERROR(_xlfn.XLOOKUP(A7,Щиты[Щит],Щиты[Zпетли на шинах, Ом]),"")</f>
        <v>0.13597829354840207</v>
      </c>
      <c r="EF7">
        <f>IFERROR(N(_xlfn.XLOOKUP(A7,Щиты[Щит],Щиты[ΔU до шин (подбор), %])),0)</f>
        <v>0.3660288498727976</v>
      </c>
      <c r="EG7">
        <f>IFERROR(_xlfn.XLOOKUP(A7,Щиты[Щит],Щиты[Zпетли на шинах (подбор), Ом]),"")</f>
        <v>0.13597829354840207</v>
      </c>
      <c r="EH7" t="str">
        <f t="shared" si="49"/>
        <v/>
      </c>
      <c r="EI7">
        <f t="shared" si="50"/>
        <v>25</v>
      </c>
      <c r="EJ7">
        <f t="shared" si="51"/>
        <v>1</v>
      </c>
      <c r="EK7">
        <f t="shared" si="52"/>
        <v>0.38</v>
      </c>
      <c r="EL7" s="6">
        <f>IF(B7="","",IF(BV7=1,dU_LED,IF(IFERROR(_xlfn.XLOOKUP(BC7,Коды_код,Коды_уго),"")="Светильник",3,4)+IF(Методика="нормы 2026",MIN(0.5,MAX(0,N(P7)-100)*0.005),0)))</f>
        <v>4</v>
      </c>
      <c r="EM7" cm="1">
        <f t="array" ref="EM7">IF(OR(B7="",BZ7="",EC7&lt;&gt;1),"",_xlfn.LET(_xlpm.sz,Iдоп_S,_xlpm.t_,CHOOSE(EB7,Iдоп_1ж,Iдоп_2ж,Iдоп_3ж)*DZ7*EA7,_xlpm.dcx,BV7=1,_xlpm.inn,IF(_xlpm.dcx,N(O7),N(DT7)),_xlpm.smin,MAX(1.5,CC7),_xlpm.L_,N(P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7)/N(BU7)*100,999),IFERROR(N(EJ7)*(_xlpm.rho*_xlpm.L_/_xlpm.sz*N(CE7)+_xlpm.xx*_xlpm.L_*N(EK7)/1000)*N(O7)/((Uн_лин/SQRT(3))*1000)*100,999)),_xlpm.kz,IF(OR(_xlpm.dcx,DW7=1,NOT(ISNUMBER(EG7)),_xlpm.L_=0,_xlpm.inn=0),1,IFERROR(--(c_min*(Uн_лин*1000/SQRT(3))/(EG7+2*ρкз_Cu*_xlpm.L_/_xlpm.sz)&gt;=HT7*_xlpm.inn),0)),_xlpm.ok,IFERROR((_xlpm.sz&gt;=_xlpm.smin)*(_xlpm.t_&gt;=_xlpm.inn)*IF(_xlpm.L_&gt;0,(_xlpm.du_+IF(_xlpm.dcx,0,EF7)&lt;=EL7+0.00001),1)*_xlpm.kz,0),_xlpm.r_,_xlfn._xlws.FILTER(_xlpm.sz,_xlpm.ok,"не подобрано"),INDEX(_xlpm.r_,1)))</f>
        <v>10</v>
      </c>
      <c r="EN7">
        <f t="shared" si="53"/>
        <v>10</v>
      </c>
      <c r="EO7" cm="1">
        <f t="array" ref="EO7">IF(OR(B7="",BZ7="",EC7&lt;&gt;1),"",_xlfn.LET(_xlpm.sz,Iдоп_S,_xlpm.t_,CHOOSE(EB7,Iдоп_1ж,Iдоп_2ж,Iдоп_3ж)*DZ7*EA7,_xlpm.ok,IFERROR((_xlpm.sz&gt;=MAX(1.5,CC7))*(_xlpm.t_&gt;=N(DT7)),0),_xlpm.r_,_xlfn._xlws.FILTER(_xlpm.sz,_xlpm.ok,""),INDEX(_xlpm.r_,1)))</f>
        <v>10</v>
      </c>
      <c r="EP7" s="6" cm="1">
        <f t="array" ref="EP7">IFERROR(ROUNDUP(N(EJ7)*(_xlfn.XLOOKUP(EO7,INDEX(Кабель_сопротивление,0,1),INDEX(Кабель_сопротивление,0,3))*N(P7)/EO7*N(CE7)+_xlfn.XLOOKUP(EO7,INDEX(Кабель_сопротивление,0,1),INDEX(Кабель_сопротивление,0,2))*N(P7)*N(EK7)/1000)*N(O7)/((Uн_лин/SQRT(3))*1000)*100,2),"")</f>
        <v>0.69000000000000006</v>
      </c>
      <c r="EQ7">
        <f>IFERROR(2*ρкз_Cu*N(P7)/EO7,"")</f>
        <v>0.13150000000000001</v>
      </c>
      <c r="ER7">
        <f>IFERROR(VLOOKUP(EN7,Кабель_сопротивление,3,FALSE),"")</f>
        <v>2.2499999999999999E-2</v>
      </c>
      <c r="ES7">
        <f>IFERROR(VLOOKUP(EN7,Кабель_сопротивление,2,FALSE),"")</f>
        <v>7.2999999999999995E-2</v>
      </c>
      <c r="ET7" t="str">
        <f t="shared" si="54"/>
        <v/>
      </c>
      <c r="EU7" t="str">
        <f t="shared" si="55"/>
        <v/>
      </c>
      <c r="EV7">
        <f t="shared" si="56"/>
        <v>1.5808613808233727</v>
      </c>
      <c r="EW7" s="6">
        <f>IFERROR(ROUNDUP(EV7/IF(BV7=1,BU7,(Uн_лин/SQRT(3))*1000)*100,2),"")</f>
        <v>0.69000000000000006</v>
      </c>
      <c r="EX7" t="str">
        <f>IFERROR(VLOOKUP(BZ7,Кабель_обозначение,2,FALSE),"")</f>
        <v>ВВГнг(А)-LS</v>
      </c>
      <c r="EY7" t="str">
        <f t="shared" si="57"/>
        <v>ВВГнг(А)-LS (5х10)</v>
      </c>
      <c r="EZ7" t="str">
        <f t="shared" si="58"/>
        <v>ВВГнг(А)-LS (5х10)
L=25-0,69%</v>
      </c>
      <c r="FA7">
        <f>IFERROR(2*ρкз_Cu*P7/EN7,"")</f>
        <v>0.13150000000000001</v>
      </c>
      <c r="FB7">
        <f t="shared" si="59"/>
        <v>4.3750000000000004E-2</v>
      </c>
      <c r="FC7" s="6">
        <f>IFERROR(IF(OR(B7="",BV7=1,NOT(ISNUMBER(EN7)),N(P7)=0),"",_xlfn.XLOOKUP(A7,Щиты[Щит],Щиты[Zпетли на шинах, Ом])+FA7),"")</f>
        <v>0.26747829354840208</v>
      </c>
      <c r="FD7" s="6">
        <f>IF(ISNUMBER(FC7),c_min*(Uн_лин*1000/SQRT(3))/FC7,"")</f>
        <v>820.22768794267438</v>
      </c>
      <c r="FE7" s="6">
        <f>IFERROR(IF(OR(B7="",NOT(ISNUMBER(EN7))),"",1.05*(Uн_лин*1000/SQRT(3))/(_xlfn.XLOOKUP(A7,Щиты[Щит],Щиты[Zmax на шинах, Ом])+FB7)/1000),"")</f>
        <v>2.8489846387843833</v>
      </c>
      <c r="FF7" s="6" t="str">
        <f>IF(B7="","",IF(ISNUMBER(AC7),"Сил",IF(IFERROR(_xlfn.XLOOKUP(BC7,Коды_код,Коды_группа)&amp;"","")="","Быт",_xlfn.XLOOKUP(BC7,Коды_код,Коды_группа)&amp;"")))</f>
        <v>Быт</v>
      </c>
      <c r="FG7" s="6" t="str">
        <f t="shared" si="60"/>
        <v>Щит</v>
      </c>
      <c r="FH7" s="6" t="str">
        <f>IF(FG7="Щит","щит",IF(FG7="","",IF(FG7="Быт",IFERROR(_xlfn.XLOOKUP(A7,Щиты[Щит],Щиты[Кс быт]),1),IF(FG7="Сил",IF(ISNUMBER(AC7),AC7,IF(Методика="нормы 2026",IFERROR(_xlfn.XLOOKUP(A7,Щиты[Щит],Щиты[Кс силовых (табл. 7.5)]),1),1)),IF(OR(FG7="Пост",FG7="Отоп"),1,IF(FG7="ВНГ",0.7,0))))))</f>
        <v>щит</v>
      </c>
      <c r="FI7">
        <f>IF(FG7="","",IF(AND(BP7=1,TRIM(AE7&amp;"")=""),IF(COUNTIFS(Линии[Щит],A7,Линии[Секция (1/2/3)],"&gt;=2")&gt;0,MIN(3,MAX(1,IFERROR(--BD7,1))),1),IFERROR(MIN(3,MAX(1,INT(--AE7))),1)))</f>
        <v>1</v>
      </c>
      <c r="FJ7">
        <f t="shared" si="61"/>
        <v>0</v>
      </c>
      <c r="FK7">
        <f t="shared" si="62"/>
        <v>0</v>
      </c>
      <c r="FL7">
        <f t="shared" si="63"/>
        <v>0</v>
      </c>
      <c r="FM7">
        <f t="shared" si="64"/>
        <v>0</v>
      </c>
      <c r="FN7">
        <f t="shared" si="65"/>
        <v>0</v>
      </c>
      <c r="FO7">
        <f t="shared" si="66"/>
        <v>0</v>
      </c>
      <c r="FP7">
        <f t="shared" si="67"/>
        <v>19.22</v>
      </c>
      <c r="FQ7">
        <f t="shared" si="68"/>
        <v>0</v>
      </c>
      <c r="FR7">
        <f t="shared" si="69"/>
        <v>0</v>
      </c>
      <c r="FS7">
        <f>IF(CG7=1,IF(AND(CH7=1,CW7=1),0,IF(AND(CS7&lt;&gt;"",CS7=BA7,CW7=1),SUMIFS(Линии[_Р линии, кВт],Линии[_блок УЗО],BA7,Линии[Щит],A7),N(BS7)+IF(AJ7="вручную",0,N(CK7)))),0)</f>
        <v>19.22</v>
      </c>
      <c r="FT7" t="str">
        <f t="shared" si="70"/>
        <v/>
      </c>
      <c r="FU7" t="str">
        <f>IF(B7="","",IF(CG7=0,IF(BA7=1,"",FW6),IF(AND(CH7=1,CW7=1,CS7&lt;&gt;""),IFERROR(_xlfn.XLOOKUP(CS7,Линии[_n],Линии[_фаза итог]),"L1"),IF(OR(N(DL7)&gt;=3,N(BX7)&gt;=3),"L1,L2,L3",IFERROR(_xlfn.TEXTBEFORE(_xlfn.TEXTAFTER(_xlfn.XLOOKUP(A7,Щиты[Щит],Щиты[_фазы авто]),";"&amp;BA7&amp;":"),";"),"L1")))))</f>
        <v>L1,L2,L3</v>
      </c>
      <c r="FV7" t="str">
        <f t="shared" si="71"/>
        <v>L1,L2,L3</v>
      </c>
      <c r="FW7" t="str">
        <f t="shared" si="72"/>
        <v>L1,L2,L3</v>
      </c>
      <c r="FX7" cm="1">
        <f t="array" ref="FX7">IFERROR(IF(CD7=2,_xlfn.IFS(BX7=3,VLOOKUP(BS7,Справочная_двигатели,3,FALSE),BX7=1,VLOOKUP(BS7,Справочная_двигатели,5,TRUE)),0),0)</f>
        <v>0</v>
      </c>
      <c r="FY7">
        <f>IFERROR(IF(CD7=3,VLOOKUP(BS7,Справочная_ЛЭД,2,TRUE),0),0)</f>
        <v>0</v>
      </c>
      <c r="FZ7" s="6">
        <f t="shared" si="73"/>
        <v>0</v>
      </c>
      <c r="GA7" t="str">
        <f>IF(B7="","",IF(TRIM(AH7&amp;"")&lt;&gt;"",IF(LOWER(TRIM(AH7&amp;""))="да","да","нет"),IF(IFERROR(_xlfn.XLOOKUP(BC7,Коды_код,Коды_пожарная),"")="да","да","нет")))</f>
        <v>нет</v>
      </c>
      <c r="GB7" t="str">
        <f t="shared" si="74"/>
        <v/>
      </c>
      <c r="GC7" t="str">
        <f t="shared" si="75"/>
        <v>основная</v>
      </c>
      <c r="GD7">
        <f>IF(AND(BP7=1,TRIM(AE7&amp;"")=""),IF(COUNTIFS(Линии[Щит],A7,Линии[Секция (1/2/3)],"&gt;=2")&gt;0,MIN(3,MAX(1,IFERROR(--BD7,1))),1),IFERROR(MIN(3,MAX(1,INT(--AE7))),1))</f>
        <v>1</v>
      </c>
      <c r="GE7" t="str" cm="1">
        <f t="array" ref="GE7">IF(B7="","",_xlfn.LET(_xlpm.t,IFERROR(_xlfn.XLOOKUP(1,(Шины[Шина]=GC7)*(((Шины[Щит]=A7)+(Шины[Щит]=""))&gt;0),Шины[Тип]),"")&amp;"",IF(_xlpm.t&lt;&gt;"",_xlpm.t,IF(ISNUMBER(SEARCH("ИБП",GC7)),"ИБП",IF(ISNUMBER(SEARCH("ДГУ",GC7)),"ДГУ","Ввод "&amp;GD7)))))</f>
        <v>Ввод 1</v>
      </c>
      <c r="GF7" t="str">
        <f t="shared" si="76"/>
        <v>Ввод 1</v>
      </c>
      <c r="GG7" t="str">
        <f>IF(BP7=0,"",IF(TRIM(AG7&amp;"")&lt;&gt;"",TRIM(AG7&amp;""),IF(OR(GE7="ИБП",GE7="ДГУ"),"I особая",_xlfn.XLOOKUP(A7,Щиты[Щит],Щиты[Категория шины «Ввод»],"III"))))</f>
        <v/>
      </c>
      <c r="GH7" t="str">
        <f>IF(A7="","",_xlfn.XLOOKUP(A7,Щиты[Щит],Щиты[Путь],""))</f>
        <v>|ВРУ|</v>
      </c>
      <c r="GI7" t="str">
        <f>IF(B7="","",IF(AI7&lt;&gt;"",AI7,IF(IFERROR(_xlfn.XLOOKUP(BC7,Коды_код,Коды_вид)&amp;"","")="","Прочее",_xlfn.XLOOKUP(BC7,Коды_код,Коды_вид)&amp;"")))</f>
        <v>Прочее</v>
      </c>
      <c r="GJ7">
        <f>IF(BM7="","",INT((BM7-1)/Столбцов_на_лист)+1)</f>
        <v>2</v>
      </c>
      <c r="GK7" t="str">
        <f t="shared" si="77"/>
        <v>ВВГнг(А)-LS (5х10) L=25-0,69%</v>
      </c>
      <c r="GL7">
        <f t="shared" si="78"/>
        <v>19.22</v>
      </c>
      <c r="GM7">
        <f t="shared" si="79"/>
        <v>29.94</v>
      </c>
      <c r="GN7">
        <f t="shared" si="80"/>
        <v>3</v>
      </c>
      <c r="GO7">
        <f t="shared" si="81"/>
        <v>0</v>
      </c>
      <c r="GP7">
        <f t="shared" si="82"/>
        <v>1</v>
      </c>
      <c r="GQ7">
        <f>IF(BM7="","",IF(AND(CG7=1,GP7=1),COUNTIFS(A$3:A7,A7,CG$3:CG7,1,GP$3:GP7,1),IF(OR(OR(BA7=1,A7&lt;&gt;A6),AJ7="вручную",GP7=0),"",IF(BA7=1,"",GR6))))</f>
        <v>3</v>
      </c>
      <c r="GR7">
        <f t="shared" si="83"/>
        <v>3</v>
      </c>
      <c r="GS7">
        <f>IF(B7="","",IFERROR(LOOKUP(INDEX(CHOOSE(EB7,Iдоп_1ж,Iдоп_2ж,Iдоп_3ж),MATCH(EN7,Iдоп_S,0))*DZ7*EA7,{6,10,16,20,25,32,40,50,63,80,100,125,160,200,250,315,400,500,630}),""))</f>
        <v>50</v>
      </c>
      <c r="GT7" t="str">
        <f t="shared" si="84"/>
        <v>QF3</v>
      </c>
      <c r="GU7" t="str">
        <f t="shared" si="85"/>
        <v>QF3</v>
      </c>
      <c r="GV7" t="str">
        <f t="shared" si="86"/>
        <v/>
      </c>
      <c r="GW7">
        <f t="shared" si="87"/>
        <v>0</v>
      </c>
      <c r="GX7" t="str">
        <f>IF(OR(B7="",DJ7=""),"",IFERROR(_xlfn.XLOOKUP(DJ7,Модули_умолч[Управление],Модули_умолч[Модель])&amp;"",""))</f>
        <v/>
      </c>
      <c r="GY7">
        <f>IF(DJ7="",1,IFERROR(MAX(0,N(_xlfn.XLOOKUP(DJ7,Модули_умолч[Управление],Модули_умолч[Каналов на линию]))),1))</f>
        <v>1</v>
      </c>
      <c r="GZ7" t="str">
        <f t="shared" si="88"/>
        <v/>
      </c>
      <c r="HA7" t="str">
        <f t="shared" si="89"/>
        <v/>
      </c>
      <c r="HB7" t="str">
        <f t="shared" si="90"/>
        <v/>
      </c>
      <c r="HC7">
        <f>IF(HB7="",0,IFERROR(N(VLOOKUP(HB7,Модули_спр,3,FALSE)),0))</f>
        <v>0</v>
      </c>
      <c r="HD7" t="str">
        <f t="shared" si="91"/>
        <v/>
      </c>
      <c r="HE7" t="str">
        <f t="shared" si="92"/>
        <v/>
      </c>
      <c r="HF7" t="str">
        <f>IF(OR(HE7="",HE7="-"),"",IFERROR(VLOOKUP(HE7,Модули_спр,2,FALSE),"R"))</f>
        <v/>
      </c>
      <c r="HG7" t="str">
        <f>IF(HF7="","",HF7&amp;"."&amp;COUNTIFS(A$3:A7,A7,HF$3:HF7,HF7))</f>
        <v/>
      </c>
      <c r="HH7" t="str">
        <f t="shared" si="93"/>
        <v/>
      </c>
      <c r="HI7" t="str">
        <f t="shared" si="94"/>
        <v/>
      </c>
      <c r="HJ7" t="str">
        <f t="shared" si="95"/>
        <v/>
      </c>
      <c r="HK7" t="str">
        <f t="shared" si="96"/>
        <v/>
      </c>
      <c r="HL7">
        <f t="shared" si="97"/>
        <v>1</v>
      </c>
      <c r="HM7" t="str">
        <f>IF(HL7=1,"XT"&amp;COUNTIFS(A$3:A7,A7,HL$3:HL7,1),"")</f>
        <v>XT3</v>
      </c>
      <c r="HN7" t="str">
        <f t="shared" si="98"/>
        <v>XT3</v>
      </c>
      <c r="HO7" t="str">
        <f t="shared" si="99"/>
        <v>QF3</v>
      </c>
      <c r="HP7" t="str">
        <f t="shared" si="100"/>
        <v/>
      </c>
      <c r="HQ7" t="str">
        <f t="shared" si="101"/>
        <v>ok</v>
      </c>
      <c r="HR7" t="str">
        <f>IF(OR(HJ7="",HH7=""),"",IF(HJ7+MAX(0,GY7-1)&gt;IFERROR(VLOOKUP(HI7,Модули_спр,3,FALSE),99),"ЛИШНИЙ КАНАЛ",IF(AND(AL7&lt;&gt;"=",GY7&gt;0,COUNTIFS(Линии[_модуль гр.],HH7,Линии[Канал (итог)],HJ7,Линии[Канал],"&lt;&gt;=",Линии[Щит],A7)&gt;1),"ДУБЛЬ КАНАЛА","")))</f>
        <v/>
      </c>
      <c r="HS7" s="6">
        <f t="shared" si="102"/>
        <v>20.505692198566859</v>
      </c>
      <c r="HT7">
        <f t="shared" si="103"/>
        <v>10</v>
      </c>
      <c r="HU7" t="str">
        <f t="shared" si="104"/>
        <v>ok</v>
      </c>
      <c r="HV7">
        <f t="shared" si="105"/>
        <v>0</v>
      </c>
      <c r="HW7">
        <f t="shared" si="106"/>
        <v>0</v>
      </c>
      <c r="HX7">
        <f t="shared" si="107"/>
        <v>0</v>
      </c>
      <c r="HY7">
        <f t="shared" si="108"/>
        <v>0</v>
      </c>
      <c r="HZ7">
        <f t="shared" si="109"/>
        <v>0</v>
      </c>
      <c r="IA7">
        <f t="shared" si="110"/>
        <v>0</v>
      </c>
      <c r="IB7">
        <f t="shared" si="111"/>
        <v>0</v>
      </c>
      <c r="IC7" t="str">
        <f t="shared" si="112"/>
        <v/>
      </c>
      <c r="ID7" t="str" cm="1">
        <f t="array" ref="ID7">IF(IC7="","",_xlfn.LET(_xlpm.tk,_xlfn.TEXTSPLIT(SUBSTITUTE(SUBSTITUTE(IC7,";"," "),"→"," ")," ",,TRUE),_xlpm.w_,_xlfn._xlws.FILTER(_xlpm.tk,ISNUMBER(--LEFT(_xlpm.tk,1))*((ISNUMBER(SEARCH("W",_xlpm.tk))+ISNUMBER(SEARCH("Вт",_xlpm.tk)))&gt;0),""),IFERROR(--SUBSTITUTE(SUBSTITUTE(UPPER(INDEX(_xlpm.w_,1)),"W",""),"ВТ",""),"")))</f>
        <v/>
      </c>
      <c r="IE7" t="str" cm="1">
        <f t="array" ref="IE7">IF(IC7="","",_xlfn.LET(_xlpm.tk,_xlfn.TEXTSPLIT(SUBSTITUTE(SUBSTITUTE(IC7,";"," "),"→"," ")," ",,TRUE),_xlpm.v_,_xlfn._xlws.FILTER(_xlpm.tk,ISNUMBER(--LEFT(_xlpm.tk,1))*((ISNUMBER(SEARCH("V",_xlpm.tk))+(RIGHT(UPPER(_xlpm.tk))="В"))&gt;0),""),IFERROR(--SUBSTITUTE(SUBSTITUTE(UPPER(INDEX(_xlpm.v_,1)),"V",""),"В",""),"")))</f>
        <v/>
      </c>
      <c r="IF7" s="6" t="str">
        <f>IF(OR(BV7=0,HI7="",HJ7=""),"",IFERROR(N(_xlfn.XLOOKUP(HI7,Каталог!$C$4:$C$500,Каталог!$Q$4:$Q$500)),""))</f>
        <v/>
      </c>
      <c r="IG7" s="6" t="str">
        <f>IF(N(IF7)=0,"",SUMIFS(Линии[Iр, А],Линии[Щит],A7,Линии[_модуль гр.],HH7,Линии[Канал (итог)],HJ7))</f>
        <v/>
      </c>
      <c r="IH7" t="str">
        <f>IF(AND(B7="",HO7=""),"",_xlfn.TEXTJOIN("; ",TRUE,IF(AND(B7&lt;&gt;"",FV7=""),"нет фазы",""),IF(AND(B7&lt;&gt;"",N(GL7)=0,FG7&lt;&gt;"Нет"),"нет мощности",""),IF(AND(HN7&lt;&gt;"",COUNTIFS(Линии[Щит],A7,Линии[Клемма (итог)],HN7)&gt;1),"дубль клеммы "&amp;HN7,""),IF(AND(HQ7&lt;&gt;"",HQ7&lt;&gt;"ok"),HQ7,""),IF(HR7&lt;&gt;"",HR7,""),IF(AND(N(CB7)&gt;=4,N(BX7)=1),CB7&amp;" жил на 1 фазе",""),IF(AND(BC7="R",CG7=1,IF(CS7&lt;&gt;"",N(CV7)&gt;30,OR(N(DA7)=0,N(DA7)&gt;30))),"розетка без дифзащиты до 30 мА",""),IF(AND(CG7=1,N(DA7)&gt;0,ISNUMBER(T7)),IF(T7&gt;N(DA7)/3,"ток утечки "&amp;FIXED(T7,1)&amp;" мА &gt; 1/3 уставки ("&amp;DA7&amp;" мА)",""),""),IF(AND(CH7=1,CS7=""),"«узо»: нет строки с УЗО выше (УЗО 2P 40А 30мА в «Аппаратах»)",""),IF(AND(CS7&lt;&gt;"",CS7=BA7),IF(CT7="","впишите номинал УЗО (УЗО 2P 40А 30мА)",IF(N(CT7)&lt;N(DT7),"УЗО "&amp;CT7&amp;" А &lt; автомата "&amp;DT7&amp;" А перед ним",IF(N(CT7)&lt;N(CX7),"УЗО "&amp;CT7&amp;" А &lt; тока блока "&amp;FIXED(CX7,1)&amp;" А",""))),""),IF(AND(CS7&lt;&gt;"",CS7=BA7,ISNUMBER(CY7)),IF(CY7&gt;N(CV7)/3,"ток утечки блока УЗО "&amp;FIXED(CY7,1)&amp;" мА &gt; 1/3 уставки ("&amp;CV7&amp;" мА)",""),""),IF(AND(CG7=1,N(BV7)+N(IB7)&gt;0,IC7=""),"линии до 50 В без БП: впишите в «Аппараты» (БП 24V 480W)",""),IF(AND(CG7=1,ISNUMBER(ID7),ISNUMBER(U7)),IF(U7&gt;ID7,"БП "&amp;ID7&amp;" Вт &lt; нужно "&amp;U7&amp;" Вт (×"&amp;Запас_БП&amp;")",""),""),IF(AND(CG7=1,ISNUMBER(IE7),N(BV7)=1),IF(IE7&lt;&gt;N(BU7),"БП на "&amp;IE7&amp;" В, линия "&amp;BU7&amp;" В",""),""),IF(AND(N(IF7)&gt;0,N(IG7)&gt;N(IF7)),HH7&amp;" канал "&amp;HJ7&amp;": "&amp;FIXED(IG7,1)&amp;" А &gt; "&amp;IF7&amp;" А",""),IFERROR(IF(AND(ISNUMBER(Q7),Q7&gt;EL7),"потери "&amp;FIXED(Q7,1)&amp;" % &gt; "&amp;EL7&amp;" %",""),""),IFERROR(IF(LEFT(HU7,4)="мало","Iкз мало — отключение &gt; 0,4 с",""),""),IF(AND(B7&lt;&gt;"",BM7=""),"не на схеме",""),IF(AND(CG7=0,B7&lt;&gt;"",FV7&lt;&gt;"",IF(BA7=1,"",FW6)&lt;&gt;"",FV7&lt;&gt;IF(BA7=1,"",FW6)),"фаза не как у автомата группы ("&amp;IF(BA7=1,"",FW6)&amp;")","")))</f>
        <v/>
      </c>
      <c r="II7" s="6" t="str">
        <f>IF(OR(CG7=0,DQ7=""),"",_xlfn.LET(_xlpm.t,IFERROR(_xlfn.XLOOKUP(DQ7,Каталог!$U$4:$U$500,Каталог!$G$4:$G$500),""),_xlpm.k,SEARCH("кА",_xlpm.t),IFERROR(--TRIM(RIGHT(SUBSTITUTE(MID(_xlpm.t,MAX(1,_xlpm.k-4),_xlpm.k-MAX(1,_xlpm.k-4))," ",REPT(" ",9)),5)),"")))</f>
        <v/>
      </c>
      <c r="IJ7" t="str">
        <f>IF(OR(II7="",CG7=0),"",IF(_xlfn.XLOOKUP(A7,Щиты[Щит],Щиты[Iкз max на шинах, кА],"")="","",IF(II7&lt;_xlfn.XLOOKUP(A7,Щиты[Щит],Щиты[Iкз max на шинах, кА]),"Icu "&amp;II7&amp;" кА &lt; Iкз max","ok")))</f>
        <v/>
      </c>
      <c r="IK7" t="str">
        <f t="shared" si="113"/>
        <v/>
      </c>
      <c r="IL7" t="str">
        <f t="shared" si="114"/>
        <v>QF3|XT3</v>
      </c>
      <c r="IM7" t="str">
        <f t="shared" si="115"/>
        <v>QF3|XT3|кабель ВВГнг(А)-LS (5х10) → Щит ЩР-1</v>
      </c>
      <c r="IN7" t="str" cm="1">
        <f t="array" ref="IN7">IF(IM7="","",_xlfn.LET(_xlpm.nd,_xlfn.TEXTSPLIT(IM7,"|"),IF(COLUMNS(_xlpm.nd)&gt;1,A7&amp;"¦"&amp;INDEX(_xlpm.nd,1)&amp;"¦"&amp;INDEX(_xlpm.nd,2),"")))</f>
        <v>ВРУ¦QF3¦XT3</v>
      </c>
      <c r="IO7" t="str">
        <f t="shared" si="116"/>
        <v>ЩР-1¦Щит ЩР-1</v>
      </c>
      <c r="IP7" t="str" cm="1">
        <f t="array" ref="IP7">IF(IM7="","",_xlfn.LET(_xlpm.nd,_xlfn.TEXTSPLIT(IM7,"|"),IF(COLUMNS(_xlpm.nd)&gt;2,A7&amp;"¦"&amp;INDEX(_xlpm.nd,2)&amp;"¦"&amp;INDEX(_xlpm.nd,3),"")))</f>
        <v>ВРУ¦XT3¦кабель ВВГнг(А)-LS (5х10) → Щит ЩР-1</v>
      </c>
      <c r="IQ7" t="str">
        <f t="shared" si="117"/>
        <v>ЩР-1¦Щит ЩР-1</v>
      </c>
      <c r="IR7" t="str" cm="1">
        <f t="array" ref="IR7">IF(IM7="","",_xlfn.LET(_xlpm.nd,_xlfn.TEXTSPLIT(IM7,"|"),IF(COLUMNS(_xlpm.nd)&gt;3,A7&amp;"¦"&amp;INDEX(_xlpm.nd,3)&amp;"¦"&amp;INDEX(_xlpm.nd,4),"")))</f>
        <v/>
      </c>
      <c r="IS7" t="str">
        <f t="shared" si="118"/>
        <v/>
      </c>
      <c r="IT7" t="str" cm="1">
        <f t="array" ref="IT7">IF(IM7="","",_xlfn.LET(_xlpm.nd,_xlfn.TEXTSPLIT(IM7,"|"),IF(COLUMNS(_xlpm.nd)&gt;4,A7&amp;"¦"&amp;INDEX(_xlpm.nd,4)&amp;"¦"&amp;INDEX(_xlpm.nd,5),"")))</f>
        <v/>
      </c>
      <c r="IU7" t="str">
        <f t="shared" si="119"/>
        <v/>
      </c>
      <c r="IV7" t="str" cm="1">
        <f t="array" ref="IV7">IF(IM7="","",_xlfn.LET(_xlpm.nd,_xlfn.TEXTSPLIT(IM7,"|"),IF(COLUMNS(_xlpm.nd)&gt;5,A7&amp;"¦"&amp;INDEX(_xlpm.nd,5)&amp;"¦"&amp;INDEX(_xlpm.nd,6),"")))</f>
        <v/>
      </c>
      <c r="IW7" t="str">
        <f t="shared" si="120"/>
        <v/>
      </c>
      <c r="IX7" t="str" cm="1">
        <f t="array" ref="IX7">IF(IM7="","",_xlfn.LET(_xlpm.nd,_xlfn.TEXTSPLIT(IM7,"|"),IF(COLUMNS(_xlpm.nd)&gt;6,A7&amp;"¦"&amp;INDEX(_xlpm.nd,6)&amp;"¦"&amp;INDEX(_xlpm.nd,7),"")))</f>
        <v/>
      </c>
      <c r="IY7" t="str">
        <f t="shared" si="121"/>
        <v/>
      </c>
      <c r="IZ7" t="str">
        <f t="shared" si="122"/>
        <v/>
      </c>
      <c r="JA7" t="str">
        <f t="shared" si="123"/>
        <v>QF3 → XT3</v>
      </c>
      <c r="JB7">
        <f t="shared" si="124"/>
        <v>0</v>
      </c>
      <c r="JC7">
        <f t="shared" si="125"/>
        <v>0</v>
      </c>
      <c r="JD7" t="str">
        <f t="shared" si="126"/>
        <v/>
      </c>
      <c r="JE7" t="str">
        <f t="shared" si="127"/>
        <v/>
      </c>
      <c r="JF7" t="str">
        <f t="shared" si="128"/>
        <v/>
      </c>
      <c r="JG7" t="str">
        <f t="shared" si="129"/>
        <v/>
      </c>
      <c r="JH7" t="str">
        <f>IF(B7="","",IFERROR(_xlfn.XLOOKUP(B7,Коды_код,Коды_уго),IFERROR(_xlfn.XLOOKUP(BC7,Коды_код,Коды_уго),IFERROR(_xlfn.XLOOKUP(LEFT(BC7,2),Коды_код,Коды_уго),""))))</f>
        <v/>
      </c>
      <c r="JI7" t="str">
        <f>IF(B7="","",IF(OR(JH7="",JH7=0),"BOX",IFERROR(IF(VLOOKUP(JH7,УГО_блоки,3,FALSE)&amp;""&lt;&gt;"",VLOOKUP(JH7,УГО_блоки,3,FALSE),VLOOKUP(JH7,УГО_блоки,2,FALSE)),JH7)))</f>
        <v>BOX</v>
      </c>
      <c r="JJ7">
        <f t="shared" si="130"/>
        <v>1</v>
      </c>
      <c r="JK7">
        <f>IF(DQ7="","",IF(COUNTIF(DQ$3:DQ7,DQ7)=1,MAX(JK$2:JK6)+1,""))</f>
        <v>4</v>
      </c>
      <c r="JL7" t="str">
        <f>IF(DE7="","",IF(COUNTIF(DE$3:DE7,DE7)+COUNTIF(DF$2:DF6,DE7)+COUNTIF(DG$2:DG6,DE7)=1,MAX(JL$2:JN6)+1,""))</f>
        <v/>
      </c>
      <c r="JM7" t="str">
        <f>IF(DF7="","",IF(COUNTIF(DE$3:DE7,DF7)+COUNTIF(DF$3:DF7,DF7)+COUNTIF(DG$2:DG6,DF7)=1,MAX(JL$2:JN6,JL7)+1,""))</f>
        <v/>
      </c>
      <c r="JN7" t="str">
        <f>IF(DG7="","",IF(COUNTIF(DE$3:DE7,DG7)+COUNTIF(DF$3:DF7,DG7)+COUNTIF(DG$3:DG7,DG7)=1,MAX(JL$2:JN6,JL7,JM7)+1,""))</f>
        <v/>
      </c>
      <c r="JO7" t="str">
        <f t="shared" si="131"/>
        <v>5х10</v>
      </c>
      <c r="JP7">
        <f>IF(JO7="","",IF(COUNTIF(JO$3:JO7,JO7)=1,MAX(JP$2:JP6)+1,""))</f>
        <v>3</v>
      </c>
      <c r="JQ7" t="str">
        <f>IF(HG7="","",COUNTIF(HG$3:HG7,"?*"))</f>
        <v/>
      </c>
      <c r="JR7" t="str">
        <f>IF(OR(HG7="",HI7=""),"",IF(COUNTIFS(HG$3:HG7,"?*",HI$3:HI7,HI7)=1,MAX(JR$2:JR6)+1,""))</f>
        <v/>
      </c>
      <c r="JS7">
        <f t="shared" si="132"/>
        <v>0</v>
      </c>
      <c r="JT7">
        <f>IF(B7="","",COUNTIF(B$3:B7,"?*"))</f>
        <v>5</v>
      </c>
      <c r="JU7">
        <f>IF(HL7&lt;&gt;1,0,_xlfn.LET(_xlpm.k,MAX(IFERROR(--_xlfn.XLOOKUP(B7,Коды_код,Коды_3L),0),IFERROR(--_xlfn.XLOOKUP(BC7,Коды_код,Коды_3L),0),IFERROR(--_xlfn.XLOOKUP(LEFT(BC7,2),Коды_код,Коды_3L),0)),IF(_xlpm.k&gt;0,_xlpm.k,IF(IFERROR(--LEFT(SUBSTITUTE(JO7,"x","х"),FIND("х",SUBSTITUTE(JO7,"x","х"))-1),3)&gt;3,Каталог!$S$9,1))))</f>
        <v>1</v>
      </c>
      <c r="JV7">
        <f t="shared" si="133"/>
        <v>2</v>
      </c>
      <c r="JW7" t="str">
        <f t="shared" si="134"/>
        <v>авто</v>
      </c>
      <c r="JX7" t="str">
        <f t="shared" si="135"/>
        <v/>
      </c>
      <c r="JY7">
        <f t="shared" si="136"/>
        <v>0</v>
      </c>
      <c r="JZ7">
        <f t="shared" si="137"/>
        <v>1</v>
      </c>
    </row>
    <row r="8" spans="1:286" x14ac:dyDescent="0.3">
      <c r="A8" t="s">
        <v>151</v>
      </c>
      <c r="B8" t="s">
        <v>948</v>
      </c>
      <c r="C8" t="str">
        <f>Линии[[#This Row],[_авто наименование]]</f>
        <v>Щит ЩС</v>
      </c>
      <c r="E8">
        <f>Линии[[#This Row],[_авто Р]]</f>
        <v>11.35</v>
      </c>
      <c r="G8" t="str">
        <f>Линии[[#This Row],[_авто автомат]]</f>
        <v>3P С25А</v>
      </c>
      <c r="H8" t="str">
        <f>Линии[[#This Row],[_авто управление]]</f>
        <v/>
      </c>
      <c r="I8" t="str">
        <f>Линии[[#This Row],[_авто аппараты]]</f>
        <v/>
      </c>
      <c r="J8">
        <f>Линии[[#This Row],[_авто сечение]]</f>
        <v>4</v>
      </c>
      <c r="K8">
        <v>40</v>
      </c>
      <c r="L8" t="str">
        <f>Линии[[#This Row],[_авто фаза]]</f>
        <v>L1,L2,L3</v>
      </c>
      <c r="M8" t="str">
        <f>Линии[[#This Row],[_авто клемма]]</f>
        <v>XT4</v>
      </c>
      <c r="N8" t="str">
        <f t="shared" si="0"/>
        <v/>
      </c>
      <c r="O8" s="6" cm="1">
        <f t="array" ref="O8">IF(B8="","",IF(BH8&lt;&gt;"",IFERROR(_xlfn.XLOOKUP(BH8,Щиты[Щит],Щиты[Iр, А]),""),IF(BP8=1,IF(OR(N(_xlfn.XLOOKUP(A8,Щиты[Щит],Щиты[Вводов],1))&lt;=1,LOWER(TRIM(_xlfn.XLOOKUP(A8,Щиты[Щит],Щиты[АВР],"")&amp;""))="да"),IFERROR(_xlfn.XLOOKUP(A8,Щиты[Щит],Щиты[Iр, А]),""),IFERROR(N(BS8)*_xlfn.XLOOKUP(A8,Щиты[Щит],Щиты[Кс итог])/(SQRT(3)*Uн_лин*_xlfn.XLOOKUP(A8,Щиты[Щит],Щиты[cos φ])),"")),IF(BV8=1,IFERROR(BS8*1000/BU8,""),IFERROR(_xlfn.IFS(BX8=1,BS8/((Uн_лин/SQRT(3))*CE8),BX8=3,BS8/(SQRT(3)*Uн_лин*CE8)),"")))))</f>
        <v>19.279564640802732</v>
      </c>
      <c r="P8" s="7">
        <f>IF(B8="","",IFERROR(IF(VLOOKUP(BC8,Потребители_обозначение,4,FALSE)=1,VLOOKUP(BC8,Потребители_обозначение,3,FALSE)*(MAX(1,N(D8))*2-1)+EI8+VLOOKUP(BE8,Этаж_обозначение,3,FALSE)+VLOOKUP(BE8,Этаж_обозначение,4,FALSE),VLOOKUP(BC8,Потребители_обозначение,3,FALSE)*(MAX(1,N(D8))*2-1)+EI8),EI8))</f>
        <v>40</v>
      </c>
      <c r="Q8" s="6">
        <f t="shared" si="1"/>
        <v>1.9160288498727978</v>
      </c>
      <c r="R8" t="str">
        <f t="shared" si="2"/>
        <v>ВВГнг(А)-LS (5х4)</v>
      </c>
      <c r="S8" t="str">
        <f>IF(BM8="","",IF(BN8="вводной узел","узел ","")&amp;"л."&amp;(INT((BM8-1)/Столбцов_на_лист)+1)&amp;" / "&amp;(MOD(BM8-1,Столбцов_на_лист)+1))</f>
        <v>л.2 / 5</v>
      </c>
      <c r="T8" s="119" t="str">
        <f t="shared" si="3"/>
        <v/>
      </c>
      <c r="U8" s="7" t="str">
        <f>IF(OR(CG8=0,N(BV8)+N(IB8)=0),"",ROUNDUP(Запас_БП*(N(HY8)+N(HZ8)),0))</f>
        <v/>
      </c>
      <c r="V8" s="119" t="str">
        <f t="shared" si="4"/>
        <v/>
      </c>
      <c r="W8" s="7">
        <f>IFERROR(IF(OR(B8="",BP8=1,BV8=1,NOT(ISNUMBER(EN8)),N(DT8)=0),"",MAX(0,ROUNDDOWN((c_min*(Uн_лин*1000/SQRT(3))/(HT8*N(DT8))-_xlfn.XLOOKUP(A8,Щиты[Щит],Щиты[Zпетли на шинах, Ом]))*EN8/(2*ρкз_Cu),0))),"")</f>
        <v>56</v>
      </c>
      <c r="Y8" t="str">
        <f>Линии[[#This Row],[_авто утечка]]</f>
        <v/>
      </c>
      <c r="Z8">
        <v>3</v>
      </c>
      <c r="AA8">
        <v>400</v>
      </c>
      <c r="AB8" t="str">
        <f>Линии[[#This Row],[_авто группа Кс]]</f>
        <v>Быт</v>
      </c>
      <c r="AG8" t="s">
        <v>760</v>
      </c>
      <c r="AK8" t="str">
        <f>Линии[[#This Row],[_авто модуль]]</f>
        <v/>
      </c>
      <c r="AN8" t="s">
        <v>11</v>
      </c>
      <c r="AO8">
        <v>5</v>
      </c>
      <c r="BA8" cm="1">
        <f t="array" ref="BA8">ROW()-ROW(Линии[#Headers])</f>
        <v>6</v>
      </c>
      <c r="BC8" s="6" t="str">
        <f t="shared" si="5"/>
        <v>ЩС</v>
      </c>
      <c r="BD8" t="str">
        <f t="shared" si="6"/>
        <v/>
      </c>
      <c r="BE8" t="str">
        <f t="shared" si="7"/>
        <v/>
      </c>
      <c r="BF8" t="str">
        <f t="shared" si="8"/>
        <v/>
      </c>
      <c r="BG8" t="str">
        <f t="shared" si="9"/>
        <v/>
      </c>
      <c r="BH8" t="str">
        <f>IF(X8&lt;&gt;"",X8,IF(AND(B8&lt;&gt;"",B8&lt;&gt;A8,ISNUMBER(_xlfn.XMATCH(B8,Щиты[Щит]))),B8,""))</f>
        <v>ЩС</v>
      </c>
      <c r="BI8" t="str" cm="1">
        <f t="array" ref="BI8">IF(B8="","",IF(BH8&lt;&gt;"","Щит "&amp;BH8,_xlfn.LET(_xlpm.nm,IFERROR(_xlfn.XLOOKUP(BC8,Коды_код,Коды_имя)&amp;"",""),_xlpm.md,IFERROR(N(_xlfn.XLOOKUP(BC8,Коды_код,Коды_режим)),1),_xlpm.ex,IF(Имя_режим="по экспликации",IFERROR(_xlfn.XLOOKUP(BE8&amp;"|"&amp;BG8,Экспликация[Этаж]&amp;"|"&amp;Экспликация[Помещение],Экспликация[Название])&amp;"",""),""),_xlpm.rm,IF(BG8="","",IF(_xlpm.ex&lt;&gt;"",". "&amp;_xlpm.ex&amp;IF(Имя_пом="нет"," ("&amp;BG8&amp;")"," (пом. "&amp;BG8&amp;")"),IF(Имя_пом="нет"," ",", пом. ")&amp;BG8)),IF(_xlpm.nm="","",IF(_xlpm.md=2,_xlpm.nm&amp;" шлейф "&amp;BE8,_xlpm.nm&amp;_xlpm.rm)))))</f>
        <v>Щит ЩС</v>
      </c>
      <c r="BJ8" t="str">
        <f t="shared" si="10"/>
        <v>Щит ЩС</v>
      </c>
      <c r="BK8">
        <f>IFERROR(_xlfn.XMATCH(A8,Щиты[Щит]),0)</f>
        <v>1</v>
      </c>
      <c r="BL8">
        <f>_xlfn.LET(_xlpm.k,IFERROR(_xlfn.XLOOKUP(A8,Щиты[Щит],Щиты[Мест под вводной узел]),""),IF(_xlpm.k="",Столбцов_на_лист,N(_xlpm.k)))</f>
        <v>4</v>
      </c>
      <c r="BM8">
        <f t="shared" si="11"/>
        <v>22</v>
      </c>
      <c r="BN8" t="str">
        <f t="shared" si="12"/>
        <v>линии</v>
      </c>
      <c r="BO8" s="6">
        <f>IFERROR(N(_xlfn.XLOOKUP(BC8,Коды_код,Коды_квт)),0)</f>
        <v>0</v>
      </c>
      <c r="BP8">
        <f t="shared" si="13"/>
        <v>0</v>
      </c>
      <c r="BQ8">
        <f>IF(B8="","",IF(BH8&lt;&gt;"",IFERROR(_xlfn.XLOOKUP(BH8,Щиты[Щит],Щиты[Руст, кВт]),0),IF(BP8=1,IF(OR(N(_xlfn.XLOOKUP(A8,Щиты[Щит],Щиты[Вводов],1))&lt;=1,LOWER(TRIM(_xlfn.XLOOKUP(A8,Щиты[Щит],Щиты[АВР],"")&amp;""))="да"),IFERROR(_xlfn.XLOOKUP(A8,Щиты[Щит],Щиты[Руст, кВт]),0),SUMIFS(Линии[_Р для вводов],Линии[Щит],A8,Линии[Источник для режимов],GF8)),IF(BO8&gt;0,ROUND(BO8*MAX(1,N(D8)),3),""))))</f>
        <v>11.35</v>
      </c>
      <c r="BR8">
        <f t="shared" si="14"/>
        <v>11.35</v>
      </c>
      <c r="BS8" s="6">
        <f>IF(B8="","",IF(BH8&lt;&gt;"",IFERROR(_xlfn.XLOOKUP(BH8,Щиты[Щит],Щиты[Руст, кВт]),0),N(BR8)))</f>
        <v>11.35</v>
      </c>
      <c r="BT8" t="str">
        <f>IF(B8="","",IFERROR(IF(VLOOKUP(BC8,Потребители_обозначение,8,FALSE)=0,"",VLOOKUP(BC8,Потребители_обозначение,8,FALSE)),""))</f>
        <v/>
      </c>
      <c r="BU8">
        <f t="shared" si="15"/>
        <v>400</v>
      </c>
      <c r="BV8">
        <f t="shared" si="16"/>
        <v>0</v>
      </c>
      <c r="BW8">
        <f>IF(B8="","",IF(BH8&lt;&gt;"",3,IFERROR(IF(N(VLOOKUP(BC8,Потребители_обозначение,9,FALSE))=0,1,VLOOKUP(BC8,Потребители_обозначение,9,FALSE)),1)))</f>
        <v>3</v>
      </c>
      <c r="BX8">
        <f t="shared" si="17"/>
        <v>3</v>
      </c>
      <c r="BY8" t="str">
        <f>IF(B8="","",_xlfn.LET(_xlpm.bc,IFERROR(IF(VLOOKUP(BC8,Потребители_обозначение,6,FALSE)=0,"",VLOOKUP(BC8,Потребители_обозначение,6,FALSE)&amp;""),""),IF(AND(GA8="да",OR(_xlpm.bc="",_xlpm.bc="мс")),Марка_пож,IF(AND(_xlpm.bc="",BH8&lt;&gt;""),"мс",_xlpm.bc))))</f>
        <v>мс</v>
      </c>
      <c r="BZ8" t="str">
        <f t="shared" si="18"/>
        <v>мс</v>
      </c>
      <c r="CA8">
        <f>IF(B8="","",_xlfn.LET(_xlpm.cc,IFERROR(N(VLOOKUP(BC8,Потребители_обозначение,7,FALSE)),0),IF(_xlpm.cc&gt;0,_xlpm.cc,IF(BZ8="","",IF(BV8=1,2,IF(N(BX8)=3,5,3))))))</f>
        <v>5</v>
      </c>
      <c r="CB8">
        <f t="shared" si="19"/>
        <v>5</v>
      </c>
      <c r="CC8">
        <f>IFERROR(N(VLOOKUP(BC8,Потребители_обозначение,10,FALSE)),0)</f>
        <v>0</v>
      </c>
      <c r="CD8">
        <f>IFERROR(VLOOKUP(BC8,Потребители_обозначение,5,FALSE),0)</f>
        <v>0</v>
      </c>
      <c r="CE8" s="6" cm="1">
        <f t="array" ref="CE8">IF(B8="","",IF(BH8&lt;&gt;"",IFERROR(_xlfn.XLOOKUP(BH8,Щиты[Щит],Щиты[cos φ]),0.95),IF(BP8=1,IFERROR(_xlfn.XLOOKUP(A8,Щиты[Щит],Щиты[cos φ]),0.95),IF(ISNUMBER(AD8),AD8,IFERROR(IF(CD8=2,_xlfn.IFS(BX8=3,VLOOKUP(BS8,Справочная_двигатели,8,FALSE),BX8=1,VLOOKUP(BS8,Справочная_двигатели,10,TRUE)),IF(AND(Методика="нормы 2026",FG8="Сил"),0.8,0.95)),0.95)))))</f>
        <v>0.81453744493392066</v>
      </c>
      <c r="CF8">
        <f t="shared" si="20"/>
        <v>0</v>
      </c>
      <c r="CG8">
        <f t="shared" si="21"/>
        <v>1</v>
      </c>
      <c r="CH8">
        <f t="shared" si="22"/>
        <v>0</v>
      </c>
      <c r="CI8">
        <f>IF(B8="","",IF(BV8=1,IFERROR(BS8/((Uн_лин/SQRT(3))*MAX(0.5,N(CE8))),0),N(O8)))</f>
        <v>19.279564640802732</v>
      </c>
      <c r="CJ8">
        <f t="shared" si="23"/>
        <v>0</v>
      </c>
      <c r="CK8">
        <f t="shared" si="24"/>
        <v>0</v>
      </c>
      <c r="CL8">
        <f t="shared" si="25"/>
        <v>0</v>
      </c>
      <c r="CM8">
        <f t="shared" si="26"/>
        <v>0</v>
      </c>
      <c r="CN8">
        <f t="shared" si="27"/>
        <v>0</v>
      </c>
      <c r="CO8">
        <f>IF(BC8="",0,_xlfn.LET(_xlpm.v,IFERROR(_xlfn.XLOOKUP(B8,Коды_код,Коды_мА),IFERROR(_xlfn.XLOOKUP(BC8,Коды_код,Коды_мА),IFERROR(_xlfn.XLOOKUP(LEFT(BC8,2),Коды_код,Коды_мА),""))),IF(_xlpm.v="да",30,IF(ISNUMBER(_xlpm.v),_xlpm.v,0))))</f>
        <v>0</v>
      </c>
      <c r="CP8" t="str">
        <f t="shared" si="28"/>
        <v/>
      </c>
      <c r="CQ8" t="str">
        <f>_xlfn.LET(_xlpm.k,IFERROR(_xlfn.XLOOKUP(BC8,Коды_код,Коды_утечка)&amp;"",""),IF(_xlpm.k="","дифавтомат",_xlpm.k))</f>
        <v>дифавтомат</v>
      </c>
      <c r="CR8" t="str" cm="1">
        <f t="array" ref="CR8">IF(CG8=0,"",_xlfn.LET(_xlpm.sg,TRIM(_xlfn.TEXTSPLIT(DD8&amp;"",";")),_xlpm.f_,_xlfn._xlws.FILTER(_xlpm.sg,LEFT(_xlpm.sg,3)="УЗО",""),IFERROR(INDEX(_xlpm.f_,1)&amp;"","")))</f>
        <v/>
      </c>
      <c r="CS8" t="str">
        <f t="shared" si="29"/>
        <v/>
      </c>
      <c r="CT8" s="6" t="str" cm="1">
        <f t="array" ref="CT8">IF(CR8="","",_xlfn.LET(_xlpm.tk,_xlfn.TEXTSPLIT(UPPER(CR8)," ",,TRUE),_xlpm.a_,_xlfn._xlws.FILTER(_xlpm.tk,ISNUMBER(--LEFT(_xlpm.tk,1))*((ISNUMBER(SEARCH("А",_xlpm.tk))+ISNUMBER(SEARCH("A",_xlpm.tk)))&gt;0)*NOT(ISNUMBER(SEARCH("МА",_xlpm.tk)))*NOT(ISNUMBER(SEARCH("MA",_xlpm.tk))),""),IFERROR(--SUBSTITUTE(SUBSTITUTE(INDEX(_xlpm.a_,1),"А",""),"A",""),"")))</f>
        <v/>
      </c>
      <c r="CU8" t="str" cm="1">
        <f t="array" ref="CU8">IF(CR8="","",_xlfn.LET(_xlpm.tk,_xlfn.TEXTSPLIT(UPPER(CR8)," ",,TRUE),_xlpm.a_,_xlfn._xlws.FILTER(_xlpm.tk,ISNUMBER(--LEFT(_xlpm.tk,1))*((ISNUMBER(SEARCH("МА",_xlpm.tk))+ISNUMBER(SEARCH("MA",_xlpm.tk)))&gt;0),""),IFERROR(--SUBSTITUTE(SUBSTITUTE(INDEX(_xlpm.a_,1),"МА",""),"MA",""),30)))</f>
        <v/>
      </c>
      <c r="CV8" t="str">
        <f>IF(CS8="","",IFERROR(_xlfn.XLOOKUP(CS8,Линии[_n],Линии[_УЗО, мА]),30))</f>
        <v/>
      </c>
      <c r="CW8">
        <f>IF(CS8="",0,IF(ISNUMBER(SEARCH("4P",IFERROR(_xlfn.XLOOKUP(CS8,Линии[_n],Линии[_УЗО строки])&amp;"",""))),0,1))</f>
        <v>0</v>
      </c>
      <c r="CX8" t="str">
        <f>IF(AND(CS8&lt;&gt;"",CS8=BA8),SUMIFS(Линии[_ток на 230 В],Линии[_блок УЗО],BA8,Линии[Щит],A8),"")</f>
        <v/>
      </c>
      <c r="CY8" t="str">
        <f>IF(AND(CS8&lt;&gt;"",CS8=BA8),SUMIFS(Линии[_ток утечки линии, мА],Линии[_блок УЗО],BA8,Линии[Щит],A8),"")</f>
        <v/>
      </c>
      <c r="CZ8">
        <f t="shared" si="30"/>
        <v>0</v>
      </c>
      <c r="DA8">
        <f t="shared" si="31"/>
        <v>0</v>
      </c>
      <c r="DB8">
        <f>IF(B8="",0,IFERROR(--_xlfn.XLOOKUP(B8,Коды_код,Коды_минавт),IFERROR(--_xlfn.XLOOKUP(BC8,Коды_код,Коды_минавт),IFERROR(--_xlfn.XLOOKUP(LEFT(BC8,2),Коды_код,Коды_минавт),0))))</f>
        <v>0</v>
      </c>
      <c r="DC8" t="str">
        <f>IF(B8="","",IFERROR(_xlfn.XLOOKUP(BC8,Коды_код,Коды_апп)&amp;"",""))</f>
        <v/>
      </c>
      <c r="DD8" t="str">
        <f t="shared" si="32"/>
        <v/>
      </c>
      <c r="DE8" t="str" cm="1">
        <f t="array" ref="DE8">IF(TRIM(DD8&amp;"")="","",IFERROR(TRIM(INDEX(_xlfn.TEXTSPLIT(DD8&amp;";;;",";"),1)),""))</f>
        <v/>
      </c>
      <c r="DF8" t="str" cm="1">
        <f t="array" ref="DF8">IF(TRIM(DD8&amp;"")="","",IFERROR(TRIM(INDEX(_xlfn.TEXTSPLIT(DD8&amp;";;;",";"),2)),""))</f>
        <v/>
      </c>
      <c r="DG8" t="str" cm="1">
        <f t="array" ref="DG8">IF(TRIM(DD8&amp;"")="","",IFERROR(TRIM(INDEX(_xlfn.TEXTSPLIT(DD8&amp;";;;",";"),3)),""))</f>
        <v/>
      </c>
      <c r="DH8">
        <f t="shared" si="33"/>
        <v>0</v>
      </c>
      <c r="DI8" t="str">
        <f>IF(B8="","",_xlfn.LET(_xlpm.t,LOWER(AZ8&amp;""),IF(ISNUMBER(SEARCH("dim",_xlpm.t)),"DIM",IF(ISNUMBER(SEARCH("dali",_xlpm.t)),"DALI",IF(OR(ISNUMBER(SEARCH("relay",_xlpm.t)),ISNUMBER(SEARCH("реле",_xlpm.t))),"Relay",IF(ISNUMBER(SEARCH("кнопк",_xlpm.t)),"",IFERROR(_xlfn.XLOOKUP(BC8,Коды_код,Коды_упр)&amp;"","")))))))</f>
        <v/>
      </c>
      <c r="DJ8" t="str">
        <f t="shared" si="34"/>
        <v/>
      </c>
      <c r="DK8">
        <f>IF(B8="","",_xlfn.LET(_xlpm.ig,IF(N(CX8)&gt;0,N(CX8),N(CI8)+IF(AJ8="вручную",0,N(CJ8))),_xlpm.n0,IFERROR(VLOOKUP(_xlpm.ig,Автомат_номиналы,2,TRUE),0),_xlpm.mn,MAX(DB8,IF(AJ8="вручную",0,N(CM8))),MAX(_xlpm.n0,_xlpm.mn,IF(DH8=1,Мин_автомат_БП,0))))</f>
        <v>25</v>
      </c>
      <c r="DL8">
        <f t="shared" si="35"/>
        <v>3</v>
      </c>
      <c r="DM8" t="str">
        <f t="shared" si="36"/>
        <v>3P</v>
      </c>
      <c r="DN8" t="str">
        <f>_xlfn.LET(_xlpm.cc,UPPER(TRIM(IFERROR(_xlfn.XLOOKUP(BC8,Коды_код,Коды_хар)&amp;"",""))),IF(OR(_xlpm.cc="B",_xlpm.cc="В"),"B",IF(_xlpm.cc="D","D","С")))</f>
        <v>С</v>
      </c>
      <c r="DO8" t="str">
        <f t="shared" si="37"/>
        <v>3P С25А</v>
      </c>
      <c r="DP8" t="str">
        <f t="shared" si="38"/>
        <v>3P С25А</v>
      </c>
      <c r="DQ8" t="str">
        <f t="shared" si="39"/>
        <v>3P С25А</v>
      </c>
      <c r="DR8" cm="1">
        <f t="array" ref="DR8">IF(DQ8="","",_xlfn.LET(_xlpm.t,SUBSTITUTE(SUBSTITUTE(SUBSTITUTE(UPPER(DQ8),"С","C"),"А","A"),"В","B"),_xlpm.tk,_xlfn.TEXTSPLIT(_xlpm.t," "),_xlpm.f,_xlfn._xlws.FILTER(_xlpm.tk,ISNUMBER(--MID(_xlpm.tk,2,1))*ISNUMBER(SEARCH(LEFT(_xlpm.tk,1)&amp;"#","B#C#D#"))*(LEN(_xlpm.tk)&gt;1),""),_xlpm.x,INDEX(_xlpm.f,1),IFERROR(--SUBSTITUTE(MID(_xlpm.x,2,9),"A",""),IFERROR(--SUBSTITUTE(INDEX(_xlfn._xlws.FILTER(_xlpm.tk,ISNUMBER(--SUBSTITUTE(_xlpm.tk,"A","")),""),1),"A",""),""))))</f>
        <v>25</v>
      </c>
      <c r="DS8" t="str">
        <f t="shared" si="40"/>
        <v>ok</v>
      </c>
      <c r="DT8">
        <f t="shared" si="41"/>
        <v>25</v>
      </c>
      <c r="DU8" t="str">
        <f t="shared" si="42"/>
        <v>3P С25А</v>
      </c>
      <c r="DV8">
        <f t="shared" si="43"/>
        <v>0</v>
      </c>
      <c r="DW8">
        <f t="shared" si="44"/>
        <v>0</v>
      </c>
      <c r="DX8">
        <f t="shared" si="45"/>
        <v>0</v>
      </c>
      <c r="DY8">
        <f t="shared" si="46"/>
        <v>19.279564640802732</v>
      </c>
      <c r="DZ8">
        <f t="shared" si="47"/>
        <v>0.92</v>
      </c>
      <c r="EA8">
        <f>IF(ISNUMBER(AP8),AP8,К_прокл)</f>
        <v>1</v>
      </c>
      <c r="EB8">
        <f t="shared" si="48"/>
        <v>3</v>
      </c>
      <c r="EC8">
        <f>IFERROR(N(VLOOKUP(BZ8,Кабель_обозначение,3,FALSE)),1)</f>
        <v>1</v>
      </c>
      <c r="ED8">
        <f>IFERROR(N(_xlfn.XLOOKUP(A8,Щиты[Щит],Щиты[ΔU до шин, %])),0)</f>
        <v>0.3660288498727976</v>
      </c>
      <c r="EE8">
        <f>IFERROR(_xlfn.XLOOKUP(A8,Щиты[Щит],Щиты[Zпетли на шинах, Ом]),"")</f>
        <v>0.13597829354840207</v>
      </c>
      <c r="EF8">
        <f>IFERROR(N(_xlfn.XLOOKUP(A8,Щиты[Щит],Щиты[ΔU до шин (подбор), %])),0)</f>
        <v>0.3660288498727976</v>
      </c>
      <c r="EG8">
        <f>IFERROR(_xlfn.XLOOKUP(A8,Щиты[Щит],Щиты[Zпетли на шинах (подбор), Ом]),"")</f>
        <v>0.13597829354840207</v>
      </c>
      <c r="EH8" t="str">
        <f t="shared" si="49"/>
        <v/>
      </c>
      <c r="EI8">
        <f t="shared" si="50"/>
        <v>40</v>
      </c>
      <c r="EJ8">
        <f t="shared" si="51"/>
        <v>1</v>
      </c>
      <c r="EK8">
        <f t="shared" si="52"/>
        <v>0.57999999999999996</v>
      </c>
      <c r="EL8" s="6">
        <f>IF(B8="","",IF(BV8=1,dU_LED,IF(IFERROR(_xlfn.XLOOKUP(BC8,Коды_код,Коды_уго),"")="Светильник",3,4)+IF(Методика="нормы 2026",MIN(0.5,MAX(0,N(P8)-100)*0.005),0)))</f>
        <v>4</v>
      </c>
      <c r="EM8" cm="1">
        <f t="array" ref="EM8">IF(OR(B8="",BZ8="",EC8&lt;&gt;1),"",_xlfn.LET(_xlpm.sz,Iдоп_S,_xlpm.t_,CHOOSE(EB8,Iдоп_1ж,Iдоп_2ж,Iдоп_3ж)*DZ8*EA8,_xlpm.dcx,BV8=1,_xlpm.inn,IF(_xlpm.dcx,N(O8),N(DT8)),_xlpm.smin,MAX(1.5,CC8),_xlpm.L_,N(P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8)/N(BU8)*100,999),IFERROR(N(EJ8)*(_xlpm.rho*_xlpm.L_/_xlpm.sz*N(CE8)+_xlpm.xx*_xlpm.L_*N(EK8)/1000)*N(O8)/((Uн_лин/SQRT(3))*1000)*100,999)),_xlpm.kz,IF(OR(_xlpm.dcx,DW8=1,NOT(ISNUMBER(EG8)),_xlpm.L_=0,_xlpm.inn=0),1,IFERROR(--(c_min*(Uн_лин*1000/SQRT(3))/(EG8+2*ρкз_Cu*_xlpm.L_/_xlpm.sz)&gt;=HT8*_xlpm.inn),0)),_xlpm.ok,IFERROR((_xlpm.sz&gt;=_xlpm.smin)*(_xlpm.t_&gt;=_xlpm.inn)*IF(_xlpm.L_&gt;0,(_xlpm.du_+IF(_xlpm.dcx,0,EF8)&lt;=EL8+0.00001),1)*_xlpm.kz,0),_xlpm.r_,_xlfn._xlws.FILTER(_xlpm.sz,_xlpm.ok,"не подобрано"),INDEX(_xlpm.r_,1)))</f>
        <v>4</v>
      </c>
      <c r="EN8">
        <f t="shared" si="53"/>
        <v>4</v>
      </c>
      <c r="EO8" cm="1">
        <f t="array" ref="EO8">IF(OR(B8="",BZ8="",EC8&lt;&gt;1),"",_xlfn.LET(_xlpm.sz,Iдоп_S,_xlpm.t_,CHOOSE(EB8,Iдоп_1ж,Iдоп_2ж,Iдоп_3ж)*DZ8*EA8,_xlpm.ok,IFERROR((_xlpm.sz&gt;=MAX(1.5,CC8))*(_xlpm.t_&gt;=N(DT8)),0),_xlpm.r_,_xlfn._xlws.FILTER(_xlpm.sz,_xlpm.ok,""),INDEX(_xlpm.r_,1)))</f>
        <v>4</v>
      </c>
      <c r="EP8" s="6" cm="1">
        <f t="array" ref="EP8">IFERROR(ROUNDUP(N(EJ8)*(_xlfn.XLOOKUP(EO8,INDEX(Кабель_сопротивление,0,1),INDEX(Кабель_сопротивление,0,3))*N(P8)/EO8*N(CE8)+_xlfn.XLOOKUP(EO8,INDEX(Кабель_сопротивление,0,1),INDEX(Кабель_сопротивление,0,2))*N(P8)*N(EK8)/1000)*N(O8)/((Uн_лин/SQRT(3))*1000)*100,2),"")</f>
        <v>1.55</v>
      </c>
      <c r="EQ8">
        <f>IFERROR(2*ρкз_Cu*N(P8)/EO8,"")</f>
        <v>0.52600000000000002</v>
      </c>
      <c r="ER8">
        <f>IFERROR(VLOOKUP(EN8,Кабель_сопротивление,3,FALSE),"")</f>
        <v>2.2499999999999999E-2</v>
      </c>
      <c r="ES8">
        <f>IFERROR(VLOOKUP(EN8,Кабель_сопротивление,2,FALSE),"")</f>
        <v>9.5000000000000001E-2</v>
      </c>
      <c r="ET8" t="str">
        <f t="shared" si="54"/>
        <v/>
      </c>
      <c r="EU8" t="str">
        <f t="shared" si="55"/>
        <v/>
      </c>
      <c r="EV8">
        <f t="shared" si="56"/>
        <v>3.5758758079088384</v>
      </c>
      <c r="EW8" s="6">
        <f>IFERROR(ROUNDUP(EV8/IF(BV8=1,BU8,(Uн_лин/SQRT(3))*1000)*100,2),"")</f>
        <v>1.55</v>
      </c>
      <c r="EX8" t="str">
        <f>IFERROR(VLOOKUP(BZ8,Кабель_обозначение,2,FALSE),"")</f>
        <v>ВВГнг(А)-LS</v>
      </c>
      <c r="EY8" t="str">
        <f t="shared" si="57"/>
        <v>ВВГнг(А)-LS (5х4)</v>
      </c>
      <c r="EZ8" t="str">
        <f t="shared" si="58"/>
        <v>ВВГнг(А)-LS (5х4)
L=40-1,55%</v>
      </c>
      <c r="FA8">
        <f>IFERROR(2*ρкз_Cu*P8/EN8,"")</f>
        <v>0.52600000000000002</v>
      </c>
      <c r="FB8">
        <f t="shared" si="59"/>
        <v>0.17500000000000002</v>
      </c>
      <c r="FC8" s="6">
        <f>IFERROR(IF(OR(B8="",BV8=1,NOT(ISNUMBER(EN8)),N(P8)=0),"",_xlfn.XLOOKUP(A8,Щиты[Щит],Щиты[Zпетли на шинах, Ом])+FA8),"")</f>
        <v>0.6619782935484021</v>
      </c>
      <c r="FD8" s="6">
        <f>IF(ISNUMBER(FC8),c_min*(Uн_лин*1000/SQRT(3))/FC8,"")</f>
        <v>331.4203870885932</v>
      </c>
      <c r="FE8" s="6">
        <f>IFERROR(IF(OR(B8="",NOT(ISNUMBER(EN8))),"",1.05*(Uн_лин*1000/SQRT(3))/(_xlfn.XLOOKUP(A8,Щиты[Щит],Щиты[Zmax на шинах, Ом])+FB8)/1000),"")</f>
        <v>1.1207393569042776</v>
      </c>
      <c r="FF8" s="6" t="str">
        <f>IF(B8="","",IF(ISNUMBER(AC8),"Сил",IF(IFERROR(_xlfn.XLOOKUP(BC8,Коды_код,Коды_группа)&amp;"","")="","Быт",_xlfn.XLOOKUP(BC8,Коды_код,Коды_группа)&amp;"")))</f>
        <v>Быт</v>
      </c>
      <c r="FG8" s="6" t="str">
        <f t="shared" si="60"/>
        <v>Щит</v>
      </c>
      <c r="FH8" s="6" t="str">
        <f>IF(FG8="Щит","щит",IF(FG8="","",IF(FG8="Быт",IFERROR(_xlfn.XLOOKUP(A8,Щиты[Щит],Щиты[Кс быт]),1),IF(FG8="Сил",IF(ISNUMBER(AC8),AC8,IF(Методика="нормы 2026",IFERROR(_xlfn.XLOOKUP(A8,Щиты[Щит],Щиты[Кс силовых (табл. 7.5)]),1),1)),IF(OR(FG8="Пост",FG8="Отоп"),1,IF(FG8="ВНГ",0.7,0))))))</f>
        <v>щит</v>
      </c>
      <c r="FI8">
        <f>IF(FG8="","",IF(AND(BP8=1,TRIM(AE8&amp;"")=""),IF(COUNTIFS(Линии[Щит],A8,Линии[Секция (1/2/3)],"&gt;=2")&gt;0,MIN(3,MAX(1,IFERROR(--BD8,1))),1),IFERROR(MIN(3,MAX(1,INT(--AE8))),1)))</f>
        <v>1</v>
      </c>
      <c r="FJ8">
        <f t="shared" si="61"/>
        <v>0</v>
      </c>
      <c r="FK8">
        <f t="shared" si="62"/>
        <v>0</v>
      </c>
      <c r="FL8">
        <f t="shared" si="63"/>
        <v>0</v>
      </c>
      <c r="FM8">
        <f t="shared" si="64"/>
        <v>0</v>
      </c>
      <c r="FN8">
        <f t="shared" si="65"/>
        <v>0</v>
      </c>
      <c r="FO8">
        <f t="shared" si="66"/>
        <v>0</v>
      </c>
      <c r="FP8">
        <f t="shared" si="67"/>
        <v>11.35</v>
      </c>
      <c r="FQ8">
        <f t="shared" si="68"/>
        <v>0</v>
      </c>
      <c r="FR8">
        <f t="shared" si="69"/>
        <v>0</v>
      </c>
      <c r="FS8">
        <f>IF(CG8=1,IF(AND(CH8=1,CW8=1),0,IF(AND(CS8&lt;&gt;"",CS8=BA8,CW8=1),SUMIFS(Линии[_Р линии, кВт],Линии[_блок УЗО],BA8,Линии[Щит],A8),N(BS8)+IF(AJ8="вручную",0,N(CK8)))),0)</f>
        <v>11.35</v>
      </c>
      <c r="FT8" t="str">
        <f t="shared" si="70"/>
        <v/>
      </c>
      <c r="FU8" t="str">
        <f>IF(B8="","",IF(CG8=0,IF(BA8=1,"",FW7),IF(AND(CH8=1,CW8=1,CS8&lt;&gt;""),IFERROR(_xlfn.XLOOKUP(CS8,Линии[_n],Линии[_фаза итог]),"L1"),IF(OR(N(DL8)&gt;=3,N(BX8)&gt;=3),"L1,L2,L3",IFERROR(_xlfn.TEXTBEFORE(_xlfn.TEXTAFTER(_xlfn.XLOOKUP(A8,Щиты[Щит],Щиты[_фазы авто]),";"&amp;BA8&amp;":"),";"),"L1")))))</f>
        <v>L1,L2,L3</v>
      </c>
      <c r="FV8" t="str">
        <f t="shared" si="71"/>
        <v>L1,L2,L3</v>
      </c>
      <c r="FW8" t="str">
        <f t="shared" si="72"/>
        <v>L1,L2,L3</v>
      </c>
      <c r="FX8" cm="1">
        <f t="array" ref="FX8">IFERROR(IF(CD8=2,_xlfn.IFS(BX8=3,VLOOKUP(BS8,Справочная_двигатели,3,FALSE),BX8=1,VLOOKUP(BS8,Справочная_двигатели,5,TRUE)),0),0)</f>
        <v>0</v>
      </c>
      <c r="FY8">
        <f>IFERROR(IF(CD8=3,VLOOKUP(BS8,Справочная_ЛЭД,2,TRUE),0),0)</f>
        <v>0</v>
      </c>
      <c r="FZ8" s="6">
        <f t="shared" si="73"/>
        <v>0</v>
      </c>
      <c r="GA8" t="str">
        <f>IF(B8="","",IF(TRIM(AH8&amp;"")&lt;&gt;"",IF(LOWER(TRIM(AH8&amp;""))="да","да","нет"),IF(IFERROR(_xlfn.XLOOKUP(BC8,Коды_код,Коды_пожарная),"")="да","да","нет")))</f>
        <v>нет</v>
      </c>
      <c r="GB8" t="str">
        <f t="shared" si="74"/>
        <v/>
      </c>
      <c r="GC8" t="str">
        <f t="shared" si="75"/>
        <v>основная</v>
      </c>
      <c r="GD8">
        <f>IF(AND(BP8=1,TRIM(AE8&amp;"")=""),IF(COUNTIFS(Линии[Щит],A8,Линии[Секция (1/2/3)],"&gt;=2")&gt;0,MIN(3,MAX(1,IFERROR(--BD8,1))),1),IFERROR(MIN(3,MAX(1,INT(--AE8))),1))</f>
        <v>1</v>
      </c>
      <c r="GE8" t="str" cm="1">
        <f t="array" ref="GE8">IF(B8="","",_xlfn.LET(_xlpm.t,IFERROR(_xlfn.XLOOKUP(1,(Шины[Шина]=GC8)*(((Шины[Щит]=A8)+(Шины[Щит]=""))&gt;0),Шины[Тип]),"")&amp;"",IF(_xlpm.t&lt;&gt;"",_xlpm.t,IF(ISNUMBER(SEARCH("ИБП",GC8)),"ИБП",IF(ISNUMBER(SEARCH("ДГУ",GC8)),"ДГУ","Ввод "&amp;GD8)))))</f>
        <v>Ввод 1</v>
      </c>
      <c r="GF8" t="str">
        <f t="shared" si="76"/>
        <v>Ввод 1</v>
      </c>
      <c r="GG8" t="str">
        <f>IF(BP8=0,"",IF(TRIM(AG8&amp;"")&lt;&gt;"",TRIM(AG8&amp;""),IF(OR(GE8="ИБП",GE8="ДГУ"),"I особая",_xlfn.XLOOKUP(A8,Щиты[Щит],Щиты[Категория шины «Ввод»],"III"))))</f>
        <v/>
      </c>
      <c r="GH8" t="str">
        <f>IF(A8="","",_xlfn.XLOOKUP(A8,Щиты[Щит],Щиты[Путь],""))</f>
        <v>|ВРУ|</v>
      </c>
      <c r="GI8" t="str">
        <f>IF(B8="","",IF(AI8&lt;&gt;"",AI8,IF(IFERROR(_xlfn.XLOOKUP(BC8,Коды_код,Коды_вид)&amp;"","")="","Прочее",_xlfn.XLOOKUP(BC8,Коды_код,Коды_вид)&amp;"")))</f>
        <v>Прочее</v>
      </c>
      <c r="GJ8">
        <f>IF(BM8="","",INT((BM8-1)/Столбцов_на_лист)+1)</f>
        <v>2</v>
      </c>
      <c r="GK8" t="str">
        <f t="shared" si="77"/>
        <v>ВВГнг(А)-LS (5х4) L=40-1,55%</v>
      </c>
      <c r="GL8">
        <f t="shared" si="78"/>
        <v>11.35</v>
      </c>
      <c r="GM8">
        <f t="shared" si="79"/>
        <v>19.28</v>
      </c>
      <c r="GN8">
        <f t="shared" si="80"/>
        <v>3</v>
      </c>
      <c r="GO8">
        <f t="shared" si="81"/>
        <v>0</v>
      </c>
      <c r="GP8">
        <f t="shared" si="82"/>
        <v>1</v>
      </c>
      <c r="GQ8">
        <f>IF(BM8="","",IF(AND(CG8=1,GP8=1),COUNTIFS(A$3:A8,A8,CG$3:CG8,1,GP$3:GP8,1),IF(OR(OR(BA8=1,A8&lt;&gt;A7),AJ8="вручную",GP8=0),"",IF(BA8=1,"",GR7))))</f>
        <v>4</v>
      </c>
      <c r="GR8">
        <f t="shared" si="83"/>
        <v>4</v>
      </c>
      <c r="GS8">
        <f>IF(B8="","",IFERROR(LOOKUP(INDEX(CHOOSE(EB8,Iдоп_1ж,Iдоп_2ж,Iдоп_3ж),MATCH(EN8,Iдоп_S,0))*DZ8*EA8,{6,10,16,20,25,32,40,50,63,80,100,125,160,200,250,315,400,500,630}),""))</f>
        <v>32</v>
      </c>
      <c r="GT8" t="str">
        <f t="shared" si="84"/>
        <v>QF4</v>
      </c>
      <c r="GU8" t="str">
        <f t="shared" si="85"/>
        <v>QF4</v>
      </c>
      <c r="GV8" t="str">
        <f t="shared" si="86"/>
        <v/>
      </c>
      <c r="GW8">
        <f t="shared" si="87"/>
        <v>0</v>
      </c>
      <c r="GX8" t="str">
        <f>IF(OR(B8="",DJ8=""),"",IFERROR(_xlfn.XLOOKUP(DJ8,Модули_умолч[Управление],Модули_умолч[Модель])&amp;"",""))</f>
        <v/>
      </c>
      <c r="GY8">
        <f>IF(DJ8="",1,IFERROR(MAX(0,N(_xlfn.XLOOKUP(DJ8,Модули_умолч[Управление],Модули_умолч[Каналов на линию]))),1))</f>
        <v>1</v>
      </c>
      <c r="GZ8" t="str">
        <f t="shared" si="88"/>
        <v/>
      </c>
      <c r="HA8" t="str">
        <f t="shared" si="89"/>
        <v/>
      </c>
      <c r="HB8" t="str">
        <f t="shared" si="90"/>
        <v/>
      </c>
      <c r="HC8">
        <f>IF(HB8="",0,IFERROR(N(VLOOKUP(HB8,Модули_спр,3,FALSE)),0))</f>
        <v>0</v>
      </c>
      <c r="HD8" t="str">
        <f t="shared" si="91"/>
        <v/>
      </c>
      <c r="HE8" t="str">
        <f t="shared" si="92"/>
        <v/>
      </c>
      <c r="HF8" t="str">
        <f>IF(OR(HE8="",HE8="-"),"",IFERROR(VLOOKUP(HE8,Модули_спр,2,FALSE),"R"))</f>
        <v/>
      </c>
      <c r="HG8" t="str">
        <f>IF(HF8="","",HF8&amp;"."&amp;COUNTIFS(A$3:A8,A8,HF$3:HF8,HF8))</f>
        <v/>
      </c>
      <c r="HH8" t="str">
        <f t="shared" si="93"/>
        <v/>
      </c>
      <c r="HI8" t="str">
        <f t="shared" si="94"/>
        <v/>
      </c>
      <c r="HJ8" t="str">
        <f t="shared" si="95"/>
        <v/>
      </c>
      <c r="HK8" t="str">
        <f t="shared" si="96"/>
        <v/>
      </c>
      <c r="HL8">
        <f t="shared" si="97"/>
        <v>1</v>
      </c>
      <c r="HM8" t="str">
        <f>IF(HL8=1,"XT"&amp;COUNTIFS(A$3:A8,A8,HL$3:HL8,1),"")</f>
        <v>XT4</v>
      </c>
      <c r="HN8" t="str">
        <f t="shared" si="98"/>
        <v>XT4</v>
      </c>
      <c r="HO8" t="str">
        <f t="shared" si="99"/>
        <v>QF4</v>
      </c>
      <c r="HP8" t="str">
        <f t="shared" si="100"/>
        <v/>
      </c>
      <c r="HQ8" t="str">
        <f t="shared" si="101"/>
        <v>ok</v>
      </c>
      <c r="HR8" t="str">
        <f>IF(OR(HJ8="",HH8=""),"",IF(HJ8+MAX(0,GY8-1)&gt;IFERROR(VLOOKUP(HI8,Модули_спр,3,FALSE),99),"ЛИШНИЙ КАНАЛ",IF(AND(AL8&lt;&gt;"=",GY8&gt;0,COUNTIFS(Линии[_модуль гр.],HH8,Линии[Канал (итог)],HJ8,Линии[Канал],"&lt;&gt;=",Линии[Щит],A8)&gt;1),"ДУБЛЬ КАНАЛА","")))</f>
        <v/>
      </c>
      <c r="HS8" s="6">
        <f t="shared" si="102"/>
        <v>13.256815483543727</v>
      </c>
      <c r="HT8">
        <f t="shared" si="103"/>
        <v>10</v>
      </c>
      <c r="HU8" t="str">
        <f t="shared" si="104"/>
        <v>ok</v>
      </c>
      <c r="HV8">
        <f t="shared" si="105"/>
        <v>0</v>
      </c>
      <c r="HW8">
        <f t="shared" si="106"/>
        <v>0</v>
      </c>
      <c r="HX8">
        <f t="shared" si="107"/>
        <v>0</v>
      </c>
      <c r="HY8">
        <f t="shared" si="108"/>
        <v>0</v>
      </c>
      <c r="HZ8">
        <f t="shared" si="109"/>
        <v>0</v>
      </c>
      <c r="IA8">
        <f t="shared" si="110"/>
        <v>0</v>
      </c>
      <c r="IB8">
        <f t="shared" si="111"/>
        <v>0</v>
      </c>
      <c r="IC8" t="str">
        <f t="shared" si="112"/>
        <v/>
      </c>
      <c r="ID8" t="str" cm="1">
        <f t="array" ref="ID8">IF(IC8="","",_xlfn.LET(_xlpm.tk,_xlfn.TEXTSPLIT(SUBSTITUTE(SUBSTITUTE(IC8,";"," "),"→"," ")," ",,TRUE),_xlpm.w_,_xlfn._xlws.FILTER(_xlpm.tk,ISNUMBER(--LEFT(_xlpm.tk,1))*((ISNUMBER(SEARCH("W",_xlpm.tk))+ISNUMBER(SEARCH("Вт",_xlpm.tk)))&gt;0),""),IFERROR(--SUBSTITUTE(SUBSTITUTE(UPPER(INDEX(_xlpm.w_,1)),"W",""),"ВТ",""),"")))</f>
        <v/>
      </c>
      <c r="IE8" t="str" cm="1">
        <f t="array" ref="IE8">IF(IC8="","",_xlfn.LET(_xlpm.tk,_xlfn.TEXTSPLIT(SUBSTITUTE(SUBSTITUTE(IC8,";"," "),"→"," ")," ",,TRUE),_xlpm.v_,_xlfn._xlws.FILTER(_xlpm.tk,ISNUMBER(--LEFT(_xlpm.tk,1))*((ISNUMBER(SEARCH("V",_xlpm.tk))+(RIGHT(UPPER(_xlpm.tk))="В"))&gt;0),""),IFERROR(--SUBSTITUTE(SUBSTITUTE(UPPER(INDEX(_xlpm.v_,1)),"V",""),"В",""),"")))</f>
        <v/>
      </c>
      <c r="IF8" s="6" t="str">
        <f>IF(OR(BV8=0,HI8="",HJ8=""),"",IFERROR(N(_xlfn.XLOOKUP(HI8,Каталог!$C$4:$C$500,Каталог!$Q$4:$Q$500)),""))</f>
        <v/>
      </c>
      <c r="IG8" s="6" t="str">
        <f>IF(N(IF8)=0,"",SUMIFS(Линии[Iр, А],Линии[Щит],A8,Линии[_модуль гр.],HH8,Линии[Канал (итог)],HJ8))</f>
        <v/>
      </c>
      <c r="IH8" t="str">
        <f>IF(AND(B8="",HO8=""),"",_xlfn.TEXTJOIN("; ",TRUE,IF(AND(B8&lt;&gt;"",FV8=""),"нет фазы",""),IF(AND(B8&lt;&gt;"",N(GL8)=0,FG8&lt;&gt;"Нет"),"нет мощности",""),IF(AND(HN8&lt;&gt;"",COUNTIFS(Линии[Щит],A8,Линии[Клемма (итог)],HN8)&gt;1),"дубль клеммы "&amp;HN8,""),IF(AND(HQ8&lt;&gt;"",HQ8&lt;&gt;"ok"),HQ8,""),IF(HR8&lt;&gt;"",HR8,""),IF(AND(N(CB8)&gt;=4,N(BX8)=1),CB8&amp;" жил на 1 фазе",""),IF(AND(BC8="R",CG8=1,IF(CS8&lt;&gt;"",N(CV8)&gt;30,OR(N(DA8)=0,N(DA8)&gt;30))),"розетка без дифзащиты до 30 мА",""),IF(AND(CG8=1,N(DA8)&gt;0,ISNUMBER(T8)),IF(T8&gt;N(DA8)/3,"ток утечки "&amp;FIXED(T8,1)&amp;" мА &gt; 1/3 уставки ("&amp;DA8&amp;" мА)",""),""),IF(AND(CH8=1,CS8=""),"«узо»: нет строки с УЗО выше (УЗО 2P 40А 30мА в «Аппаратах»)",""),IF(AND(CS8&lt;&gt;"",CS8=BA8),IF(CT8="","впишите номинал УЗО (УЗО 2P 40А 30мА)",IF(N(CT8)&lt;N(DT8),"УЗО "&amp;CT8&amp;" А &lt; автомата "&amp;DT8&amp;" А перед ним",IF(N(CT8)&lt;N(CX8),"УЗО "&amp;CT8&amp;" А &lt; тока блока "&amp;FIXED(CX8,1)&amp;" А",""))),""),IF(AND(CS8&lt;&gt;"",CS8=BA8,ISNUMBER(CY8)),IF(CY8&gt;N(CV8)/3,"ток утечки блока УЗО "&amp;FIXED(CY8,1)&amp;" мА &gt; 1/3 уставки ("&amp;CV8&amp;" мА)",""),""),IF(AND(CG8=1,N(BV8)+N(IB8)&gt;0,IC8=""),"линии до 50 В без БП: впишите в «Аппараты» (БП 24V 480W)",""),IF(AND(CG8=1,ISNUMBER(ID8),ISNUMBER(U8)),IF(U8&gt;ID8,"БП "&amp;ID8&amp;" Вт &lt; нужно "&amp;U8&amp;" Вт (×"&amp;Запас_БП&amp;")",""),""),IF(AND(CG8=1,ISNUMBER(IE8),N(BV8)=1),IF(IE8&lt;&gt;N(BU8),"БП на "&amp;IE8&amp;" В, линия "&amp;BU8&amp;" В",""),""),IF(AND(N(IF8)&gt;0,N(IG8)&gt;N(IF8)),HH8&amp;" канал "&amp;HJ8&amp;": "&amp;FIXED(IG8,1)&amp;" А &gt; "&amp;IF8&amp;" А",""),IFERROR(IF(AND(ISNUMBER(Q8),Q8&gt;EL8),"потери "&amp;FIXED(Q8,1)&amp;" % &gt; "&amp;EL8&amp;" %",""),""),IFERROR(IF(LEFT(HU8,4)="мало","Iкз мало — отключение &gt; 0,4 с",""),""),IF(AND(B8&lt;&gt;"",BM8=""),"не на схеме",""),IF(AND(CG8=0,B8&lt;&gt;"",FV8&lt;&gt;"",IF(BA8=1,"",FW7)&lt;&gt;"",FV8&lt;&gt;IF(BA8=1,"",FW7)),"фаза не как у автомата группы ("&amp;IF(BA8=1,"",FW7)&amp;")","")))</f>
        <v/>
      </c>
      <c r="II8" s="6" t="str">
        <f>IF(OR(CG8=0,DQ8=""),"",_xlfn.LET(_xlpm.t,IFERROR(_xlfn.XLOOKUP(DQ8,Каталог!$U$4:$U$500,Каталог!$G$4:$G$500),""),_xlpm.k,SEARCH("кА",_xlpm.t),IFERROR(--TRIM(RIGHT(SUBSTITUTE(MID(_xlpm.t,MAX(1,_xlpm.k-4),_xlpm.k-MAX(1,_xlpm.k-4))," ",REPT(" ",9)),5)),"")))</f>
        <v/>
      </c>
      <c r="IJ8" t="str">
        <f>IF(OR(II8="",CG8=0),"",IF(_xlfn.XLOOKUP(A8,Щиты[Щит],Щиты[Iкз max на шинах, кА],"")="","",IF(II8&lt;_xlfn.XLOOKUP(A8,Щиты[Щит],Щиты[Iкз max на шинах, кА]),"Icu "&amp;II8&amp;" кА &lt; Iкз max","ok")))</f>
        <v/>
      </c>
      <c r="IK8" t="str">
        <f t="shared" si="113"/>
        <v/>
      </c>
      <c r="IL8" t="str">
        <f t="shared" si="114"/>
        <v>QF4|XT4</v>
      </c>
      <c r="IM8" t="str">
        <f t="shared" si="115"/>
        <v>QF4|XT4|кабель ВВГнг(А)-LS (5х4) → Щит ЩС</v>
      </c>
      <c r="IN8" t="str" cm="1">
        <f t="array" ref="IN8">IF(IM8="","",_xlfn.LET(_xlpm.nd,_xlfn.TEXTSPLIT(IM8,"|"),IF(COLUMNS(_xlpm.nd)&gt;1,A8&amp;"¦"&amp;INDEX(_xlpm.nd,1)&amp;"¦"&amp;INDEX(_xlpm.nd,2),"")))</f>
        <v>ВРУ¦QF4¦XT4</v>
      </c>
      <c r="IO8" t="str">
        <f t="shared" si="116"/>
        <v>ЩС¦Щит ЩС</v>
      </c>
      <c r="IP8" t="str" cm="1">
        <f t="array" ref="IP8">IF(IM8="","",_xlfn.LET(_xlpm.nd,_xlfn.TEXTSPLIT(IM8,"|"),IF(COLUMNS(_xlpm.nd)&gt;2,A8&amp;"¦"&amp;INDEX(_xlpm.nd,2)&amp;"¦"&amp;INDEX(_xlpm.nd,3),"")))</f>
        <v>ВРУ¦XT4¦кабель ВВГнг(А)-LS (5х4) → Щит ЩС</v>
      </c>
      <c r="IQ8" t="str">
        <f t="shared" si="117"/>
        <v>ЩС¦Щит ЩС</v>
      </c>
      <c r="IR8" t="str" cm="1">
        <f t="array" ref="IR8">IF(IM8="","",_xlfn.LET(_xlpm.nd,_xlfn.TEXTSPLIT(IM8,"|"),IF(COLUMNS(_xlpm.nd)&gt;3,A8&amp;"¦"&amp;INDEX(_xlpm.nd,3)&amp;"¦"&amp;INDEX(_xlpm.nd,4),"")))</f>
        <v/>
      </c>
      <c r="IS8" t="str">
        <f t="shared" si="118"/>
        <v/>
      </c>
      <c r="IT8" t="str" cm="1">
        <f t="array" ref="IT8">IF(IM8="","",_xlfn.LET(_xlpm.nd,_xlfn.TEXTSPLIT(IM8,"|"),IF(COLUMNS(_xlpm.nd)&gt;4,A8&amp;"¦"&amp;INDEX(_xlpm.nd,4)&amp;"¦"&amp;INDEX(_xlpm.nd,5),"")))</f>
        <v/>
      </c>
      <c r="IU8" t="str">
        <f t="shared" si="119"/>
        <v/>
      </c>
      <c r="IV8" t="str" cm="1">
        <f t="array" ref="IV8">IF(IM8="","",_xlfn.LET(_xlpm.nd,_xlfn.TEXTSPLIT(IM8,"|"),IF(COLUMNS(_xlpm.nd)&gt;5,A8&amp;"¦"&amp;INDEX(_xlpm.nd,5)&amp;"¦"&amp;INDEX(_xlpm.nd,6),"")))</f>
        <v/>
      </c>
      <c r="IW8" t="str">
        <f t="shared" si="120"/>
        <v/>
      </c>
      <c r="IX8" t="str" cm="1">
        <f t="array" ref="IX8">IF(IM8="","",_xlfn.LET(_xlpm.nd,_xlfn.TEXTSPLIT(IM8,"|"),IF(COLUMNS(_xlpm.nd)&gt;6,A8&amp;"¦"&amp;INDEX(_xlpm.nd,6)&amp;"¦"&amp;INDEX(_xlpm.nd,7),"")))</f>
        <v/>
      </c>
      <c r="IY8" t="str">
        <f t="shared" si="121"/>
        <v/>
      </c>
      <c r="IZ8" t="str">
        <f t="shared" si="122"/>
        <v/>
      </c>
      <c r="JA8" t="str">
        <f t="shared" si="123"/>
        <v>QF4 → XT4</v>
      </c>
      <c r="JB8">
        <f t="shared" si="124"/>
        <v>0</v>
      </c>
      <c r="JC8">
        <f t="shared" si="125"/>
        <v>0</v>
      </c>
      <c r="JD8" t="str">
        <f t="shared" si="126"/>
        <v/>
      </c>
      <c r="JE8" t="str">
        <f t="shared" si="127"/>
        <v/>
      </c>
      <c r="JF8" t="str">
        <f t="shared" si="128"/>
        <v/>
      </c>
      <c r="JG8" t="str">
        <f t="shared" si="129"/>
        <v/>
      </c>
      <c r="JH8" t="str">
        <f>IF(B8="","",IFERROR(_xlfn.XLOOKUP(B8,Коды_код,Коды_уго),IFERROR(_xlfn.XLOOKUP(BC8,Коды_код,Коды_уго),IFERROR(_xlfn.XLOOKUP(LEFT(BC8,2),Коды_код,Коды_уго),""))))</f>
        <v/>
      </c>
      <c r="JI8" t="str">
        <f>IF(B8="","",IF(OR(JH8="",JH8=0),"BOX",IFERROR(IF(VLOOKUP(JH8,УГО_блоки,3,FALSE)&amp;""&lt;&gt;"",VLOOKUP(JH8,УГО_блоки,3,FALSE),VLOOKUP(JH8,УГО_блоки,2,FALSE)),JH8)))</f>
        <v>BOX</v>
      </c>
      <c r="JJ8">
        <f t="shared" si="130"/>
        <v>1</v>
      </c>
      <c r="JK8">
        <f>IF(DQ8="","",IF(COUNTIF(DQ$3:DQ8,DQ8)=1,MAX(JK$2:JK7)+1,""))</f>
        <v>5</v>
      </c>
      <c r="JL8" t="str">
        <f>IF(DE8="","",IF(COUNTIF(DE$3:DE8,DE8)+COUNTIF(DF$2:DF7,DE8)+COUNTIF(DG$2:DG7,DE8)=1,MAX(JL$2:JN7)+1,""))</f>
        <v/>
      </c>
      <c r="JM8" t="str">
        <f>IF(DF8="","",IF(COUNTIF(DE$3:DE8,DF8)+COUNTIF(DF$3:DF8,DF8)+COUNTIF(DG$2:DG7,DF8)=1,MAX(JL$2:JN7,JL8)+1,""))</f>
        <v/>
      </c>
      <c r="JN8" t="str">
        <f>IF(DG8="","",IF(COUNTIF(DE$3:DE8,DG8)+COUNTIF(DF$3:DF8,DG8)+COUNTIF(DG$3:DG8,DG8)=1,MAX(JL$2:JN7,JL8,JM8)+1,""))</f>
        <v/>
      </c>
      <c r="JO8" t="str">
        <f t="shared" si="131"/>
        <v>5х4</v>
      </c>
      <c r="JP8">
        <f>IF(JO8="","",IF(COUNTIF(JO$3:JO8,JO8)=1,MAX(JP$2:JP7)+1,""))</f>
        <v>4</v>
      </c>
      <c r="JQ8" t="str">
        <f>IF(HG8="","",COUNTIF(HG$3:HG8,"?*"))</f>
        <v/>
      </c>
      <c r="JR8" t="str">
        <f>IF(OR(HG8="",HI8=""),"",IF(COUNTIFS(HG$3:HG8,"?*",HI$3:HI8,HI8)=1,MAX(JR$2:JR7)+1,""))</f>
        <v/>
      </c>
      <c r="JS8">
        <f t="shared" si="132"/>
        <v>0</v>
      </c>
      <c r="JT8">
        <f>IF(B8="","",COUNTIF(B$3:B8,"?*"))</f>
        <v>6</v>
      </c>
      <c r="JU8">
        <f>IF(HL8&lt;&gt;1,0,_xlfn.LET(_xlpm.k,MAX(IFERROR(--_xlfn.XLOOKUP(B8,Коды_код,Коды_3L),0),IFERROR(--_xlfn.XLOOKUP(BC8,Коды_код,Коды_3L),0),IFERROR(--_xlfn.XLOOKUP(LEFT(BC8,2),Коды_код,Коды_3L),0)),IF(_xlpm.k&gt;0,_xlpm.k,IF(IFERROR(--LEFT(SUBSTITUTE(JO8,"x","х"),FIND("х",SUBSTITUTE(JO8,"x","х"))-1),3)&gt;3,Каталог!$S$9,1))))</f>
        <v>1</v>
      </c>
      <c r="JV8">
        <f t="shared" si="133"/>
        <v>2</v>
      </c>
      <c r="JW8" t="str">
        <f t="shared" si="134"/>
        <v>авто</v>
      </c>
      <c r="JX8" t="str">
        <f t="shared" si="135"/>
        <v/>
      </c>
      <c r="JY8">
        <f t="shared" si="136"/>
        <v>0</v>
      </c>
      <c r="JZ8">
        <f t="shared" si="137"/>
        <v>1</v>
      </c>
    </row>
    <row r="9" spans="1:286" x14ac:dyDescent="0.3">
      <c r="A9" t="s">
        <v>151</v>
      </c>
      <c r="B9" t="s">
        <v>946</v>
      </c>
      <c r="C9" t="str">
        <f>Линии[[#This Row],[_авто наименование]]</f>
        <v>Щит ЩГП</v>
      </c>
      <c r="E9">
        <f>Линии[[#This Row],[_авто Р]]</f>
        <v>0.5</v>
      </c>
      <c r="G9" t="str">
        <f>Линии[[#This Row],[_авто автомат]]</f>
        <v>3P С6А</v>
      </c>
      <c r="H9" t="str">
        <f>Линии[[#This Row],[_авто управление]]</f>
        <v/>
      </c>
      <c r="I9" t="str">
        <f>Линии[[#This Row],[_авто аппараты]]</f>
        <v/>
      </c>
      <c r="J9">
        <f>Линии[[#This Row],[_авто сечение]]</f>
        <v>1.5</v>
      </c>
      <c r="K9">
        <v>15</v>
      </c>
      <c r="L9" t="str">
        <f>Линии[[#This Row],[_авто фаза]]</f>
        <v>L1,L2,L3</v>
      </c>
      <c r="M9" t="str">
        <f>Линии[[#This Row],[_авто клемма]]</f>
        <v>XT5</v>
      </c>
      <c r="N9" t="str">
        <f t="shared" si="0"/>
        <v/>
      </c>
      <c r="O9" s="6" cm="1">
        <f t="array" ref="O9">IF(B9="","",IF(BH9&lt;&gt;"",IFERROR(_xlfn.XLOOKUP(BH9,Щиты[Щит],Щиты[Iр, А]),""),IF(BP9=1,IF(OR(N(_xlfn.XLOOKUP(A9,Щиты[Щит],Щиты[Вводов],1))&lt;=1,LOWER(TRIM(_xlfn.XLOOKUP(A9,Щиты[Щит],Щиты[АВР],"")&amp;""))="да"),IFERROR(_xlfn.XLOOKUP(A9,Щиты[Щит],Щиты[Iр, А]),""),IFERROR(N(BS9)*_xlfn.XLOOKUP(A9,Щиты[Щит],Щиты[Кс итог])/(SQRT(3)*Uн_лин*_xlfn.XLOOKUP(A9,Щиты[Щит],Щиты[cos φ])),"")),IF(BV9=1,IFERROR(BS9*1000/BU9,""),IFERROR(_xlfn.IFS(BX9=1,BS9/((Uн_лин/SQRT(3))*CE9),BX9=3,BS9/(SQRT(3)*Uн_лин*CE9)),"")))))</f>
        <v>1.2033195084162727</v>
      </c>
      <c r="P9" s="7">
        <f>IF(B9="","",IFERROR(IF(VLOOKUP(BC9,Потребители_обозначение,4,FALSE)=1,VLOOKUP(BC9,Потребители_обозначение,3,FALSE)*(MAX(1,N(D9))*2-1)+EI9+VLOOKUP(BE9,Этаж_обозначение,3,FALSE)+VLOOKUP(BE9,Этаж_обозначение,4,FALSE),VLOOKUP(BC9,Потребители_обозначение,3,FALSE)*(MAX(1,N(D9))*2-1)+EI9),EI9))</f>
        <v>15</v>
      </c>
      <c r="Q9" s="6">
        <f t="shared" si="1"/>
        <v>0.4860288498727976</v>
      </c>
      <c r="R9" t="str">
        <f t="shared" si="2"/>
        <v>ВВГнг(А)-LS (5х1,5)</v>
      </c>
      <c r="S9" t="str">
        <f>IF(BM9="","",IF(BN9="вводной узел","узел ","")&amp;"л."&amp;(INT((BM9-1)/Столбцов_на_лист)+1)&amp;" / "&amp;(MOD(BM9-1,Столбцов_на_лист)+1))</f>
        <v>л.2 / 6</v>
      </c>
      <c r="T9" s="119" t="str">
        <f t="shared" si="3"/>
        <v/>
      </c>
      <c r="U9" s="7" t="str">
        <f>IF(OR(CG9=0,N(BV9)+N(IB9)=0),"",ROUNDUP(Запас_БП*(N(HY9)+N(HZ9)),0))</f>
        <v/>
      </c>
      <c r="V9" s="119" t="str">
        <f t="shared" si="4"/>
        <v/>
      </c>
      <c r="W9" s="7">
        <f>IFERROR(IF(OR(B9="",BP9=1,BV9=1,NOT(ISNUMBER(EN9)),N(DT9)=0),"",MAX(0,ROUNDDOWN((c_min*(Uн_лин*1000/SQRT(3))/(HT9*N(DT9))-_xlfn.XLOOKUP(A9,Щиты[Щит],Щиты[Zпетли на шинах, Ом]))*EN9/(2*ρкз_Cu),0))),"")</f>
        <v>100</v>
      </c>
      <c r="Y9" t="str">
        <f>Линии[[#This Row],[_авто утечка]]</f>
        <v/>
      </c>
      <c r="Z9">
        <v>3</v>
      </c>
      <c r="AA9">
        <v>400</v>
      </c>
      <c r="AB9" t="str">
        <f>Линии[[#This Row],[_авто группа Кс]]</f>
        <v>Быт</v>
      </c>
      <c r="AG9" t="s">
        <v>800</v>
      </c>
      <c r="AK9" t="str">
        <f>Линии[[#This Row],[_авто модуль]]</f>
        <v/>
      </c>
      <c r="AN9" t="s">
        <v>11</v>
      </c>
      <c r="AO9">
        <v>5</v>
      </c>
      <c r="BA9" cm="1">
        <f t="array" ref="BA9">ROW()-ROW(Линии[#Headers])</f>
        <v>7</v>
      </c>
      <c r="BC9" s="6" t="str">
        <f t="shared" si="5"/>
        <v>ЩГП</v>
      </c>
      <c r="BD9" t="str">
        <f t="shared" si="6"/>
        <v/>
      </c>
      <c r="BE9" t="str">
        <f t="shared" si="7"/>
        <v/>
      </c>
      <c r="BF9" t="str">
        <f t="shared" si="8"/>
        <v/>
      </c>
      <c r="BG9" t="str">
        <f t="shared" si="9"/>
        <v/>
      </c>
      <c r="BH9" t="str">
        <f>IF(X9&lt;&gt;"",X9,IF(AND(B9&lt;&gt;"",B9&lt;&gt;A9,ISNUMBER(_xlfn.XMATCH(B9,Щиты[Щит]))),B9,""))</f>
        <v>ЩГП</v>
      </c>
      <c r="BI9" t="str" cm="1">
        <f t="array" ref="BI9">IF(B9="","",IF(BH9&lt;&gt;"","Щит "&amp;BH9,_xlfn.LET(_xlpm.nm,IFERROR(_xlfn.XLOOKUP(BC9,Коды_код,Коды_имя)&amp;"",""),_xlpm.md,IFERROR(N(_xlfn.XLOOKUP(BC9,Коды_код,Коды_режим)),1),_xlpm.ex,IF(Имя_режим="по экспликации",IFERROR(_xlfn.XLOOKUP(BE9&amp;"|"&amp;BG9,Экспликация[Этаж]&amp;"|"&amp;Экспликация[Помещение],Экспликация[Название])&amp;"",""),""),_xlpm.rm,IF(BG9="","",IF(_xlpm.ex&lt;&gt;"",". "&amp;_xlpm.ex&amp;IF(Имя_пом="нет"," ("&amp;BG9&amp;")"," (пом. "&amp;BG9&amp;")"),IF(Имя_пом="нет"," ",", пом. ")&amp;BG9)),IF(_xlpm.nm="","",IF(_xlpm.md=2,_xlpm.nm&amp;" шлейф "&amp;BE9,_xlpm.nm&amp;_xlpm.rm)))))</f>
        <v>Щит ЩГП</v>
      </c>
      <c r="BJ9" t="str">
        <f t="shared" si="10"/>
        <v>Щит ЩГП</v>
      </c>
      <c r="BK9">
        <f>IFERROR(_xlfn.XMATCH(A9,Щиты[Щит]),0)</f>
        <v>1</v>
      </c>
      <c r="BL9">
        <f>_xlfn.LET(_xlpm.k,IFERROR(_xlfn.XLOOKUP(A9,Щиты[Щит],Щиты[Мест под вводной узел]),""),IF(_xlpm.k="",Столбцов_на_лист,N(_xlpm.k)))</f>
        <v>4</v>
      </c>
      <c r="BM9">
        <f t="shared" si="11"/>
        <v>23</v>
      </c>
      <c r="BN9" t="str">
        <f t="shared" si="12"/>
        <v>линии</v>
      </c>
      <c r="BO9" s="6">
        <f>IFERROR(N(_xlfn.XLOOKUP(BC9,Коды_код,Коды_квт)),0)</f>
        <v>0</v>
      </c>
      <c r="BP9">
        <f t="shared" si="13"/>
        <v>0</v>
      </c>
      <c r="BQ9">
        <f>IF(B9="","",IF(BH9&lt;&gt;"",IFERROR(_xlfn.XLOOKUP(BH9,Щиты[Щит],Щиты[Руст, кВт]),0),IF(BP9=1,IF(OR(N(_xlfn.XLOOKUP(A9,Щиты[Щит],Щиты[Вводов],1))&lt;=1,LOWER(TRIM(_xlfn.XLOOKUP(A9,Щиты[Щит],Щиты[АВР],"")&amp;""))="да"),IFERROR(_xlfn.XLOOKUP(A9,Щиты[Щит],Щиты[Руст, кВт]),0),SUMIFS(Линии[_Р для вводов],Линии[Щит],A9,Линии[Источник для режимов],GF9)),IF(BO9&gt;0,ROUND(BO9*MAX(1,N(D9)),3),""))))</f>
        <v>0.5</v>
      </c>
      <c r="BR9">
        <f t="shared" si="14"/>
        <v>0.5</v>
      </c>
      <c r="BS9" s="6">
        <f>IF(B9="","",IF(BH9&lt;&gt;"",IFERROR(_xlfn.XLOOKUP(BH9,Щиты[Щит],Щиты[Руст, кВт]),0),N(BR9)))</f>
        <v>0.5</v>
      </c>
      <c r="BT9" t="str">
        <f>IF(B9="","",IFERROR(IF(VLOOKUP(BC9,Потребители_обозначение,8,FALSE)=0,"",VLOOKUP(BC9,Потребители_обозначение,8,FALSE)),""))</f>
        <v/>
      </c>
      <c r="BU9">
        <f t="shared" si="15"/>
        <v>400</v>
      </c>
      <c r="BV9">
        <f t="shared" si="16"/>
        <v>0</v>
      </c>
      <c r="BW9">
        <f>IF(B9="","",IF(BH9&lt;&gt;"",3,IFERROR(IF(N(VLOOKUP(BC9,Потребители_обозначение,9,FALSE))=0,1,VLOOKUP(BC9,Потребители_обозначение,9,FALSE)),1)))</f>
        <v>3</v>
      </c>
      <c r="BX9">
        <f t="shared" si="17"/>
        <v>3</v>
      </c>
      <c r="BY9" t="str">
        <f>IF(B9="","",_xlfn.LET(_xlpm.bc,IFERROR(IF(VLOOKUP(BC9,Потребители_обозначение,6,FALSE)=0,"",VLOOKUP(BC9,Потребители_обозначение,6,FALSE)&amp;""),""),IF(AND(GA9="да",OR(_xlpm.bc="",_xlpm.bc="мс")),Марка_пож,IF(AND(_xlpm.bc="",BH9&lt;&gt;""),"мс",_xlpm.bc))))</f>
        <v>мс</v>
      </c>
      <c r="BZ9" t="str">
        <f t="shared" si="18"/>
        <v>мс</v>
      </c>
      <c r="CA9">
        <f>IF(B9="","",_xlfn.LET(_xlpm.cc,IFERROR(N(VLOOKUP(BC9,Потребители_обозначение,7,FALSE)),0),IF(_xlpm.cc&gt;0,_xlpm.cc,IF(BZ9="","",IF(BV9=1,2,IF(N(BX9)=3,5,3))))))</f>
        <v>5</v>
      </c>
      <c r="CB9">
        <f t="shared" si="19"/>
        <v>5</v>
      </c>
      <c r="CC9">
        <f>IFERROR(N(VLOOKUP(BC9,Потребители_обозначение,10,FALSE)),0)</f>
        <v>0</v>
      </c>
      <c r="CD9">
        <f>IFERROR(VLOOKUP(BC9,Потребители_обозначение,5,FALSE),0)</f>
        <v>0</v>
      </c>
      <c r="CE9" s="6" cm="1">
        <f t="array" ref="CE9">IF(B9="","",IF(BH9&lt;&gt;"",IFERROR(_xlfn.XLOOKUP(BH9,Щиты[Щит],Щиты[cos φ]),0.95),IF(BP9=1,IFERROR(_xlfn.XLOOKUP(A9,Щиты[Щит],Щиты[cos φ]),0.95),IF(ISNUMBER(AD9),AD9,IFERROR(IF(CD9=2,_xlfn.IFS(BX9=3,VLOOKUP(BS9,Справочная_двигатели,8,FALSE),BX9=1,VLOOKUP(BS9,Справочная_двигатели,10,TRUE)),IF(AND(Методика="нормы 2026",FG9="Сил"),0.8,0.95)),0.95)))))</f>
        <v>0.95</v>
      </c>
      <c r="CF9">
        <f t="shared" si="20"/>
        <v>0</v>
      </c>
      <c r="CG9">
        <f t="shared" si="21"/>
        <v>1</v>
      </c>
      <c r="CH9">
        <f t="shared" si="22"/>
        <v>0</v>
      </c>
      <c r="CI9">
        <f>IF(B9="","",IF(BV9=1,IFERROR(BS9/((Uн_лин/SQRT(3))*MAX(0.5,N(CE9))),0),N(O9)))</f>
        <v>1.2033195084162727</v>
      </c>
      <c r="CJ9">
        <f t="shared" si="23"/>
        <v>0</v>
      </c>
      <c r="CK9">
        <f t="shared" si="24"/>
        <v>0</v>
      </c>
      <c r="CL9">
        <f t="shared" si="25"/>
        <v>0</v>
      </c>
      <c r="CM9">
        <f t="shared" si="26"/>
        <v>0</v>
      </c>
      <c r="CN9">
        <f t="shared" si="27"/>
        <v>0</v>
      </c>
      <c r="CO9">
        <f>IF(BC9="",0,_xlfn.LET(_xlpm.v,IFERROR(_xlfn.XLOOKUP(B9,Коды_код,Коды_мА),IFERROR(_xlfn.XLOOKUP(BC9,Коды_код,Коды_мА),IFERROR(_xlfn.XLOOKUP(LEFT(BC9,2),Коды_код,Коды_мА),""))),IF(_xlpm.v="да",30,IF(ISNUMBER(_xlpm.v),_xlpm.v,0))))</f>
        <v>0</v>
      </c>
      <c r="CP9" t="str">
        <f t="shared" si="28"/>
        <v/>
      </c>
      <c r="CQ9" t="str">
        <f>_xlfn.LET(_xlpm.k,IFERROR(_xlfn.XLOOKUP(BC9,Коды_код,Коды_утечка)&amp;"",""),IF(_xlpm.k="","дифавтомат",_xlpm.k))</f>
        <v>дифавтомат</v>
      </c>
      <c r="CR9" t="str" cm="1">
        <f t="array" ref="CR9">IF(CG9=0,"",_xlfn.LET(_xlpm.sg,TRIM(_xlfn.TEXTSPLIT(DD9&amp;"",";")),_xlpm.f_,_xlfn._xlws.FILTER(_xlpm.sg,LEFT(_xlpm.sg,3)="УЗО",""),IFERROR(INDEX(_xlpm.f_,1)&amp;"","")))</f>
        <v/>
      </c>
      <c r="CS9" t="str">
        <f t="shared" si="29"/>
        <v/>
      </c>
      <c r="CT9" s="6" t="str" cm="1">
        <f t="array" ref="CT9">IF(CR9="","",_xlfn.LET(_xlpm.tk,_xlfn.TEXTSPLIT(UPPER(CR9)," ",,TRUE),_xlpm.a_,_xlfn._xlws.FILTER(_xlpm.tk,ISNUMBER(--LEFT(_xlpm.tk,1))*((ISNUMBER(SEARCH("А",_xlpm.tk))+ISNUMBER(SEARCH("A",_xlpm.tk)))&gt;0)*NOT(ISNUMBER(SEARCH("МА",_xlpm.tk)))*NOT(ISNUMBER(SEARCH("MA",_xlpm.tk))),""),IFERROR(--SUBSTITUTE(SUBSTITUTE(INDEX(_xlpm.a_,1),"А",""),"A",""),"")))</f>
        <v/>
      </c>
      <c r="CU9" t="str" cm="1">
        <f t="array" ref="CU9">IF(CR9="","",_xlfn.LET(_xlpm.tk,_xlfn.TEXTSPLIT(UPPER(CR9)," ",,TRUE),_xlpm.a_,_xlfn._xlws.FILTER(_xlpm.tk,ISNUMBER(--LEFT(_xlpm.tk,1))*((ISNUMBER(SEARCH("МА",_xlpm.tk))+ISNUMBER(SEARCH("MA",_xlpm.tk)))&gt;0),""),IFERROR(--SUBSTITUTE(SUBSTITUTE(INDEX(_xlpm.a_,1),"МА",""),"MA",""),30)))</f>
        <v/>
      </c>
      <c r="CV9" t="str">
        <f>IF(CS9="","",IFERROR(_xlfn.XLOOKUP(CS9,Линии[_n],Линии[_УЗО, мА]),30))</f>
        <v/>
      </c>
      <c r="CW9">
        <f>IF(CS9="",0,IF(ISNUMBER(SEARCH("4P",IFERROR(_xlfn.XLOOKUP(CS9,Линии[_n],Линии[_УЗО строки])&amp;"",""))),0,1))</f>
        <v>0</v>
      </c>
      <c r="CX9" t="str">
        <f>IF(AND(CS9&lt;&gt;"",CS9=BA9),SUMIFS(Линии[_ток на 230 В],Линии[_блок УЗО],BA9,Линии[Щит],A9),"")</f>
        <v/>
      </c>
      <c r="CY9" t="str">
        <f>IF(AND(CS9&lt;&gt;"",CS9=BA9),SUMIFS(Линии[_ток утечки линии, мА],Линии[_блок УЗО],BA9,Линии[Щит],A9),"")</f>
        <v/>
      </c>
      <c r="CZ9">
        <f t="shared" si="30"/>
        <v>0</v>
      </c>
      <c r="DA9">
        <f t="shared" si="31"/>
        <v>0</v>
      </c>
      <c r="DB9">
        <f>IF(B9="",0,IFERROR(--_xlfn.XLOOKUP(B9,Коды_код,Коды_минавт),IFERROR(--_xlfn.XLOOKUP(BC9,Коды_код,Коды_минавт),IFERROR(--_xlfn.XLOOKUP(LEFT(BC9,2),Коды_код,Коды_минавт),0))))</f>
        <v>0</v>
      </c>
      <c r="DC9" t="str">
        <f>IF(B9="","",IFERROR(_xlfn.XLOOKUP(BC9,Коды_код,Коды_апп)&amp;"",""))</f>
        <v/>
      </c>
      <c r="DD9" t="str">
        <f t="shared" si="32"/>
        <v/>
      </c>
      <c r="DE9" t="str" cm="1">
        <f t="array" ref="DE9">IF(TRIM(DD9&amp;"")="","",IFERROR(TRIM(INDEX(_xlfn.TEXTSPLIT(DD9&amp;";;;",";"),1)),""))</f>
        <v/>
      </c>
      <c r="DF9" t="str" cm="1">
        <f t="array" ref="DF9">IF(TRIM(DD9&amp;"")="","",IFERROR(TRIM(INDEX(_xlfn.TEXTSPLIT(DD9&amp;";;;",";"),2)),""))</f>
        <v/>
      </c>
      <c r="DG9" t="str" cm="1">
        <f t="array" ref="DG9">IF(TRIM(DD9&amp;"")="","",IFERROR(TRIM(INDEX(_xlfn.TEXTSPLIT(DD9&amp;";;;",";"),3)),""))</f>
        <v/>
      </c>
      <c r="DH9">
        <f t="shared" si="33"/>
        <v>0</v>
      </c>
      <c r="DI9" t="str">
        <f>IF(B9="","",_xlfn.LET(_xlpm.t,LOWER(AZ9&amp;""),IF(ISNUMBER(SEARCH("dim",_xlpm.t)),"DIM",IF(ISNUMBER(SEARCH("dali",_xlpm.t)),"DALI",IF(OR(ISNUMBER(SEARCH("relay",_xlpm.t)),ISNUMBER(SEARCH("реле",_xlpm.t))),"Relay",IF(ISNUMBER(SEARCH("кнопк",_xlpm.t)),"",IFERROR(_xlfn.XLOOKUP(BC9,Коды_код,Коды_упр)&amp;"","")))))))</f>
        <v/>
      </c>
      <c r="DJ9" t="str">
        <f t="shared" si="34"/>
        <v/>
      </c>
      <c r="DK9">
        <f>IF(B9="","",_xlfn.LET(_xlpm.ig,IF(N(CX9)&gt;0,N(CX9),N(CI9)+IF(AJ9="вручную",0,N(CJ9))),_xlpm.n0,IFERROR(VLOOKUP(_xlpm.ig,Автомат_номиналы,2,TRUE),0),_xlpm.mn,MAX(DB9,IF(AJ9="вручную",0,N(CM9))),MAX(_xlpm.n0,_xlpm.mn,IF(DH9=1,Мин_автомат_БП,0))))</f>
        <v>6</v>
      </c>
      <c r="DL9">
        <f t="shared" si="35"/>
        <v>3</v>
      </c>
      <c r="DM9" t="str">
        <f t="shared" si="36"/>
        <v>3P</v>
      </c>
      <c r="DN9" t="str">
        <f>_xlfn.LET(_xlpm.cc,UPPER(TRIM(IFERROR(_xlfn.XLOOKUP(BC9,Коды_код,Коды_хар)&amp;"",""))),IF(OR(_xlpm.cc="B",_xlpm.cc="В"),"B",IF(_xlpm.cc="D","D","С")))</f>
        <v>С</v>
      </c>
      <c r="DO9" t="str">
        <f t="shared" si="37"/>
        <v>3P С6А</v>
      </c>
      <c r="DP9" t="str">
        <f t="shared" si="38"/>
        <v>3P С6А</v>
      </c>
      <c r="DQ9" t="str">
        <f t="shared" si="39"/>
        <v>3P С6А</v>
      </c>
      <c r="DR9" cm="1">
        <f t="array" ref="DR9">IF(DQ9="","",_xlfn.LET(_xlpm.t,SUBSTITUTE(SUBSTITUTE(SUBSTITUTE(UPPER(DQ9),"С","C"),"А","A"),"В","B"),_xlpm.tk,_xlfn.TEXTSPLIT(_xlpm.t," "),_xlpm.f,_xlfn._xlws.FILTER(_xlpm.tk,ISNUMBER(--MID(_xlpm.tk,2,1))*ISNUMBER(SEARCH(LEFT(_xlpm.tk,1)&amp;"#","B#C#D#"))*(LEN(_xlpm.tk)&gt;1),""),_xlpm.x,INDEX(_xlpm.f,1),IFERROR(--SUBSTITUTE(MID(_xlpm.x,2,9),"A",""),IFERROR(--SUBSTITUTE(INDEX(_xlfn._xlws.FILTER(_xlpm.tk,ISNUMBER(--SUBSTITUTE(_xlpm.tk,"A","")),""),1),"A",""),""))))</f>
        <v>6</v>
      </c>
      <c r="DS9" t="str">
        <f t="shared" si="40"/>
        <v>ok</v>
      </c>
      <c r="DT9">
        <f t="shared" si="41"/>
        <v>6</v>
      </c>
      <c r="DU9" t="str">
        <f t="shared" si="42"/>
        <v>3P С6А</v>
      </c>
      <c r="DV9">
        <f t="shared" si="43"/>
        <v>0</v>
      </c>
      <c r="DW9">
        <f t="shared" si="44"/>
        <v>0</v>
      </c>
      <c r="DX9">
        <f t="shared" si="45"/>
        <v>0</v>
      </c>
      <c r="DY9">
        <f t="shared" si="46"/>
        <v>1.2033195084162727</v>
      </c>
      <c r="DZ9">
        <f t="shared" si="47"/>
        <v>0.92</v>
      </c>
      <c r="EA9">
        <f>IF(ISNUMBER(AP9),AP9,К_прокл)</f>
        <v>1</v>
      </c>
      <c r="EB9">
        <f t="shared" si="48"/>
        <v>3</v>
      </c>
      <c r="EC9">
        <f>IFERROR(N(VLOOKUP(BZ9,Кабель_обозначение,3,FALSE)),1)</f>
        <v>1</v>
      </c>
      <c r="ED9">
        <f>IFERROR(N(_xlfn.XLOOKUP(A9,Щиты[Щит],Щиты[ΔU до шин, %])),0)</f>
        <v>0.3660288498727976</v>
      </c>
      <c r="EE9">
        <f>IFERROR(_xlfn.XLOOKUP(A9,Щиты[Щит],Щиты[Zпетли на шинах, Ом]),"")</f>
        <v>0.13597829354840207</v>
      </c>
      <c r="EF9">
        <f>IFERROR(N(_xlfn.XLOOKUP(A9,Щиты[Щит],Щиты[ΔU до шин (подбор), %])),0)</f>
        <v>0.3660288498727976</v>
      </c>
      <c r="EG9">
        <f>IFERROR(_xlfn.XLOOKUP(A9,Щиты[Щит],Щиты[Zпетли на шинах (подбор), Ом]),"")</f>
        <v>0.13597829354840207</v>
      </c>
      <c r="EH9" t="str">
        <f t="shared" si="49"/>
        <v/>
      </c>
      <c r="EI9">
        <f t="shared" si="50"/>
        <v>15</v>
      </c>
      <c r="EJ9">
        <f t="shared" si="51"/>
        <v>1</v>
      </c>
      <c r="EK9">
        <f t="shared" si="52"/>
        <v>0.31</v>
      </c>
      <c r="EL9" s="6">
        <f>IF(B9="","",IF(BV9=1,dU_LED,IF(IFERROR(_xlfn.XLOOKUP(BC9,Коды_код,Коды_уго),"")="Светильник",3,4)+IF(Методика="нормы 2026",MIN(0.5,MAX(0,N(P9)-100)*0.005),0)))</f>
        <v>4</v>
      </c>
      <c r="EM9" cm="1">
        <f t="array" ref="EM9">IF(OR(B9="",BZ9="",EC9&lt;&gt;1),"",_xlfn.LET(_xlpm.sz,Iдоп_S,_xlpm.t_,CHOOSE(EB9,Iдоп_1ж,Iдоп_2ж,Iдоп_3ж)*DZ9*EA9,_xlpm.dcx,BV9=1,_xlpm.inn,IF(_xlpm.dcx,N(O9),N(DT9)),_xlpm.smin,MAX(1.5,CC9),_xlpm.L_,N(P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9)/N(BU9)*100,999),IFERROR(N(EJ9)*(_xlpm.rho*_xlpm.L_/_xlpm.sz*N(CE9)+_xlpm.xx*_xlpm.L_*N(EK9)/1000)*N(O9)/((Uн_лин/SQRT(3))*1000)*100,999)),_xlpm.kz,IF(OR(_xlpm.dcx,DW9=1,NOT(ISNUMBER(EG9)),_xlpm.L_=0,_xlpm.inn=0),1,IFERROR(--(c_min*(Uн_лин*1000/SQRT(3))/(EG9+2*ρкз_Cu*_xlpm.L_/_xlpm.sz)&gt;=HT9*_xlpm.inn),0)),_xlpm.ok,IFERROR((_xlpm.sz&gt;=_xlpm.smin)*(_xlpm.t_&gt;=_xlpm.inn)*IF(_xlpm.L_&gt;0,(_xlpm.du_+IF(_xlpm.dcx,0,EF9)&lt;=EL9+0.00001),1)*_xlpm.kz,0),_xlpm.r_,_xlfn._xlws.FILTER(_xlpm.sz,_xlpm.ok,"не подобрано"),INDEX(_xlpm.r_,1)))</f>
        <v>1.5</v>
      </c>
      <c r="EN9">
        <f t="shared" si="53"/>
        <v>1.5</v>
      </c>
      <c r="EO9" cm="1">
        <f t="array" ref="EO9">IF(OR(B9="",BZ9="",EC9&lt;&gt;1),"",_xlfn.LET(_xlpm.sz,Iдоп_S,_xlpm.t_,CHOOSE(EB9,Iдоп_1ж,Iдоп_2ж,Iдоп_3ж)*DZ9*EA9,_xlpm.ok,IFERROR((_xlpm.sz&gt;=MAX(1.5,CC9))*(_xlpm.t_&gt;=N(DT9)),0),_xlpm.r_,_xlfn._xlws.FILTER(_xlpm.sz,_xlpm.ok,""),INDEX(_xlpm.r_,1)))</f>
        <v>1.5</v>
      </c>
      <c r="EP9" s="6" cm="1">
        <f t="array" ref="EP9">IFERROR(ROUNDUP(N(EJ9)*(_xlfn.XLOOKUP(EO9,INDEX(Кабель_сопротивление,0,1),INDEX(Кабель_сопротивление,0,3))*N(P9)/EO9*N(CE9)+_xlfn.XLOOKUP(EO9,INDEX(Кабель_сопротивление,0,1),INDEX(Кабель_сопротивление,0,2))*N(P9)*N(EK9)/1000)*N(O9)/((Uн_лин/SQRT(3))*1000)*100,2),"")</f>
        <v>0.12</v>
      </c>
      <c r="EQ9">
        <f>IFERROR(2*ρкз_Cu*N(P9)/EO9,"")</f>
        <v>0.52600000000000002</v>
      </c>
      <c r="ER9">
        <f>IFERROR(VLOOKUP(EN9,Кабель_сопротивление,3,FALSE),"")</f>
        <v>2.2499999999999999E-2</v>
      </c>
      <c r="ES9">
        <f>IFERROR(VLOOKUP(EN9,Кабель_сопротивление,2,FALSE),"")</f>
        <v>0.11</v>
      </c>
      <c r="ET9" t="str">
        <f t="shared" si="54"/>
        <v/>
      </c>
      <c r="EU9" t="str">
        <f t="shared" si="55"/>
        <v/>
      </c>
      <c r="EV9">
        <f t="shared" si="56"/>
        <v>0.25782504285253316</v>
      </c>
      <c r="EW9" s="6">
        <f>IFERROR(ROUNDUP(EV9/IF(BV9=1,BU9,(Uн_лин/SQRT(3))*1000)*100,2),"")</f>
        <v>0.12</v>
      </c>
      <c r="EX9" t="str">
        <f>IFERROR(VLOOKUP(BZ9,Кабель_обозначение,2,FALSE),"")</f>
        <v>ВВГнг(А)-LS</v>
      </c>
      <c r="EY9" t="str">
        <f t="shared" si="57"/>
        <v>ВВГнг(А)-LS (5х1,5)</v>
      </c>
      <c r="EZ9" t="str">
        <f t="shared" si="58"/>
        <v>ВВГнг(А)-LS (5х1,5)
L=15-0,12%</v>
      </c>
      <c r="FA9">
        <f>IFERROR(2*ρкз_Cu*P9/EN9,"")</f>
        <v>0.52600000000000002</v>
      </c>
      <c r="FB9">
        <f t="shared" si="59"/>
        <v>0.17500000000000002</v>
      </c>
      <c r="FC9" s="6">
        <f>IFERROR(IF(OR(B9="",BV9=1,NOT(ISNUMBER(EN9)),N(P9)=0),"",_xlfn.XLOOKUP(A9,Щиты[Щит],Щиты[Zпетли на шинах, Ом])+FA9),"")</f>
        <v>0.6619782935484021</v>
      </c>
      <c r="FD9" s="6">
        <f>IF(ISNUMBER(FC9),c_min*(Uн_лин*1000/SQRT(3))/FC9,"")</f>
        <v>331.4203870885932</v>
      </c>
      <c r="FE9" s="6">
        <f>IFERROR(IF(OR(B9="",NOT(ISNUMBER(EN9))),"",1.05*(Uн_лин*1000/SQRT(3))/(_xlfn.XLOOKUP(A9,Щиты[Щит],Щиты[Zmax на шинах, Ом])+FB9)/1000),"")</f>
        <v>1.1207393569042776</v>
      </c>
      <c r="FF9" s="6" t="str">
        <f>IF(B9="","",IF(ISNUMBER(AC9),"Сил",IF(IFERROR(_xlfn.XLOOKUP(BC9,Коды_код,Коды_группа)&amp;"","")="","Быт",_xlfn.XLOOKUP(BC9,Коды_код,Коды_группа)&amp;"")))</f>
        <v>Быт</v>
      </c>
      <c r="FG9" s="6" t="str">
        <f t="shared" si="60"/>
        <v>Щит</v>
      </c>
      <c r="FH9" s="6" t="str">
        <f>IF(FG9="Щит","щит",IF(FG9="","",IF(FG9="Быт",IFERROR(_xlfn.XLOOKUP(A9,Щиты[Щит],Щиты[Кс быт]),1),IF(FG9="Сил",IF(ISNUMBER(AC9),AC9,IF(Методика="нормы 2026",IFERROR(_xlfn.XLOOKUP(A9,Щиты[Щит],Щиты[Кс силовых (табл. 7.5)]),1),1)),IF(OR(FG9="Пост",FG9="Отоп"),1,IF(FG9="ВНГ",0.7,0))))))</f>
        <v>щит</v>
      </c>
      <c r="FI9">
        <f>IF(FG9="","",IF(AND(BP9=1,TRIM(AE9&amp;"")=""),IF(COUNTIFS(Линии[Щит],A9,Линии[Секция (1/2/3)],"&gt;=2")&gt;0,MIN(3,MAX(1,IFERROR(--BD9,1))),1),IFERROR(MIN(3,MAX(1,INT(--AE9))),1)))</f>
        <v>1</v>
      </c>
      <c r="FJ9">
        <f t="shared" si="61"/>
        <v>0</v>
      </c>
      <c r="FK9">
        <f t="shared" si="62"/>
        <v>0</v>
      </c>
      <c r="FL9">
        <f t="shared" si="63"/>
        <v>0</v>
      </c>
      <c r="FM9">
        <f t="shared" si="64"/>
        <v>0</v>
      </c>
      <c r="FN9">
        <f t="shared" si="65"/>
        <v>0</v>
      </c>
      <c r="FO9">
        <f t="shared" si="66"/>
        <v>0</v>
      </c>
      <c r="FP9">
        <f t="shared" si="67"/>
        <v>0.5</v>
      </c>
      <c r="FQ9">
        <f t="shared" si="68"/>
        <v>0</v>
      </c>
      <c r="FR9">
        <f t="shared" si="69"/>
        <v>0</v>
      </c>
      <c r="FS9">
        <f>IF(CG9=1,IF(AND(CH9=1,CW9=1),0,IF(AND(CS9&lt;&gt;"",CS9=BA9,CW9=1),SUMIFS(Линии[_Р линии, кВт],Линии[_блок УЗО],BA9,Линии[Щит],A9),N(BS9)+IF(AJ9="вручную",0,N(CK9)))),0)</f>
        <v>0.5</v>
      </c>
      <c r="FT9" t="str">
        <f t="shared" si="70"/>
        <v/>
      </c>
      <c r="FU9" t="str">
        <f>IF(B9="","",IF(CG9=0,IF(BA9=1,"",FW8),IF(AND(CH9=1,CW9=1,CS9&lt;&gt;""),IFERROR(_xlfn.XLOOKUP(CS9,Линии[_n],Линии[_фаза итог]),"L1"),IF(OR(N(DL9)&gt;=3,N(BX9)&gt;=3),"L1,L2,L3",IFERROR(_xlfn.TEXTBEFORE(_xlfn.TEXTAFTER(_xlfn.XLOOKUP(A9,Щиты[Щит],Щиты[_фазы авто]),";"&amp;BA9&amp;":"),";"),"L1")))))</f>
        <v>L1,L2,L3</v>
      </c>
      <c r="FV9" t="str">
        <f t="shared" si="71"/>
        <v>L1,L2,L3</v>
      </c>
      <c r="FW9" t="str">
        <f t="shared" si="72"/>
        <v>L1,L2,L3</v>
      </c>
      <c r="FX9" cm="1">
        <f t="array" ref="FX9">IFERROR(IF(CD9=2,_xlfn.IFS(BX9=3,VLOOKUP(BS9,Справочная_двигатели,3,FALSE),BX9=1,VLOOKUP(BS9,Справочная_двигатели,5,TRUE)),0),0)</f>
        <v>0</v>
      </c>
      <c r="FY9">
        <f>IFERROR(IF(CD9=3,VLOOKUP(BS9,Справочная_ЛЭД,2,TRUE),0),0)</f>
        <v>0</v>
      </c>
      <c r="FZ9" s="6">
        <f t="shared" si="73"/>
        <v>0</v>
      </c>
      <c r="GA9" t="str">
        <f>IF(B9="","",IF(TRIM(AH9&amp;"")&lt;&gt;"",IF(LOWER(TRIM(AH9&amp;""))="да","да","нет"),IF(IFERROR(_xlfn.XLOOKUP(BC9,Коды_код,Коды_пожарная),"")="да","да","нет")))</f>
        <v>нет</v>
      </c>
      <c r="GB9" t="str">
        <f t="shared" si="74"/>
        <v/>
      </c>
      <c r="GC9" t="str">
        <f t="shared" si="75"/>
        <v>основная</v>
      </c>
      <c r="GD9">
        <f>IF(AND(BP9=1,TRIM(AE9&amp;"")=""),IF(COUNTIFS(Линии[Щит],A9,Линии[Секция (1/2/3)],"&gt;=2")&gt;0,MIN(3,MAX(1,IFERROR(--BD9,1))),1),IFERROR(MIN(3,MAX(1,INT(--AE9))),1))</f>
        <v>1</v>
      </c>
      <c r="GE9" t="str" cm="1">
        <f t="array" ref="GE9">IF(B9="","",_xlfn.LET(_xlpm.t,IFERROR(_xlfn.XLOOKUP(1,(Шины[Шина]=GC9)*(((Шины[Щит]=A9)+(Шины[Щит]=""))&gt;0),Шины[Тип]),"")&amp;"",IF(_xlpm.t&lt;&gt;"",_xlpm.t,IF(ISNUMBER(SEARCH("ИБП",GC9)),"ИБП",IF(ISNUMBER(SEARCH("ДГУ",GC9)),"ДГУ","Ввод "&amp;GD9)))))</f>
        <v>Ввод 1</v>
      </c>
      <c r="GF9" t="str">
        <f t="shared" si="76"/>
        <v>Ввод 1</v>
      </c>
      <c r="GG9" t="str">
        <f>IF(BP9=0,"",IF(TRIM(AG9&amp;"")&lt;&gt;"",TRIM(AG9&amp;""),IF(OR(GE9="ИБП",GE9="ДГУ"),"I особая",_xlfn.XLOOKUP(A9,Щиты[Щит],Щиты[Категория шины «Ввод»],"III"))))</f>
        <v/>
      </c>
      <c r="GH9" t="str">
        <f>IF(A9="","",_xlfn.XLOOKUP(A9,Щиты[Щит],Щиты[Путь],""))</f>
        <v>|ВРУ|</v>
      </c>
      <c r="GI9" t="str">
        <f>IF(B9="","",IF(AI9&lt;&gt;"",AI9,IF(IFERROR(_xlfn.XLOOKUP(BC9,Коды_код,Коды_вид)&amp;"","")="","Прочее",_xlfn.XLOOKUP(BC9,Коды_код,Коды_вид)&amp;"")))</f>
        <v>Прочее</v>
      </c>
      <c r="GJ9">
        <f>IF(BM9="","",INT((BM9-1)/Столбцов_на_лист)+1)</f>
        <v>2</v>
      </c>
      <c r="GK9" t="str">
        <f t="shared" si="77"/>
        <v>ВВГнг(А)-LS (5х1,5) L=15-0,12%</v>
      </c>
      <c r="GL9">
        <f t="shared" si="78"/>
        <v>0.5</v>
      </c>
      <c r="GM9">
        <f t="shared" si="79"/>
        <v>1.21</v>
      </c>
      <c r="GN9">
        <f t="shared" si="80"/>
        <v>3</v>
      </c>
      <c r="GO9">
        <f t="shared" si="81"/>
        <v>0</v>
      </c>
      <c r="GP9">
        <f t="shared" si="82"/>
        <v>1</v>
      </c>
      <c r="GQ9">
        <f>IF(BM9="","",IF(AND(CG9=1,GP9=1),COUNTIFS(A$3:A9,A9,CG$3:CG9,1,GP$3:GP9,1),IF(OR(OR(BA9=1,A9&lt;&gt;A8),AJ9="вручную",GP9=0),"",IF(BA9=1,"",GR8))))</f>
        <v>5</v>
      </c>
      <c r="GR9">
        <f t="shared" si="83"/>
        <v>5</v>
      </c>
      <c r="GS9">
        <f>IF(B9="","",IFERROR(LOOKUP(INDEX(CHOOSE(EB9,Iдоп_1ж,Iдоп_2ж,Iдоп_3ж),MATCH(EN9,Iдоп_S,0))*DZ9*EA9,{6,10,16,20,25,32,40,50,63,80,100,125,160,200,250,315,400,500,630}),""))</f>
        <v>16</v>
      </c>
      <c r="GT9" t="str">
        <f t="shared" si="84"/>
        <v>QF5</v>
      </c>
      <c r="GU9" t="str">
        <f t="shared" si="85"/>
        <v>QF5</v>
      </c>
      <c r="GV9" t="str">
        <f t="shared" si="86"/>
        <v/>
      </c>
      <c r="GW9">
        <f t="shared" si="87"/>
        <v>0</v>
      </c>
      <c r="GX9" t="str">
        <f>IF(OR(B9="",DJ9=""),"",IFERROR(_xlfn.XLOOKUP(DJ9,Модули_умолч[Управление],Модули_умолч[Модель])&amp;"",""))</f>
        <v/>
      </c>
      <c r="GY9">
        <f>IF(DJ9="",1,IFERROR(MAX(0,N(_xlfn.XLOOKUP(DJ9,Модули_умолч[Управление],Модули_умолч[Каналов на линию]))),1))</f>
        <v>1</v>
      </c>
      <c r="GZ9" t="str">
        <f t="shared" si="88"/>
        <v/>
      </c>
      <c r="HA9" t="str">
        <f t="shared" si="89"/>
        <v/>
      </c>
      <c r="HB9" t="str">
        <f t="shared" si="90"/>
        <v/>
      </c>
      <c r="HC9">
        <f>IF(HB9="",0,IFERROR(N(VLOOKUP(HB9,Модули_спр,3,FALSE)),0))</f>
        <v>0</v>
      </c>
      <c r="HD9" t="str">
        <f t="shared" si="91"/>
        <v/>
      </c>
      <c r="HE9" t="str">
        <f t="shared" si="92"/>
        <v/>
      </c>
      <c r="HF9" t="str">
        <f>IF(OR(HE9="",HE9="-"),"",IFERROR(VLOOKUP(HE9,Модули_спр,2,FALSE),"R"))</f>
        <v/>
      </c>
      <c r="HG9" t="str">
        <f>IF(HF9="","",HF9&amp;"."&amp;COUNTIFS(A$3:A9,A9,HF$3:HF9,HF9))</f>
        <v/>
      </c>
      <c r="HH9" t="str">
        <f t="shared" si="93"/>
        <v/>
      </c>
      <c r="HI9" t="str">
        <f t="shared" si="94"/>
        <v/>
      </c>
      <c r="HJ9" t="str">
        <f t="shared" si="95"/>
        <v/>
      </c>
      <c r="HK9" t="str">
        <f t="shared" si="96"/>
        <v/>
      </c>
      <c r="HL9">
        <f t="shared" si="97"/>
        <v>1</v>
      </c>
      <c r="HM9" t="str">
        <f>IF(HL9=1,"XT"&amp;COUNTIFS(A$3:A9,A9,HL$3:HL9,1),"")</f>
        <v>XT5</v>
      </c>
      <c r="HN9" t="str">
        <f t="shared" si="98"/>
        <v>XT5</v>
      </c>
      <c r="HO9" t="str">
        <f t="shared" si="99"/>
        <v>QF5</v>
      </c>
      <c r="HP9" t="str">
        <f t="shared" si="100"/>
        <v/>
      </c>
      <c r="HQ9" t="str">
        <f t="shared" si="101"/>
        <v>ok</v>
      </c>
      <c r="HR9" t="str">
        <f>IF(OR(HJ9="",HH9=""),"",IF(HJ9+MAX(0,GY9-1)&gt;IFERROR(VLOOKUP(HI9,Модули_спр,3,FALSE),99),"ЛИШНИЙ КАНАЛ",IF(AND(AL9&lt;&gt;"=",GY9&gt;0,COUNTIFS(Линии[_модуль гр.],HH9,Линии[Канал (итог)],HJ9,Линии[Канал],"&lt;&gt;=",Линии[Щит],A9)&gt;1),"ДУБЛЬ КАНАЛА","")))</f>
        <v/>
      </c>
      <c r="HS9" s="6">
        <f t="shared" si="102"/>
        <v>55.236731181432198</v>
      </c>
      <c r="HT9">
        <f t="shared" si="103"/>
        <v>10</v>
      </c>
      <c r="HU9" t="str">
        <f t="shared" si="104"/>
        <v>ok</v>
      </c>
      <c r="HV9">
        <f t="shared" si="105"/>
        <v>0</v>
      </c>
      <c r="HW9">
        <f t="shared" si="106"/>
        <v>0</v>
      </c>
      <c r="HX9">
        <f t="shared" si="107"/>
        <v>0</v>
      </c>
      <c r="HY9">
        <f t="shared" si="108"/>
        <v>0</v>
      </c>
      <c r="HZ9">
        <f t="shared" si="109"/>
        <v>0</v>
      </c>
      <c r="IA9">
        <f t="shared" si="110"/>
        <v>0</v>
      </c>
      <c r="IB9">
        <f t="shared" si="111"/>
        <v>0</v>
      </c>
      <c r="IC9" t="str">
        <f t="shared" si="112"/>
        <v/>
      </c>
      <c r="ID9" t="str" cm="1">
        <f t="array" ref="ID9">IF(IC9="","",_xlfn.LET(_xlpm.tk,_xlfn.TEXTSPLIT(SUBSTITUTE(SUBSTITUTE(IC9,";"," "),"→"," ")," ",,TRUE),_xlpm.w_,_xlfn._xlws.FILTER(_xlpm.tk,ISNUMBER(--LEFT(_xlpm.tk,1))*((ISNUMBER(SEARCH("W",_xlpm.tk))+ISNUMBER(SEARCH("Вт",_xlpm.tk)))&gt;0),""),IFERROR(--SUBSTITUTE(SUBSTITUTE(UPPER(INDEX(_xlpm.w_,1)),"W",""),"ВТ",""),"")))</f>
        <v/>
      </c>
      <c r="IE9" t="str" cm="1">
        <f t="array" ref="IE9">IF(IC9="","",_xlfn.LET(_xlpm.tk,_xlfn.TEXTSPLIT(SUBSTITUTE(SUBSTITUTE(IC9,";"," "),"→"," ")," ",,TRUE),_xlpm.v_,_xlfn._xlws.FILTER(_xlpm.tk,ISNUMBER(--LEFT(_xlpm.tk,1))*((ISNUMBER(SEARCH("V",_xlpm.tk))+(RIGHT(UPPER(_xlpm.tk))="В"))&gt;0),""),IFERROR(--SUBSTITUTE(SUBSTITUTE(UPPER(INDEX(_xlpm.v_,1)),"V",""),"В",""),"")))</f>
        <v/>
      </c>
      <c r="IF9" s="6" t="str">
        <f>IF(OR(BV9=0,HI9="",HJ9=""),"",IFERROR(N(_xlfn.XLOOKUP(HI9,Каталог!$C$4:$C$500,Каталог!$Q$4:$Q$500)),""))</f>
        <v/>
      </c>
      <c r="IG9" s="6" t="str">
        <f>IF(N(IF9)=0,"",SUMIFS(Линии[Iр, А],Линии[Щит],A9,Линии[_модуль гр.],HH9,Линии[Канал (итог)],HJ9))</f>
        <v/>
      </c>
      <c r="IH9" t="str">
        <f>IF(AND(B9="",HO9=""),"",_xlfn.TEXTJOIN("; ",TRUE,IF(AND(B9&lt;&gt;"",FV9=""),"нет фазы",""),IF(AND(B9&lt;&gt;"",N(GL9)=0,FG9&lt;&gt;"Нет"),"нет мощности",""),IF(AND(HN9&lt;&gt;"",COUNTIFS(Линии[Щит],A9,Линии[Клемма (итог)],HN9)&gt;1),"дубль клеммы "&amp;HN9,""),IF(AND(HQ9&lt;&gt;"",HQ9&lt;&gt;"ok"),HQ9,""),IF(HR9&lt;&gt;"",HR9,""),IF(AND(N(CB9)&gt;=4,N(BX9)=1),CB9&amp;" жил на 1 фазе",""),IF(AND(BC9="R",CG9=1,IF(CS9&lt;&gt;"",N(CV9)&gt;30,OR(N(DA9)=0,N(DA9)&gt;30))),"розетка без дифзащиты до 30 мА",""),IF(AND(CG9=1,N(DA9)&gt;0,ISNUMBER(T9)),IF(T9&gt;N(DA9)/3,"ток утечки "&amp;FIXED(T9,1)&amp;" мА &gt; 1/3 уставки ("&amp;DA9&amp;" мА)",""),""),IF(AND(CH9=1,CS9=""),"«узо»: нет строки с УЗО выше (УЗО 2P 40А 30мА в «Аппаратах»)",""),IF(AND(CS9&lt;&gt;"",CS9=BA9),IF(CT9="","впишите номинал УЗО (УЗО 2P 40А 30мА)",IF(N(CT9)&lt;N(DT9),"УЗО "&amp;CT9&amp;" А &lt; автомата "&amp;DT9&amp;" А перед ним",IF(N(CT9)&lt;N(CX9),"УЗО "&amp;CT9&amp;" А &lt; тока блока "&amp;FIXED(CX9,1)&amp;" А",""))),""),IF(AND(CS9&lt;&gt;"",CS9=BA9,ISNUMBER(CY9)),IF(CY9&gt;N(CV9)/3,"ток утечки блока УЗО "&amp;FIXED(CY9,1)&amp;" мА &gt; 1/3 уставки ("&amp;CV9&amp;" мА)",""),""),IF(AND(CG9=1,N(BV9)+N(IB9)&gt;0,IC9=""),"линии до 50 В без БП: впишите в «Аппараты» (БП 24V 480W)",""),IF(AND(CG9=1,ISNUMBER(ID9),ISNUMBER(U9)),IF(U9&gt;ID9,"БП "&amp;ID9&amp;" Вт &lt; нужно "&amp;U9&amp;" Вт (×"&amp;Запас_БП&amp;")",""),""),IF(AND(CG9=1,ISNUMBER(IE9),N(BV9)=1),IF(IE9&lt;&gt;N(BU9),"БП на "&amp;IE9&amp;" В, линия "&amp;BU9&amp;" В",""),""),IF(AND(N(IF9)&gt;0,N(IG9)&gt;N(IF9)),HH9&amp;" канал "&amp;HJ9&amp;": "&amp;FIXED(IG9,1)&amp;" А &gt; "&amp;IF9&amp;" А",""),IFERROR(IF(AND(ISNUMBER(Q9),Q9&gt;EL9),"потери "&amp;FIXED(Q9,1)&amp;" % &gt; "&amp;EL9&amp;" %",""),""),IFERROR(IF(LEFT(HU9,4)="мало","Iкз мало — отключение &gt; 0,4 с",""),""),IF(AND(B9&lt;&gt;"",BM9=""),"не на схеме",""),IF(AND(CG9=0,B9&lt;&gt;"",FV9&lt;&gt;"",IF(BA9=1,"",FW8)&lt;&gt;"",FV9&lt;&gt;IF(BA9=1,"",FW8)),"фаза не как у автомата группы ("&amp;IF(BA9=1,"",FW8)&amp;")","")))</f>
        <v/>
      </c>
      <c r="II9" s="6" t="str">
        <f>IF(OR(CG9=0,DQ9=""),"",_xlfn.LET(_xlpm.t,IFERROR(_xlfn.XLOOKUP(DQ9,Каталог!$U$4:$U$500,Каталог!$G$4:$G$500),""),_xlpm.k,SEARCH("кА",_xlpm.t),IFERROR(--TRIM(RIGHT(SUBSTITUTE(MID(_xlpm.t,MAX(1,_xlpm.k-4),_xlpm.k-MAX(1,_xlpm.k-4))," ",REPT(" ",9)),5)),"")))</f>
        <v/>
      </c>
      <c r="IJ9" t="str">
        <f>IF(OR(II9="",CG9=0),"",IF(_xlfn.XLOOKUP(A9,Щиты[Щит],Щиты[Iкз max на шинах, кА],"")="","",IF(II9&lt;_xlfn.XLOOKUP(A9,Щиты[Щит],Щиты[Iкз max на шинах, кА]),"Icu "&amp;II9&amp;" кА &lt; Iкз max","ok")))</f>
        <v/>
      </c>
      <c r="IK9" t="str">
        <f t="shared" si="113"/>
        <v/>
      </c>
      <c r="IL9" t="str">
        <f t="shared" si="114"/>
        <v>QF5|XT5</v>
      </c>
      <c r="IM9" t="str">
        <f t="shared" si="115"/>
        <v>QF5|XT5|кабель ВВГнг(А)-LS (5х1,5) → Щит ЩГП</v>
      </c>
      <c r="IN9" t="str" cm="1">
        <f t="array" ref="IN9">IF(IM9="","",_xlfn.LET(_xlpm.nd,_xlfn.TEXTSPLIT(IM9,"|"),IF(COLUMNS(_xlpm.nd)&gt;1,A9&amp;"¦"&amp;INDEX(_xlpm.nd,1)&amp;"¦"&amp;INDEX(_xlpm.nd,2),"")))</f>
        <v>ВРУ¦QF5¦XT5</v>
      </c>
      <c r="IO9" t="str">
        <f t="shared" si="116"/>
        <v>ЩГП¦Щит ЩГП</v>
      </c>
      <c r="IP9" t="str" cm="1">
        <f t="array" ref="IP9">IF(IM9="","",_xlfn.LET(_xlpm.nd,_xlfn.TEXTSPLIT(IM9,"|"),IF(COLUMNS(_xlpm.nd)&gt;2,A9&amp;"¦"&amp;INDEX(_xlpm.nd,2)&amp;"¦"&amp;INDEX(_xlpm.nd,3),"")))</f>
        <v>ВРУ¦XT5¦кабель ВВГнг(А)-LS (5х1,5) → Щит ЩГП</v>
      </c>
      <c r="IQ9" t="str">
        <f t="shared" si="117"/>
        <v>ЩГП¦Щит ЩГП</v>
      </c>
      <c r="IR9" t="str" cm="1">
        <f t="array" ref="IR9">IF(IM9="","",_xlfn.LET(_xlpm.nd,_xlfn.TEXTSPLIT(IM9,"|"),IF(COLUMNS(_xlpm.nd)&gt;3,A9&amp;"¦"&amp;INDEX(_xlpm.nd,3)&amp;"¦"&amp;INDEX(_xlpm.nd,4),"")))</f>
        <v/>
      </c>
      <c r="IS9" t="str">
        <f t="shared" si="118"/>
        <v/>
      </c>
      <c r="IT9" t="str" cm="1">
        <f t="array" ref="IT9">IF(IM9="","",_xlfn.LET(_xlpm.nd,_xlfn.TEXTSPLIT(IM9,"|"),IF(COLUMNS(_xlpm.nd)&gt;4,A9&amp;"¦"&amp;INDEX(_xlpm.nd,4)&amp;"¦"&amp;INDEX(_xlpm.nd,5),"")))</f>
        <v/>
      </c>
      <c r="IU9" t="str">
        <f t="shared" si="119"/>
        <v/>
      </c>
      <c r="IV9" t="str" cm="1">
        <f t="array" ref="IV9">IF(IM9="","",_xlfn.LET(_xlpm.nd,_xlfn.TEXTSPLIT(IM9,"|"),IF(COLUMNS(_xlpm.nd)&gt;5,A9&amp;"¦"&amp;INDEX(_xlpm.nd,5)&amp;"¦"&amp;INDEX(_xlpm.nd,6),"")))</f>
        <v/>
      </c>
      <c r="IW9" t="str">
        <f t="shared" si="120"/>
        <v/>
      </c>
      <c r="IX9" t="str" cm="1">
        <f t="array" ref="IX9">IF(IM9="","",_xlfn.LET(_xlpm.nd,_xlfn.TEXTSPLIT(IM9,"|"),IF(COLUMNS(_xlpm.nd)&gt;6,A9&amp;"¦"&amp;INDEX(_xlpm.nd,6)&amp;"¦"&amp;INDEX(_xlpm.nd,7),"")))</f>
        <v/>
      </c>
      <c r="IY9" t="str">
        <f t="shared" si="121"/>
        <v/>
      </c>
      <c r="IZ9" t="str">
        <f t="shared" si="122"/>
        <v/>
      </c>
      <c r="JA9" t="str">
        <f t="shared" si="123"/>
        <v>QF5 → XT5</v>
      </c>
      <c r="JB9">
        <f t="shared" si="124"/>
        <v>0</v>
      </c>
      <c r="JC9">
        <f t="shared" si="125"/>
        <v>0</v>
      </c>
      <c r="JD9" t="str">
        <f t="shared" si="126"/>
        <v/>
      </c>
      <c r="JE9" t="str">
        <f t="shared" si="127"/>
        <v/>
      </c>
      <c r="JF9" t="str">
        <f t="shared" si="128"/>
        <v/>
      </c>
      <c r="JG9" t="str">
        <f t="shared" si="129"/>
        <v/>
      </c>
      <c r="JH9" t="str">
        <f>IF(B9="","",IFERROR(_xlfn.XLOOKUP(B9,Коды_код,Коды_уго),IFERROR(_xlfn.XLOOKUP(BC9,Коды_код,Коды_уго),IFERROR(_xlfn.XLOOKUP(LEFT(BC9,2),Коды_код,Коды_уго),""))))</f>
        <v/>
      </c>
      <c r="JI9" t="str">
        <f>IF(B9="","",IF(OR(JH9="",JH9=0),"BOX",IFERROR(IF(VLOOKUP(JH9,УГО_блоки,3,FALSE)&amp;""&lt;&gt;"",VLOOKUP(JH9,УГО_блоки,3,FALSE),VLOOKUP(JH9,УГО_блоки,2,FALSE)),JH9)))</f>
        <v>BOX</v>
      </c>
      <c r="JJ9">
        <f t="shared" si="130"/>
        <v>1</v>
      </c>
      <c r="JK9">
        <f>IF(DQ9="","",IF(COUNTIF(DQ$3:DQ9,DQ9)=1,MAX(JK$2:JK8)+1,""))</f>
        <v>6</v>
      </c>
      <c r="JL9" t="str">
        <f>IF(DE9="","",IF(COUNTIF(DE$3:DE9,DE9)+COUNTIF(DF$2:DF8,DE9)+COUNTIF(DG$2:DG8,DE9)=1,MAX(JL$2:JN8)+1,""))</f>
        <v/>
      </c>
      <c r="JM9" t="str">
        <f>IF(DF9="","",IF(COUNTIF(DE$3:DE9,DF9)+COUNTIF(DF$3:DF9,DF9)+COUNTIF(DG$2:DG8,DF9)=1,MAX(JL$2:JN8,JL9)+1,""))</f>
        <v/>
      </c>
      <c r="JN9" t="str">
        <f>IF(DG9="","",IF(COUNTIF(DE$3:DE9,DG9)+COUNTIF(DF$3:DF9,DG9)+COUNTIF(DG$3:DG9,DG9)=1,MAX(JL$2:JN8,JL9,JM9)+1,""))</f>
        <v/>
      </c>
      <c r="JO9" t="str">
        <f t="shared" si="131"/>
        <v>5х1,5</v>
      </c>
      <c r="JP9">
        <f>IF(JO9="","",IF(COUNTIF(JO$3:JO9,JO9)=1,MAX(JP$2:JP8)+1,""))</f>
        <v>5</v>
      </c>
      <c r="JQ9" t="str">
        <f>IF(HG9="","",COUNTIF(HG$3:HG9,"?*"))</f>
        <v/>
      </c>
      <c r="JR9" t="str">
        <f>IF(OR(HG9="",HI9=""),"",IF(COUNTIFS(HG$3:HG9,"?*",HI$3:HI9,HI9)=1,MAX(JR$2:JR8)+1,""))</f>
        <v/>
      </c>
      <c r="JS9">
        <f t="shared" si="132"/>
        <v>0</v>
      </c>
      <c r="JT9">
        <f>IF(B9="","",COUNTIF(B$3:B9,"?*"))</f>
        <v>7</v>
      </c>
      <c r="JU9">
        <f>IF(HL9&lt;&gt;1,0,_xlfn.LET(_xlpm.k,MAX(IFERROR(--_xlfn.XLOOKUP(B9,Коды_код,Коды_3L),0),IFERROR(--_xlfn.XLOOKUP(BC9,Коды_код,Коды_3L),0),IFERROR(--_xlfn.XLOOKUP(LEFT(BC9,2),Коды_код,Коды_3L),0)),IF(_xlpm.k&gt;0,_xlpm.k,IF(IFERROR(--LEFT(SUBSTITUTE(JO9,"x","х"),FIND("х",SUBSTITUTE(JO9,"x","х"))-1),3)&gt;3,Каталог!$S$9,1))))</f>
        <v>1</v>
      </c>
      <c r="JV9">
        <f t="shared" si="133"/>
        <v>2</v>
      </c>
      <c r="JW9" t="str">
        <f t="shared" si="134"/>
        <v>авто</v>
      </c>
      <c r="JX9" t="str">
        <f t="shared" si="135"/>
        <v/>
      </c>
      <c r="JY9">
        <f t="shared" si="136"/>
        <v>0</v>
      </c>
      <c r="JZ9">
        <f t="shared" si="137"/>
        <v>1</v>
      </c>
    </row>
    <row r="10" spans="1:286" x14ac:dyDescent="0.3">
      <c r="A10" t="s">
        <v>151</v>
      </c>
      <c r="B10" t="s">
        <v>1191</v>
      </c>
      <c r="C10" t="s">
        <v>1240</v>
      </c>
      <c r="E10">
        <f>Линии[[#This Row],[_авто Р]]</f>
        <v>3.4</v>
      </c>
      <c r="G10" t="str">
        <f>Линии[[#This Row],[_авто автомат]]</f>
        <v>1P С10А</v>
      </c>
      <c r="H10" t="str">
        <f>Линии[[#This Row],[_авто управление]]</f>
        <v/>
      </c>
      <c r="I10" t="str">
        <f>Линии[[#This Row],[_авто аппараты]]</f>
        <v/>
      </c>
      <c r="J10">
        <f>Линии[[#This Row],[_авто сечение]]</f>
        <v>1.5</v>
      </c>
      <c r="K10">
        <v>12</v>
      </c>
      <c r="L10" t="str">
        <f>Линии[[#This Row],[_авто фаза]]</f>
        <v>L2</v>
      </c>
      <c r="M10" t="str">
        <f>Линии[[#This Row],[_авто клемма]]</f>
        <v>XT6</v>
      </c>
      <c r="N10" t="str">
        <f t="shared" si="0"/>
        <v/>
      </c>
      <c r="O10" s="6" cm="1">
        <f t="array" ref="O10">IF(B10="","",IF(BH10&lt;&gt;"",IFERROR(_xlfn.XLOOKUP(BH10,Щиты[Щит],Щиты[Iр, А]),""),IF(BP10=1,IF(OR(N(_xlfn.XLOOKUP(A10,Щиты[Щит],Щиты[Вводов],1))&lt;=1,LOWER(TRIM(_xlfn.XLOOKUP(A10,Щиты[Щит],Щиты[АВР],"")&amp;""))="да"),IFERROR(_xlfn.XLOOKUP(A10,Щиты[Щит],Щиты[Iр, А]),""),IFERROR(N(BS10)*_xlfn.XLOOKUP(A10,Щиты[Щит],Щиты[Кс итог])/(SQRT(3)*Uн_лин*_xlfn.XLOOKUP(A10,Щиты[Щит],Щиты[cos φ])),"")),IF(BV10=1,IFERROR(BS10*1000/BU10,""),IFERROR(_xlfn.IFS(BX10=1,BS10/((Uн_лин/SQRT(3))*CE10),BX10=3,BS10/(SQRT(3)*Uн_лин*CE10)),"")))))</f>
        <v>7.4141743201689332</v>
      </c>
      <c r="P10" s="7">
        <f>IF(B10="","",IFERROR(IF(VLOOKUP(BC10,Потребители_обозначение,4,FALSE)=1,VLOOKUP(BC10,Потребители_обозначение,3,FALSE)*(MAX(1,N(D10))*2-1)+EI10+VLOOKUP(BE10,Этаж_обозначение,3,FALSE)+VLOOKUP(BE10,Этаж_обозначение,4,FALSE),VLOOKUP(BC10,Потребители_обозначение,3,FALSE)*(MAX(1,N(D10))*2-1)+EI10),EI10))</f>
        <v>12</v>
      </c>
      <c r="Q10" s="6">
        <f t="shared" si="1"/>
        <v>1.3160288498727977</v>
      </c>
      <c r="R10" t="str">
        <f t="shared" si="2"/>
        <v>ВВГнг(А)-FRLS (3х1,5)</v>
      </c>
      <c r="S10" t="str">
        <f>IF(BM10="","",IF(BN10="вводной узел","узел ","")&amp;"л."&amp;(INT((BM10-1)/Столбцов_на_лист)+1)&amp;" / "&amp;(MOD(BM10-1,Столбцов_на_лист)+1))</f>
        <v>л.2 / 7</v>
      </c>
      <c r="T10" s="119" t="str">
        <f t="shared" si="3"/>
        <v/>
      </c>
      <c r="U10" s="7" t="str">
        <f>IF(OR(CG10=0,N(BV10)+N(IB10)=0),"",ROUNDUP(Запас_БП*(N(HY10)+N(HZ10)),0))</f>
        <v/>
      </c>
      <c r="V10" s="119" t="str">
        <f t="shared" si="4"/>
        <v/>
      </c>
      <c r="W10" s="7">
        <f>IFERROR(IF(OR(B10="",BP10=1,BV10=1,NOT(ISNUMBER(EN10)),N(DT10)=0),"",MAX(0,ROUNDDOWN((c_min*(Uн_лин*1000/SQRT(3))/(HT10*N(DT10))-_xlfn.XLOOKUP(A10,Щиты[Щит],Щиты[Zпетли на шинах, Ом]))*EN10/(2*ρкз_Cu),0))),"")</f>
        <v>58</v>
      </c>
      <c r="X10" t="s">
        <v>949</v>
      </c>
      <c r="Y10" t="str">
        <f>Линии[[#This Row],[_авто утечка]]</f>
        <v/>
      </c>
      <c r="Z10">
        <v>1</v>
      </c>
      <c r="AA10">
        <v>230</v>
      </c>
      <c r="AB10" t="str">
        <f>Линии[[#This Row],[_авто группа Кс]]</f>
        <v>Быт</v>
      </c>
      <c r="AG10" t="s">
        <v>800</v>
      </c>
      <c r="AH10" t="s">
        <v>497</v>
      </c>
      <c r="AK10" t="str">
        <f>Линии[[#This Row],[_авто модуль]]</f>
        <v/>
      </c>
      <c r="AN10" t="s">
        <v>13</v>
      </c>
      <c r="AO10">
        <v>3</v>
      </c>
      <c r="BA10" cm="1">
        <f t="array" ref="BA10">ROW()-ROW(Линии[#Headers])</f>
        <v>8</v>
      </c>
      <c r="BC10" s="6" t="str">
        <f t="shared" si="5"/>
        <v>ЩСПЗ</v>
      </c>
      <c r="BD10" t="str">
        <f t="shared" si="6"/>
        <v>1</v>
      </c>
      <c r="BE10" t="str">
        <f t="shared" si="7"/>
        <v>1</v>
      </c>
      <c r="BF10" t="str">
        <f t="shared" si="8"/>
        <v/>
      </c>
      <c r="BG10" t="str">
        <f t="shared" si="9"/>
        <v/>
      </c>
      <c r="BH10" t="str">
        <f>IF(X10&lt;&gt;"",X10,IF(AND(B10&lt;&gt;"",B10&lt;&gt;A10,ISNUMBER(_xlfn.XMATCH(B10,Щиты[Щит]))),B10,""))</f>
        <v>ЩСПЗ</v>
      </c>
      <c r="BI10" t="str" cm="1">
        <f t="array" ref="BI10">IF(B10="","",IF(BH10&lt;&gt;"","Щит "&amp;BH10,_xlfn.LET(_xlpm.nm,IFERROR(_xlfn.XLOOKUP(BC10,Коды_код,Коды_имя)&amp;"",""),_xlpm.md,IFERROR(N(_xlfn.XLOOKUP(BC10,Коды_код,Коды_режим)),1),_xlpm.ex,IF(Имя_режим="по экспликации",IFERROR(_xlfn.XLOOKUP(BE10&amp;"|"&amp;BG10,Экспликация[Этаж]&amp;"|"&amp;Экспликация[Помещение],Экспликация[Название])&amp;"",""),""),_xlpm.rm,IF(BG10="","",IF(_xlpm.ex&lt;&gt;"",". "&amp;_xlpm.ex&amp;IF(Имя_пом="нет"," ("&amp;BG10&amp;")"," (пом. "&amp;BG10&amp;")"),IF(Имя_пом="нет"," ",", пом. ")&amp;BG10)),IF(_xlpm.nm="","",IF(_xlpm.md=2,_xlpm.nm&amp;" шлейф "&amp;BE10,_xlpm.nm&amp;_xlpm.rm)))))</f>
        <v>Щит ЩСПЗ</v>
      </c>
      <c r="BJ10" t="str">
        <f t="shared" si="10"/>
        <v>Щит СПЗ, ввод 1</v>
      </c>
      <c r="BK10">
        <f>IFERROR(_xlfn.XMATCH(A10,Щиты[Щит]),0)</f>
        <v>1</v>
      </c>
      <c r="BL10">
        <f>_xlfn.LET(_xlpm.k,IFERROR(_xlfn.XLOOKUP(A10,Щиты[Щит],Щиты[Мест под вводной узел]),""),IF(_xlpm.k="",Столбцов_на_лист,N(_xlpm.k)))</f>
        <v>4</v>
      </c>
      <c r="BM10">
        <f t="shared" si="11"/>
        <v>24</v>
      </c>
      <c r="BN10" t="str">
        <f t="shared" si="12"/>
        <v>линии</v>
      </c>
      <c r="BO10" s="6">
        <f>IFERROR(N(_xlfn.XLOOKUP(BC10,Коды_код,Коды_квт)),0)</f>
        <v>0</v>
      </c>
      <c r="BP10">
        <f t="shared" si="13"/>
        <v>0</v>
      </c>
      <c r="BQ10">
        <f>IF(B10="","",IF(BH10&lt;&gt;"",IFERROR(_xlfn.XLOOKUP(BH10,Щиты[Щит],Щиты[Руст, кВт]),0),IF(BP10=1,IF(OR(N(_xlfn.XLOOKUP(A10,Щиты[Щит],Щиты[Вводов],1))&lt;=1,LOWER(TRIM(_xlfn.XLOOKUP(A10,Щиты[Щит],Щиты[АВР],"")&amp;""))="да"),IFERROR(_xlfn.XLOOKUP(A10,Щиты[Щит],Щиты[Руст, кВт]),0),SUMIFS(Линии[_Р для вводов],Линии[Щит],A10,Линии[Источник для режимов],GF10)),IF(BO10&gt;0,ROUND(BO10*MAX(1,N(D10)),3),""))))</f>
        <v>3.4</v>
      </c>
      <c r="BR10">
        <f t="shared" si="14"/>
        <v>3.4</v>
      </c>
      <c r="BS10" s="6">
        <f>IF(B10="","",IF(BH10&lt;&gt;"",IFERROR(_xlfn.XLOOKUP(BH10,Щиты[Щит],Щиты[Руст, кВт]),0),N(BR10)))</f>
        <v>3.4</v>
      </c>
      <c r="BT10" t="str">
        <f>IF(B10="","",IFERROR(IF(VLOOKUP(BC10,Потребители_обозначение,8,FALSE)=0,"",VLOOKUP(BC10,Потребители_обозначение,8,FALSE)),""))</f>
        <v/>
      </c>
      <c r="BU10">
        <f t="shared" si="15"/>
        <v>230</v>
      </c>
      <c r="BV10">
        <f t="shared" si="16"/>
        <v>0</v>
      </c>
      <c r="BW10">
        <f>IF(B10="","",IF(BH10&lt;&gt;"",3,IFERROR(IF(N(VLOOKUP(BC10,Потребители_обозначение,9,FALSE))=0,1,VLOOKUP(BC10,Потребители_обозначение,9,FALSE)),1)))</f>
        <v>3</v>
      </c>
      <c r="BX10">
        <f t="shared" si="17"/>
        <v>1</v>
      </c>
      <c r="BY10" t="str">
        <f>IF(B10="","",_xlfn.LET(_xlpm.bc,IFERROR(IF(VLOOKUP(BC10,Потребители_обозначение,6,FALSE)=0,"",VLOOKUP(BC10,Потребители_обозначение,6,FALSE)&amp;""),""),IF(AND(GA10="да",OR(_xlpm.bc="",_xlpm.bc="мс")),Марка_пож,IF(AND(_xlpm.bc="",BH10&lt;&gt;""),"мс",_xlpm.bc))))</f>
        <v>мфр</v>
      </c>
      <c r="BZ10" t="str">
        <f t="shared" si="18"/>
        <v>мфр</v>
      </c>
      <c r="CA10">
        <f>IF(B10="","",_xlfn.LET(_xlpm.cc,IFERROR(N(VLOOKUP(BC10,Потребители_обозначение,7,FALSE)),0),IF(_xlpm.cc&gt;0,_xlpm.cc,IF(BZ10="","",IF(BV10=1,2,IF(N(BX10)=3,5,3))))))</f>
        <v>3</v>
      </c>
      <c r="CB10">
        <f t="shared" si="19"/>
        <v>3</v>
      </c>
      <c r="CC10">
        <f>IFERROR(N(VLOOKUP(BC10,Потребители_обозначение,10,FALSE)),0)</f>
        <v>0</v>
      </c>
      <c r="CD10">
        <f>IFERROR(VLOOKUP(BC10,Потребители_обозначение,5,FALSE),0)</f>
        <v>0</v>
      </c>
      <c r="CE10" s="6" cm="1">
        <f t="array" ref="CE10">IF(B10="","",IF(BH10&lt;&gt;"",IFERROR(_xlfn.XLOOKUP(BH10,Щиты[Щит],Щиты[cos φ]),0.95),IF(BP10=1,IFERROR(_xlfn.XLOOKUP(A10,Щиты[Щит],Щиты[cos φ]),0.95),IF(ISNUMBER(AD10),AD10,IFERROR(IF(CD10=2,_xlfn.IFS(BX10=3,VLOOKUP(BS10,Справочная_двигатели,8,FALSE),BX10=1,VLOOKUP(BS10,Справочная_двигатели,10,TRUE)),IF(AND(Методика="нормы 2026",FG10="Сил"),0.8,0.95)),0.95)))))</f>
        <v>0.8176470588235295</v>
      </c>
      <c r="CF10">
        <f t="shared" si="20"/>
        <v>0</v>
      </c>
      <c r="CG10">
        <f t="shared" si="21"/>
        <v>1</v>
      </c>
      <c r="CH10">
        <f t="shared" si="22"/>
        <v>0</v>
      </c>
      <c r="CI10">
        <f>IF(B10="","",IF(BV10=1,IFERROR(BS10/((Uн_лин/SQRT(3))*MAX(0.5,N(CE10))),0),N(O10)))</f>
        <v>7.4141743201689332</v>
      </c>
      <c r="CJ10">
        <f t="shared" si="23"/>
        <v>0</v>
      </c>
      <c r="CK10">
        <f t="shared" si="24"/>
        <v>0</v>
      </c>
      <c r="CL10">
        <f t="shared" si="25"/>
        <v>0</v>
      </c>
      <c r="CM10">
        <f t="shared" si="26"/>
        <v>0</v>
      </c>
      <c r="CN10">
        <f t="shared" si="27"/>
        <v>0</v>
      </c>
      <c r="CO10">
        <f>IF(BC10="",0,_xlfn.LET(_xlpm.v,IFERROR(_xlfn.XLOOKUP(B10,Коды_код,Коды_мА),IFERROR(_xlfn.XLOOKUP(BC10,Коды_код,Коды_мА),IFERROR(_xlfn.XLOOKUP(LEFT(BC10,2),Коды_код,Коды_мА),""))),IF(_xlpm.v="да",30,IF(ISNUMBER(_xlpm.v),_xlpm.v,0))))</f>
        <v>0</v>
      </c>
      <c r="CP10" t="str">
        <f t="shared" si="28"/>
        <v/>
      </c>
      <c r="CQ10" t="str">
        <f>_xlfn.LET(_xlpm.k,IFERROR(_xlfn.XLOOKUP(BC10,Коды_код,Коды_утечка)&amp;"",""),IF(_xlpm.k="","дифавтомат",_xlpm.k))</f>
        <v>дифавтомат</v>
      </c>
      <c r="CR10" t="str" cm="1">
        <f t="array" ref="CR10">IF(CG10=0,"",_xlfn.LET(_xlpm.sg,TRIM(_xlfn.TEXTSPLIT(DD10&amp;"",";")),_xlpm.f_,_xlfn._xlws.FILTER(_xlpm.sg,LEFT(_xlpm.sg,3)="УЗО",""),IFERROR(INDEX(_xlpm.f_,1)&amp;"","")))</f>
        <v/>
      </c>
      <c r="CS10" t="str">
        <f t="shared" si="29"/>
        <v/>
      </c>
      <c r="CT10" s="6" t="str" cm="1">
        <f t="array" ref="CT10">IF(CR10="","",_xlfn.LET(_xlpm.tk,_xlfn.TEXTSPLIT(UPPER(CR10)," ",,TRUE),_xlpm.a_,_xlfn._xlws.FILTER(_xlpm.tk,ISNUMBER(--LEFT(_xlpm.tk,1))*((ISNUMBER(SEARCH("А",_xlpm.tk))+ISNUMBER(SEARCH("A",_xlpm.tk)))&gt;0)*NOT(ISNUMBER(SEARCH("МА",_xlpm.tk)))*NOT(ISNUMBER(SEARCH("MA",_xlpm.tk))),""),IFERROR(--SUBSTITUTE(SUBSTITUTE(INDEX(_xlpm.a_,1),"А",""),"A",""),"")))</f>
        <v/>
      </c>
      <c r="CU10" t="str" cm="1">
        <f t="array" ref="CU10">IF(CR10="","",_xlfn.LET(_xlpm.tk,_xlfn.TEXTSPLIT(UPPER(CR10)," ",,TRUE),_xlpm.a_,_xlfn._xlws.FILTER(_xlpm.tk,ISNUMBER(--LEFT(_xlpm.tk,1))*((ISNUMBER(SEARCH("МА",_xlpm.tk))+ISNUMBER(SEARCH("MA",_xlpm.tk)))&gt;0),""),IFERROR(--SUBSTITUTE(SUBSTITUTE(INDEX(_xlpm.a_,1),"МА",""),"MA",""),30)))</f>
        <v/>
      </c>
      <c r="CV10" t="str">
        <f>IF(CS10="","",IFERROR(_xlfn.XLOOKUP(CS10,Линии[_n],Линии[_УЗО, мА]),30))</f>
        <v/>
      </c>
      <c r="CW10">
        <f>IF(CS10="",0,IF(ISNUMBER(SEARCH("4P",IFERROR(_xlfn.XLOOKUP(CS10,Линии[_n],Линии[_УЗО строки])&amp;"",""))),0,1))</f>
        <v>0</v>
      </c>
      <c r="CX10" t="str">
        <f>IF(AND(CS10&lt;&gt;"",CS10=BA10),SUMIFS(Линии[_ток на 230 В],Линии[_блок УЗО],BA10,Линии[Щит],A10),"")</f>
        <v/>
      </c>
      <c r="CY10" t="str">
        <f>IF(AND(CS10&lt;&gt;"",CS10=BA10),SUMIFS(Линии[_ток утечки линии, мА],Линии[_блок УЗО],BA10,Линии[Щит],A10),"")</f>
        <v/>
      </c>
      <c r="CZ10">
        <f t="shared" si="30"/>
        <v>0</v>
      </c>
      <c r="DA10">
        <f t="shared" si="31"/>
        <v>0</v>
      </c>
      <c r="DB10">
        <f>IF(B10="",0,IFERROR(--_xlfn.XLOOKUP(B10,Коды_код,Коды_минавт),IFERROR(--_xlfn.XLOOKUP(BC10,Коды_код,Коды_минавт),IFERROR(--_xlfn.XLOOKUP(LEFT(BC10,2),Коды_код,Коды_минавт),0))))</f>
        <v>0</v>
      </c>
      <c r="DC10" t="str">
        <f>IF(B10="","",IFERROR(_xlfn.XLOOKUP(BC10,Коды_код,Коды_апп)&amp;"",""))</f>
        <v/>
      </c>
      <c r="DD10" t="str">
        <f t="shared" si="32"/>
        <v/>
      </c>
      <c r="DE10" t="str" cm="1">
        <f t="array" ref="DE10">IF(TRIM(DD10&amp;"")="","",IFERROR(TRIM(INDEX(_xlfn.TEXTSPLIT(DD10&amp;";;;",";"),1)),""))</f>
        <v/>
      </c>
      <c r="DF10" t="str" cm="1">
        <f t="array" ref="DF10">IF(TRIM(DD10&amp;"")="","",IFERROR(TRIM(INDEX(_xlfn.TEXTSPLIT(DD10&amp;";;;",";"),2)),""))</f>
        <v/>
      </c>
      <c r="DG10" t="str" cm="1">
        <f t="array" ref="DG10">IF(TRIM(DD10&amp;"")="","",IFERROR(TRIM(INDEX(_xlfn.TEXTSPLIT(DD10&amp;";;;",";"),3)),""))</f>
        <v/>
      </c>
      <c r="DH10">
        <f t="shared" si="33"/>
        <v>0</v>
      </c>
      <c r="DI10" t="str">
        <f>IF(B10="","",_xlfn.LET(_xlpm.t,LOWER(AZ10&amp;""),IF(ISNUMBER(SEARCH("dim",_xlpm.t)),"DIM",IF(ISNUMBER(SEARCH("dali",_xlpm.t)),"DALI",IF(OR(ISNUMBER(SEARCH("relay",_xlpm.t)),ISNUMBER(SEARCH("реле",_xlpm.t))),"Relay",IF(ISNUMBER(SEARCH("кнопк",_xlpm.t)),"",IFERROR(_xlfn.XLOOKUP(BC10,Коды_код,Коды_упр)&amp;"","")))))))</f>
        <v/>
      </c>
      <c r="DJ10" t="str">
        <f t="shared" si="34"/>
        <v/>
      </c>
      <c r="DK10">
        <f>IF(B10="","",_xlfn.LET(_xlpm.ig,IF(N(CX10)&gt;0,N(CX10),N(CI10)+IF(AJ10="вручную",0,N(CJ10))),_xlpm.n0,IFERROR(VLOOKUP(_xlpm.ig,Автомат_номиналы,2,TRUE),0),_xlpm.mn,MAX(DB10,IF(AJ10="вручную",0,N(CM10))),MAX(_xlpm.n0,_xlpm.mn,IF(DH10=1,Мин_автомат_БП,0))))</f>
        <v>10</v>
      </c>
      <c r="DL10">
        <f t="shared" si="35"/>
        <v>1</v>
      </c>
      <c r="DM10" t="str">
        <f t="shared" si="36"/>
        <v>1P</v>
      </c>
      <c r="DN10" t="str">
        <f>_xlfn.LET(_xlpm.cc,UPPER(TRIM(IFERROR(_xlfn.XLOOKUP(BC10,Коды_код,Коды_хар)&amp;"",""))),IF(OR(_xlpm.cc="B",_xlpm.cc="В"),"B",IF(_xlpm.cc="D","D","С")))</f>
        <v>С</v>
      </c>
      <c r="DO10" t="str">
        <f t="shared" si="37"/>
        <v>1P С10А</v>
      </c>
      <c r="DP10" t="str">
        <f t="shared" si="38"/>
        <v>1P С10А</v>
      </c>
      <c r="DQ10" t="str">
        <f t="shared" si="39"/>
        <v>1P С10А</v>
      </c>
      <c r="DR10" cm="1">
        <f t="array" ref="DR10">IF(DQ10="","",_xlfn.LET(_xlpm.t,SUBSTITUTE(SUBSTITUTE(SUBSTITUTE(UPPER(DQ10),"С","C"),"А","A"),"В","B"),_xlpm.tk,_xlfn.TEXTSPLIT(_xlpm.t," "),_xlpm.f,_xlfn._xlws.FILTER(_xlpm.tk,ISNUMBER(--MID(_xlpm.tk,2,1))*ISNUMBER(SEARCH(LEFT(_xlpm.tk,1)&amp;"#","B#C#D#"))*(LEN(_xlpm.tk)&gt;1),""),_xlpm.x,INDEX(_xlpm.f,1),IFERROR(--SUBSTITUTE(MID(_xlpm.x,2,9),"A",""),IFERROR(--SUBSTITUTE(INDEX(_xlfn._xlws.FILTER(_xlpm.tk,ISNUMBER(--SUBSTITUTE(_xlpm.tk,"A","")),""),1),"A",""),""))))</f>
        <v>10</v>
      </c>
      <c r="DS10" t="str">
        <f t="shared" si="40"/>
        <v>ok</v>
      </c>
      <c r="DT10">
        <f t="shared" si="41"/>
        <v>10</v>
      </c>
      <c r="DU10" t="str">
        <f t="shared" si="42"/>
        <v>1P С10А</v>
      </c>
      <c r="DV10">
        <f t="shared" si="43"/>
        <v>0</v>
      </c>
      <c r="DW10">
        <f t="shared" si="44"/>
        <v>0</v>
      </c>
      <c r="DX10">
        <f t="shared" si="45"/>
        <v>0</v>
      </c>
      <c r="DY10">
        <f t="shared" si="46"/>
        <v>7.4141743201689332</v>
      </c>
      <c r="DZ10">
        <f t="shared" si="47"/>
        <v>1</v>
      </c>
      <c r="EA10">
        <f>IF(ISNUMBER(AP10),AP10,К_прокл)</f>
        <v>1</v>
      </c>
      <c r="EB10">
        <f t="shared" si="48"/>
        <v>2</v>
      </c>
      <c r="EC10">
        <f>IFERROR(N(VLOOKUP(BZ10,Кабель_обозначение,3,FALSE)),1)</f>
        <v>1</v>
      </c>
      <c r="ED10">
        <f>IFERROR(N(_xlfn.XLOOKUP(A10,Щиты[Щит],Щиты[ΔU до шин, %])),0)</f>
        <v>0.3660288498727976</v>
      </c>
      <c r="EE10">
        <f>IFERROR(_xlfn.XLOOKUP(A10,Щиты[Щит],Щиты[Zпетли на шинах, Ом]),"")</f>
        <v>0.13597829354840207</v>
      </c>
      <c r="EF10">
        <f>IFERROR(N(_xlfn.XLOOKUP(A10,Щиты[Щит],Щиты[ΔU до шин (подбор), %])),0)</f>
        <v>0.3660288498727976</v>
      </c>
      <c r="EG10">
        <f>IFERROR(_xlfn.XLOOKUP(A10,Щиты[Щит],Щиты[Zпетли на шинах (подбор), Ом]),"")</f>
        <v>0.13597829354840207</v>
      </c>
      <c r="EH10" t="str">
        <f t="shared" si="49"/>
        <v/>
      </c>
      <c r="EI10">
        <f t="shared" si="50"/>
        <v>12</v>
      </c>
      <c r="EJ10">
        <f t="shared" si="51"/>
        <v>2</v>
      </c>
      <c r="EK10">
        <f t="shared" si="52"/>
        <v>0.57999999999999996</v>
      </c>
      <c r="EL10" s="6">
        <f>IF(B10="","",IF(BV10=1,dU_LED,IF(IFERROR(_xlfn.XLOOKUP(BC10,Коды_код,Коды_уго),"")="Светильник",3,4)+IF(Методика="нормы 2026",MIN(0.5,MAX(0,N(P10)-100)*0.005),0)))</f>
        <v>4</v>
      </c>
      <c r="EM10" cm="1">
        <f t="array" ref="EM10">IF(OR(B10="",BZ10="",EC10&lt;&gt;1),"",_xlfn.LET(_xlpm.sz,Iдоп_S,_xlpm.t_,CHOOSE(EB10,Iдоп_1ж,Iдоп_2ж,Iдоп_3ж)*DZ10*EA10,_xlpm.dcx,BV10=1,_xlpm.inn,IF(_xlpm.dcx,N(O10),N(DT10)),_xlpm.smin,MAX(1.5,CC10),_xlpm.L_,N(P10)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10)/N(BU10)*100,999),IFERROR(N(EJ10)*(_xlpm.rho*_xlpm.L_/_xlpm.sz*N(CE10)+_xlpm.xx*_xlpm.L_*N(EK10)/1000)*N(O10)/((Uн_лин/SQRT(3))*1000)*100,999)),_xlpm.kz,IF(OR(_xlpm.dcx,DW10=1,NOT(ISNUMBER(EG10)),_xlpm.L_=0,_xlpm.inn=0),1,IFERROR(--(c_min*(Uн_лин*1000/SQRT(3))/(EG10+2*ρкз_Cu*_xlpm.L_/_xlpm.sz)&gt;=HT10*_xlpm.inn),0)),_xlpm.ok,IFERROR((_xlpm.sz&gt;=_xlpm.smin)*(_xlpm.t_&gt;=_xlpm.inn)*IF(_xlpm.L_&gt;0,(_xlpm.du_+IF(_xlpm.dcx,0,EF10)&lt;=EL10+0.00001),1)*_xlpm.kz,0),_xlpm.r_,_xlfn._xlws.FILTER(_xlpm.sz,_xlpm.ok,"не подобрано"),INDEX(_xlpm.r_,1)))</f>
        <v>1.5</v>
      </c>
      <c r="EN10">
        <f t="shared" si="53"/>
        <v>1.5</v>
      </c>
      <c r="EO10" cm="1">
        <f t="array" ref="EO10">IF(OR(B10="",BZ10="",EC10&lt;&gt;1),"",_xlfn.LET(_xlpm.sz,Iдоп_S,_xlpm.t_,CHOOSE(EB10,Iдоп_1ж,Iдоп_2ж,Iдоп_3ж)*DZ10*EA10,_xlpm.ok,IFERROR((_xlpm.sz&gt;=MAX(1.5,CC10))*(_xlpm.t_&gt;=N(DT10)),0),_xlpm.r_,_xlfn._xlws.FILTER(_xlpm.sz,_xlpm.ok,""),INDEX(_xlpm.r_,1)))</f>
        <v>1.5</v>
      </c>
      <c r="EP10" s="6" cm="1">
        <f t="array" ref="EP10">IFERROR(ROUNDUP(N(EJ10)*(_xlfn.XLOOKUP(EO10,INDEX(Кабель_сопротивление,0,1),INDEX(Кабель_сопротивление,0,3))*N(P10)/EO10*N(CE10)+_xlfn.XLOOKUP(EO10,INDEX(Кабель_сопротивление,0,1),INDEX(Кабель_сопротивление,0,2))*N(P10)*N(EK10)/1000)*N(O10)/((Uн_лин/SQRT(3))*1000)*100,2),"")</f>
        <v>0.95</v>
      </c>
      <c r="EQ10">
        <f>IFERROR(2*ρкз_Cu*N(P10)/EO10,"")</f>
        <v>0.42080000000000001</v>
      </c>
      <c r="ER10">
        <f>IFERROR(VLOOKUP(EN10,Кабель_сопротивление,3,FALSE),"")</f>
        <v>2.2499999999999999E-2</v>
      </c>
      <c r="ES10">
        <f>IFERROR(VLOOKUP(EN10,Кабель_сопротивление,2,FALSE),"")</f>
        <v>0.11</v>
      </c>
      <c r="ET10" t="str">
        <f t="shared" si="54"/>
        <v/>
      </c>
      <c r="EU10" t="str">
        <f t="shared" si="55"/>
        <v/>
      </c>
      <c r="EV10">
        <f t="shared" si="56"/>
        <v>2.1937366012558281</v>
      </c>
      <c r="EW10" s="6">
        <f>IFERROR(ROUNDUP(EV10/IF(BV10=1,BU10,(Uн_лин/SQRT(3))*1000)*100,2),"")</f>
        <v>0.95</v>
      </c>
      <c r="EX10" t="str">
        <f>IFERROR(VLOOKUP(BZ10,Кабель_обозначение,2,FALSE),"")</f>
        <v>ВВГнг(А)-FRLS</v>
      </c>
      <c r="EY10" t="str">
        <f t="shared" si="57"/>
        <v>ВВГнг(А)-FRLS (3х1,5)</v>
      </c>
      <c r="EZ10" t="str">
        <f t="shared" si="58"/>
        <v>ВВГнг(А)-FRLS (3х1,5)
L=12-0,95%</v>
      </c>
      <c r="FA10">
        <f>IFERROR(2*ρкз_Cu*P10/EN10,"")</f>
        <v>0.42080000000000001</v>
      </c>
      <c r="FB10">
        <f t="shared" si="59"/>
        <v>0.14000000000000001</v>
      </c>
      <c r="FC10" s="6">
        <f>IFERROR(IF(OR(B10="",BV10=1,NOT(ISNUMBER(EN10)),N(P10)=0),"",_xlfn.XLOOKUP(A10,Щиты[Щит],Щиты[Zпетли на шинах, Ом])+FA10),"")</f>
        <v>0.55677829354840203</v>
      </c>
      <c r="FD10" s="6">
        <f>IF(ISNUMBER(FC10),c_min*(Uн_лин*1000/SQRT(3))/FC10,"")</f>
        <v>394.04032957866281</v>
      </c>
      <c r="FE10" s="6">
        <f>IFERROR(IF(OR(B10="",NOT(ISNUMBER(EN10))),"",1.05*(Uн_лин*1000/SQRT(3))/(_xlfn.XLOOKUP(A10,Щиты[Щит],Щиты[Zmax на шинах, Ом])+FB10)/1000),"")</f>
        <v>1.3370225286125974</v>
      </c>
      <c r="FF10" s="6" t="str">
        <f>IF(B10="","",IF(ISNUMBER(AC10),"Сил",IF(IFERROR(_xlfn.XLOOKUP(BC10,Коды_код,Коды_группа)&amp;"","")="","Быт",_xlfn.XLOOKUP(BC10,Коды_код,Коды_группа)&amp;"")))</f>
        <v>Быт</v>
      </c>
      <c r="FG10" s="6" t="str">
        <f t="shared" si="60"/>
        <v>Щит</v>
      </c>
      <c r="FH10" s="6" t="str">
        <f>IF(FG10="Щит","щит",IF(FG10="","",IF(FG10="Быт",IFERROR(_xlfn.XLOOKUP(A10,Щиты[Щит],Щиты[Кс быт]),1),IF(FG10="Сил",IF(ISNUMBER(AC10),AC10,IF(Методика="нормы 2026",IFERROR(_xlfn.XLOOKUP(A10,Щиты[Щит],Щиты[Кс силовых (табл. 7.5)]),1),1)),IF(OR(FG10="Пост",FG10="Отоп"),1,IF(FG10="ВНГ",0.7,0))))))</f>
        <v>щит</v>
      </c>
      <c r="FI10">
        <f>IF(FG10="","",IF(AND(BP10=1,TRIM(AE10&amp;"")=""),IF(COUNTIFS(Линии[Щит],A10,Линии[Секция (1/2/3)],"&gt;=2")&gt;0,MIN(3,MAX(1,IFERROR(--BD10,1))),1),IFERROR(MIN(3,MAX(1,INT(--AE10))),1)))</f>
        <v>1</v>
      </c>
      <c r="FJ10">
        <f t="shared" si="61"/>
        <v>0</v>
      </c>
      <c r="FK10">
        <f t="shared" si="62"/>
        <v>0</v>
      </c>
      <c r="FL10">
        <f t="shared" si="63"/>
        <v>0</v>
      </c>
      <c r="FM10">
        <f t="shared" si="64"/>
        <v>0</v>
      </c>
      <c r="FN10">
        <f t="shared" si="65"/>
        <v>0</v>
      </c>
      <c r="FO10">
        <f t="shared" si="66"/>
        <v>0</v>
      </c>
      <c r="FP10">
        <f t="shared" si="67"/>
        <v>3.4</v>
      </c>
      <c r="FQ10">
        <f t="shared" si="68"/>
        <v>0</v>
      </c>
      <c r="FR10">
        <f t="shared" si="69"/>
        <v>0</v>
      </c>
      <c r="FS10">
        <f>IF(CG10=1,IF(AND(CH10=1,CW10=1),0,IF(AND(CS10&lt;&gt;"",CS10=BA10,CW10=1),SUMIFS(Линии[_Р линии, кВт],Линии[_блок УЗО],BA10,Линии[Щит],A10),N(BS10)+IF(AJ10="вручную",0,N(CK10)))),0)</f>
        <v>3.4</v>
      </c>
      <c r="FT10" t="str">
        <f t="shared" si="70"/>
        <v/>
      </c>
      <c r="FU10" t="str">
        <f>IF(B10="","",IF(CG10=0,IF(BA10=1,"",FW9),IF(AND(CH10=1,CW10=1,CS10&lt;&gt;""),IFERROR(_xlfn.XLOOKUP(CS10,Линии[_n],Линии[_фаза итог]),"L1"),IF(OR(N(DL10)&gt;=3,N(BX10)&gt;=3),"L1,L2,L3",IFERROR(_xlfn.TEXTBEFORE(_xlfn.TEXTAFTER(_xlfn.XLOOKUP(A10,Щиты[Щит],Щиты[_фазы авто]),";"&amp;BA10&amp;":"),";"),"L1")))))</f>
        <v>L2</v>
      </c>
      <c r="FV10" t="str">
        <f t="shared" si="71"/>
        <v>L2</v>
      </c>
      <c r="FW10" t="str">
        <f t="shared" si="72"/>
        <v>L2</v>
      </c>
      <c r="FX10" cm="1">
        <f t="array" ref="FX10">IFERROR(IF(CD10=2,_xlfn.IFS(BX10=3,VLOOKUP(BS10,Справочная_двигатели,3,FALSE),BX10=1,VLOOKUP(BS10,Справочная_двигатели,5,TRUE)),0),0)</f>
        <v>0</v>
      </c>
      <c r="FY10">
        <f>IFERROR(IF(CD10=3,VLOOKUP(BS10,Справочная_ЛЭД,2,TRUE),0),0)</f>
        <v>0</v>
      </c>
      <c r="FZ10" s="6">
        <f t="shared" si="73"/>
        <v>0</v>
      </c>
      <c r="GA10" t="str">
        <f>IF(B10="","",IF(TRIM(AH10&amp;"")&lt;&gt;"",IF(LOWER(TRIM(AH10&amp;""))="да","да","нет"),IF(IFERROR(_xlfn.XLOOKUP(BC10,Коды_код,Коды_пожарная),"")="да","да","нет")))</f>
        <v>да</v>
      </c>
      <c r="GB10" t="str">
        <f t="shared" si="74"/>
        <v/>
      </c>
      <c r="GC10" t="str">
        <f t="shared" si="75"/>
        <v>основная</v>
      </c>
      <c r="GD10">
        <f>IF(AND(BP10=1,TRIM(AE10&amp;"")=""),IF(COUNTIFS(Линии[Щит],A10,Линии[Секция (1/2/3)],"&gt;=2")&gt;0,MIN(3,MAX(1,IFERROR(--BD10,1))),1),IFERROR(MIN(3,MAX(1,INT(--AE10))),1))</f>
        <v>1</v>
      </c>
      <c r="GE10" t="str" cm="1">
        <f t="array" ref="GE10">IF(B10="","",_xlfn.LET(_xlpm.t,IFERROR(_xlfn.XLOOKUP(1,(Шины[Шина]=GC10)*(((Шины[Щит]=A10)+(Шины[Щит]=""))&gt;0),Шины[Тип]),"")&amp;"",IF(_xlpm.t&lt;&gt;"",_xlpm.t,IF(ISNUMBER(SEARCH("ИБП",GC10)),"ИБП",IF(ISNUMBER(SEARCH("ДГУ",GC10)),"ДГУ","Ввод "&amp;GD10)))))</f>
        <v>Ввод 1</v>
      </c>
      <c r="GF10" t="str">
        <f t="shared" si="76"/>
        <v>Ввод 1</v>
      </c>
      <c r="GG10" t="str">
        <f>IF(BP10=0,"",IF(TRIM(AG10&amp;"")&lt;&gt;"",TRIM(AG10&amp;""),IF(OR(GE10="ИБП",GE10="ДГУ"),"I особая",_xlfn.XLOOKUP(A10,Щиты[Щит],Щиты[Категория шины «Ввод»],"III"))))</f>
        <v/>
      </c>
      <c r="GH10" t="str">
        <f>IF(A10="","",_xlfn.XLOOKUP(A10,Щиты[Щит],Щиты[Путь],""))</f>
        <v>|ВРУ|</v>
      </c>
      <c r="GI10" t="str">
        <f>IF(B10="","",IF(AI10&lt;&gt;"",AI10,IF(IFERROR(_xlfn.XLOOKUP(BC10,Коды_код,Коды_вид)&amp;"","")="","Прочее",_xlfn.XLOOKUP(BC10,Коды_код,Коды_вид)&amp;"")))</f>
        <v>Прочее</v>
      </c>
      <c r="GJ10">
        <f>IF(BM10="","",INT((BM10-1)/Столбцов_на_лист)+1)</f>
        <v>2</v>
      </c>
      <c r="GK10" t="str">
        <f t="shared" si="77"/>
        <v>ВВГнг(А)-FRLS (3х1,5) L=12-0,95%</v>
      </c>
      <c r="GL10">
        <f t="shared" si="78"/>
        <v>3.4</v>
      </c>
      <c r="GM10">
        <f t="shared" si="79"/>
        <v>7.42</v>
      </c>
      <c r="GN10">
        <f t="shared" si="80"/>
        <v>1</v>
      </c>
      <c r="GO10">
        <f t="shared" si="81"/>
        <v>0</v>
      </c>
      <c r="GP10">
        <f t="shared" si="82"/>
        <v>1</v>
      </c>
      <c r="GQ10">
        <f>IF(BM10="","",IF(AND(CG10=1,GP10=1),COUNTIFS(A$3:A10,A10,CG$3:CG10,1,GP$3:GP10,1),IF(OR(OR(BA10=1,A10&lt;&gt;A9),AJ10="вручную",GP10=0),"",IF(BA10=1,"",GR9))))</f>
        <v>6</v>
      </c>
      <c r="GR10">
        <f t="shared" si="83"/>
        <v>6</v>
      </c>
      <c r="GS10">
        <f>IF(B10="","",IFERROR(LOOKUP(INDEX(CHOOSE(EB10,Iдоп_1ж,Iдоп_2ж,Iдоп_3ж),MATCH(EN10,Iдоп_S,0))*DZ10*EA10,{6,10,16,20,25,32,40,50,63,80,100,125,160,200,250,315,400,500,630}),""))</f>
        <v>16</v>
      </c>
      <c r="GT10" t="str">
        <f t="shared" si="84"/>
        <v>QF6</v>
      </c>
      <c r="GU10" t="str">
        <f t="shared" si="85"/>
        <v>QF6</v>
      </c>
      <c r="GV10" t="str">
        <f t="shared" si="86"/>
        <v/>
      </c>
      <c r="GW10">
        <f t="shared" si="87"/>
        <v>0</v>
      </c>
      <c r="GX10" t="str">
        <f>IF(OR(B10="",DJ10=""),"",IFERROR(_xlfn.XLOOKUP(DJ10,Модули_умолч[Управление],Модули_умолч[Модель])&amp;"",""))</f>
        <v/>
      </c>
      <c r="GY10">
        <f>IF(DJ10="",1,IFERROR(MAX(0,N(_xlfn.XLOOKUP(DJ10,Модули_умолч[Управление],Модули_умолч[Каналов на линию]))),1))</f>
        <v>1</v>
      </c>
      <c r="GZ10" t="str">
        <f t="shared" si="88"/>
        <v/>
      </c>
      <c r="HA10" t="str">
        <f t="shared" si="89"/>
        <v/>
      </c>
      <c r="HB10" t="str">
        <f t="shared" si="90"/>
        <v/>
      </c>
      <c r="HC10">
        <f>IF(HB10="",0,IFERROR(N(VLOOKUP(HB10,Модули_спр,3,FALSE)),0))</f>
        <v>0</v>
      </c>
      <c r="HD10" t="str">
        <f t="shared" si="91"/>
        <v/>
      </c>
      <c r="HE10" t="str">
        <f t="shared" si="92"/>
        <v/>
      </c>
      <c r="HF10" t="str">
        <f>IF(OR(HE10="",HE10="-"),"",IFERROR(VLOOKUP(HE10,Модули_спр,2,FALSE),"R"))</f>
        <v/>
      </c>
      <c r="HG10" t="str">
        <f>IF(HF10="","",HF10&amp;"."&amp;COUNTIFS(A$3:A10,A10,HF$3:HF10,HF10))</f>
        <v/>
      </c>
      <c r="HH10" t="str">
        <f t="shared" si="93"/>
        <v/>
      </c>
      <c r="HI10" t="str">
        <f t="shared" si="94"/>
        <v/>
      </c>
      <c r="HJ10" t="str">
        <f t="shared" si="95"/>
        <v/>
      </c>
      <c r="HK10" t="str">
        <f t="shared" si="96"/>
        <v/>
      </c>
      <c r="HL10">
        <f t="shared" si="97"/>
        <v>1</v>
      </c>
      <c r="HM10" t="str">
        <f>IF(HL10=1,"XT"&amp;COUNTIFS(A$3:A10,A10,HL$3:HL10,1),"")</f>
        <v>XT6</v>
      </c>
      <c r="HN10" t="str">
        <f t="shared" si="98"/>
        <v>XT6</v>
      </c>
      <c r="HO10" t="str">
        <f t="shared" si="99"/>
        <v>QF6</v>
      </c>
      <c r="HP10" t="str">
        <f t="shared" si="100"/>
        <v/>
      </c>
      <c r="HQ10" t="str">
        <f t="shared" si="101"/>
        <v>ok</v>
      </c>
      <c r="HR10" t="str">
        <f>IF(OR(HJ10="",HH10=""),"",IF(HJ10+MAX(0,GY10-1)&gt;IFERROR(VLOOKUP(HI10,Модули_спр,3,FALSE),99),"ЛИШНИЙ КАНАЛ",IF(AND(AL10&lt;&gt;"=",GY10&gt;0,COUNTIFS(Линии[_модуль гр.],HH10,Линии[Канал (итог)],HJ10,Линии[Канал],"&lt;&gt;=",Линии[Щит],A10)&gt;1),"ДУБЛЬ КАНАЛА","")))</f>
        <v/>
      </c>
      <c r="HS10" s="6">
        <f t="shared" si="102"/>
        <v>39.404032957866278</v>
      </c>
      <c r="HT10">
        <f t="shared" si="103"/>
        <v>10</v>
      </c>
      <c r="HU10" t="str">
        <f t="shared" si="104"/>
        <v>ok</v>
      </c>
      <c r="HV10">
        <f t="shared" si="105"/>
        <v>0</v>
      </c>
      <c r="HW10">
        <f t="shared" si="106"/>
        <v>0</v>
      </c>
      <c r="HX10">
        <f t="shared" si="107"/>
        <v>0</v>
      </c>
      <c r="HY10">
        <f t="shared" si="108"/>
        <v>0</v>
      </c>
      <c r="HZ10">
        <f t="shared" si="109"/>
        <v>0</v>
      </c>
      <c r="IA10">
        <f t="shared" si="110"/>
        <v>0</v>
      </c>
      <c r="IB10">
        <f t="shared" si="111"/>
        <v>0</v>
      </c>
      <c r="IC10" t="str">
        <f t="shared" si="112"/>
        <v/>
      </c>
      <c r="ID10" t="str" cm="1">
        <f t="array" ref="ID10">IF(IC10="","",_xlfn.LET(_xlpm.tk,_xlfn.TEXTSPLIT(SUBSTITUTE(SUBSTITUTE(IC10,";"," "),"→"," ")," ",,TRUE),_xlpm.w_,_xlfn._xlws.FILTER(_xlpm.tk,ISNUMBER(--LEFT(_xlpm.tk,1))*((ISNUMBER(SEARCH("W",_xlpm.tk))+ISNUMBER(SEARCH("Вт",_xlpm.tk)))&gt;0),""),IFERROR(--SUBSTITUTE(SUBSTITUTE(UPPER(INDEX(_xlpm.w_,1)),"W",""),"ВТ",""),"")))</f>
        <v/>
      </c>
      <c r="IE10" t="str" cm="1">
        <f t="array" ref="IE10">IF(IC10="","",_xlfn.LET(_xlpm.tk,_xlfn.TEXTSPLIT(SUBSTITUTE(SUBSTITUTE(IC10,";"," "),"→"," ")," ",,TRUE),_xlpm.v_,_xlfn._xlws.FILTER(_xlpm.tk,ISNUMBER(--LEFT(_xlpm.tk,1))*((ISNUMBER(SEARCH("V",_xlpm.tk))+(RIGHT(UPPER(_xlpm.tk))="В"))&gt;0),""),IFERROR(--SUBSTITUTE(SUBSTITUTE(UPPER(INDEX(_xlpm.v_,1)),"V",""),"В",""),"")))</f>
        <v/>
      </c>
      <c r="IF10" s="6" t="str">
        <f>IF(OR(BV10=0,HI10="",HJ10=""),"",IFERROR(N(_xlfn.XLOOKUP(HI10,Каталог!$C$4:$C$500,Каталог!$Q$4:$Q$500)),""))</f>
        <v/>
      </c>
      <c r="IG10" s="6" t="str">
        <f>IF(N(IF10)=0,"",SUMIFS(Линии[Iр, А],Линии[Щит],A10,Линии[_модуль гр.],HH10,Линии[Канал (итог)],HJ10))</f>
        <v/>
      </c>
      <c r="IH10" t="str">
        <f>IF(AND(B10="",HO10=""),"",_xlfn.TEXTJOIN("; ",TRUE,IF(AND(B10&lt;&gt;"",FV10=""),"нет фазы",""),IF(AND(B10&lt;&gt;"",N(GL10)=0,FG10&lt;&gt;"Нет"),"нет мощности",""),IF(AND(HN10&lt;&gt;"",COUNTIFS(Линии[Щит],A10,Линии[Клемма (итог)],HN10)&gt;1),"дубль клеммы "&amp;HN10,""),IF(AND(HQ10&lt;&gt;"",HQ10&lt;&gt;"ok"),HQ10,""),IF(HR10&lt;&gt;"",HR10,""),IF(AND(N(CB10)&gt;=4,N(BX10)=1),CB10&amp;" жил на 1 фазе",""),IF(AND(BC10="R",CG10=1,IF(CS10&lt;&gt;"",N(CV10)&gt;30,OR(N(DA10)=0,N(DA10)&gt;30))),"розетка без дифзащиты до 30 мА",""),IF(AND(CG10=1,N(DA10)&gt;0,ISNUMBER(T10)),IF(T10&gt;N(DA10)/3,"ток утечки "&amp;FIXED(T10,1)&amp;" мА &gt; 1/3 уставки ("&amp;DA10&amp;" мА)",""),""),IF(AND(CH10=1,CS10=""),"«узо»: нет строки с УЗО выше (УЗО 2P 40А 30мА в «Аппаратах»)",""),IF(AND(CS10&lt;&gt;"",CS10=BA10),IF(CT10="","впишите номинал УЗО (УЗО 2P 40А 30мА)",IF(N(CT10)&lt;N(DT10),"УЗО "&amp;CT10&amp;" А &lt; автомата "&amp;DT10&amp;" А перед ним",IF(N(CT10)&lt;N(CX10),"УЗО "&amp;CT10&amp;" А &lt; тока блока "&amp;FIXED(CX10,1)&amp;" А",""))),""),IF(AND(CS10&lt;&gt;"",CS10=BA10,ISNUMBER(CY10)),IF(CY10&gt;N(CV10)/3,"ток утечки блока УЗО "&amp;FIXED(CY10,1)&amp;" мА &gt; 1/3 уставки ("&amp;CV10&amp;" мА)",""),""),IF(AND(CG10=1,N(BV10)+N(IB10)&gt;0,IC10=""),"линии до 50 В без БП: впишите в «Аппараты» (БП 24V 480W)",""),IF(AND(CG10=1,ISNUMBER(ID10),ISNUMBER(U10)),IF(U10&gt;ID10,"БП "&amp;ID10&amp;" Вт &lt; нужно "&amp;U10&amp;" Вт (×"&amp;Запас_БП&amp;")",""),""),IF(AND(CG10=1,ISNUMBER(IE10),N(BV10)=1),IF(IE10&lt;&gt;N(BU10),"БП на "&amp;IE10&amp;" В, линия "&amp;BU10&amp;" В",""),""),IF(AND(N(IF10)&gt;0,N(IG10)&gt;N(IF10)),HH10&amp;" канал "&amp;HJ10&amp;": "&amp;FIXED(IG10,1)&amp;" А &gt; "&amp;IF10&amp;" А",""),IFERROR(IF(AND(ISNUMBER(Q10),Q10&gt;EL10),"потери "&amp;FIXED(Q10,1)&amp;" % &gt; "&amp;EL10&amp;" %",""),""),IFERROR(IF(LEFT(HU10,4)="мало","Iкз мало — отключение &gt; 0,4 с",""),""),IF(AND(B10&lt;&gt;"",BM10=""),"не на схеме",""),IF(AND(CG10=0,B10&lt;&gt;"",FV10&lt;&gt;"",IF(BA10=1,"",FW9)&lt;&gt;"",FV10&lt;&gt;IF(BA10=1,"",FW9)),"фаза не как у автомата группы ("&amp;IF(BA10=1,"",FW9)&amp;")","")))</f>
        <v/>
      </c>
      <c r="II10" s="6">
        <f>IF(OR(CG10=0,DQ10=""),"",_xlfn.LET(_xlpm.t,IFERROR(_xlfn.XLOOKUP(DQ10,Каталог!$U$4:$U$500,Каталог!$G$4:$G$500),""),_xlpm.k,SEARCH("кА",_xlpm.t),IFERROR(--TRIM(RIGHT(SUBSTITUTE(MID(_xlpm.t,MAX(1,_xlpm.k-4),_xlpm.k-MAX(1,_xlpm.k-4))," ",REPT(" ",9)),5)),"")))</f>
        <v>6</v>
      </c>
      <c r="IJ10" t="str">
        <f>IF(OR(II10="",CG10=0),"",IF(_xlfn.XLOOKUP(A10,Щиты[Щит],Щиты[Iкз max на шинах, кА],"")="","",IF(II10&lt;_xlfn.XLOOKUP(A10,Щиты[Щит],Щиты[Iкз max на шинах, кА]),"Icu "&amp;II10&amp;" кА &lt; Iкз max","ok")))</f>
        <v>ok</v>
      </c>
      <c r="IK10" t="str">
        <f t="shared" si="113"/>
        <v/>
      </c>
      <c r="IL10" t="str">
        <f t="shared" si="114"/>
        <v>QF6|XT6</v>
      </c>
      <c r="IM10" t="str">
        <f t="shared" si="115"/>
        <v>QF6|XT6|кабель ВВГнг(А)-FRLS (3х1,5) → Щит СПЗ, ввод 1</v>
      </c>
      <c r="IN10" t="str" cm="1">
        <f t="array" ref="IN10">IF(IM10="","",_xlfn.LET(_xlpm.nd,_xlfn.TEXTSPLIT(IM10,"|"),IF(COLUMNS(_xlpm.nd)&gt;1,A10&amp;"¦"&amp;INDEX(_xlpm.nd,1)&amp;"¦"&amp;INDEX(_xlpm.nd,2),"")))</f>
        <v>ВРУ¦QF6¦XT6</v>
      </c>
      <c r="IO10" t="str">
        <f t="shared" si="116"/>
        <v>ЩСПЗ.1¦Щит СПЗ, ввод 1</v>
      </c>
      <c r="IP10" t="str" cm="1">
        <f t="array" ref="IP10">IF(IM10="","",_xlfn.LET(_xlpm.nd,_xlfn.TEXTSPLIT(IM10,"|"),IF(COLUMNS(_xlpm.nd)&gt;2,A10&amp;"¦"&amp;INDEX(_xlpm.nd,2)&amp;"¦"&amp;INDEX(_xlpm.nd,3),"")))</f>
        <v>ВРУ¦XT6¦кабель ВВГнг(А)-FRLS (3х1,5) → Щит СПЗ, ввод 1</v>
      </c>
      <c r="IQ10" t="str">
        <f t="shared" si="117"/>
        <v>ЩСПЗ.1¦Щит СПЗ, ввод 1</v>
      </c>
      <c r="IR10" t="str" cm="1">
        <f t="array" ref="IR10">IF(IM10="","",_xlfn.LET(_xlpm.nd,_xlfn.TEXTSPLIT(IM10,"|"),IF(COLUMNS(_xlpm.nd)&gt;3,A10&amp;"¦"&amp;INDEX(_xlpm.nd,3)&amp;"¦"&amp;INDEX(_xlpm.nd,4),"")))</f>
        <v/>
      </c>
      <c r="IS10" t="str">
        <f t="shared" si="118"/>
        <v/>
      </c>
      <c r="IT10" t="str" cm="1">
        <f t="array" ref="IT10">IF(IM10="","",_xlfn.LET(_xlpm.nd,_xlfn.TEXTSPLIT(IM10,"|"),IF(COLUMNS(_xlpm.nd)&gt;4,A10&amp;"¦"&amp;INDEX(_xlpm.nd,4)&amp;"¦"&amp;INDEX(_xlpm.nd,5),"")))</f>
        <v/>
      </c>
      <c r="IU10" t="str">
        <f t="shared" si="119"/>
        <v/>
      </c>
      <c r="IV10" t="str" cm="1">
        <f t="array" ref="IV10">IF(IM10="","",_xlfn.LET(_xlpm.nd,_xlfn.TEXTSPLIT(IM10,"|"),IF(COLUMNS(_xlpm.nd)&gt;5,A10&amp;"¦"&amp;INDEX(_xlpm.nd,5)&amp;"¦"&amp;INDEX(_xlpm.nd,6),"")))</f>
        <v/>
      </c>
      <c r="IW10" t="str">
        <f t="shared" si="120"/>
        <v/>
      </c>
      <c r="IX10" t="str" cm="1">
        <f t="array" ref="IX10">IF(IM10="","",_xlfn.LET(_xlpm.nd,_xlfn.TEXTSPLIT(IM10,"|"),IF(COLUMNS(_xlpm.nd)&gt;6,A10&amp;"¦"&amp;INDEX(_xlpm.nd,6)&amp;"¦"&amp;INDEX(_xlpm.nd,7),"")))</f>
        <v/>
      </c>
      <c r="IY10" t="str">
        <f t="shared" si="121"/>
        <v/>
      </c>
      <c r="IZ10" t="str">
        <f t="shared" si="122"/>
        <v/>
      </c>
      <c r="JA10" t="str">
        <f t="shared" si="123"/>
        <v>QF6 → XT6</v>
      </c>
      <c r="JB10">
        <f t="shared" si="124"/>
        <v>0</v>
      </c>
      <c r="JC10">
        <f t="shared" si="125"/>
        <v>0</v>
      </c>
      <c r="JD10" t="str">
        <f t="shared" si="126"/>
        <v/>
      </c>
      <c r="JE10" t="str">
        <f t="shared" si="127"/>
        <v/>
      </c>
      <c r="JF10" t="str">
        <f t="shared" si="128"/>
        <v/>
      </c>
      <c r="JG10" t="str">
        <f t="shared" si="129"/>
        <v/>
      </c>
      <c r="JH10" t="str">
        <f>IF(B10="","",IFERROR(_xlfn.XLOOKUP(B10,Коды_код,Коды_уго),IFERROR(_xlfn.XLOOKUP(BC10,Коды_код,Коды_уго),IFERROR(_xlfn.XLOOKUP(LEFT(BC10,2),Коды_код,Коды_уго),""))))</f>
        <v/>
      </c>
      <c r="JI10" t="str">
        <f>IF(B10="","",IF(OR(JH10="",JH10=0),"BOX",IFERROR(IF(VLOOKUP(JH10,УГО_блоки,3,FALSE)&amp;""&lt;&gt;"",VLOOKUP(JH10,УГО_блоки,3,FALSE),VLOOKUP(JH10,УГО_блоки,2,FALSE)),JH10)))</f>
        <v>BOX</v>
      </c>
      <c r="JJ10">
        <f t="shared" si="130"/>
        <v>1</v>
      </c>
      <c r="JK10">
        <f>IF(DQ10="","",IF(COUNTIF(DQ$3:DQ10,DQ10)=1,MAX(JK$2:JK9)+1,""))</f>
        <v>7</v>
      </c>
      <c r="JL10" t="str">
        <f>IF(DE10="","",IF(COUNTIF(DE$3:DE10,DE10)+COUNTIF(DF$2:DF9,DE10)+COUNTIF(DG$2:DG9,DE10)=1,MAX(JL$2:JN9)+1,""))</f>
        <v/>
      </c>
      <c r="JM10" t="str">
        <f>IF(DF10="","",IF(COUNTIF(DE$3:DE10,DF10)+COUNTIF(DF$3:DF10,DF10)+COUNTIF(DG$2:DG9,DF10)=1,MAX(JL$2:JN9,JL10)+1,""))</f>
        <v/>
      </c>
      <c r="JN10" t="str">
        <f>IF(DG10="","",IF(COUNTIF(DE$3:DE10,DG10)+COUNTIF(DF$3:DF10,DG10)+COUNTIF(DG$3:DG10,DG10)=1,MAX(JL$2:JN9,JL10,JM10)+1,""))</f>
        <v/>
      </c>
      <c r="JO10" t="str">
        <f t="shared" si="131"/>
        <v>3х1,5</v>
      </c>
      <c r="JP10" t="str">
        <f>IF(JO10="","",IF(COUNTIF(JO$3:JO10,JO10)=1,MAX(JP$2:JP9)+1,""))</f>
        <v/>
      </c>
      <c r="JQ10" t="str">
        <f>IF(HG10="","",COUNTIF(HG$3:HG10,"?*"))</f>
        <v/>
      </c>
      <c r="JR10" t="str">
        <f>IF(OR(HG10="",HI10=""),"",IF(COUNTIFS(HG$3:HG10,"?*",HI$3:HI10,HI10)=1,MAX(JR$2:JR9)+1,""))</f>
        <v/>
      </c>
      <c r="JS10">
        <f t="shared" si="132"/>
        <v>0</v>
      </c>
      <c r="JT10">
        <f>IF(B10="","",COUNTIF(B$3:B10,"?*"))</f>
        <v>8</v>
      </c>
      <c r="JU10">
        <f>IF(HL10&lt;&gt;1,0,_xlfn.LET(_xlpm.k,MAX(IFERROR(--_xlfn.XLOOKUP(B10,Коды_код,Коды_3L),0),IFERROR(--_xlfn.XLOOKUP(BC10,Коды_код,Коды_3L),0),IFERROR(--_xlfn.XLOOKUP(LEFT(BC10,2),Коды_код,Коды_3L),0)),IF(_xlpm.k&gt;0,_xlpm.k,IF(IFERROR(--LEFT(SUBSTITUTE(JO10,"x","х"),FIND("х",SUBSTITUTE(JO10,"x","х"))-1),3)&gt;3,Каталог!$S$9,1))))</f>
        <v>1</v>
      </c>
      <c r="JV10">
        <f t="shared" si="133"/>
        <v>0</v>
      </c>
      <c r="JW10" t="str">
        <f t="shared" si="134"/>
        <v>авто</v>
      </c>
      <c r="JX10" t="str">
        <f t="shared" si="135"/>
        <v/>
      </c>
      <c r="JY10">
        <f t="shared" si="136"/>
        <v>0</v>
      </c>
      <c r="JZ10">
        <f t="shared" si="137"/>
        <v>1</v>
      </c>
    </row>
    <row r="11" spans="1:286" x14ac:dyDescent="0.3">
      <c r="A11" t="s">
        <v>151</v>
      </c>
      <c r="B11" t="s">
        <v>1192</v>
      </c>
      <c r="C11" t="s">
        <v>1241</v>
      </c>
      <c r="E11" t="str">
        <f>Линии[[#This Row],[_авто Р]]</f>
        <v/>
      </c>
      <c r="G11" t="str">
        <f>Линии[[#This Row],[_авто автомат]]</f>
        <v>1P С6А</v>
      </c>
      <c r="H11" t="str">
        <f>Линии[[#This Row],[_авто управление]]</f>
        <v/>
      </c>
      <c r="I11" t="str">
        <f>Линии[[#This Row],[_авто аппараты]]</f>
        <v/>
      </c>
      <c r="J11">
        <f>Линии[[#This Row],[_авто сечение]]</f>
        <v>1.5</v>
      </c>
      <c r="K11">
        <v>12</v>
      </c>
      <c r="L11" t="str">
        <f>Линии[[#This Row],[_авто фаза]]</f>
        <v>L3</v>
      </c>
      <c r="M11" t="str">
        <f>Линии[[#This Row],[_авто клемма]]</f>
        <v>XT7</v>
      </c>
      <c r="N11" t="str">
        <f t="shared" si="0"/>
        <v/>
      </c>
      <c r="O11" s="6" cm="1">
        <f t="array" ref="O11">IF(B11="","",IF(BH11&lt;&gt;"",IFERROR(_xlfn.XLOOKUP(BH11,Щиты[Щит],Щиты[Iр, А]),""),IF(BP11=1,IF(OR(N(_xlfn.XLOOKUP(A11,Щиты[Щит],Щиты[Вводов],1))&lt;=1,LOWER(TRIM(_xlfn.XLOOKUP(A11,Щиты[Щит],Щиты[АВР],"")&amp;""))="да"),IFERROR(_xlfn.XLOOKUP(A11,Щиты[Щит],Щиты[Iр, А]),""),IFERROR(N(BS11)*_xlfn.XLOOKUP(A11,Щиты[Щит],Щиты[Кс итог])/(SQRT(3)*Uн_лин*_xlfn.XLOOKUP(A11,Щиты[Щит],Щиты[cos φ])),"")),IF(BV11=1,IFERROR(BS11*1000/BU11,""),IFERROR(_xlfn.IFS(BX11=1,BS11/((Uн_лин/SQRT(3))*CE11),BX11=3,BS11/(SQRT(3)*Uн_лин*CE11)),"")))))</f>
        <v>0</v>
      </c>
      <c r="P11" s="7">
        <f>IF(B11="","",IFERROR(IF(VLOOKUP(BC11,Потребители_обозначение,4,FALSE)=1,VLOOKUP(BC11,Потребители_обозначение,3,FALSE)*(MAX(1,N(D11))*2-1)+EI11+VLOOKUP(BE11,Этаж_обозначение,3,FALSE)+VLOOKUP(BE11,Этаж_обозначение,4,FALSE),VLOOKUP(BC11,Потребители_обозначение,3,FALSE)*(MAX(1,N(D11))*2-1)+EI11),EI11))</f>
        <v>12</v>
      </c>
      <c r="Q11" s="6">
        <f t="shared" si="1"/>
        <v>0.3660288498727976</v>
      </c>
      <c r="R11" t="str">
        <f t="shared" si="2"/>
        <v>ВВГнг(А)-FRLS (3х1,5)</v>
      </c>
      <c r="S11" t="str">
        <f>IF(BM11="","",IF(BN11="вводной узел","узел ","")&amp;"л."&amp;(INT((BM11-1)/Столбцов_на_лист)+1)&amp;" / "&amp;(MOD(BM11-1,Столбцов_на_лист)+1))</f>
        <v>л.2 / 8</v>
      </c>
      <c r="T11" s="119">
        <f t="shared" si="3"/>
        <v>0.1</v>
      </c>
      <c r="U11" s="7" t="str">
        <f>IF(OR(CG11=0,N(BV11)+N(IB11)=0),"",ROUNDUP(Запас_БП*(N(HY11)+N(HZ11)),0))</f>
        <v/>
      </c>
      <c r="V11" s="119" t="str">
        <f t="shared" si="4"/>
        <v/>
      </c>
      <c r="W11" s="7">
        <f>IFERROR(IF(OR(B11="",BP11=1,BV11=1,NOT(ISNUMBER(EN11)),N(DT11)=0),"",MAX(0,ROUNDDOWN((c_min*(Uн_лин*1000/SQRT(3))/(HT11*N(DT11))-_xlfn.XLOOKUP(A11,Щиты[Щит],Щиты[Zпетли на шинах, Ом]))*EN11/(2*ρкз_Cu),0))),"")</f>
        <v>100</v>
      </c>
      <c r="Y11" t="str">
        <f>Линии[[#This Row],[_авто утечка]]</f>
        <v/>
      </c>
      <c r="Z11">
        <v>1</v>
      </c>
      <c r="AA11">
        <v>230</v>
      </c>
      <c r="AB11" t="s">
        <v>556</v>
      </c>
      <c r="AG11" t="s">
        <v>800</v>
      </c>
      <c r="AH11" t="s">
        <v>497</v>
      </c>
      <c r="AK11" t="str">
        <f>Линии[[#This Row],[_авто модуль]]</f>
        <v/>
      </c>
      <c r="AN11" t="s">
        <v>13</v>
      </c>
      <c r="AO11">
        <v>3</v>
      </c>
      <c r="BA11" cm="1">
        <f t="array" ref="BA11">ROW()-ROW(Линии[#Headers])</f>
        <v>9</v>
      </c>
      <c r="BC11" s="6" t="str">
        <f t="shared" si="5"/>
        <v>ЩСПЗ</v>
      </c>
      <c r="BD11" t="str">
        <f t="shared" si="6"/>
        <v>2</v>
      </c>
      <c r="BE11" t="str">
        <f t="shared" si="7"/>
        <v>2</v>
      </c>
      <c r="BF11" t="str">
        <f t="shared" si="8"/>
        <v/>
      </c>
      <c r="BG11" t="str">
        <f t="shared" si="9"/>
        <v/>
      </c>
      <c r="BH11" t="str">
        <f>IF(X11&lt;&gt;"",X11,IF(AND(B11&lt;&gt;"",B11&lt;&gt;A11,ISNUMBER(_xlfn.XMATCH(B11,Щиты[Щит]))),B11,""))</f>
        <v/>
      </c>
      <c r="BI11" t="str" cm="1">
        <f t="array" ref="BI11">IF(B11="","",IF(BH11&lt;&gt;"","Щит "&amp;BH11,_xlfn.LET(_xlpm.nm,IFERROR(_xlfn.XLOOKUP(BC11,Коды_код,Коды_имя)&amp;"",""),_xlpm.md,IFERROR(N(_xlfn.XLOOKUP(BC11,Коды_код,Коды_режим)),1),_xlpm.ex,IF(Имя_режим="по экспликации",IFERROR(_xlfn.XLOOKUP(BE11&amp;"|"&amp;BG11,Экспликация[Этаж]&amp;"|"&amp;Экспликация[Помещение],Экспликация[Название])&amp;"",""),""),_xlpm.rm,IF(BG11="","",IF(_xlpm.ex&lt;&gt;"",". "&amp;_xlpm.ex&amp;IF(Имя_пом="нет"," ("&amp;BG11&amp;")"," (пом. "&amp;BG11&amp;")"),IF(Имя_пом="нет"," ",", пом. ")&amp;BG11)),IF(_xlpm.nm="","",IF(_xlpm.md=2,_xlpm.nm&amp;" шлейф "&amp;BE11,_xlpm.nm&amp;_xlpm.rm)))))</f>
        <v/>
      </c>
      <c r="BJ11" t="str">
        <f t="shared" si="10"/>
        <v>Щит СПЗ, ввод 2 (резерв)</v>
      </c>
      <c r="BK11">
        <f>IFERROR(_xlfn.XMATCH(A11,Щиты[Щит]),0)</f>
        <v>1</v>
      </c>
      <c r="BL11">
        <f>_xlfn.LET(_xlpm.k,IFERROR(_xlfn.XLOOKUP(A11,Щиты[Щит],Щиты[Мест под вводной узел]),""),IF(_xlpm.k="",Столбцов_на_лист,N(_xlpm.k)))</f>
        <v>4</v>
      </c>
      <c r="BM11">
        <f t="shared" si="11"/>
        <v>25</v>
      </c>
      <c r="BN11" t="str">
        <f t="shared" si="12"/>
        <v>линии</v>
      </c>
      <c r="BO11" s="6">
        <f>IFERROR(N(_xlfn.XLOOKUP(BC11,Коды_код,Коды_квт)),0)</f>
        <v>0</v>
      </c>
      <c r="BP11">
        <f t="shared" si="13"/>
        <v>0</v>
      </c>
      <c r="BQ11" t="str">
        <f>IF(B11="","",IF(BH11&lt;&gt;"",IFERROR(_xlfn.XLOOKUP(BH11,Щиты[Щит],Щиты[Руст, кВт]),0),IF(BP11=1,IF(OR(N(_xlfn.XLOOKUP(A11,Щиты[Щит],Щиты[Вводов],1))&lt;=1,LOWER(TRIM(_xlfn.XLOOKUP(A11,Щиты[Щит],Щиты[АВР],"")&amp;""))="да"),IFERROR(_xlfn.XLOOKUP(A11,Щиты[Щит],Щиты[Руст, кВт]),0),SUMIFS(Линии[_Р для вводов],Линии[Щит],A11,Линии[Источник для режимов],GF11)),IF(BO11&gt;0,ROUND(BO11*MAX(1,N(D11)),3),""))))</f>
        <v/>
      </c>
      <c r="BR11" t="str">
        <f t="shared" si="14"/>
        <v/>
      </c>
      <c r="BS11" s="6">
        <f>IF(B11="","",IF(BH11&lt;&gt;"",IFERROR(_xlfn.XLOOKUP(BH11,Щиты[Щит],Щиты[Руст, кВт]),0),N(BR11)))</f>
        <v>0</v>
      </c>
      <c r="BT11" t="str">
        <f>IF(B11="","",IFERROR(IF(VLOOKUP(BC11,Потребители_обозначение,8,FALSE)=0,"",VLOOKUP(BC11,Потребители_обозначение,8,FALSE)),""))</f>
        <v/>
      </c>
      <c r="BU11">
        <f t="shared" si="15"/>
        <v>230</v>
      </c>
      <c r="BV11">
        <f t="shared" si="16"/>
        <v>0</v>
      </c>
      <c r="BW11">
        <f>IF(B11="","",IF(BH11&lt;&gt;"",3,IFERROR(IF(N(VLOOKUP(BC11,Потребители_обозначение,9,FALSE))=0,1,VLOOKUP(BC11,Потребители_обозначение,9,FALSE)),1)))</f>
        <v>1</v>
      </c>
      <c r="BX11">
        <f t="shared" si="17"/>
        <v>1</v>
      </c>
      <c r="BY11" t="str">
        <f>IF(B11="","",_xlfn.LET(_xlpm.bc,IFERROR(IF(VLOOKUP(BC11,Потребители_обозначение,6,FALSE)=0,"",VLOOKUP(BC11,Потребители_обозначение,6,FALSE)&amp;""),""),IF(AND(GA11="да",OR(_xlpm.bc="",_xlpm.bc="мс")),Марка_пож,IF(AND(_xlpm.bc="",BH11&lt;&gt;""),"мс",_xlpm.bc))))</f>
        <v>мфр</v>
      </c>
      <c r="BZ11" t="str">
        <f t="shared" si="18"/>
        <v>мфр</v>
      </c>
      <c r="CA11">
        <f>IF(B11="","",_xlfn.LET(_xlpm.cc,IFERROR(N(VLOOKUP(BC11,Потребители_обозначение,7,FALSE)),0),IF(_xlpm.cc&gt;0,_xlpm.cc,IF(BZ11="","",IF(BV11=1,2,IF(N(BX11)=3,5,3))))))</f>
        <v>3</v>
      </c>
      <c r="CB11">
        <f t="shared" si="19"/>
        <v>3</v>
      </c>
      <c r="CC11">
        <f>IFERROR(N(VLOOKUP(BC11,Потребители_обозначение,10,FALSE)),0)</f>
        <v>0</v>
      </c>
      <c r="CD11">
        <f>IFERROR(VLOOKUP(BC11,Потребители_обозначение,5,FALSE),0)</f>
        <v>0</v>
      </c>
      <c r="CE11" s="6" cm="1">
        <f t="array" ref="CE11">IF(B11="","",IF(BH11&lt;&gt;"",IFERROR(_xlfn.XLOOKUP(BH11,Щиты[Щит],Щиты[cos φ]),0.95),IF(BP11=1,IFERROR(_xlfn.XLOOKUP(A11,Щиты[Щит],Щиты[cos φ]),0.95),IF(ISNUMBER(AD11),AD11,IFERROR(IF(CD11=2,_xlfn.IFS(BX11=3,VLOOKUP(BS11,Справочная_двигатели,8,FALSE),BX11=1,VLOOKUP(BS11,Справочная_двигатели,10,TRUE)),IF(AND(Методика="нормы 2026",FG11="Сил"),0.8,0.95)),0.95)))))</f>
        <v>0.95</v>
      </c>
      <c r="CF11">
        <f t="shared" si="20"/>
        <v>0</v>
      </c>
      <c r="CG11">
        <f t="shared" si="21"/>
        <v>1</v>
      </c>
      <c r="CH11">
        <f t="shared" si="22"/>
        <v>0</v>
      </c>
      <c r="CI11">
        <f>IF(B11="","",IF(BV11=1,IFERROR(BS11/((Uн_лин/SQRT(3))*MAX(0.5,N(CE11))),0),N(O11)))</f>
        <v>0</v>
      </c>
      <c r="CJ11">
        <f t="shared" si="23"/>
        <v>0</v>
      </c>
      <c r="CK11">
        <f t="shared" si="24"/>
        <v>0</v>
      </c>
      <c r="CL11">
        <f t="shared" si="25"/>
        <v>0</v>
      </c>
      <c r="CM11">
        <f t="shared" si="26"/>
        <v>0</v>
      </c>
      <c r="CN11">
        <f t="shared" si="27"/>
        <v>0</v>
      </c>
      <c r="CO11">
        <f>IF(BC11="",0,_xlfn.LET(_xlpm.v,IFERROR(_xlfn.XLOOKUP(B11,Коды_код,Коды_мА),IFERROR(_xlfn.XLOOKUP(BC11,Коды_код,Коды_мА),IFERROR(_xlfn.XLOOKUP(LEFT(BC11,2),Коды_код,Коды_мА),""))),IF(_xlpm.v="да",30,IF(ISNUMBER(_xlpm.v),_xlpm.v,0))))</f>
        <v>0</v>
      </c>
      <c r="CP11" t="str">
        <f t="shared" si="28"/>
        <v/>
      </c>
      <c r="CQ11" t="str">
        <f>_xlfn.LET(_xlpm.k,IFERROR(_xlfn.XLOOKUP(BC11,Коды_код,Коды_утечка)&amp;"",""),IF(_xlpm.k="","дифавтомат",_xlpm.k))</f>
        <v>дифавтомат</v>
      </c>
      <c r="CR11" t="str" cm="1">
        <f t="array" ref="CR11">IF(CG11=0,"",_xlfn.LET(_xlpm.sg,TRIM(_xlfn.TEXTSPLIT(DD11&amp;"",";")),_xlpm.f_,_xlfn._xlws.FILTER(_xlpm.sg,LEFT(_xlpm.sg,3)="УЗО",""),IFERROR(INDEX(_xlpm.f_,1)&amp;"","")))</f>
        <v/>
      </c>
      <c r="CS11" t="str">
        <f t="shared" si="29"/>
        <v/>
      </c>
      <c r="CT11" s="6" t="str" cm="1">
        <f t="array" ref="CT11">IF(CR11="","",_xlfn.LET(_xlpm.tk,_xlfn.TEXTSPLIT(UPPER(CR11)," ",,TRUE),_xlpm.a_,_xlfn._xlws.FILTER(_xlpm.tk,ISNUMBER(--LEFT(_xlpm.tk,1))*((ISNUMBER(SEARCH("А",_xlpm.tk))+ISNUMBER(SEARCH("A",_xlpm.tk)))&gt;0)*NOT(ISNUMBER(SEARCH("МА",_xlpm.tk)))*NOT(ISNUMBER(SEARCH("MA",_xlpm.tk))),""),IFERROR(--SUBSTITUTE(SUBSTITUTE(INDEX(_xlpm.a_,1),"А",""),"A",""),"")))</f>
        <v/>
      </c>
      <c r="CU11" t="str" cm="1">
        <f t="array" ref="CU11">IF(CR11="","",_xlfn.LET(_xlpm.tk,_xlfn.TEXTSPLIT(UPPER(CR11)," ",,TRUE),_xlpm.a_,_xlfn._xlws.FILTER(_xlpm.tk,ISNUMBER(--LEFT(_xlpm.tk,1))*((ISNUMBER(SEARCH("МА",_xlpm.tk))+ISNUMBER(SEARCH("MA",_xlpm.tk)))&gt;0),""),IFERROR(--SUBSTITUTE(SUBSTITUTE(INDEX(_xlpm.a_,1),"МА",""),"MA",""),30)))</f>
        <v/>
      </c>
      <c r="CV11" t="str">
        <f>IF(CS11="","",IFERROR(_xlfn.XLOOKUP(CS11,Линии[_n],Линии[_УЗО, мА]),30))</f>
        <v/>
      </c>
      <c r="CW11">
        <f>IF(CS11="",0,IF(ISNUMBER(SEARCH("4P",IFERROR(_xlfn.XLOOKUP(CS11,Линии[_n],Линии[_УЗО строки])&amp;"",""))),0,1))</f>
        <v>0</v>
      </c>
      <c r="CX11" t="str">
        <f>IF(AND(CS11&lt;&gt;"",CS11=BA11),SUMIFS(Линии[_ток на 230 В],Линии[_блок УЗО],BA11,Линии[Щит],A11),"")</f>
        <v/>
      </c>
      <c r="CY11" t="str">
        <f>IF(AND(CS11&lt;&gt;"",CS11=BA11),SUMIFS(Линии[_ток утечки линии, мА],Линии[_блок УЗО],BA11,Линии[Щит],A11),"")</f>
        <v/>
      </c>
      <c r="CZ11">
        <f t="shared" si="30"/>
        <v>0</v>
      </c>
      <c r="DA11">
        <f t="shared" si="31"/>
        <v>0</v>
      </c>
      <c r="DB11">
        <f>IF(B11="",0,IFERROR(--_xlfn.XLOOKUP(B11,Коды_код,Коды_минавт),IFERROR(--_xlfn.XLOOKUP(BC11,Коды_код,Коды_минавт),IFERROR(--_xlfn.XLOOKUP(LEFT(BC11,2),Коды_код,Коды_минавт),0))))</f>
        <v>0</v>
      </c>
      <c r="DC11" t="str">
        <f>IF(B11="","",IFERROR(_xlfn.XLOOKUP(BC11,Коды_код,Коды_апп)&amp;"",""))</f>
        <v/>
      </c>
      <c r="DD11" t="str">
        <f t="shared" si="32"/>
        <v/>
      </c>
      <c r="DE11" t="str" cm="1">
        <f t="array" ref="DE11">IF(TRIM(DD11&amp;"")="","",IFERROR(TRIM(INDEX(_xlfn.TEXTSPLIT(DD11&amp;";;;",";"),1)),""))</f>
        <v/>
      </c>
      <c r="DF11" t="str" cm="1">
        <f t="array" ref="DF11">IF(TRIM(DD11&amp;"")="","",IFERROR(TRIM(INDEX(_xlfn.TEXTSPLIT(DD11&amp;";;;",";"),2)),""))</f>
        <v/>
      </c>
      <c r="DG11" t="str" cm="1">
        <f t="array" ref="DG11">IF(TRIM(DD11&amp;"")="","",IFERROR(TRIM(INDEX(_xlfn.TEXTSPLIT(DD11&amp;";;;",";"),3)),""))</f>
        <v/>
      </c>
      <c r="DH11">
        <f t="shared" si="33"/>
        <v>0</v>
      </c>
      <c r="DI11" t="str">
        <f>IF(B11="","",_xlfn.LET(_xlpm.t,LOWER(AZ11&amp;""),IF(ISNUMBER(SEARCH("dim",_xlpm.t)),"DIM",IF(ISNUMBER(SEARCH("dali",_xlpm.t)),"DALI",IF(OR(ISNUMBER(SEARCH("relay",_xlpm.t)),ISNUMBER(SEARCH("реле",_xlpm.t))),"Relay",IF(ISNUMBER(SEARCH("кнопк",_xlpm.t)),"",IFERROR(_xlfn.XLOOKUP(BC11,Коды_код,Коды_упр)&amp;"","")))))))</f>
        <v/>
      </c>
      <c r="DJ11" t="str">
        <f t="shared" si="34"/>
        <v/>
      </c>
      <c r="DK11">
        <f>IF(B11="","",_xlfn.LET(_xlpm.ig,IF(N(CX11)&gt;0,N(CX11),N(CI11)+IF(AJ11="вручную",0,N(CJ11))),_xlpm.n0,IFERROR(VLOOKUP(_xlpm.ig,Автомат_номиналы,2,TRUE),0),_xlpm.mn,MAX(DB11,IF(AJ11="вручную",0,N(CM11))),MAX(_xlpm.n0,_xlpm.mn,IF(DH11=1,Мин_автомат_БП,0))))</f>
        <v>6</v>
      </c>
      <c r="DL11">
        <f t="shared" si="35"/>
        <v>1</v>
      </c>
      <c r="DM11" t="str">
        <f t="shared" si="36"/>
        <v>1P</v>
      </c>
      <c r="DN11" t="str">
        <f>_xlfn.LET(_xlpm.cc,UPPER(TRIM(IFERROR(_xlfn.XLOOKUP(BC11,Коды_код,Коды_хар)&amp;"",""))),IF(OR(_xlpm.cc="B",_xlpm.cc="В"),"B",IF(_xlpm.cc="D","D","С")))</f>
        <v>С</v>
      </c>
      <c r="DO11" t="str">
        <f t="shared" si="37"/>
        <v>1P С6А</v>
      </c>
      <c r="DP11" t="str">
        <f t="shared" si="38"/>
        <v>1P С6А</v>
      </c>
      <c r="DQ11" t="str">
        <f t="shared" si="39"/>
        <v>1P С6А</v>
      </c>
      <c r="DR11" cm="1">
        <f t="array" ref="DR11">IF(DQ11="","",_xlfn.LET(_xlpm.t,SUBSTITUTE(SUBSTITUTE(SUBSTITUTE(UPPER(DQ11),"С","C"),"А","A"),"В","B"),_xlpm.tk,_xlfn.TEXTSPLIT(_xlpm.t," "),_xlpm.f,_xlfn._xlws.FILTER(_xlpm.tk,ISNUMBER(--MID(_xlpm.tk,2,1))*ISNUMBER(SEARCH(LEFT(_xlpm.tk,1)&amp;"#","B#C#D#"))*(LEN(_xlpm.tk)&gt;1),""),_xlpm.x,INDEX(_xlpm.f,1),IFERROR(--SUBSTITUTE(MID(_xlpm.x,2,9),"A",""),IFERROR(--SUBSTITUTE(INDEX(_xlfn._xlws.FILTER(_xlpm.tk,ISNUMBER(--SUBSTITUTE(_xlpm.tk,"A","")),""),1),"A",""),""))))</f>
        <v>6</v>
      </c>
      <c r="DS11" t="str">
        <f t="shared" si="40"/>
        <v>ok</v>
      </c>
      <c r="DT11">
        <f t="shared" si="41"/>
        <v>6</v>
      </c>
      <c r="DU11" t="str">
        <f t="shared" si="42"/>
        <v>1P С6А</v>
      </c>
      <c r="DV11">
        <f t="shared" si="43"/>
        <v>0</v>
      </c>
      <c r="DW11">
        <f t="shared" si="44"/>
        <v>0</v>
      </c>
      <c r="DX11">
        <f t="shared" si="45"/>
        <v>0</v>
      </c>
      <c r="DY11">
        <f t="shared" si="46"/>
        <v>0</v>
      </c>
      <c r="DZ11">
        <f t="shared" si="47"/>
        <v>1</v>
      </c>
      <c r="EA11">
        <f>IF(ISNUMBER(AP11),AP11,К_прокл)</f>
        <v>1</v>
      </c>
      <c r="EB11">
        <f t="shared" si="48"/>
        <v>2</v>
      </c>
      <c r="EC11">
        <f>IFERROR(N(VLOOKUP(BZ11,Кабель_обозначение,3,FALSE)),1)</f>
        <v>1</v>
      </c>
      <c r="ED11">
        <f>IFERROR(N(_xlfn.XLOOKUP(A11,Щиты[Щит],Щиты[ΔU до шин, %])),0)</f>
        <v>0.3660288498727976</v>
      </c>
      <c r="EE11">
        <f>IFERROR(_xlfn.XLOOKUP(A11,Щиты[Щит],Щиты[Zпетли на шинах, Ом]),"")</f>
        <v>0.13597829354840207</v>
      </c>
      <c r="EF11">
        <f>IFERROR(N(_xlfn.XLOOKUP(A11,Щиты[Щит],Щиты[ΔU до шин (подбор), %])),0)</f>
        <v>0.3660288498727976</v>
      </c>
      <c r="EG11">
        <f>IFERROR(_xlfn.XLOOKUP(A11,Щиты[Щит],Щиты[Zпетли на шинах (подбор), Ом]),"")</f>
        <v>0.13597829354840207</v>
      </c>
      <c r="EH11" t="str">
        <f t="shared" si="49"/>
        <v/>
      </c>
      <c r="EI11">
        <f t="shared" si="50"/>
        <v>12</v>
      </c>
      <c r="EJ11">
        <f t="shared" si="51"/>
        <v>2</v>
      </c>
      <c r="EK11">
        <f t="shared" si="52"/>
        <v>0.31</v>
      </c>
      <c r="EL11" s="6">
        <f>IF(B11="","",IF(BV11=1,dU_LED,IF(IFERROR(_xlfn.XLOOKUP(BC11,Коды_код,Коды_уго),"")="Светильник",3,4)+IF(Методика="нормы 2026",MIN(0.5,MAX(0,N(P11)-100)*0.005),0)))</f>
        <v>4</v>
      </c>
      <c r="EM11" cm="1">
        <f t="array" ref="EM11">IF(OR(B11="",BZ11="",EC11&lt;&gt;1),"",_xlfn.LET(_xlpm.sz,Iдоп_S,_xlpm.t_,CHOOSE(EB11,Iдоп_1ж,Iдоп_2ж,Iдоп_3ж)*DZ11*EA11,_xlpm.dcx,BV11=1,_xlpm.inn,IF(_xlpm.dcx,N(O11),N(DT11)),_xlpm.smin,MAX(1.5,CC11),_xlpm.L_,N(P11)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11)/N(BU11)*100,999),IFERROR(N(EJ11)*(_xlpm.rho*_xlpm.L_/_xlpm.sz*N(CE11)+_xlpm.xx*_xlpm.L_*N(EK11)/1000)*N(O11)/((Uн_лин/SQRT(3))*1000)*100,999)),_xlpm.kz,IF(OR(_xlpm.dcx,DW11=1,NOT(ISNUMBER(EG11)),_xlpm.L_=0,_xlpm.inn=0),1,IFERROR(--(c_min*(Uн_лин*1000/SQRT(3))/(EG11+2*ρкз_Cu*_xlpm.L_/_xlpm.sz)&gt;=HT11*_xlpm.inn),0)),_xlpm.ok,IFERROR((_xlpm.sz&gt;=_xlpm.smin)*(_xlpm.t_&gt;=_xlpm.inn)*IF(_xlpm.L_&gt;0,(_xlpm.du_+IF(_xlpm.dcx,0,EF11)&lt;=EL11+0.00001),1)*_xlpm.kz,0),_xlpm.r_,_xlfn._xlws.FILTER(_xlpm.sz,_xlpm.ok,"не подобрано"),INDEX(_xlpm.r_,1)))</f>
        <v>1.5</v>
      </c>
      <c r="EN11">
        <f t="shared" si="53"/>
        <v>1.5</v>
      </c>
      <c r="EO11" cm="1">
        <f t="array" ref="EO11">IF(OR(B11="",BZ11="",EC11&lt;&gt;1),"",_xlfn.LET(_xlpm.sz,Iдоп_S,_xlpm.t_,CHOOSE(EB11,Iдоп_1ж,Iдоп_2ж,Iдоп_3ж)*DZ11*EA11,_xlpm.ok,IFERROR((_xlpm.sz&gt;=MAX(1.5,CC11))*(_xlpm.t_&gt;=N(DT11)),0),_xlpm.r_,_xlfn._xlws.FILTER(_xlpm.sz,_xlpm.ok,""),INDEX(_xlpm.r_,1)))</f>
        <v>1.5</v>
      </c>
      <c r="EP11" s="6" cm="1">
        <f t="array" ref="EP11">IFERROR(ROUNDUP(N(EJ11)*(_xlfn.XLOOKUP(EO11,INDEX(Кабель_сопротивление,0,1),INDEX(Кабель_сопротивление,0,3))*N(P11)/EO11*N(CE11)+_xlfn.XLOOKUP(EO11,INDEX(Кабель_сопротивление,0,1),INDEX(Кабель_сопротивление,0,2))*N(P11)*N(EK11)/1000)*N(O11)/((Uн_лин/SQRT(3))*1000)*100,2),"")</f>
        <v>0</v>
      </c>
      <c r="EQ11">
        <f>IFERROR(2*ρкз_Cu*N(P11)/EO11,"")</f>
        <v>0.42080000000000001</v>
      </c>
      <c r="ER11">
        <f>IFERROR(VLOOKUP(EN11,Кабель_сопротивление,3,FALSE),"")</f>
        <v>2.2499999999999999E-2</v>
      </c>
      <c r="ES11">
        <f>IFERROR(VLOOKUP(EN11,Кабель_сопротивление,2,FALSE),"")</f>
        <v>0.11</v>
      </c>
      <c r="ET11" t="str">
        <f t="shared" si="54"/>
        <v/>
      </c>
      <c r="EU11" t="str">
        <f t="shared" si="55"/>
        <v/>
      </c>
      <c r="EV11">
        <f t="shared" si="56"/>
        <v>0</v>
      </c>
      <c r="EW11" s="6">
        <f>IFERROR(ROUNDUP(EV11/IF(BV11=1,BU11,(Uн_лин/SQRT(3))*1000)*100,2),"")</f>
        <v>0</v>
      </c>
      <c r="EX11" t="str">
        <f>IFERROR(VLOOKUP(BZ11,Кабель_обозначение,2,FALSE),"")</f>
        <v>ВВГнг(А)-FRLS</v>
      </c>
      <c r="EY11" t="str">
        <f t="shared" si="57"/>
        <v>ВВГнг(А)-FRLS (3х1,5)</v>
      </c>
      <c r="EZ11" t="str">
        <f t="shared" si="58"/>
        <v>ВВГнг(А)-FRLS (3х1,5)
L=12-0%</v>
      </c>
      <c r="FA11">
        <f>IFERROR(2*ρкз_Cu*P11/EN11,"")</f>
        <v>0.42080000000000001</v>
      </c>
      <c r="FB11">
        <f t="shared" si="59"/>
        <v>0.14000000000000001</v>
      </c>
      <c r="FC11" s="6">
        <f>IFERROR(IF(OR(B11="",BV11=1,NOT(ISNUMBER(EN11)),N(P11)=0),"",_xlfn.XLOOKUP(A11,Щиты[Щит],Щиты[Zпетли на шинах, Ом])+FA11),"")</f>
        <v>0.55677829354840203</v>
      </c>
      <c r="FD11" s="6">
        <f>IF(ISNUMBER(FC11),c_min*(Uн_лин*1000/SQRT(3))/FC11,"")</f>
        <v>394.04032957866281</v>
      </c>
      <c r="FE11" s="6">
        <f>IFERROR(IF(OR(B11="",NOT(ISNUMBER(EN11))),"",1.05*(Uн_лин*1000/SQRT(3))/(_xlfn.XLOOKUP(A11,Щиты[Щит],Щиты[Zmax на шинах, Ом])+FB11)/1000),"")</f>
        <v>1.3370225286125974</v>
      </c>
      <c r="FF11" s="6" t="str">
        <f>IF(B11="","",IF(ISNUMBER(AC11),"Сил",IF(IFERROR(_xlfn.XLOOKUP(BC11,Коды_код,Коды_группа)&amp;"","")="","Быт",_xlfn.XLOOKUP(BC11,Коды_код,Коды_группа)&amp;"")))</f>
        <v>Быт</v>
      </c>
      <c r="FG11" s="6" t="str">
        <f t="shared" si="60"/>
        <v>Нет</v>
      </c>
      <c r="FH11" s="6">
        <f>IF(FG11="Щит","щит",IF(FG11="","",IF(FG11="Быт",IFERROR(_xlfn.XLOOKUP(A11,Щиты[Щит],Щиты[Кс быт]),1),IF(FG11="Сил",IF(ISNUMBER(AC11),AC11,IF(Методика="нормы 2026",IFERROR(_xlfn.XLOOKUP(A11,Щиты[Щит],Щиты[Кс силовых (табл. 7.5)]),1),1)),IF(OR(FG11="Пост",FG11="Отоп"),1,IF(FG11="ВНГ",0.7,0))))))</f>
        <v>0</v>
      </c>
      <c r="FI11">
        <f>IF(FG11="","",IF(AND(BP11=1,TRIM(AE11&amp;"")=""),IF(COUNTIFS(Линии[Щит],A11,Линии[Секция (1/2/3)],"&gt;=2")&gt;0,MIN(3,MAX(1,IFERROR(--BD11,1))),1),IFERROR(MIN(3,MAX(1,INT(--AE11))),1)))</f>
        <v>1</v>
      </c>
      <c r="FJ11">
        <f t="shared" si="61"/>
        <v>0</v>
      </c>
      <c r="FK11">
        <f t="shared" si="62"/>
        <v>0</v>
      </c>
      <c r="FL11">
        <f t="shared" si="63"/>
        <v>0</v>
      </c>
      <c r="FM11">
        <f t="shared" si="64"/>
        <v>0</v>
      </c>
      <c r="FN11">
        <f t="shared" si="65"/>
        <v>0</v>
      </c>
      <c r="FO11">
        <f t="shared" si="66"/>
        <v>0</v>
      </c>
      <c r="FP11">
        <f t="shared" si="67"/>
        <v>0</v>
      </c>
      <c r="FQ11">
        <f t="shared" si="68"/>
        <v>0</v>
      </c>
      <c r="FR11">
        <f t="shared" si="69"/>
        <v>0</v>
      </c>
      <c r="FS11">
        <f>IF(CG11=1,IF(AND(CH11=1,CW11=1),0,IF(AND(CS11&lt;&gt;"",CS11=BA11,CW11=1),SUMIFS(Линии[_Р линии, кВт],Линии[_блок УЗО],BA11,Линии[Щит],A11),N(BS11)+IF(AJ11="вручную",0,N(CK11)))),0)</f>
        <v>0</v>
      </c>
      <c r="FT11" t="str">
        <f t="shared" si="70"/>
        <v/>
      </c>
      <c r="FU11" t="str">
        <f>IF(B11="","",IF(CG11=0,IF(BA11=1,"",FW10),IF(AND(CH11=1,CW11=1,CS11&lt;&gt;""),IFERROR(_xlfn.XLOOKUP(CS11,Линии[_n],Линии[_фаза итог]),"L1"),IF(OR(N(DL11)&gt;=3,N(BX11)&gt;=3),"L1,L2,L3",IFERROR(_xlfn.TEXTBEFORE(_xlfn.TEXTAFTER(_xlfn.XLOOKUP(A11,Щиты[Щит],Щиты[_фазы авто]),";"&amp;BA11&amp;":"),";"),"L1")))))</f>
        <v>L3</v>
      </c>
      <c r="FV11" t="str">
        <f t="shared" si="71"/>
        <v>L3</v>
      </c>
      <c r="FW11" t="str">
        <f t="shared" si="72"/>
        <v>L3</v>
      </c>
      <c r="FX11" cm="1">
        <f t="array" ref="FX11">IFERROR(IF(CD11=2,_xlfn.IFS(BX11=3,VLOOKUP(BS11,Справочная_двигатели,3,FALSE),BX11=1,VLOOKUP(BS11,Справочная_двигатели,5,TRUE)),0),0)</f>
        <v>0</v>
      </c>
      <c r="FY11">
        <f>IFERROR(IF(CD11=3,VLOOKUP(BS11,Справочная_ЛЭД,2,TRUE),0),0)</f>
        <v>0</v>
      </c>
      <c r="FZ11" s="6">
        <f t="shared" si="73"/>
        <v>0</v>
      </c>
      <c r="GA11" t="str">
        <f>IF(B11="","",IF(TRIM(AH11&amp;"")&lt;&gt;"",IF(LOWER(TRIM(AH11&amp;""))="да","да","нет"),IF(IFERROR(_xlfn.XLOOKUP(BC11,Коды_код,Коды_пожарная),"")="да","да","нет")))</f>
        <v>да</v>
      </c>
      <c r="GB11" t="str">
        <f t="shared" si="74"/>
        <v/>
      </c>
      <c r="GC11" t="str">
        <f t="shared" si="75"/>
        <v>основная</v>
      </c>
      <c r="GD11">
        <f>IF(AND(BP11=1,TRIM(AE11&amp;"")=""),IF(COUNTIFS(Линии[Щит],A11,Линии[Секция (1/2/3)],"&gt;=2")&gt;0,MIN(3,MAX(1,IFERROR(--BD11,1))),1),IFERROR(MIN(3,MAX(1,INT(--AE11))),1))</f>
        <v>1</v>
      </c>
      <c r="GE11" t="str" cm="1">
        <f t="array" ref="GE11">IF(B11="","",_xlfn.LET(_xlpm.t,IFERROR(_xlfn.XLOOKUP(1,(Шины[Шина]=GC11)*(((Шины[Щит]=A11)+(Шины[Щит]=""))&gt;0),Шины[Тип]),"")&amp;"",IF(_xlpm.t&lt;&gt;"",_xlpm.t,IF(ISNUMBER(SEARCH("ИБП",GC11)),"ИБП",IF(ISNUMBER(SEARCH("ДГУ",GC11)),"ДГУ","Ввод "&amp;GD11)))))</f>
        <v>Ввод 1</v>
      </c>
      <c r="GF11" t="str">
        <f t="shared" si="76"/>
        <v>Ввод 1</v>
      </c>
      <c r="GG11" t="str">
        <f>IF(BP11=0,"",IF(TRIM(AG11&amp;"")&lt;&gt;"",TRIM(AG11&amp;""),IF(OR(GE11="ИБП",GE11="ДГУ"),"I особая",_xlfn.XLOOKUP(A11,Щиты[Щит],Щиты[Категория шины «Ввод»],"III"))))</f>
        <v/>
      </c>
      <c r="GH11" t="str">
        <f>IF(A11="","",_xlfn.XLOOKUP(A11,Щиты[Щит],Щиты[Путь],""))</f>
        <v>|ВРУ|</v>
      </c>
      <c r="GI11" t="str">
        <f>IF(B11="","",IF(AI11&lt;&gt;"",AI11,IF(IFERROR(_xlfn.XLOOKUP(BC11,Коды_код,Коды_вид)&amp;"","")="","Прочее",_xlfn.XLOOKUP(BC11,Коды_код,Коды_вид)&amp;"")))</f>
        <v>Прочее</v>
      </c>
      <c r="GJ11">
        <f>IF(BM11="","",INT((BM11-1)/Столбцов_на_лист)+1)</f>
        <v>2</v>
      </c>
      <c r="GK11" t="str">
        <f t="shared" si="77"/>
        <v>ВВГнг(А)-FRLS (3х1,5) L=12-0%</v>
      </c>
      <c r="GL11">
        <f t="shared" si="78"/>
        <v>0</v>
      </c>
      <c r="GM11">
        <f t="shared" si="79"/>
        <v>0</v>
      </c>
      <c r="GN11">
        <f t="shared" si="80"/>
        <v>1</v>
      </c>
      <c r="GO11">
        <f t="shared" si="81"/>
        <v>0</v>
      </c>
      <c r="GP11">
        <f t="shared" si="82"/>
        <v>1</v>
      </c>
      <c r="GQ11">
        <f>IF(BM11="","",IF(AND(CG11=1,GP11=1),COUNTIFS(A$3:A11,A11,CG$3:CG11,1,GP$3:GP11,1),IF(OR(OR(BA11=1,A11&lt;&gt;A10),AJ11="вручную",GP11=0),"",IF(BA11=1,"",GR10))))</f>
        <v>7</v>
      </c>
      <c r="GR11">
        <f t="shared" si="83"/>
        <v>7</v>
      </c>
      <c r="GS11">
        <f>IF(B11="","",IFERROR(LOOKUP(INDEX(CHOOSE(EB11,Iдоп_1ж,Iдоп_2ж,Iдоп_3ж),MATCH(EN11,Iдоп_S,0))*DZ11*EA11,{6,10,16,20,25,32,40,50,63,80,100,125,160,200,250,315,400,500,630}),""))</f>
        <v>16</v>
      </c>
      <c r="GT11" t="str">
        <f t="shared" si="84"/>
        <v>QF7</v>
      </c>
      <c r="GU11" t="str">
        <f t="shared" si="85"/>
        <v>QF7</v>
      </c>
      <c r="GV11" t="str">
        <f t="shared" si="86"/>
        <v/>
      </c>
      <c r="GW11">
        <f t="shared" si="87"/>
        <v>0</v>
      </c>
      <c r="GX11" t="str">
        <f>IF(OR(B11="",DJ11=""),"",IFERROR(_xlfn.XLOOKUP(DJ11,Модули_умолч[Управление],Модули_умолч[Модель])&amp;"",""))</f>
        <v/>
      </c>
      <c r="GY11">
        <f>IF(DJ11="",1,IFERROR(MAX(0,N(_xlfn.XLOOKUP(DJ11,Модули_умолч[Управление],Модули_умолч[Каналов на линию]))),1))</f>
        <v>1</v>
      </c>
      <c r="GZ11" t="str">
        <f t="shared" si="88"/>
        <v/>
      </c>
      <c r="HA11" t="str">
        <f t="shared" si="89"/>
        <v/>
      </c>
      <c r="HB11" t="str">
        <f t="shared" si="90"/>
        <v/>
      </c>
      <c r="HC11">
        <f>IF(HB11="",0,IFERROR(N(VLOOKUP(HB11,Модули_спр,3,FALSE)),0))</f>
        <v>0</v>
      </c>
      <c r="HD11" t="str">
        <f t="shared" si="91"/>
        <v/>
      </c>
      <c r="HE11" t="str">
        <f t="shared" si="92"/>
        <v/>
      </c>
      <c r="HF11" t="str">
        <f>IF(OR(HE11="",HE11="-"),"",IFERROR(VLOOKUP(HE11,Модули_спр,2,FALSE),"R"))</f>
        <v/>
      </c>
      <c r="HG11" t="str">
        <f>IF(HF11="","",HF11&amp;"."&amp;COUNTIFS(A$3:A11,A11,HF$3:HF11,HF11))</f>
        <v/>
      </c>
      <c r="HH11" t="str">
        <f t="shared" si="93"/>
        <v/>
      </c>
      <c r="HI11" t="str">
        <f t="shared" si="94"/>
        <v/>
      </c>
      <c r="HJ11" t="str">
        <f t="shared" si="95"/>
        <v/>
      </c>
      <c r="HK11" t="str">
        <f t="shared" si="96"/>
        <v/>
      </c>
      <c r="HL11">
        <f t="shared" si="97"/>
        <v>1</v>
      </c>
      <c r="HM11" t="str">
        <f>IF(HL11=1,"XT"&amp;COUNTIFS(A$3:A11,A11,HL$3:HL11,1),"")</f>
        <v>XT7</v>
      </c>
      <c r="HN11" t="str">
        <f t="shared" si="98"/>
        <v>XT7</v>
      </c>
      <c r="HO11" t="str">
        <f t="shared" si="99"/>
        <v>QF7</v>
      </c>
      <c r="HP11" t="str">
        <f t="shared" si="100"/>
        <v/>
      </c>
      <c r="HQ11" t="str">
        <f t="shared" si="101"/>
        <v>ok</v>
      </c>
      <c r="HR11" t="str">
        <f>IF(OR(HJ11="",HH11=""),"",IF(HJ11+MAX(0,GY11-1)&gt;IFERROR(VLOOKUP(HI11,Модули_спр,3,FALSE),99),"ЛИШНИЙ КАНАЛ",IF(AND(AL11&lt;&gt;"=",GY11&gt;0,COUNTIFS(Линии[_модуль гр.],HH11,Линии[Канал (итог)],HJ11,Линии[Канал],"&lt;&gt;=",Линии[Щит],A11)&gt;1),"ДУБЛЬ КАНАЛА","")))</f>
        <v/>
      </c>
      <c r="HS11" s="6">
        <f t="shared" si="102"/>
        <v>65.673388263110468</v>
      </c>
      <c r="HT11">
        <f t="shared" si="103"/>
        <v>10</v>
      </c>
      <c r="HU11" t="str">
        <f t="shared" si="104"/>
        <v>ok</v>
      </c>
      <c r="HV11">
        <f t="shared" si="105"/>
        <v>0.12</v>
      </c>
      <c r="HW11">
        <f t="shared" si="106"/>
        <v>0</v>
      </c>
      <c r="HX11">
        <f t="shared" si="107"/>
        <v>0</v>
      </c>
      <c r="HY11">
        <f t="shared" si="108"/>
        <v>0</v>
      </c>
      <c r="HZ11">
        <f t="shared" si="109"/>
        <v>0</v>
      </c>
      <c r="IA11">
        <f t="shared" si="110"/>
        <v>0</v>
      </c>
      <c r="IB11">
        <f t="shared" si="111"/>
        <v>0</v>
      </c>
      <c r="IC11" t="str">
        <f t="shared" si="112"/>
        <v/>
      </c>
      <c r="ID11" t="str" cm="1">
        <f t="array" ref="ID11">IF(IC11="","",_xlfn.LET(_xlpm.tk,_xlfn.TEXTSPLIT(SUBSTITUTE(SUBSTITUTE(IC11,";"," "),"→"," ")," ",,TRUE),_xlpm.w_,_xlfn._xlws.FILTER(_xlpm.tk,ISNUMBER(--LEFT(_xlpm.tk,1))*((ISNUMBER(SEARCH("W",_xlpm.tk))+ISNUMBER(SEARCH("Вт",_xlpm.tk)))&gt;0),""),IFERROR(--SUBSTITUTE(SUBSTITUTE(UPPER(INDEX(_xlpm.w_,1)),"W",""),"ВТ",""),"")))</f>
        <v/>
      </c>
      <c r="IE11" t="str" cm="1">
        <f t="array" ref="IE11">IF(IC11="","",_xlfn.LET(_xlpm.tk,_xlfn.TEXTSPLIT(SUBSTITUTE(SUBSTITUTE(IC11,";"," "),"→"," ")," ",,TRUE),_xlpm.v_,_xlfn._xlws.FILTER(_xlpm.tk,ISNUMBER(--LEFT(_xlpm.tk,1))*((ISNUMBER(SEARCH("V",_xlpm.tk))+(RIGHT(UPPER(_xlpm.tk))="В"))&gt;0),""),IFERROR(--SUBSTITUTE(SUBSTITUTE(UPPER(INDEX(_xlpm.v_,1)),"V",""),"В",""),"")))</f>
        <v/>
      </c>
      <c r="IF11" s="6" t="str">
        <f>IF(OR(BV11=0,HI11="",HJ11=""),"",IFERROR(N(_xlfn.XLOOKUP(HI11,Каталог!$C$4:$C$500,Каталог!$Q$4:$Q$500)),""))</f>
        <v/>
      </c>
      <c r="IG11" s="6" t="str">
        <f>IF(N(IF11)=0,"",SUMIFS(Линии[Iр, А],Линии[Щит],A11,Линии[_модуль гр.],HH11,Линии[Канал (итог)],HJ11))</f>
        <v/>
      </c>
      <c r="IH11" t="str">
        <f>IF(AND(B11="",HO11=""),"",_xlfn.TEXTJOIN("; ",TRUE,IF(AND(B11&lt;&gt;"",FV11=""),"нет фазы",""),IF(AND(B11&lt;&gt;"",N(GL11)=0,FG11&lt;&gt;"Нет"),"нет мощности",""),IF(AND(HN11&lt;&gt;"",COUNTIFS(Линии[Щит],A11,Линии[Клемма (итог)],HN11)&gt;1),"дубль клеммы "&amp;HN11,""),IF(AND(HQ11&lt;&gt;"",HQ11&lt;&gt;"ok"),HQ11,""),IF(HR11&lt;&gt;"",HR11,""),IF(AND(N(CB11)&gt;=4,N(BX11)=1),CB11&amp;" жил на 1 фазе",""),IF(AND(BC11="R",CG11=1,IF(CS11&lt;&gt;"",N(CV11)&gt;30,OR(N(DA11)=0,N(DA11)&gt;30))),"розетка без дифзащиты до 30 мА",""),IF(AND(CG11=1,N(DA11)&gt;0,ISNUMBER(T11)),IF(T11&gt;N(DA11)/3,"ток утечки "&amp;FIXED(T11,1)&amp;" мА &gt; 1/3 уставки ("&amp;DA11&amp;" мА)",""),""),IF(AND(CH11=1,CS11=""),"«узо»: нет строки с УЗО выше (УЗО 2P 40А 30мА в «Аппаратах»)",""),IF(AND(CS11&lt;&gt;"",CS11=BA11),IF(CT11="","впишите номинал УЗО (УЗО 2P 40А 30мА)",IF(N(CT11)&lt;N(DT11),"УЗО "&amp;CT11&amp;" А &lt; автомата "&amp;DT11&amp;" А перед ним",IF(N(CT11)&lt;N(CX11),"УЗО "&amp;CT11&amp;" А &lt; тока блока "&amp;FIXED(CX11,1)&amp;" А",""))),""),IF(AND(CS11&lt;&gt;"",CS11=BA11,ISNUMBER(CY11)),IF(CY11&gt;N(CV11)/3,"ток утечки блока УЗО "&amp;FIXED(CY11,1)&amp;" мА &gt; 1/3 уставки ("&amp;CV11&amp;" мА)",""),""),IF(AND(CG11=1,N(BV11)+N(IB11)&gt;0,IC11=""),"линии до 50 В без БП: впишите в «Аппараты» (БП 24V 480W)",""),IF(AND(CG11=1,ISNUMBER(ID11),ISNUMBER(U11)),IF(U11&gt;ID11,"БП "&amp;ID11&amp;" Вт &lt; нужно "&amp;U11&amp;" Вт (×"&amp;Запас_БП&amp;")",""),""),IF(AND(CG11=1,ISNUMBER(IE11),N(BV11)=1),IF(IE11&lt;&gt;N(BU11),"БП на "&amp;IE11&amp;" В, линия "&amp;BU11&amp;" В",""),""),IF(AND(N(IF11)&gt;0,N(IG11)&gt;N(IF11)),HH11&amp;" канал "&amp;HJ11&amp;": "&amp;FIXED(IG11,1)&amp;" А &gt; "&amp;IF11&amp;" А",""),IFERROR(IF(AND(ISNUMBER(Q11),Q11&gt;EL11),"потери "&amp;FIXED(Q11,1)&amp;" % &gt; "&amp;EL11&amp;" %",""),""),IFERROR(IF(LEFT(HU11,4)="мало","Iкз мало — отключение &gt; 0,4 с",""),""),IF(AND(B11&lt;&gt;"",BM11=""),"не на схеме",""),IF(AND(CG11=0,B11&lt;&gt;"",FV11&lt;&gt;"",IF(BA11=1,"",FW10)&lt;&gt;"",FV11&lt;&gt;IF(BA11=1,"",FW10)),"фаза не как у автомата группы ("&amp;IF(BA11=1,"",FW10)&amp;")","")))</f>
        <v/>
      </c>
      <c r="II11" s="6" t="str">
        <f>IF(OR(CG11=0,DQ11=""),"",_xlfn.LET(_xlpm.t,IFERROR(_xlfn.XLOOKUP(DQ11,Каталог!$U$4:$U$500,Каталог!$G$4:$G$500),""),_xlpm.k,SEARCH("кА",_xlpm.t),IFERROR(--TRIM(RIGHT(SUBSTITUTE(MID(_xlpm.t,MAX(1,_xlpm.k-4),_xlpm.k-MAX(1,_xlpm.k-4))," ",REPT(" ",9)),5)),"")))</f>
        <v/>
      </c>
      <c r="IJ11" t="str">
        <f>IF(OR(II11="",CG11=0),"",IF(_xlfn.XLOOKUP(A11,Щиты[Щит],Щиты[Iкз max на шинах, кА],"")="","",IF(II11&lt;_xlfn.XLOOKUP(A11,Щиты[Щит],Щиты[Iкз max на шинах, кА]),"Icu "&amp;II11&amp;" кА &lt; Iкз max","ok")))</f>
        <v/>
      </c>
      <c r="IK11" t="str">
        <f t="shared" si="113"/>
        <v/>
      </c>
      <c r="IL11" t="str">
        <f t="shared" si="114"/>
        <v>QF7|XT7</v>
      </c>
      <c r="IM11" t="str">
        <f t="shared" si="115"/>
        <v>QF7|XT7|кабель ВВГнг(А)-FRLS (3х1,5) → Щит СПЗ, ввод 2 (резерв)</v>
      </c>
      <c r="IN11" t="str" cm="1">
        <f t="array" ref="IN11">IF(IM11="","",_xlfn.LET(_xlpm.nd,_xlfn.TEXTSPLIT(IM11,"|"),IF(COLUMNS(_xlpm.nd)&gt;1,A11&amp;"¦"&amp;INDEX(_xlpm.nd,1)&amp;"¦"&amp;INDEX(_xlpm.nd,2),"")))</f>
        <v>ВРУ¦QF7¦XT7</v>
      </c>
      <c r="IO11" t="str">
        <f t="shared" si="116"/>
        <v>ЩСПЗ.2¦Щит СПЗ, ввод 2 (резерв)</v>
      </c>
      <c r="IP11" t="str" cm="1">
        <f t="array" ref="IP11">IF(IM11="","",_xlfn.LET(_xlpm.nd,_xlfn.TEXTSPLIT(IM11,"|"),IF(COLUMNS(_xlpm.nd)&gt;2,A11&amp;"¦"&amp;INDEX(_xlpm.nd,2)&amp;"¦"&amp;INDEX(_xlpm.nd,3),"")))</f>
        <v>ВРУ¦XT7¦кабель ВВГнг(А)-FRLS (3х1,5) → Щит СПЗ, ввод 2 (резерв)</v>
      </c>
      <c r="IQ11" t="str">
        <f t="shared" si="117"/>
        <v>ЩСПЗ.2¦Щит СПЗ, ввод 2 (резерв)</v>
      </c>
      <c r="IR11" t="str" cm="1">
        <f t="array" ref="IR11">IF(IM11="","",_xlfn.LET(_xlpm.nd,_xlfn.TEXTSPLIT(IM11,"|"),IF(COLUMNS(_xlpm.nd)&gt;3,A11&amp;"¦"&amp;INDEX(_xlpm.nd,3)&amp;"¦"&amp;INDEX(_xlpm.nd,4),"")))</f>
        <v/>
      </c>
      <c r="IS11" t="str">
        <f t="shared" si="118"/>
        <v/>
      </c>
      <c r="IT11" t="str" cm="1">
        <f t="array" ref="IT11">IF(IM11="","",_xlfn.LET(_xlpm.nd,_xlfn.TEXTSPLIT(IM11,"|"),IF(COLUMNS(_xlpm.nd)&gt;4,A11&amp;"¦"&amp;INDEX(_xlpm.nd,4)&amp;"¦"&amp;INDEX(_xlpm.nd,5),"")))</f>
        <v/>
      </c>
      <c r="IU11" t="str">
        <f t="shared" si="119"/>
        <v/>
      </c>
      <c r="IV11" t="str" cm="1">
        <f t="array" ref="IV11">IF(IM11="","",_xlfn.LET(_xlpm.nd,_xlfn.TEXTSPLIT(IM11,"|"),IF(COLUMNS(_xlpm.nd)&gt;5,A11&amp;"¦"&amp;INDEX(_xlpm.nd,5)&amp;"¦"&amp;INDEX(_xlpm.nd,6),"")))</f>
        <v/>
      </c>
      <c r="IW11" t="str">
        <f t="shared" si="120"/>
        <v/>
      </c>
      <c r="IX11" t="str" cm="1">
        <f t="array" ref="IX11">IF(IM11="","",_xlfn.LET(_xlpm.nd,_xlfn.TEXTSPLIT(IM11,"|"),IF(COLUMNS(_xlpm.nd)&gt;6,A11&amp;"¦"&amp;INDEX(_xlpm.nd,6)&amp;"¦"&amp;INDEX(_xlpm.nd,7),"")))</f>
        <v/>
      </c>
      <c r="IY11" t="str">
        <f t="shared" si="121"/>
        <v/>
      </c>
      <c r="IZ11" t="str">
        <f t="shared" si="122"/>
        <v/>
      </c>
      <c r="JA11" t="str">
        <f t="shared" si="123"/>
        <v>QF7 → XT7</v>
      </c>
      <c r="JB11">
        <f t="shared" si="124"/>
        <v>0</v>
      </c>
      <c r="JC11">
        <f t="shared" si="125"/>
        <v>0</v>
      </c>
      <c r="JD11" t="str">
        <f t="shared" si="126"/>
        <v/>
      </c>
      <c r="JE11" t="str">
        <f t="shared" si="127"/>
        <v/>
      </c>
      <c r="JF11" t="str">
        <f t="shared" si="128"/>
        <v/>
      </c>
      <c r="JG11" t="str">
        <f t="shared" si="129"/>
        <v/>
      </c>
      <c r="JH11" t="str">
        <f>IF(B11="","",IFERROR(_xlfn.XLOOKUP(B11,Коды_код,Коды_уго),IFERROR(_xlfn.XLOOKUP(BC11,Коды_код,Коды_уго),IFERROR(_xlfn.XLOOKUP(LEFT(BC11,2),Коды_код,Коды_уго),""))))</f>
        <v/>
      </c>
      <c r="JI11" t="str">
        <f>IF(B11="","",IF(OR(JH11="",JH11=0),"BOX",IFERROR(IF(VLOOKUP(JH11,УГО_блоки,3,FALSE)&amp;""&lt;&gt;"",VLOOKUP(JH11,УГО_блоки,3,FALSE),VLOOKUP(JH11,УГО_блоки,2,FALSE)),JH11)))</f>
        <v>BOX</v>
      </c>
      <c r="JJ11">
        <f t="shared" si="130"/>
        <v>1</v>
      </c>
      <c r="JK11" t="str">
        <f>IF(DQ11="","",IF(COUNTIF(DQ$3:DQ11,DQ11)=1,MAX(JK$2:JK10)+1,""))</f>
        <v/>
      </c>
      <c r="JL11" t="str">
        <f>IF(DE11="","",IF(COUNTIF(DE$3:DE11,DE11)+COUNTIF(DF$2:DF10,DE11)+COUNTIF(DG$2:DG10,DE11)=1,MAX(JL$2:JN10)+1,""))</f>
        <v/>
      </c>
      <c r="JM11" t="str">
        <f>IF(DF11="","",IF(COUNTIF(DE$3:DE11,DF11)+COUNTIF(DF$3:DF11,DF11)+COUNTIF(DG$2:DG10,DF11)=1,MAX(JL$2:JN10,JL11)+1,""))</f>
        <v/>
      </c>
      <c r="JN11" t="str">
        <f>IF(DG11="","",IF(COUNTIF(DE$3:DE11,DG11)+COUNTIF(DF$3:DF11,DG11)+COUNTIF(DG$3:DG11,DG11)=1,MAX(JL$2:JN10,JL11,JM11)+1,""))</f>
        <v/>
      </c>
      <c r="JO11" t="str">
        <f t="shared" si="131"/>
        <v>3х1,5</v>
      </c>
      <c r="JP11" t="str">
        <f>IF(JO11="","",IF(COUNTIF(JO$3:JO11,JO11)=1,MAX(JP$2:JP10)+1,""))</f>
        <v/>
      </c>
      <c r="JQ11" t="str">
        <f>IF(HG11="","",COUNTIF(HG$3:HG11,"?*"))</f>
        <v/>
      </c>
      <c r="JR11" t="str">
        <f>IF(OR(HG11="",HI11=""),"",IF(COUNTIFS(HG$3:HG11,"?*",HI$3:HI11,HI11)=1,MAX(JR$2:JR10)+1,""))</f>
        <v/>
      </c>
      <c r="JS11">
        <f t="shared" si="132"/>
        <v>0</v>
      </c>
      <c r="JT11">
        <f>IF(B11="","",COUNTIF(B$3:B11,"?*"))</f>
        <v>9</v>
      </c>
      <c r="JU11">
        <f>IF(HL11&lt;&gt;1,0,_xlfn.LET(_xlpm.k,MAX(IFERROR(--_xlfn.XLOOKUP(B11,Коды_код,Коды_3L),0),IFERROR(--_xlfn.XLOOKUP(BC11,Коды_код,Коды_3L),0),IFERROR(--_xlfn.XLOOKUP(LEFT(BC11,2),Коды_код,Коды_3L),0)),IF(_xlpm.k&gt;0,_xlpm.k,IF(IFERROR(--LEFT(SUBSTITUTE(JO11,"x","х"),FIND("х",SUBSTITUTE(JO11,"x","х"))-1),3)&gt;3,Каталог!$S$9,1))))</f>
        <v>1</v>
      </c>
      <c r="JV11">
        <f t="shared" si="133"/>
        <v>0</v>
      </c>
      <c r="JW11" t="str">
        <f t="shared" si="134"/>
        <v>авто</v>
      </c>
      <c r="JX11" t="str">
        <f t="shared" si="135"/>
        <v/>
      </c>
      <c r="JY11">
        <f t="shared" si="136"/>
        <v>0</v>
      </c>
      <c r="JZ11">
        <f t="shared" si="137"/>
        <v>1</v>
      </c>
    </row>
    <row r="12" spans="1:286" x14ac:dyDescent="0.3">
      <c r="A12" t="s">
        <v>151</v>
      </c>
      <c r="B12" t="s">
        <v>1193</v>
      </c>
      <c r="C12" t="str">
        <f>Линии[[#This Row],[_авто наименование]]</f>
        <v>Электрокамин, пом. 001</v>
      </c>
      <c r="E12">
        <v>2</v>
      </c>
      <c r="G12" t="str">
        <f>Линии[[#This Row],[_авто автомат]]</f>
        <v>1P С16А</v>
      </c>
      <c r="H12" t="str">
        <f>Линии[[#This Row],[_авто управление]]</f>
        <v/>
      </c>
      <c r="I12" t="str">
        <f>Линии[[#This Row],[_авто аппараты]]</f>
        <v/>
      </c>
      <c r="J12">
        <f>Линии[[#This Row],[_авто сечение]]</f>
        <v>1.5</v>
      </c>
      <c r="K12">
        <v>18</v>
      </c>
      <c r="L12" t="str">
        <f>Линии[[#This Row],[_авто фаза]]</f>
        <v>L3</v>
      </c>
      <c r="M12" t="str">
        <f>Линии[[#This Row],[_авто клемма]]</f>
        <v>XT8</v>
      </c>
      <c r="N12" t="str">
        <f t="shared" si="0"/>
        <v/>
      </c>
      <c r="O12" s="6" cm="1">
        <f t="array" ref="O12">IF(B12="","",IF(BH12&lt;&gt;"",IFERROR(_xlfn.XLOOKUP(BH12,Щиты[Щит],Щиты[Iр, А]),""),IF(BP12=1,IF(OR(N(_xlfn.XLOOKUP(A12,Щиты[Щит],Щиты[Вводов],1))&lt;=1,LOWER(TRIM(_xlfn.XLOOKUP(A12,Щиты[Щит],Щиты[АВР],"")&amp;""))="да"),IFERROR(_xlfn.XLOOKUP(A12,Щиты[Щит],Щиты[Iр, А]),""),IFERROR(N(BS12)*_xlfn.XLOOKUP(A12,Щиты[Щит],Щиты[Кс итог])/(SQRT(3)*Uн_лин*_xlfn.XLOOKUP(A12,Щиты[Щит],Щиты[cos φ])),"")),IF(BV12=1,IFERROR(BS12*1000/BU12,""),IFERROR(_xlfn.IFS(BX12=1,BS12/((Uн_лин/SQRT(3))*CE12),BX12=3,BS12/(SQRT(3)*Uн_лин*CE12)),"")))))</f>
        <v>9.1160568819414589</v>
      </c>
      <c r="P12" s="7">
        <f>IF(B12="","",IFERROR(IF(VLOOKUP(BC12,Потребители_обозначение,4,FALSE)=1,VLOOKUP(BC12,Потребители_обозначение,3,FALSE)*(MAX(1,N(D12))*2-1)+EI12+VLOOKUP(BE12,Этаж_обозначение,3,FALSE)+VLOOKUP(BE12,Этаж_обозначение,4,FALSE),VLOOKUP(BC12,Потребители_обозначение,3,FALSE)*(MAX(1,N(D12))*2-1)+EI12),EI12))</f>
        <v>19</v>
      </c>
      <c r="Q12" s="6">
        <f t="shared" si="1"/>
        <v>2.5160288498727974</v>
      </c>
      <c r="R12" t="str">
        <f t="shared" si="2"/>
        <v>ВВГнг(А)-LS (3х1,5)</v>
      </c>
      <c r="S12" t="str">
        <f>IF(BM12="","",IF(BN12="вводной узел","узел ","")&amp;"л."&amp;(INT((BM12-1)/Столбцов_на_лист)+1)&amp;" / "&amp;(MOD(BM12-1,Столбцов_на_лист)+1))</f>
        <v>л.2 / 9</v>
      </c>
      <c r="T12" s="119">
        <f t="shared" si="3"/>
        <v>3.8</v>
      </c>
      <c r="U12" s="7" t="str">
        <f>IF(OR(CG12=0,N(BV12)+N(IB12)=0),"",ROUNDUP(Запас_БП*(N(HY12)+N(HZ12)),0))</f>
        <v/>
      </c>
      <c r="V12" s="119" t="str">
        <f t="shared" si="4"/>
        <v/>
      </c>
      <c r="W12" s="7">
        <f>IFERROR(IF(OR(B12="",BP12=1,BV12=1,NOT(ISNUMBER(EN12)),N(DT12)=0),"",MAX(0,ROUNDDOWN((c_min*(Uн_лин*1000/SQRT(3))/(HT12*N(DT12))-_xlfn.XLOOKUP(A12,Щиты[Щит],Щиты[Zпетли на шинах, Ом]))*EN12/(2*ρкз_Cu),0))),"")</f>
        <v>35</v>
      </c>
      <c r="Y12" t="str">
        <f>Линии[[#This Row],[_авто утечка]]</f>
        <v/>
      </c>
      <c r="Z12">
        <v>1</v>
      </c>
      <c r="AA12">
        <v>230</v>
      </c>
      <c r="AB12" t="s">
        <v>1259</v>
      </c>
      <c r="AE12">
        <v>2</v>
      </c>
      <c r="AK12" t="str">
        <f>Линии[[#This Row],[_авто модуль]]</f>
        <v/>
      </c>
      <c r="AN12" t="s">
        <v>11</v>
      </c>
      <c r="AO12">
        <v>3</v>
      </c>
      <c r="BA12" cm="1">
        <f t="array" ref="BA12">ROW()-ROW(Линии[#Headers])</f>
        <v>10</v>
      </c>
      <c r="BC12" s="6" t="str">
        <f t="shared" si="5"/>
        <v>КМН</v>
      </c>
      <c r="BD12" t="str">
        <f t="shared" si="6"/>
        <v>0.001.1</v>
      </c>
      <c r="BE12" t="str">
        <f t="shared" si="7"/>
        <v>0</v>
      </c>
      <c r="BF12" t="str">
        <f t="shared" si="8"/>
        <v>001.1</v>
      </c>
      <c r="BG12" t="str">
        <f t="shared" si="9"/>
        <v>001</v>
      </c>
      <c r="BH12" t="str">
        <f>IF(X12&lt;&gt;"",X12,IF(AND(B12&lt;&gt;"",B12&lt;&gt;A12,ISNUMBER(_xlfn.XMATCH(B12,Щиты[Щит]))),B12,""))</f>
        <v/>
      </c>
      <c r="BI12" t="str" cm="1">
        <f t="array" ref="BI12">IF(B12="","",IF(BH12&lt;&gt;"","Щит "&amp;BH12,_xlfn.LET(_xlpm.nm,IFERROR(_xlfn.XLOOKUP(BC12,Коды_код,Коды_имя)&amp;"",""),_xlpm.md,IFERROR(N(_xlfn.XLOOKUP(BC12,Коды_код,Коды_режим)),1),_xlpm.ex,IF(Имя_режим="по экспликации",IFERROR(_xlfn.XLOOKUP(BE12&amp;"|"&amp;BG12,Экспликация[Этаж]&amp;"|"&amp;Экспликация[Помещение],Экспликация[Название])&amp;"",""),""),_xlpm.rm,IF(BG12="","",IF(_xlpm.ex&lt;&gt;"",". "&amp;_xlpm.ex&amp;IF(Имя_пом="нет"," ("&amp;BG12&amp;")"," (пом. "&amp;BG12&amp;")"),IF(Имя_пом="нет"," ",", пом. ")&amp;BG12)),IF(_xlpm.nm="","",IF(_xlpm.md=2,_xlpm.nm&amp;" шлейф "&amp;BE12,_xlpm.nm&amp;_xlpm.rm)))))</f>
        <v>Электрокамин, пом. 001</v>
      </c>
      <c r="BJ12" t="str">
        <f t="shared" si="10"/>
        <v>Электрокамин, пом. 001</v>
      </c>
      <c r="BK12">
        <f>IFERROR(_xlfn.XMATCH(A12,Щиты[Щит]),0)</f>
        <v>1</v>
      </c>
      <c r="BL12">
        <f>_xlfn.LET(_xlpm.k,IFERROR(_xlfn.XLOOKUP(A12,Щиты[Щит],Щиты[Мест под вводной узел]),""),IF(_xlpm.k="",Столбцов_на_лист,N(_xlpm.k)))</f>
        <v>4</v>
      </c>
      <c r="BM12">
        <f t="shared" si="11"/>
        <v>26</v>
      </c>
      <c r="BN12" t="str">
        <f t="shared" si="12"/>
        <v>линии</v>
      </c>
      <c r="BO12" s="6">
        <f>IFERROR(N(_xlfn.XLOOKUP(BC12,Коды_код,Коды_квт)),0)</f>
        <v>0</v>
      </c>
      <c r="BP12">
        <f t="shared" si="13"/>
        <v>0</v>
      </c>
      <c r="BQ12" t="str">
        <f>IF(B12="","",IF(BH12&lt;&gt;"",IFERROR(_xlfn.XLOOKUP(BH12,Щиты[Щит],Щиты[Руст, кВт]),0),IF(BP12=1,IF(OR(N(_xlfn.XLOOKUP(A12,Щиты[Щит],Щиты[Вводов],1))&lt;=1,LOWER(TRIM(_xlfn.XLOOKUP(A12,Щиты[Щит],Щиты[АВР],"")&amp;""))="да"),IFERROR(_xlfn.XLOOKUP(A12,Щиты[Щит],Щиты[Руст, кВт]),0),SUMIFS(Линии[_Р для вводов],Линии[Щит],A12,Линии[Источник для режимов],GF12)),IF(BO12&gt;0,ROUND(BO12*MAX(1,N(D12)),3),""))))</f>
        <v/>
      </c>
      <c r="BR12">
        <f t="shared" si="14"/>
        <v>2</v>
      </c>
      <c r="BS12" s="6">
        <f>IF(B12="","",IF(BH12&lt;&gt;"",IFERROR(_xlfn.XLOOKUP(BH12,Щиты[Щит],Щиты[Руст, кВт]),0),N(BR12)))</f>
        <v>2</v>
      </c>
      <c r="BT12" t="str">
        <f>IF(B12="","",IFERROR(IF(VLOOKUP(BC12,Потребители_обозначение,8,FALSE)=0,"",VLOOKUP(BC12,Потребители_обозначение,8,FALSE)),""))</f>
        <v/>
      </c>
      <c r="BU12">
        <f t="shared" si="15"/>
        <v>230</v>
      </c>
      <c r="BV12">
        <f t="shared" si="16"/>
        <v>0</v>
      </c>
      <c r="BW12">
        <f>IF(B12="","",IF(BH12&lt;&gt;"",3,IFERROR(IF(N(VLOOKUP(BC12,Потребители_обозначение,9,FALSE))=0,1,VLOOKUP(BC12,Потребители_обозначение,9,FALSE)),1)))</f>
        <v>1</v>
      </c>
      <c r="BX12">
        <f t="shared" si="17"/>
        <v>1</v>
      </c>
      <c r="BY12" t="str">
        <f>IF(B12="","",_xlfn.LET(_xlpm.bc,IFERROR(IF(VLOOKUP(BC12,Потребители_обозначение,6,FALSE)=0,"",VLOOKUP(BC12,Потребители_обозначение,6,FALSE)&amp;""),""),IF(AND(GA12="да",OR(_xlpm.bc="",_xlpm.bc="мс")),Марка_пож,IF(AND(_xlpm.bc="",BH12&lt;&gt;""),"мс",_xlpm.bc))))</f>
        <v>мс</v>
      </c>
      <c r="BZ12" t="str">
        <f t="shared" si="18"/>
        <v>мс</v>
      </c>
      <c r="CA12">
        <f>IF(B12="","",_xlfn.LET(_xlpm.cc,IFERROR(N(VLOOKUP(BC12,Потребители_обозначение,7,FALSE)),0),IF(_xlpm.cc&gt;0,_xlpm.cc,IF(BZ12="","",IF(BV12=1,2,IF(N(BX12)=3,5,3))))))</f>
        <v>3</v>
      </c>
      <c r="CB12">
        <f t="shared" si="19"/>
        <v>3</v>
      </c>
      <c r="CC12">
        <f>IFERROR(N(VLOOKUP(BC12,Потребители_обозначение,10,FALSE)),0)</f>
        <v>0</v>
      </c>
      <c r="CD12">
        <f>IFERROR(VLOOKUP(BC12,Потребители_обозначение,5,FALSE),0)</f>
        <v>1</v>
      </c>
      <c r="CE12" s="6" cm="1">
        <f t="array" ref="CE12">IF(B12="","",IF(BH12&lt;&gt;"",IFERROR(_xlfn.XLOOKUP(BH12,Щиты[Щит],Щиты[cos φ]),0.95),IF(BP12=1,IFERROR(_xlfn.XLOOKUP(A12,Щиты[Щит],Щиты[cos φ]),0.95),IF(ISNUMBER(AD12),AD12,IFERROR(IF(CD12=2,_xlfn.IFS(BX12=3,VLOOKUP(BS12,Справочная_двигатели,8,FALSE),BX12=1,VLOOKUP(BS12,Справочная_двигатели,10,TRUE)),IF(AND(Методика="нормы 2026",FG12="Сил"),0.8,0.95)),0.95)))))</f>
        <v>0.95</v>
      </c>
      <c r="CF12">
        <f t="shared" si="20"/>
        <v>0</v>
      </c>
      <c r="CG12">
        <f t="shared" si="21"/>
        <v>1</v>
      </c>
      <c r="CH12">
        <f t="shared" si="22"/>
        <v>0</v>
      </c>
      <c r="CI12">
        <f>IF(B12="","",IF(BV12=1,IFERROR(BS12/((Uн_лин/SQRT(3))*MAX(0.5,N(CE12))),0),N(O12)))</f>
        <v>9.1160568819414589</v>
      </c>
      <c r="CJ12">
        <f t="shared" si="23"/>
        <v>0</v>
      </c>
      <c r="CK12">
        <f t="shared" si="24"/>
        <v>0</v>
      </c>
      <c r="CL12">
        <f t="shared" si="25"/>
        <v>0</v>
      </c>
      <c r="CM12">
        <f t="shared" si="26"/>
        <v>0</v>
      </c>
      <c r="CN12">
        <f t="shared" si="27"/>
        <v>0</v>
      </c>
      <c r="CO12">
        <f>IF(BC12="",0,_xlfn.LET(_xlpm.v,IFERROR(_xlfn.XLOOKUP(B12,Коды_код,Коды_мА),IFERROR(_xlfn.XLOOKUP(BC12,Коды_код,Коды_мА),IFERROR(_xlfn.XLOOKUP(LEFT(BC12,2),Коды_код,Коды_мА),""))),IF(_xlpm.v="да",30,IF(ISNUMBER(_xlpm.v),_xlpm.v,0))))</f>
        <v>0</v>
      </c>
      <c r="CP12" t="str">
        <f t="shared" si="28"/>
        <v/>
      </c>
      <c r="CQ12" t="str">
        <f>_xlfn.LET(_xlpm.k,IFERROR(_xlfn.XLOOKUP(BC12,Коды_код,Коды_утечка)&amp;"",""),IF(_xlpm.k="","дифавтомат",_xlpm.k))</f>
        <v>дифавтомат</v>
      </c>
      <c r="CR12" t="str" cm="1">
        <f t="array" ref="CR12">IF(CG12=0,"",_xlfn.LET(_xlpm.sg,TRIM(_xlfn.TEXTSPLIT(DD12&amp;"",";")),_xlpm.f_,_xlfn._xlws.FILTER(_xlpm.sg,LEFT(_xlpm.sg,3)="УЗО",""),IFERROR(INDEX(_xlpm.f_,1)&amp;"","")))</f>
        <v/>
      </c>
      <c r="CS12" t="str">
        <f t="shared" si="29"/>
        <v/>
      </c>
      <c r="CT12" s="6" t="str" cm="1">
        <f t="array" ref="CT12">IF(CR12="","",_xlfn.LET(_xlpm.tk,_xlfn.TEXTSPLIT(UPPER(CR12)," ",,TRUE),_xlpm.a_,_xlfn._xlws.FILTER(_xlpm.tk,ISNUMBER(--LEFT(_xlpm.tk,1))*((ISNUMBER(SEARCH("А",_xlpm.tk))+ISNUMBER(SEARCH("A",_xlpm.tk)))&gt;0)*NOT(ISNUMBER(SEARCH("МА",_xlpm.tk)))*NOT(ISNUMBER(SEARCH("MA",_xlpm.tk))),""),IFERROR(--SUBSTITUTE(SUBSTITUTE(INDEX(_xlpm.a_,1),"А",""),"A",""),"")))</f>
        <v/>
      </c>
      <c r="CU12" t="str" cm="1">
        <f t="array" ref="CU12">IF(CR12="","",_xlfn.LET(_xlpm.tk,_xlfn.TEXTSPLIT(UPPER(CR12)," ",,TRUE),_xlpm.a_,_xlfn._xlws.FILTER(_xlpm.tk,ISNUMBER(--LEFT(_xlpm.tk,1))*((ISNUMBER(SEARCH("МА",_xlpm.tk))+ISNUMBER(SEARCH("MA",_xlpm.tk)))&gt;0),""),IFERROR(--SUBSTITUTE(SUBSTITUTE(INDEX(_xlpm.a_,1),"МА",""),"MA",""),30)))</f>
        <v/>
      </c>
      <c r="CV12" t="str">
        <f>IF(CS12="","",IFERROR(_xlfn.XLOOKUP(CS12,Линии[_n],Линии[_УЗО, мА]),30))</f>
        <v/>
      </c>
      <c r="CW12">
        <f>IF(CS12="",0,IF(ISNUMBER(SEARCH("4P",IFERROR(_xlfn.XLOOKUP(CS12,Линии[_n],Линии[_УЗО строки])&amp;"",""))),0,1))</f>
        <v>0</v>
      </c>
      <c r="CX12" t="str">
        <f>IF(AND(CS12&lt;&gt;"",CS12=BA12),SUMIFS(Линии[_ток на 230 В],Линии[_блок УЗО],BA12,Линии[Щит],A12),"")</f>
        <v/>
      </c>
      <c r="CY12" t="str">
        <f>IF(AND(CS12&lt;&gt;"",CS12=BA12),SUMIFS(Линии[_ток утечки линии, мА],Линии[_блок УЗО],BA12,Линии[Щит],A12),"")</f>
        <v/>
      </c>
      <c r="CZ12">
        <f t="shared" si="30"/>
        <v>0</v>
      </c>
      <c r="DA12">
        <f t="shared" si="31"/>
        <v>0</v>
      </c>
      <c r="DB12">
        <f>IF(B12="",0,IFERROR(--_xlfn.XLOOKUP(B12,Коды_код,Коды_минавт),IFERROR(--_xlfn.XLOOKUP(BC12,Коды_код,Коды_минавт),IFERROR(--_xlfn.XLOOKUP(LEFT(BC12,2),Коды_код,Коды_минавт),0))))</f>
        <v>0</v>
      </c>
      <c r="DC12" t="str">
        <f>IF(B12="","",IFERROR(_xlfn.XLOOKUP(BC12,Коды_код,Коды_апп)&amp;"",""))</f>
        <v/>
      </c>
      <c r="DD12" t="str">
        <f t="shared" si="32"/>
        <v/>
      </c>
      <c r="DE12" t="str" cm="1">
        <f t="array" ref="DE12">IF(TRIM(DD12&amp;"")="","",IFERROR(TRIM(INDEX(_xlfn.TEXTSPLIT(DD12&amp;";;;",";"),1)),""))</f>
        <v/>
      </c>
      <c r="DF12" t="str" cm="1">
        <f t="array" ref="DF12">IF(TRIM(DD12&amp;"")="","",IFERROR(TRIM(INDEX(_xlfn.TEXTSPLIT(DD12&amp;";;;",";"),2)),""))</f>
        <v/>
      </c>
      <c r="DG12" t="str" cm="1">
        <f t="array" ref="DG12">IF(TRIM(DD12&amp;"")="","",IFERROR(TRIM(INDEX(_xlfn.TEXTSPLIT(DD12&amp;";;;",";"),3)),""))</f>
        <v/>
      </c>
      <c r="DH12">
        <f t="shared" si="33"/>
        <v>0</v>
      </c>
      <c r="DI12" t="str">
        <f>IF(B12="","",_xlfn.LET(_xlpm.t,LOWER(AZ12&amp;""),IF(ISNUMBER(SEARCH("dim",_xlpm.t)),"DIM",IF(ISNUMBER(SEARCH("dali",_xlpm.t)),"DALI",IF(OR(ISNUMBER(SEARCH("relay",_xlpm.t)),ISNUMBER(SEARCH("реле",_xlpm.t))),"Relay",IF(ISNUMBER(SEARCH("кнопк",_xlpm.t)),"",IFERROR(_xlfn.XLOOKUP(BC12,Коды_код,Коды_упр)&amp;"","")))))))</f>
        <v/>
      </c>
      <c r="DJ12" t="str">
        <f t="shared" si="34"/>
        <v/>
      </c>
      <c r="DK12">
        <f>IF(B12="","",_xlfn.LET(_xlpm.ig,IF(N(CX12)&gt;0,N(CX12),N(CI12)+IF(AJ12="вручную",0,N(CJ12))),_xlpm.n0,IFERROR(VLOOKUP(_xlpm.ig,Автомат_номиналы,2,TRUE),0),_xlpm.mn,MAX(DB12,IF(AJ12="вручную",0,N(CM12))),MAX(_xlpm.n0,_xlpm.mn,IF(DH12=1,Мин_автомат_БП,0))))</f>
        <v>16</v>
      </c>
      <c r="DL12">
        <f t="shared" si="35"/>
        <v>1</v>
      </c>
      <c r="DM12" t="str">
        <f t="shared" si="36"/>
        <v>1P</v>
      </c>
      <c r="DN12" t="str">
        <f>_xlfn.LET(_xlpm.cc,UPPER(TRIM(IFERROR(_xlfn.XLOOKUP(BC12,Коды_код,Коды_хар)&amp;"",""))),IF(OR(_xlpm.cc="B",_xlpm.cc="В"),"B",IF(_xlpm.cc="D","D","С")))</f>
        <v>С</v>
      </c>
      <c r="DO12" t="str">
        <f t="shared" si="37"/>
        <v>1P С16А</v>
      </c>
      <c r="DP12" t="str">
        <f t="shared" si="38"/>
        <v>1P С16А</v>
      </c>
      <c r="DQ12" t="str">
        <f t="shared" si="39"/>
        <v>1P С16А</v>
      </c>
      <c r="DR12" cm="1">
        <f t="array" ref="DR12">IF(DQ12="","",_xlfn.LET(_xlpm.t,SUBSTITUTE(SUBSTITUTE(SUBSTITUTE(UPPER(DQ12),"С","C"),"А","A"),"В","B"),_xlpm.tk,_xlfn.TEXTSPLIT(_xlpm.t," "),_xlpm.f,_xlfn._xlws.FILTER(_xlpm.tk,ISNUMBER(--MID(_xlpm.tk,2,1))*ISNUMBER(SEARCH(LEFT(_xlpm.tk,1)&amp;"#","B#C#D#"))*(LEN(_xlpm.tk)&gt;1),""),_xlpm.x,INDEX(_xlpm.f,1),IFERROR(--SUBSTITUTE(MID(_xlpm.x,2,9),"A",""),IFERROR(--SUBSTITUTE(INDEX(_xlfn._xlws.FILTER(_xlpm.tk,ISNUMBER(--SUBSTITUTE(_xlpm.tk,"A","")),""),1),"A",""),""))))</f>
        <v>16</v>
      </c>
      <c r="DS12" t="str">
        <f t="shared" si="40"/>
        <v>ok</v>
      </c>
      <c r="DT12">
        <f t="shared" si="41"/>
        <v>16</v>
      </c>
      <c r="DU12" t="str">
        <f t="shared" si="42"/>
        <v>1P С16А</v>
      </c>
      <c r="DV12">
        <f t="shared" si="43"/>
        <v>0</v>
      </c>
      <c r="DW12">
        <f t="shared" si="44"/>
        <v>0</v>
      </c>
      <c r="DX12">
        <f t="shared" si="45"/>
        <v>0</v>
      </c>
      <c r="DY12">
        <f t="shared" si="46"/>
        <v>9.1160568819414589</v>
      </c>
      <c r="DZ12">
        <f t="shared" si="47"/>
        <v>1</v>
      </c>
      <c r="EA12">
        <f>IF(ISNUMBER(AP12),AP12,К_прокл)</f>
        <v>1</v>
      </c>
      <c r="EB12">
        <f t="shared" si="48"/>
        <v>2</v>
      </c>
      <c r="EC12">
        <f>IFERROR(N(VLOOKUP(BZ12,Кабель_обозначение,3,FALSE)),1)</f>
        <v>1</v>
      </c>
      <c r="ED12">
        <f>IFERROR(N(_xlfn.XLOOKUP(A12,Щиты[Щит],Щиты[ΔU до шин, %])),0)</f>
        <v>0.3660288498727976</v>
      </c>
      <c r="EE12">
        <f>IFERROR(_xlfn.XLOOKUP(A12,Щиты[Щит],Щиты[Zпетли на шинах, Ом]),"")</f>
        <v>0.13597829354840207</v>
      </c>
      <c r="EF12">
        <f>IFERROR(N(_xlfn.XLOOKUP(A12,Щиты[Щит],Щиты[ΔU до шин (подбор), %])),0)</f>
        <v>0.3660288498727976</v>
      </c>
      <c r="EG12">
        <f>IFERROR(_xlfn.XLOOKUP(A12,Щиты[Щит],Щиты[Zпетли на шинах (подбор), Ом]),"")</f>
        <v>0.13597829354840207</v>
      </c>
      <c r="EH12" t="str">
        <f t="shared" si="49"/>
        <v/>
      </c>
      <c r="EI12">
        <f t="shared" si="50"/>
        <v>18</v>
      </c>
      <c r="EJ12">
        <f t="shared" si="51"/>
        <v>2</v>
      </c>
      <c r="EK12">
        <f t="shared" si="52"/>
        <v>0.31</v>
      </c>
      <c r="EL12" s="6">
        <f>IF(B12="","",IF(BV12=1,dU_LED,IF(IFERROR(_xlfn.XLOOKUP(BC12,Коды_код,Коды_уго),"")="Светильник",3,4)+IF(Методика="нормы 2026",MIN(0.5,MAX(0,N(P12)-100)*0.005),0)))</f>
        <v>4</v>
      </c>
      <c r="EM12" cm="1">
        <f t="array" ref="EM12">IF(OR(B12="",BZ12="",EC12&lt;&gt;1),"",_xlfn.LET(_xlpm.sz,Iдоп_S,_xlpm.t_,CHOOSE(EB12,Iдоп_1ж,Iдоп_2ж,Iдоп_3ж)*DZ12*EA12,_xlpm.dcx,BV12=1,_xlpm.inn,IF(_xlpm.dcx,N(O12),N(DT12)),_xlpm.smin,MAX(1.5,CC12),_xlpm.L_,N(P12)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12)/N(BU12)*100,999),IFERROR(N(EJ12)*(_xlpm.rho*_xlpm.L_/_xlpm.sz*N(CE12)+_xlpm.xx*_xlpm.L_*N(EK12)/1000)*N(O12)/((Uн_лин/SQRT(3))*1000)*100,999)),_xlpm.kz,IF(OR(_xlpm.dcx,DW12=1,NOT(ISNUMBER(EG12)),_xlpm.L_=0,_xlpm.inn=0),1,IFERROR(--(c_min*(Uн_лин*1000/SQRT(3))/(EG12+2*ρкз_Cu*_xlpm.L_/_xlpm.sz)&gt;=HT12*_xlpm.inn),0)),_xlpm.ok,IFERROR((_xlpm.sz&gt;=_xlpm.smin)*(_xlpm.t_&gt;=_xlpm.inn)*IF(_xlpm.L_&gt;0,(_xlpm.du_+IF(_xlpm.dcx,0,EF12)&lt;=EL12+0.00001),1)*_xlpm.kz,0),_xlpm.r_,_xlfn._xlws.FILTER(_xlpm.sz,_xlpm.ok,"не подобрано"),INDEX(_xlpm.r_,1)))</f>
        <v>1.5</v>
      </c>
      <c r="EN12">
        <f t="shared" si="53"/>
        <v>1.5</v>
      </c>
      <c r="EO12" cm="1">
        <f t="array" ref="EO12">IF(OR(B12="",BZ12="",EC12&lt;&gt;1),"",_xlfn.LET(_xlpm.sz,Iдоп_S,_xlpm.t_,CHOOSE(EB12,Iдоп_1ж,Iдоп_2ж,Iдоп_3ж)*DZ12*EA12,_xlpm.ok,IFERROR((_xlpm.sz&gt;=MAX(1.5,CC12))*(_xlpm.t_&gt;=N(DT12)),0),_xlpm.r_,_xlfn._xlws.FILTER(_xlpm.sz,_xlpm.ok,""),INDEX(_xlpm.r_,1)))</f>
        <v>1.5</v>
      </c>
      <c r="EP12" s="6" cm="1">
        <f t="array" ref="EP12">IFERROR(ROUNDUP(N(EJ12)*(_xlfn.XLOOKUP(EO12,INDEX(Кабель_сопротивление,0,1),INDEX(Кабель_сопротивление,0,3))*N(P12)/EO12*N(CE12)+_xlfn.XLOOKUP(EO12,INDEX(Кабель_сопротивление,0,1),INDEX(Кабель_сопротивление,0,2))*N(P12)*N(EK12)/1000)*N(O12)/((Uн_лин/SQRT(3))*1000)*100,2),"")</f>
        <v>2.15</v>
      </c>
      <c r="EQ12">
        <f>IFERROR(2*ρкз_Cu*N(P12)/EO12,"")</f>
        <v>0.66626666666666667</v>
      </c>
      <c r="ER12">
        <f>IFERROR(VLOOKUP(EN12,Кабель_сопротивление,3,FALSE),"")</f>
        <v>2.2499999999999999E-2</v>
      </c>
      <c r="ES12">
        <f>IFERROR(VLOOKUP(EN12,Кабель_сопротивление,2,FALSE),"")</f>
        <v>0.11</v>
      </c>
      <c r="ET12" t="str">
        <f t="shared" si="54"/>
        <v/>
      </c>
      <c r="EU12" t="str">
        <f t="shared" si="55"/>
        <v/>
      </c>
      <c r="EV12">
        <f t="shared" si="56"/>
        <v>4.9481573880789194</v>
      </c>
      <c r="EW12" s="6">
        <f>IFERROR(ROUNDUP(EV12/IF(BV12=1,BU12,(Uн_лин/SQRT(3))*1000)*100,2),"")</f>
        <v>2.15</v>
      </c>
      <c r="EX12" t="str">
        <f>IFERROR(VLOOKUP(BZ12,Кабель_обозначение,2,FALSE),"")</f>
        <v>ВВГнг(А)-LS</v>
      </c>
      <c r="EY12" t="str">
        <f t="shared" si="57"/>
        <v>ВВГнг(А)-LS (3х1,5)</v>
      </c>
      <c r="EZ12" t="str">
        <f t="shared" si="58"/>
        <v>ВВГнг(А)-LS (3х1,5)
L=19-2,15%</v>
      </c>
      <c r="FA12">
        <f>IFERROR(2*ρкз_Cu*P12/EN12,"")</f>
        <v>0.66626666666666667</v>
      </c>
      <c r="FB12">
        <f t="shared" si="59"/>
        <v>0.22166666666666668</v>
      </c>
      <c r="FC12" s="6">
        <f>IFERROR(IF(OR(B12="",BV12=1,NOT(ISNUMBER(EN12)),N(P12)=0),"",_xlfn.XLOOKUP(A12,Щиты[Щит],Щиты[Zпетли на шинах, Ом])+FA12),"")</f>
        <v>0.80224496021506875</v>
      </c>
      <c r="FD12" s="6">
        <f>IF(ISNUMBER(FC12),c_min*(Uн_лин*1000/SQRT(3))/FC12,"")</f>
        <v>273.47395517853062</v>
      </c>
      <c r="FE12" s="6">
        <f>IFERROR(IF(OR(B12="",NOT(ISNUMBER(EN12))),"",1.05*(Uн_лин*1000/SQRT(3))/(_xlfn.XLOOKUP(A12,Щиты[Щит],Щиты[Zmax на шинах, Ом])+FB12)/1000),"")</f>
        <v>0.92189841583126464</v>
      </c>
      <c r="FF12" s="6" t="str">
        <f>IF(B12="","",IF(ISNUMBER(AC12),"Сил",IF(IFERROR(_xlfn.XLOOKUP(BC12,Коды_код,Коды_группа)&amp;"","")="","Быт",_xlfn.XLOOKUP(BC12,Коды_код,Коды_группа)&amp;"")))</f>
        <v>Быт</v>
      </c>
      <c r="FG12" s="6" t="str">
        <f t="shared" si="60"/>
        <v>Отоп</v>
      </c>
      <c r="FH12" s="6">
        <f>IF(FG12="Щит","щит",IF(FG12="","",IF(FG12="Быт",IFERROR(_xlfn.XLOOKUP(A12,Щиты[Щит],Щиты[Кс быт]),1),IF(FG12="Сил",IF(ISNUMBER(AC12),AC12,IF(Методика="нормы 2026",IFERROR(_xlfn.XLOOKUP(A12,Щиты[Щит],Щиты[Кс силовых (табл. 7.5)]),1),1)),IF(OR(FG12="Пост",FG12="Отоп"),1,IF(FG12="ВНГ",0.7,0))))))</f>
        <v>1</v>
      </c>
      <c r="FI12">
        <f>IF(FG12="","",IF(AND(BP12=1,TRIM(AE12&amp;"")=""),IF(COUNTIFS(Линии[Щит],A12,Линии[Секция (1/2/3)],"&gt;=2")&gt;0,MIN(3,MAX(1,IFERROR(--BD12,1))),1),IFERROR(MIN(3,MAX(1,INT(--AE12))),1)))</f>
        <v>2</v>
      </c>
      <c r="FJ12">
        <f t="shared" si="61"/>
        <v>2</v>
      </c>
      <c r="FK12">
        <f t="shared" si="62"/>
        <v>0</v>
      </c>
      <c r="FL12">
        <f t="shared" si="63"/>
        <v>0</v>
      </c>
      <c r="FM12">
        <f t="shared" si="64"/>
        <v>0</v>
      </c>
      <c r="FN12">
        <f t="shared" si="65"/>
        <v>2</v>
      </c>
      <c r="FO12">
        <f t="shared" si="66"/>
        <v>0</v>
      </c>
      <c r="FP12">
        <f t="shared" si="67"/>
        <v>2</v>
      </c>
      <c r="FQ12">
        <f t="shared" si="68"/>
        <v>2</v>
      </c>
      <c r="FR12">
        <f t="shared" si="69"/>
        <v>1.9</v>
      </c>
      <c r="FS12">
        <f>IF(CG12=1,IF(AND(CH12=1,CW12=1),0,IF(AND(CS12&lt;&gt;"",CS12=BA12,CW12=1),SUMIFS(Линии[_Р линии, кВт],Линии[_блок УЗО],BA12,Линии[Щит],A12),N(BS12)+IF(AJ12="вручную",0,N(CK12)))),0)</f>
        <v>2</v>
      </c>
      <c r="FT12" t="str">
        <f t="shared" si="70"/>
        <v/>
      </c>
      <c r="FU12" t="str">
        <f>IF(B12="","",IF(CG12=0,IF(BA12=1,"",FW11),IF(AND(CH12=1,CW12=1,CS12&lt;&gt;""),IFERROR(_xlfn.XLOOKUP(CS12,Линии[_n],Линии[_фаза итог]),"L1"),IF(OR(N(DL12)&gt;=3,N(BX12)&gt;=3),"L1,L2,L3",IFERROR(_xlfn.TEXTBEFORE(_xlfn.TEXTAFTER(_xlfn.XLOOKUP(A12,Щиты[Щит],Щиты[_фазы авто]),";"&amp;BA12&amp;":"),";"),"L1")))))</f>
        <v>L3</v>
      </c>
      <c r="FV12" t="str">
        <f t="shared" si="71"/>
        <v>L3</v>
      </c>
      <c r="FW12" t="str">
        <f t="shared" si="72"/>
        <v>L3</v>
      </c>
      <c r="FX12" cm="1">
        <f t="array" ref="FX12">IFERROR(IF(CD12=2,_xlfn.IFS(BX12=3,VLOOKUP(BS12,Справочная_двигатели,3,FALSE),BX12=1,VLOOKUP(BS12,Справочная_двигатели,5,TRUE)),0),0)</f>
        <v>0</v>
      </c>
      <c r="FY12">
        <f>IFERROR(IF(CD12=3,VLOOKUP(BS12,Справочная_ЛЭД,2,TRUE),0),0)</f>
        <v>0</v>
      </c>
      <c r="FZ12" s="6">
        <f t="shared" si="73"/>
        <v>0</v>
      </c>
      <c r="GA12" t="str">
        <f>IF(B12="","",IF(TRIM(AH12&amp;"")&lt;&gt;"",IF(LOWER(TRIM(AH12&amp;""))="да","да","нет"),IF(IFERROR(_xlfn.XLOOKUP(BC12,Коды_код,Коды_пожарная),"")="да","да","нет")))</f>
        <v>нет</v>
      </c>
      <c r="GB12" t="str">
        <f t="shared" si="74"/>
        <v/>
      </c>
      <c r="GC12" t="str">
        <f t="shared" si="75"/>
        <v>основная</v>
      </c>
      <c r="GD12">
        <f>IF(AND(BP12=1,TRIM(AE12&amp;"")=""),IF(COUNTIFS(Линии[Щит],A12,Линии[Секция (1/2/3)],"&gt;=2")&gt;0,MIN(3,MAX(1,IFERROR(--BD12,1))),1),IFERROR(MIN(3,MAX(1,INT(--AE12))),1))</f>
        <v>2</v>
      </c>
      <c r="GE12" t="str" cm="1">
        <f t="array" ref="GE12">IF(B12="","",_xlfn.LET(_xlpm.t,IFERROR(_xlfn.XLOOKUP(1,(Шины[Шина]=GC12)*(((Шины[Щит]=A12)+(Шины[Щит]=""))&gt;0),Шины[Тип]),"")&amp;"",IF(_xlpm.t&lt;&gt;"",_xlpm.t,IF(ISNUMBER(SEARCH("ИБП",GC12)),"ИБП",IF(ISNUMBER(SEARCH("ДГУ",GC12)),"ДГУ","Ввод "&amp;GD12)))))</f>
        <v>Ввод 2</v>
      </c>
      <c r="GF12" t="str">
        <f t="shared" si="76"/>
        <v>Ввод 2</v>
      </c>
      <c r="GG12" t="str">
        <f>IF(BP12=0,"",IF(TRIM(AG12&amp;"")&lt;&gt;"",TRIM(AG12&amp;""),IF(OR(GE12="ИБП",GE12="ДГУ"),"I особая",_xlfn.XLOOKUP(A12,Щиты[Щит],Щиты[Категория шины «Ввод»],"III"))))</f>
        <v/>
      </c>
      <c r="GH12" t="str">
        <f>IF(A12="","",_xlfn.XLOOKUP(A12,Щиты[Щит],Щиты[Путь],""))</f>
        <v>|ВРУ|</v>
      </c>
      <c r="GI12" t="str">
        <f>IF(B12="","",IF(AI12&lt;&gt;"",AI12,IF(IFERROR(_xlfn.XLOOKUP(BC12,Коды_код,Коды_вид)&amp;"","")="","Прочее",_xlfn.XLOOKUP(BC12,Коды_код,Коды_вид)&amp;"")))</f>
        <v>Электроотопление (конвекторы, камины)</v>
      </c>
      <c r="GJ12">
        <f>IF(BM12="","",INT((BM12-1)/Столбцов_на_лист)+1)</f>
        <v>2</v>
      </c>
      <c r="GK12" t="str">
        <f t="shared" si="77"/>
        <v>ВВГнг(А)-LS (3х1,5) L=19-2,15%</v>
      </c>
      <c r="GL12">
        <f t="shared" si="78"/>
        <v>2</v>
      </c>
      <c r="GM12">
        <f t="shared" si="79"/>
        <v>9.1199999999999992</v>
      </c>
      <c r="GN12">
        <f t="shared" si="80"/>
        <v>1</v>
      </c>
      <c r="GO12">
        <f t="shared" si="81"/>
        <v>0</v>
      </c>
      <c r="GP12">
        <f t="shared" si="82"/>
        <v>1</v>
      </c>
      <c r="GQ12">
        <f>IF(BM12="","",IF(AND(CG12=1,GP12=1),COUNTIFS(A$3:A12,A12,CG$3:CG12,1,GP$3:GP12,1),IF(OR(OR(BA12=1,A12&lt;&gt;A11),AJ12="вручную",GP12=0),"",IF(BA12=1,"",GR11))))</f>
        <v>8</v>
      </c>
      <c r="GR12">
        <f t="shared" si="83"/>
        <v>8</v>
      </c>
      <c r="GS12">
        <f>IF(B12="","",IFERROR(LOOKUP(INDEX(CHOOSE(EB12,Iдоп_1ж,Iдоп_2ж,Iдоп_3ж),MATCH(EN12,Iдоп_S,0))*DZ12*EA12,{6,10,16,20,25,32,40,50,63,80,100,125,160,200,250,315,400,500,630}),""))</f>
        <v>16</v>
      </c>
      <c r="GT12" t="str">
        <f t="shared" si="84"/>
        <v>QF8</v>
      </c>
      <c r="GU12" t="str">
        <f t="shared" si="85"/>
        <v>QF8</v>
      </c>
      <c r="GV12" t="str">
        <f t="shared" si="86"/>
        <v/>
      </c>
      <c r="GW12">
        <f t="shared" si="87"/>
        <v>0</v>
      </c>
      <c r="GX12" t="str">
        <f>IF(OR(B12="",DJ12=""),"",IFERROR(_xlfn.XLOOKUP(DJ12,Модули_умолч[Управление],Модули_умолч[Модель])&amp;"",""))</f>
        <v/>
      </c>
      <c r="GY12">
        <f>IF(DJ12="",1,IFERROR(MAX(0,N(_xlfn.XLOOKUP(DJ12,Модули_умолч[Управление],Модули_умолч[Каналов на линию]))),1))</f>
        <v>1</v>
      </c>
      <c r="GZ12" t="str">
        <f t="shared" si="88"/>
        <v/>
      </c>
      <c r="HA12" t="str">
        <f t="shared" si="89"/>
        <v/>
      </c>
      <c r="HB12" t="str">
        <f t="shared" si="90"/>
        <v/>
      </c>
      <c r="HC12">
        <f>IF(HB12="",0,IFERROR(N(VLOOKUP(HB12,Модули_спр,3,FALSE)),0))</f>
        <v>0</v>
      </c>
      <c r="HD12" t="str">
        <f t="shared" si="91"/>
        <v/>
      </c>
      <c r="HE12" t="str">
        <f t="shared" si="92"/>
        <v/>
      </c>
      <c r="HF12" t="str">
        <f>IF(OR(HE12="",HE12="-"),"",IFERROR(VLOOKUP(HE12,Модули_спр,2,FALSE),"R"))</f>
        <v/>
      </c>
      <c r="HG12" t="str">
        <f>IF(HF12="","",HF12&amp;"."&amp;COUNTIFS(A$3:A12,A12,HF$3:HF12,HF12))</f>
        <v/>
      </c>
      <c r="HH12" t="str">
        <f t="shared" si="93"/>
        <v/>
      </c>
      <c r="HI12" t="str">
        <f t="shared" si="94"/>
        <v/>
      </c>
      <c r="HJ12" t="str">
        <f t="shared" si="95"/>
        <v/>
      </c>
      <c r="HK12" t="str">
        <f t="shared" si="96"/>
        <v/>
      </c>
      <c r="HL12">
        <f t="shared" si="97"/>
        <v>1</v>
      </c>
      <c r="HM12" t="str">
        <f>IF(HL12=1,"XT"&amp;COUNTIFS(A$3:A12,A12,HL$3:HL12,1),"")</f>
        <v>XT8</v>
      </c>
      <c r="HN12" t="str">
        <f t="shared" si="98"/>
        <v>XT8</v>
      </c>
      <c r="HO12" t="str">
        <f t="shared" si="99"/>
        <v>QF8</v>
      </c>
      <c r="HP12" t="str">
        <f t="shared" si="100"/>
        <v/>
      </c>
      <c r="HQ12" t="str">
        <f t="shared" si="101"/>
        <v>ok</v>
      </c>
      <c r="HR12" t="str">
        <f>IF(OR(HJ12="",HH12=""),"",IF(HJ12+MAX(0,GY12-1)&gt;IFERROR(VLOOKUP(HI12,Модули_спр,3,FALSE),99),"ЛИШНИЙ КАНАЛ",IF(AND(AL12&lt;&gt;"=",GY12&gt;0,COUNTIFS(Линии[_модуль гр.],HH12,Линии[Канал (итог)],HJ12,Линии[Канал],"&lt;&gt;=",Линии[Щит],A12)&gt;1),"ДУБЛЬ КАНАЛА","")))</f>
        <v/>
      </c>
      <c r="HS12" s="6">
        <f t="shared" si="102"/>
        <v>17.092122198658164</v>
      </c>
      <c r="HT12">
        <f t="shared" si="103"/>
        <v>10</v>
      </c>
      <c r="HU12" t="str">
        <f t="shared" si="104"/>
        <v>ok</v>
      </c>
      <c r="HV12">
        <f t="shared" si="105"/>
        <v>3.8364227527765835</v>
      </c>
      <c r="HW12">
        <f t="shared" si="106"/>
        <v>0</v>
      </c>
      <c r="HX12">
        <f t="shared" si="107"/>
        <v>0</v>
      </c>
      <c r="HY12">
        <f t="shared" si="108"/>
        <v>0</v>
      </c>
      <c r="HZ12">
        <f t="shared" si="109"/>
        <v>0</v>
      </c>
      <c r="IA12">
        <f t="shared" si="110"/>
        <v>0</v>
      </c>
      <c r="IB12">
        <f t="shared" si="111"/>
        <v>0</v>
      </c>
      <c r="IC12" t="str">
        <f t="shared" si="112"/>
        <v/>
      </c>
      <c r="ID12" t="str" cm="1">
        <f t="array" ref="ID12">IF(IC12="","",_xlfn.LET(_xlpm.tk,_xlfn.TEXTSPLIT(SUBSTITUTE(SUBSTITUTE(IC12,";"," "),"→"," ")," ",,TRUE),_xlpm.w_,_xlfn._xlws.FILTER(_xlpm.tk,ISNUMBER(--LEFT(_xlpm.tk,1))*((ISNUMBER(SEARCH("W",_xlpm.tk))+ISNUMBER(SEARCH("Вт",_xlpm.tk)))&gt;0),""),IFERROR(--SUBSTITUTE(SUBSTITUTE(UPPER(INDEX(_xlpm.w_,1)),"W",""),"ВТ",""),"")))</f>
        <v/>
      </c>
      <c r="IE12" t="str" cm="1">
        <f t="array" ref="IE12">IF(IC12="","",_xlfn.LET(_xlpm.tk,_xlfn.TEXTSPLIT(SUBSTITUTE(SUBSTITUTE(IC12,";"," "),"→"," ")," ",,TRUE),_xlpm.v_,_xlfn._xlws.FILTER(_xlpm.tk,ISNUMBER(--LEFT(_xlpm.tk,1))*((ISNUMBER(SEARCH("V",_xlpm.tk))+(RIGHT(UPPER(_xlpm.tk))="В"))&gt;0),""),IFERROR(--SUBSTITUTE(SUBSTITUTE(UPPER(INDEX(_xlpm.v_,1)),"V",""),"В",""),"")))</f>
        <v/>
      </c>
      <c r="IF12" s="6" t="str">
        <f>IF(OR(BV12=0,HI12="",HJ12=""),"",IFERROR(N(_xlfn.XLOOKUP(HI12,Каталог!$C$4:$C$500,Каталог!$Q$4:$Q$500)),""))</f>
        <v/>
      </c>
      <c r="IG12" s="6" t="str">
        <f>IF(N(IF12)=0,"",SUMIFS(Линии[Iр, А],Линии[Щит],A12,Линии[_модуль гр.],HH12,Линии[Канал (итог)],HJ12))</f>
        <v/>
      </c>
      <c r="IH12" t="str">
        <f>IF(AND(B12="",HO12=""),"",_xlfn.TEXTJOIN("; ",TRUE,IF(AND(B12&lt;&gt;"",FV12=""),"нет фазы",""),IF(AND(B12&lt;&gt;"",N(GL12)=0,FG12&lt;&gt;"Нет"),"нет мощности",""),IF(AND(HN12&lt;&gt;"",COUNTIFS(Линии[Щит],A12,Линии[Клемма (итог)],HN12)&gt;1),"дубль клеммы "&amp;HN12,""),IF(AND(HQ12&lt;&gt;"",HQ12&lt;&gt;"ok"),HQ12,""),IF(HR12&lt;&gt;"",HR12,""),IF(AND(N(CB12)&gt;=4,N(BX12)=1),CB12&amp;" жил на 1 фазе",""),IF(AND(BC12="R",CG12=1,IF(CS12&lt;&gt;"",N(CV12)&gt;30,OR(N(DA12)=0,N(DA12)&gt;30))),"розетка без дифзащиты до 30 мА",""),IF(AND(CG12=1,N(DA12)&gt;0,ISNUMBER(T12)),IF(T12&gt;N(DA12)/3,"ток утечки "&amp;FIXED(T12,1)&amp;" мА &gt; 1/3 уставки ("&amp;DA12&amp;" мА)",""),""),IF(AND(CH12=1,CS12=""),"«узо»: нет строки с УЗО выше (УЗО 2P 40А 30мА в «Аппаратах»)",""),IF(AND(CS12&lt;&gt;"",CS12=BA12),IF(CT12="","впишите номинал УЗО (УЗО 2P 40А 30мА)",IF(N(CT12)&lt;N(DT12),"УЗО "&amp;CT12&amp;" А &lt; автомата "&amp;DT12&amp;" А перед ним",IF(N(CT12)&lt;N(CX12),"УЗО "&amp;CT12&amp;" А &lt; тока блока "&amp;FIXED(CX12,1)&amp;" А",""))),""),IF(AND(CS12&lt;&gt;"",CS12=BA12,ISNUMBER(CY12)),IF(CY12&gt;N(CV12)/3,"ток утечки блока УЗО "&amp;FIXED(CY12,1)&amp;" мА &gt; 1/3 уставки ("&amp;CV12&amp;" мА)",""),""),IF(AND(CG12=1,N(BV12)+N(IB12)&gt;0,IC12=""),"линии до 50 В без БП: впишите в «Аппараты» (БП 24V 480W)",""),IF(AND(CG12=1,ISNUMBER(ID12),ISNUMBER(U12)),IF(U12&gt;ID12,"БП "&amp;ID12&amp;" Вт &lt; нужно "&amp;U12&amp;" Вт (×"&amp;Запас_БП&amp;")",""),""),IF(AND(CG12=1,ISNUMBER(IE12),N(BV12)=1),IF(IE12&lt;&gt;N(BU12),"БП на "&amp;IE12&amp;" В, линия "&amp;BU12&amp;" В",""),""),IF(AND(N(IF12)&gt;0,N(IG12)&gt;N(IF12)),HH12&amp;" канал "&amp;HJ12&amp;": "&amp;FIXED(IG12,1)&amp;" А &gt; "&amp;IF12&amp;" А",""),IFERROR(IF(AND(ISNUMBER(Q12),Q12&gt;EL12),"потери "&amp;FIXED(Q12,1)&amp;" % &gt; "&amp;EL12&amp;" %",""),""),IFERROR(IF(LEFT(HU12,4)="мало","Iкз мало — отключение &gt; 0,4 с",""),""),IF(AND(B12&lt;&gt;"",BM12=""),"не на схеме",""),IF(AND(CG12=0,B12&lt;&gt;"",FV12&lt;&gt;"",IF(BA12=1,"",FW11)&lt;&gt;"",FV12&lt;&gt;IF(BA12=1,"",FW11)),"фаза не как у автомата группы ("&amp;IF(BA12=1,"",FW11)&amp;")","")))</f>
        <v/>
      </c>
      <c r="II12" s="6">
        <f>IF(OR(CG12=0,DQ12=""),"",_xlfn.LET(_xlpm.t,IFERROR(_xlfn.XLOOKUP(DQ12,Каталог!$U$4:$U$500,Каталог!$G$4:$G$500),""),_xlpm.k,SEARCH("кА",_xlpm.t),IFERROR(--TRIM(RIGHT(SUBSTITUTE(MID(_xlpm.t,MAX(1,_xlpm.k-4),_xlpm.k-MAX(1,_xlpm.k-4))," ",REPT(" ",9)),5)),"")))</f>
        <v>6</v>
      </c>
      <c r="IJ12" t="str">
        <f>IF(OR(II12="",CG12=0),"",IF(_xlfn.XLOOKUP(A12,Щиты[Щит],Щиты[Iкз max на шинах, кА],"")="","",IF(II12&lt;_xlfn.XLOOKUP(A12,Щиты[Щит],Щиты[Iкз max на шинах, кА]),"Icu "&amp;II12&amp;" кА &lt; Iкз max","ok")))</f>
        <v>ok</v>
      </c>
      <c r="IK12" t="str">
        <f t="shared" si="113"/>
        <v/>
      </c>
      <c r="IL12" t="str">
        <f t="shared" si="114"/>
        <v>QF8|XT8</v>
      </c>
      <c r="IM12" t="str">
        <f t="shared" si="115"/>
        <v>QF8|XT8|кабель ВВГнг(А)-LS (3х1,5) → Электрокамин, пом. 001</v>
      </c>
      <c r="IN12" t="str" cm="1">
        <f t="array" ref="IN12">IF(IM12="","",_xlfn.LET(_xlpm.nd,_xlfn.TEXTSPLIT(IM12,"|"),IF(COLUMNS(_xlpm.nd)&gt;1,A12&amp;"¦"&amp;INDEX(_xlpm.nd,1)&amp;"¦"&amp;INDEX(_xlpm.nd,2),"")))</f>
        <v>ВРУ¦QF8¦XT8</v>
      </c>
      <c r="IO12" t="str">
        <f t="shared" si="116"/>
        <v>КМН.0.001.1¦Электрокамин, пом. 001</v>
      </c>
      <c r="IP12" t="str" cm="1">
        <f t="array" ref="IP12">IF(IM12="","",_xlfn.LET(_xlpm.nd,_xlfn.TEXTSPLIT(IM12,"|"),IF(COLUMNS(_xlpm.nd)&gt;2,A12&amp;"¦"&amp;INDEX(_xlpm.nd,2)&amp;"¦"&amp;INDEX(_xlpm.nd,3),"")))</f>
        <v>ВРУ¦XT8¦кабель ВВГнг(А)-LS (3х1,5) → Электрокамин, пом. 001</v>
      </c>
      <c r="IQ12" t="str">
        <f t="shared" si="117"/>
        <v>КМН.0.001.1¦Электрокамин, пом. 001</v>
      </c>
      <c r="IR12" t="str" cm="1">
        <f t="array" ref="IR12">IF(IM12="","",_xlfn.LET(_xlpm.nd,_xlfn.TEXTSPLIT(IM12,"|"),IF(COLUMNS(_xlpm.nd)&gt;3,A12&amp;"¦"&amp;INDEX(_xlpm.nd,3)&amp;"¦"&amp;INDEX(_xlpm.nd,4),"")))</f>
        <v/>
      </c>
      <c r="IS12" t="str">
        <f t="shared" si="118"/>
        <v/>
      </c>
      <c r="IT12" t="str" cm="1">
        <f t="array" ref="IT12">IF(IM12="","",_xlfn.LET(_xlpm.nd,_xlfn.TEXTSPLIT(IM12,"|"),IF(COLUMNS(_xlpm.nd)&gt;4,A12&amp;"¦"&amp;INDEX(_xlpm.nd,4)&amp;"¦"&amp;INDEX(_xlpm.nd,5),"")))</f>
        <v/>
      </c>
      <c r="IU12" t="str">
        <f t="shared" si="119"/>
        <v/>
      </c>
      <c r="IV12" t="str" cm="1">
        <f t="array" ref="IV12">IF(IM12="","",_xlfn.LET(_xlpm.nd,_xlfn.TEXTSPLIT(IM12,"|"),IF(COLUMNS(_xlpm.nd)&gt;5,A12&amp;"¦"&amp;INDEX(_xlpm.nd,5)&amp;"¦"&amp;INDEX(_xlpm.nd,6),"")))</f>
        <v/>
      </c>
      <c r="IW12" t="str">
        <f t="shared" si="120"/>
        <v/>
      </c>
      <c r="IX12" t="str" cm="1">
        <f t="array" ref="IX12">IF(IM12="","",_xlfn.LET(_xlpm.nd,_xlfn.TEXTSPLIT(IM12,"|"),IF(COLUMNS(_xlpm.nd)&gt;6,A12&amp;"¦"&amp;INDEX(_xlpm.nd,6)&amp;"¦"&amp;INDEX(_xlpm.nd,7),"")))</f>
        <v/>
      </c>
      <c r="IY12" t="str">
        <f t="shared" si="121"/>
        <v/>
      </c>
      <c r="IZ12" t="str">
        <f t="shared" si="122"/>
        <v/>
      </c>
      <c r="JA12" t="str">
        <f t="shared" si="123"/>
        <v>QF8 → XT8</v>
      </c>
      <c r="JB12">
        <f t="shared" si="124"/>
        <v>0</v>
      </c>
      <c r="JC12">
        <f t="shared" si="125"/>
        <v>0</v>
      </c>
      <c r="JD12" t="str">
        <f t="shared" si="126"/>
        <v/>
      </c>
      <c r="JE12" t="str">
        <f t="shared" si="127"/>
        <v/>
      </c>
      <c r="JF12" t="str">
        <f t="shared" si="128"/>
        <v/>
      </c>
      <c r="JG12" t="str">
        <f t="shared" si="129"/>
        <v/>
      </c>
      <c r="JH12" t="str">
        <f>IF(B12="","",IFERROR(_xlfn.XLOOKUP(B12,Коды_код,Коды_уго),IFERROR(_xlfn.XLOOKUP(BC12,Коды_код,Коды_уго),IFERROR(_xlfn.XLOOKUP(LEFT(BC12,2),Коды_код,Коды_уго),""))))</f>
        <v>Нагреватель</v>
      </c>
      <c r="JI12" t="str">
        <f>IF(B12="","",IF(OR(JH12="",JH12=0),"BOX",IFERROR(IF(VLOOKUP(JH12,УГО_блоки,3,FALSE)&amp;""&lt;&gt;"",VLOOKUP(JH12,УГО_блоки,3,FALSE),VLOOKUP(JH12,УГО_блоки,2,FALSE)),JH12)))</f>
        <v>HEAT</v>
      </c>
      <c r="JJ12">
        <f t="shared" si="130"/>
        <v>1</v>
      </c>
      <c r="JK12">
        <f>IF(DQ12="","",IF(COUNTIF(DQ$3:DQ12,DQ12)=1,MAX(JK$2:JK11)+1,""))</f>
        <v>8</v>
      </c>
      <c r="JL12" t="str">
        <f>IF(DE12="","",IF(COUNTIF(DE$3:DE12,DE12)+COUNTIF(DF$2:DF11,DE12)+COUNTIF(DG$2:DG11,DE12)=1,MAX(JL$2:JN11)+1,""))</f>
        <v/>
      </c>
      <c r="JM12" t="str">
        <f>IF(DF12="","",IF(COUNTIF(DE$3:DE12,DF12)+COUNTIF(DF$3:DF12,DF12)+COUNTIF(DG$2:DG11,DF12)=1,MAX(JL$2:JN11,JL12)+1,""))</f>
        <v/>
      </c>
      <c r="JN12" t="str">
        <f>IF(DG12="","",IF(COUNTIF(DE$3:DE12,DG12)+COUNTIF(DF$3:DF12,DG12)+COUNTIF(DG$3:DG12,DG12)=1,MAX(JL$2:JN11,JL12,JM12)+1,""))</f>
        <v/>
      </c>
      <c r="JO12" t="str">
        <f t="shared" si="131"/>
        <v>3х1,5</v>
      </c>
      <c r="JP12" t="str">
        <f>IF(JO12="","",IF(COUNTIF(JO$3:JO12,JO12)=1,MAX(JP$2:JP11)+1,""))</f>
        <v/>
      </c>
      <c r="JQ12" t="str">
        <f>IF(HG12="","",COUNTIF(HG$3:HG12,"?*"))</f>
        <v/>
      </c>
      <c r="JR12" t="str">
        <f>IF(OR(HG12="",HI12=""),"",IF(COUNTIFS(HG$3:HG12,"?*",HI$3:HI12,HI12)=1,MAX(JR$2:JR11)+1,""))</f>
        <v/>
      </c>
      <c r="JS12">
        <f t="shared" si="132"/>
        <v>0</v>
      </c>
      <c r="JT12">
        <f>IF(B12="","",COUNTIF(B$3:B12,"?*"))</f>
        <v>10</v>
      </c>
      <c r="JU12">
        <f>IF(HL12&lt;&gt;1,0,_xlfn.LET(_xlpm.k,MAX(IFERROR(--_xlfn.XLOOKUP(B12,Коды_код,Коды_3L),0),IFERROR(--_xlfn.XLOOKUP(BC12,Коды_код,Коды_3L),0),IFERROR(--_xlfn.XLOOKUP(LEFT(BC12,2),Коды_код,Коды_3L),0)),IF(_xlpm.k&gt;0,_xlpm.k,IF(IFERROR(--LEFT(SUBSTITUTE(JO12,"x","х"),FIND("х",SUBSTITUTE(JO12,"x","х"))-1),3)&gt;3,Каталог!$S$9,1))))</f>
        <v>1</v>
      </c>
      <c r="JV12">
        <f t="shared" si="133"/>
        <v>0</v>
      </c>
      <c r="JW12" t="str">
        <f t="shared" si="134"/>
        <v>авто</v>
      </c>
      <c r="JX12" t="str">
        <f t="shared" si="135"/>
        <v/>
      </c>
      <c r="JY12">
        <f t="shared" si="136"/>
        <v>0</v>
      </c>
      <c r="JZ12">
        <f t="shared" si="137"/>
        <v>1</v>
      </c>
    </row>
    <row r="13" spans="1:286" x14ac:dyDescent="0.3">
      <c r="A13" t="s">
        <v>151</v>
      </c>
      <c r="B13" t="s">
        <v>1194</v>
      </c>
      <c r="C13" t="str">
        <f>Линии[[#This Row],[_авто наименование]]</f>
        <v>Проточный водонагреватель, пом. 002</v>
      </c>
      <c r="E13">
        <v>5</v>
      </c>
      <c r="G13">
        <v>32</v>
      </c>
      <c r="H13" t="str">
        <f>Линии[[#This Row],[_авто управление]]</f>
        <v/>
      </c>
      <c r="I13" t="str">
        <f>Линии[[#This Row],[_авто аппараты]]</f>
        <v/>
      </c>
      <c r="J13">
        <v>6</v>
      </c>
      <c r="K13">
        <v>10</v>
      </c>
      <c r="L13" t="str">
        <f>Линии[[#This Row],[_авто фаза]]</f>
        <v>L1</v>
      </c>
      <c r="M13" t="str">
        <f>Линии[[#This Row],[_авто клемма]]</f>
        <v>XT9</v>
      </c>
      <c r="N13" t="str">
        <f t="shared" si="0"/>
        <v/>
      </c>
      <c r="O13" s="6" cm="1">
        <f t="array" ref="O13">IF(B13="","",IF(BH13&lt;&gt;"",IFERROR(_xlfn.XLOOKUP(BH13,Щиты[Щит],Щиты[Iр, А]),""),IF(BP13=1,IF(OR(N(_xlfn.XLOOKUP(A13,Щиты[Щит],Щиты[Вводов],1))&lt;=1,LOWER(TRIM(_xlfn.XLOOKUP(A13,Щиты[Щит],Щиты[АВР],"")&amp;""))="да"),IFERROR(_xlfn.XLOOKUP(A13,Щиты[Щит],Щиты[Iр, А]),""),IFERROR(N(BS13)*_xlfn.XLOOKUP(A13,Щиты[Щит],Щиты[Кс итог])/(SQRT(3)*Uн_лин*_xlfn.XLOOKUP(A13,Щиты[Щит],Щиты[cos φ])),"")),IF(BV13=1,IFERROR(BS13*1000/BU13,""),IFERROR(_xlfn.IFS(BX13=1,BS13/((Uн_лин/SQRT(3))*CE13),BX13=3,BS13/(SQRT(3)*Uн_лин*CE13)),"")))))</f>
        <v>22.790142204853648</v>
      </c>
      <c r="P13" s="7">
        <f>IF(B13="","",IFERROR(IF(VLOOKUP(BC13,Потребители_обозначение,4,FALSE)=1,VLOOKUP(BC13,Потребители_обозначение,3,FALSE)*(MAX(1,N(D13))*2-1)+EI13+VLOOKUP(BE13,Этаж_обозначение,3,FALSE)+VLOOKUP(BE13,Этаж_обозначение,4,FALSE),VLOOKUP(BC13,Потребители_обозначение,3,FALSE)*(MAX(1,N(D13))*2-1)+EI13),EI13))</f>
        <v>11</v>
      </c>
      <c r="Q13" s="6">
        <f t="shared" si="1"/>
        <v>1.1460288498727977</v>
      </c>
      <c r="R13" t="str">
        <f t="shared" si="2"/>
        <v>ВВГнг(А)-LS (3х6)</v>
      </c>
      <c r="S13" t="str">
        <f>IF(BM13="","",IF(BN13="вводной узел","узел ","")&amp;"л."&amp;(INT((BM13-1)/Столбцов_на_лист)+1)&amp;" / "&amp;(MOD(BM13-1,Столбцов_на_лист)+1))</f>
        <v>л.2 / 10</v>
      </c>
      <c r="T13" s="119">
        <f t="shared" si="3"/>
        <v>9.1999999999999993</v>
      </c>
      <c r="U13" s="7" t="str">
        <f>IF(OR(CG13=0,N(BV13)+N(IB13)=0),"",ROUNDUP(Запас_БП*(N(HY13)+N(HZ13)),0))</f>
        <v/>
      </c>
      <c r="V13" s="119" t="str">
        <f t="shared" si="4"/>
        <v/>
      </c>
      <c r="W13" s="7">
        <f>IFERROR(IF(OR(B13="",BP13=1,BV13=1,NOT(ISNUMBER(EN13)),N(DT13)=0),"",MAX(0,ROUNDDOWN((c_min*(Uн_лин*1000/SQRT(3))/(HT13*N(DT13))-_xlfn.XLOOKUP(A13,Щиты[Щит],Щиты[Zпетли на шинах, Ом]))*EN13/(2*ρкз_Cu),0))),"")</f>
        <v>62</v>
      </c>
      <c r="Y13">
        <f>Линии[[#This Row],[_авто утечка]]</f>
        <v>30</v>
      </c>
      <c r="Z13">
        <v>1</v>
      </c>
      <c r="AA13">
        <v>230</v>
      </c>
      <c r="AB13" t="s">
        <v>1260</v>
      </c>
      <c r="AK13" t="str">
        <f>Линии[[#This Row],[_авто модуль]]</f>
        <v/>
      </c>
      <c r="AN13" t="s">
        <v>11</v>
      </c>
      <c r="AO13">
        <v>3</v>
      </c>
      <c r="BA13" cm="1">
        <f t="array" ref="BA13">ROW()-ROW(Линии[#Headers])</f>
        <v>11</v>
      </c>
      <c r="BC13" s="6" t="str">
        <f t="shared" si="5"/>
        <v>ПН</v>
      </c>
      <c r="BD13" t="str">
        <f t="shared" si="6"/>
        <v>0.002.1</v>
      </c>
      <c r="BE13" t="str">
        <f t="shared" si="7"/>
        <v>0</v>
      </c>
      <c r="BF13" t="str">
        <f t="shared" si="8"/>
        <v>002.1</v>
      </c>
      <c r="BG13" t="str">
        <f t="shared" si="9"/>
        <v>002</v>
      </c>
      <c r="BH13" t="str">
        <f>IF(X13&lt;&gt;"",X13,IF(AND(B13&lt;&gt;"",B13&lt;&gt;A13,ISNUMBER(_xlfn.XMATCH(B13,Щиты[Щит]))),B13,""))</f>
        <v/>
      </c>
      <c r="BI13" t="str" cm="1">
        <f t="array" ref="BI13">IF(B13="","",IF(BH13&lt;&gt;"","Щит "&amp;BH13,_xlfn.LET(_xlpm.nm,IFERROR(_xlfn.XLOOKUP(BC13,Коды_код,Коды_имя)&amp;"",""),_xlpm.md,IFERROR(N(_xlfn.XLOOKUP(BC13,Коды_код,Коды_режим)),1),_xlpm.ex,IF(Имя_режим="по экспликации",IFERROR(_xlfn.XLOOKUP(BE13&amp;"|"&amp;BG13,Экспликация[Этаж]&amp;"|"&amp;Экспликация[Помещение],Экспликация[Название])&amp;"",""),""),_xlpm.rm,IF(BG13="","",IF(_xlpm.ex&lt;&gt;"",". "&amp;_xlpm.ex&amp;IF(Имя_пом="нет"," ("&amp;BG13&amp;")"," (пом. "&amp;BG13&amp;")"),IF(Имя_пом="нет"," ",", пом. ")&amp;BG13)),IF(_xlpm.nm="","",IF(_xlpm.md=2,_xlpm.nm&amp;" шлейф "&amp;BE13,_xlpm.nm&amp;_xlpm.rm)))))</f>
        <v>Проточный водонагреватель, пом. 002</v>
      </c>
      <c r="BJ13" t="str">
        <f t="shared" si="10"/>
        <v>Проточный водонагреватель, пом. 002</v>
      </c>
      <c r="BK13">
        <f>IFERROR(_xlfn.XMATCH(A13,Щиты[Щит]),0)</f>
        <v>1</v>
      </c>
      <c r="BL13">
        <f>_xlfn.LET(_xlpm.k,IFERROR(_xlfn.XLOOKUP(A13,Щиты[Щит],Щиты[Мест под вводной узел]),""),IF(_xlpm.k="",Столбцов_на_лист,N(_xlpm.k)))</f>
        <v>4</v>
      </c>
      <c r="BM13">
        <f t="shared" si="11"/>
        <v>27</v>
      </c>
      <c r="BN13" t="str">
        <f t="shared" si="12"/>
        <v>линии</v>
      </c>
      <c r="BO13" s="6">
        <f>IFERROR(N(_xlfn.XLOOKUP(BC13,Коды_код,Коды_квт)),0)</f>
        <v>0</v>
      </c>
      <c r="BP13">
        <f t="shared" si="13"/>
        <v>0</v>
      </c>
      <c r="BQ13" t="str">
        <f>IF(B13="","",IF(BH13&lt;&gt;"",IFERROR(_xlfn.XLOOKUP(BH13,Щиты[Щит],Щиты[Руст, кВт]),0),IF(BP13=1,IF(OR(N(_xlfn.XLOOKUP(A13,Щиты[Щит],Щиты[Вводов],1))&lt;=1,LOWER(TRIM(_xlfn.XLOOKUP(A13,Щиты[Щит],Щиты[АВР],"")&amp;""))="да"),IFERROR(_xlfn.XLOOKUP(A13,Щиты[Щит],Щиты[Руст, кВт]),0),SUMIFS(Линии[_Р для вводов],Линии[Щит],A13,Линии[Источник для режимов],GF13)),IF(BO13&gt;0,ROUND(BO13*MAX(1,N(D13)),3),""))))</f>
        <v/>
      </c>
      <c r="BR13">
        <f t="shared" si="14"/>
        <v>5</v>
      </c>
      <c r="BS13" s="6">
        <f>IF(B13="","",IF(BH13&lt;&gt;"",IFERROR(_xlfn.XLOOKUP(BH13,Щиты[Щит],Щиты[Руст, кВт]),0),N(BR13)))</f>
        <v>5</v>
      </c>
      <c r="BT13" t="str">
        <f>IF(B13="","",IFERROR(IF(VLOOKUP(BC13,Потребители_обозначение,8,FALSE)=0,"",VLOOKUP(BC13,Потребители_обозначение,8,FALSE)),""))</f>
        <v/>
      </c>
      <c r="BU13">
        <f t="shared" si="15"/>
        <v>230</v>
      </c>
      <c r="BV13">
        <f t="shared" si="16"/>
        <v>0</v>
      </c>
      <c r="BW13">
        <f>IF(B13="","",IF(BH13&lt;&gt;"",3,IFERROR(IF(N(VLOOKUP(BC13,Потребители_обозначение,9,FALSE))=0,1,VLOOKUP(BC13,Потребители_обозначение,9,FALSE)),1)))</f>
        <v>1</v>
      </c>
      <c r="BX13">
        <f t="shared" si="17"/>
        <v>1</v>
      </c>
      <c r="BY13" t="str">
        <f>IF(B13="","",_xlfn.LET(_xlpm.bc,IFERROR(IF(VLOOKUP(BC13,Потребители_обозначение,6,FALSE)=0,"",VLOOKUP(BC13,Потребители_обозначение,6,FALSE)&amp;""),""),IF(AND(GA13="да",OR(_xlpm.bc="",_xlpm.bc="мс")),Марка_пож,IF(AND(_xlpm.bc="",BH13&lt;&gt;""),"мс",_xlpm.bc))))</f>
        <v>мс</v>
      </c>
      <c r="BZ13" t="str">
        <f t="shared" si="18"/>
        <v>мс</v>
      </c>
      <c r="CA13">
        <f>IF(B13="","",_xlfn.LET(_xlpm.cc,IFERROR(N(VLOOKUP(BC13,Потребители_обозначение,7,FALSE)),0),IF(_xlpm.cc&gt;0,_xlpm.cc,IF(BZ13="","",IF(BV13=1,2,IF(N(BX13)=3,5,3))))))</f>
        <v>3</v>
      </c>
      <c r="CB13">
        <f t="shared" si="19"/>
        <v>3</v>
      </c>
      <c r="CC13">
        <f>IFERROR(N(VLOOKUP(BC13,Потребители_обозначение,10,FALSE)),0)</f>
        <v>0</v>
      </c>
      <c r="CD13">
        <f>IFERROR(VLOOKUP(BC13,Потребители_обозначение,5,FALSE),0)</f>
        <v>1</v>
      </c>
      <c r="CE13" s="6" cm="1">
        <f t="array" ref="CE13">IF(B13="","",IF(BH13&lt;&gt;"",IFERROR(_xlfn.XLOOKUP(BH13,Щиты[Щит],Щиты[cos φ]),0.95),IF(BP13=1,IFERROR(_xlfn.XLOOKUP(A13,Щиты[Щит],Щиты[cos φ]),0.95),IF(ISNUMBER(AD13),AD13,IFERROR(IF(CD13=2,_xlfn.IFS(BX13=3,VLOOKUP(BS13,Справочная_двигатели,8,FALSE),BX13=1,VLOOKUP(BS13,Справочная_двигатели,10,TRUE)),IF(AND(Методика="нормы 2026",FG13="Сил"),0.8,0.95)),0.95)))))</f>
        <v>0.95</v>
      </c>
      <c r="CF13">
        <f t="shared" si="20"/>
        <v>0</v>
      </c>
      <c r="CG13">
        <f t="shared" si="21"/>
        <v>1</v>
      </c>
      <c r="CH13">
        <f t="shared" si="22"/>
        <v>0</v>
      </c>
      <c r="CI13">
        <f>IF(B13="","",IF(BV13=1,IFERROR(BS13/((Uн_лин/SQRT(3))*MAX(0.5,N(CE13))),0),N(O13)))</f>
        <v>22.790142204853648</v>
      </c>
      <c r="CJ13">
        <f t="shared" si="23"/>
        <v>0</v>
      </c>
      <c r="CK13">
        <f t="shared" si="24"/>
        <v>0</v>
      </c>
      <c r="CL13">
        <f t="shared" si="25"/>
        <v>0</v>
      </c>
      <c r="CM13">
        <f t="shared" si="26"/>
        <v>0</v>
      </c>
      <c r="CN13">
        <f t="shared" si="27"/>
        <v>0</v>
      </c>
      <c r="CO13">
        <f>IF(BC13="",0,_xlfn.LET(_xlpm.v,IFERROR(_xlfn.XLOOKUP(B13,Коды_код,Коды_мА),IFERROR(_xlfn.XLOOKUP(BC13,Коды_код,Коды_мА),IFERROR(_xlfn.XLOOKUP(LEFT(BC13,2),Коды_код,Коды_мА),""))),IF(_xlpm.v="да",30,IF(ISNUMBER(_xlpm.v),_xlpm.v,0))))</f>
        <v>30</v>
      </c>
      <c r="CP13">
        <f t="shared" si="28"/>
        <v>30</v>
      </c>
      <c r="CQ13" t="str">
        <f>_xlfn.LET(_xlpm.k,IFERROR(_xlfn.XLOOKUP(BC13,Коды_код,Коды_утечка)&amp;"",""),IF(_xlpm.k="","дифавтомат",_xlpm.k))</f>
        <v>дифавтомат</v>
      </c>
      <c r="CR13" t="str" cm="1">
        <f t="array" ref="CR13">IF(CG13=0,"",_xlfn.LET(_xlpm.sg,TRIM(_xlfn.TEXTSPLIT(DD13&amp;"",";")),_xlpm.f_,_xlfn._xlws.FILTER(_xlpm.sg,LEFT(_xlpm.sg,3)="УЗО",""),IFERROR(INDEX(_xlpm.f_,1)&amp;"","")))</f>
        <v/>
      </c>
      <c r="CS13" t="str">
        <f t="shared" si="29"/>
        <v/>
      </c>
      <c r="CT13" s="6" t="str" cm="1">
        <f t="array" ref="CT13">IF(CR13="","",_xlfn.LET(_xlpm.tk,_xlfn.TEXTSPLIT(UPPER(CR13)," ",,TRUE),_xlpm.a_,_xlfn._xlws.FILTER(_xlpm.tk,ISNUMBER(--LEFT(_xlpm.tk,1))*((ISNUMBER(SEARCH("А",_xlpm.tk))+ISNUMBER(SEARCH("A",_xlpm.tk)))&gt;0)*NOT(ISNUMBER(SEARCH("МА",_xlpm.tk)))*NOT(ISNUMBER(SEARCH("MA",_xlpm.tk))),""),IFERROR(--SUBSTITUTE(SUBSTITUTE(INDEX(_xlpm.a_,1),"А",""),"A",""),"")))</f>
        <v/>
      </c>
      <c r="CU13" t="str" cm="1">
        <f t="array" ref="CU13">IF(CR13="","",_xlfn.LET(_xlpm.tk,_xlfn.TEXTSPLIT(UPPER(CR13)," ",,TRUE),_xlpm.a_,_xlfn._xlws.FILTER(_xlpm.tk,ISNUMBER(--LEFT(_xlpm.tk,1))*((ISNUMBER(SEARCH("МА",_xlpm.tk))+ISNUMBER(SEARCH("MA",_xlpm.tk)))&gt;0),""),IFERROR(--SUBSTITUTE(SUBSTITUTE(INDEX(_xlpm.a_,1),"МА",""),"MA",""),30)))</f>
        <v/>
      </c>
      <c r="CV13" t="str">
        <f>IF(CS13="","",IFERROR(_xlfn.XLOOKUP(CS13,Линии[_n],Линии[_УЗО, мА]),30))</f>
        <v/>
      </c>
      <c r="CW13">
        <f>IF(CS13="",0,IF(ISNUMBER(SEARCH("4P",IFERROR(_xlfn.XLOOKUP(CS13,Линии[_n],Линии[_УЗО строки])&amp;"",""))),0,1))</f>
        <v>0</v>
      </c>
      <c r="CX13" t="str">
        <f>IF(AND(CS13&lt;&gt;"",CS13=BA13),SUMIFS(Линии[_ток на 230 В],Линии[_блок УЗО],BA13,Линии[Щит],A13),"")</f>
        <v/>
      </c>
      <c r="CY13" t="str">
        <f>IF(AND(CS13&lt;&gt;"",CS13=BA13),SUMIFS(Линии[_ток утечки линии, мА],Линии[_блок УЗО],BA13,Линии[Щит],A13),"")</f>
        <v/>
      </c>
      <c r="CZ13">
        <f t="shared" si="30"/>
        <v>30</v>
      </c>
      <c r="DA13">
        <f t="shared" si="31"/>
        <v>30</v>
      </c>
      <c r="DB13">
        <f>IF(B13="",0,IFERROR(--_xlfn.XLOOKUP(B13,Коды_код,Коды_минавт),IFERROR(--_xlfn.XLOOKUP(BC13,Коды_код,Коды_минавт),IFERROR(--_xlfn.XLOOKUP(LEFT(BC13,2),Коды_код,Коды_минавт),0))))</f>
        <v>0</v>
      </c>
      <c r="DC13" t="str">
        <f>IF(B13="","",IFERROR(_xlfn.XLOOKUP(BC13,Коды_код,Коды_апп)&amp;"",""))</f>
        <v/>
      </c>
      <c r="DD13" t="str">
        <f t="shared" si="32"/>
        <v/>
      </c>
      <c r="DE13" t="str" cm="1">
        <f t="array" ref="DE13">IF(TRIM(DD13&amp;"")="","",IFERROR(TRIM(INDEX(_xlfn.TEXTSPLIT(DD13&amp;";;;",";"),1)),""))</f>
        <v/>
      </c>
      <c r="DF13" t="str" cm="1">
        <f t="array" ref="DF13">IF(TRIM(DD13&amp;"")="","",IFERROR(TRIM(INDEX(_xlfn.TEXTSPLIT(DD13&amp;";;;",";"),2)),""))</f>
        <v/>
      </c>
      <c r="DG13" t="str" cm="1">
        <f t="array" ref="DG13">IF(TRIM(DD13&amp;"")="","",IFERROR(TRIM(INDEX(_xlfn.TEXTSPLIT(DD13&amp;";;;",";"),3)),""))</f>
        <v/>
      </c>
      <c r="DH13">
        <f t="shared" si="33"/>
        <v>0</v>
      </c>
      <c r="DI13" t="str">
        <f>IF(B13="","",_xlfn.LET(_xlpm.t,LOWER(AZ13&amp;""),IF(ISNUMBER(SEARCH("dim",_xlpm.t)),"DIM",IF(ISNUMBER(SEARCH("dali",_xlpm.t)),"DALI",IF(OR(ISNUMBER(SEARCH("relay",_xlpm.t)),ISNUMBER(SEARCH("реле",_xlpm.t))),"Relay",IF(ISNUMBER(SEARCH("кнопк",_xlpm.t)),"",IFERROR(_xlfn.XLOOKUP(BC13,Коды_код,Коды_упр)&amp;"","")))))))</f>
        <v/>
      </c>
      <c r="DJ13" t="str">
        <f t="shared" si="34"/>
        <v/>
      </c>
      <c r="DK13">
        <f>IF(B13="","",_xlfn.LET(_xlpm.ig,IF(N(CX13)&gt;0,N(CX13),N(CI13)+IF(AJ13="вручную",0,N(CJ13))),_xlpm.n0,IFERROR(VLOOKUP(_xlpm.ig,Автомат_номиналы,2,TRUE),0),_xlpm.mn,MAX(DB13,IF(AJ13="вручную",0,N(CM13))),MAX(_xlpm.n0,_xlpm.mn,IF(DH13=1,Мин_автомат_БП,0))))</f>
        <v>32</v>
      </c>
      <c r="DL13">
        <f t="shared" si="35"/>
        <v>1</v>
      </c>
      <c r="DM13" t="str">
        <f t="shared" si="36"/>
        <v>2P</v>
      </c>
      <c r="DN13" t="str">
        <f>_xlfn.LET(_xlpm.cc,UPPER(TRIM(IFERROR(_xlfn.XLOOKUP(BC13,Коды_код,Коды_хар)&amp;"",""))),IF(OR(_xlpm.cc="B",_xlpm.cc="В"),"B",IF(_xlpm.cc="D","D","С")))</f>
        <v>С</v>
      </c>
      <c r="DO13" t="str">
        <f t="shared" si="37"/>
        <v>2P С32А 30мА</v>
      </c>
      <c r="DP13">
        <f t="shared" si="38"/>
        <v>32</v>
      </c>
      <c r="DQ13" t="str">
        <f t="shared" si="39"/>
        <v>2P С32А 30мА</v>
      </c>
      <c r="DR13" cm="1">
        <f t="array" ref="DR13">IF(DQ13="","",_xlfn.LET(_xlpm.t,SUBSTITUTE(SUBSTITUTE(SUBSTITUTE(UPPER(DQ13),"С","C"),"А","A"),"В","B"),_xlpm.tk,_xlfn.TEXTSPLIT(_xlpm.t," "),_xlpm.f,_xlfn._xlws.FILTER(_xlpm.tk,ISNUMBER(--MID(_xlpm.tk,2,1))*ISNUMBER(SEARCH(LEFT(_xlpm.tk,1)&amp;"#","B#C#D#"))*(LEN(_xlpm.tk)&gt;1),""),_xlpm.x,INDEX(_xlpm.f,1),IFERROR(--SUBSTITUTE(MID(_xlpm.x,2,9),"A",""),IFERROR(--SUBSTITUTE(INDEX(_xlfn._xlws.FILTER(_xlpm.tk,ISNUMBER(--SUBSTITUTE(_xlpm.tk,"A","")),""),1),"A",""),""))))</f>
        <v>32</v>
      </c>
      <c r="DS13" t="str">
        <f t="shared" si="40"/>
        <v>ok</v>
      </c>
      <c r="DT13">
        <f t="shared" si="41"/>
        <v>32</v>
      </c>
      <c r="DU13" t="str">
        <f t="shared" si="42"/>
        <v>2P С32А 30мА</v>
      </c>
      <c r="DV13">
        <f t="shared" si="43"/>
        <v>30</v>
      </c>
      <c r="DW13">
        <f t="shared" si="44"/>
        <v>1</v>
      </c>
      <c r="DX13">
        <f t="shared" si="45"/>
        <v>0</v>
      </c>
      <c r="DY13">
        <f t="shared" si="46"/>
        <v>22.790142204853648</v>
      </c>
      <c r="DZ13">
        <f t="shared" si="47"/>
        <v>1</v>
      </c>
      <c r="EA13">
        <f>IF(ISNUMBER(AP13),AP13,К_прокл)</f>
        <v>1</v>
      </c>
      <c r="EB13">
        <f t="shared" si="48"/>
        <v>2</v>
      </c>
      <c r="EC13">
        <f>IFERROR(N(VLOOKUP(BZ13,Кабель_обозначение,3,FALSE)),1)</f>
        <v>1</v>
      </c>
      <c r="ED13">
        <f>IFERROR(N(_xlfn.XLOOKUP(A13,Щиты[Щит],Щиты[ΔU до шин, %])),0)</f>
        <v>0.3660288498727976</v>
      </c>
      <c r="EE13">
        <f>IFERROR(_xlfn.XLOOKUP(A13,Щиты[Щит],Щиты[Zпетли на шинах, Ом]),"")</f>
        <v>0.13597829354840207</v>
      </c>
      <c r="EF13">
        <f>IFERROR(N(_xlfn.XLOOKUP(A13,Щиты[Щит],Щиты[ΔU до шин (подбор), %])),0)</f>
        <v>0.3660288498727976</v>
      </c>
      <c r="EG13">
        <f>IFERROR(_xlfn.XLOOKUP(A13,Щиты[Щит],Щиты[Zпетли на шинах (подбор), Ом]),"")</f>
        <v>0.13597829354840207</v>
      </c>
      <c r="EH13" t="str">
        <f t="shared" si="49"/>
        <v/>
      </c>
      <c r="EI13">
        <f t="shared" si="50"/>
        <v>10</v>
      </c>
      <c r="EJ13">
        <f t="shared" si="51"/>
        <v>2</v>
      </c>
      <c r="EK13">
        <f t="shared" si="52"/>
        <v>0.31</v>
      </c>
      <c r="EL13" s="6">
        <f>IF(B13="","",IF(BV13=1,dU_LED,IF(IFERROR(_xlfn.XLOOKUP(BC13,Коды_код,Коды_уго),"")="Светильник",3,4)+IF(Методика="нормы 2026",MIN(0.5,MAX(0,N(P13)-100)*0.005),0)))</f>
        <v>4</v>
      </c>
      <c r="EM13" cm="1">
        <f t="array" ref="EM13">IF(OR(B13="",BZ13="",EC13&lt;&gt;1),"",_xlfn.LET(_xlpm.sz,Iдоп_S,_xlpm.t_,CHOOSE(EB13,Iдоп_1ж,Iдоп_2ж,Iдоп_3ж)*DZ13*EA13,_xlpm.dcx,BV13=1,_xlpm.inn,IF(_xlpm.dcx,N(O13),N(DT13)),_xlpm.smin,MAX(1.5,CC13),_xlpm.L_,N(P13)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13)/N(BU13)*100,999),IFERROR(N(EJ13)*(_xlpm.rho*_xlpm.L_/_xlpm.sz*N(CE13)+_xlpm.xx*_xlpm.L_*N(EK13)/1000)*N(O13)/((Uн_лин/SQRT(3))*1000)*100,999)),_xlpm.kz,IF(OR(_xlpm.dcx,DW13=1,NOT(ISNUMBER(EG13)),_xlpm.L_=0,_xlpm.inn=0),1,IFERROR(--(c_min*(Uн_лин*1000/SQRT(3))/(EG13+2*ρкз_Cu*_xlpm.L_/_xlpm.sz)&gt;=HT13*_xlpm.inn),0)),_xlpm.ok,IFERROR((_xlpm.sz&gt;=_xlpm.smin)*(_xlpm.t_&gt;=_xlpm.inn)*IF(_xlpm.L_&gt;0,(_xlpm.du_+IF(_xlpm.dcx,0,EF13)&lt;=EL13+0.00001),1)*_xlpm.kz,0),_xlpm.r_,_xlfn._xlws.FILTER(_xlpm.sz,_xlpm.ok,"не подобрано"),INDEX(_xlpm.r_,1)))</f>
        <v>4</v>
      </c>
      <c r="EN13">
        <f t="shared" si="53"/>
        <v>6</v>
      </c>
      <c r="EO13" cm="1">
        <f t="array" ref="EO13">IF(OR(B13="",BZ13="",EC13&lt;&gt;1),"",_xlfn.LET(_xlpm.sz,Iдоп_S,_xlpm.t_,CHOOSE(EB13,Iдоп_1ж,Iдоп_2ж,Iдоп_3ж)*DZ13*EA13,_xlpm.ok,IFERROR((_xlpm.sz&gt;=MAX(1.5,CC13))*(_xlpm.t_&gt;=N(DT13)),0),_xlpm.r_,_xlfn._xlws.FILTER(_xlpm.sz,_xlpm.ok,""),INDEX(_xlpm.r_,1)))</f>
        <v>4</v>
      </c>
      <c r="EP13" s="6" cm="1">
        <f t="array" ref="EP13">IFERROR(ROUNDUP(N(EJ13)*(_xlfn.XLOOKUP(EO13,INDEX(Кабель_сопротивление,0,1),INDEX(Кабель_сопротивление,0,3))*N(P13)/EO13*N(CE13)+_xlfn.XLOOKUP(EO13,INDEX(Кабель_сопротивление,0,1),INDEX(Кабель_сопротивление,0,2))*N(P13)*N(EK13)/1000)*N(O13)/((Uн_лин/SQRT(3))*1000)*100,2),"")</f>
        <v>1.17</v>
      </c>
      <c r="EQ13">
        <f>IFERROR(2*ρкз_Cu*N(P13)/EO13,"")</f>
        <v>0.14465</v>
      </c>
      <c r="ER13">
        <f>IFERROR(VLOOKUP(EN13,Кабель_сопротивление,3,FALSE),"")</f>
        <v>2.2499999999999999E-2</v>
      </c>
      <c r="ES13">
        <f>IFERROR(VLOOKUP(EN13,Кабель_сопротивление,2,FALSE),"")</f>
        <v>0.09</v>
      </c>
      <c r="ET13" t="str">
        <f t="shared" si="54"/>
        <v/>
      </c>
      <c r="EU13" t="str">
        <f t="shared" si="55"/>
        <v/>
      </c>
      <c r="EV13">
        <f t="shared" si="56"/>
        <v>1.8001659845907438</v>
      </c>
      <c r="EW13" s="6">
        <f>IFERROR(ROUNDUP(EV13/IF(BV13=1,BU13,(Uн_лин/SQRT(3))*1000)*100,2),"")</f>
        <v>0.78</v>
      </c>
      <c r="EX13" t="str">
        <f>IFERROR(VLOOKUP(BZ13,Кабель_обозначение,2,FALSE),"")</f>
        <v>ВВГнг(А)-LS</v>
      </c>
      <c r="EY13" t="str">
        <f t="shared" si="57"/>
        <v>ВВГнг(А)-LS (3х6)</v>
      </c>
      <c r="EZ13" t="str">
        <f t="shared" si="58"/>
        <v>ВВГнг(А)-LS (3х6)
L=11-0,78%</v>
      </c>
      <c r="FA13">
        <f>IFERROR(2*ρкз_Cu*P13/EN13,"")</f>
        <v>9.6433333333333329E-2</v>
      </c>
      <c r="FB13">
        <f t="shared" si="59"/>
        <v>3.2083333333333332E-2</v>
      </c>
      <c r="FC13" s="6">
        <f>IFERROR(IF(OR(B13="",BV13=1,NOT(ISNUMBER(EN13)),N(P13)=0),"",_xlfn.XLOOKUP(A13,Щиты[Щит],Щиты[Zпетли на шинах, Ом])+FA13),"")</f>
        <v>0.23241162688173539</v>
      </c>
      <c r="FD13" s="6">
        <f>IF(ISNUMBER(FC13),c_min*(Uн_лин*1000/SQRT(3))/FC13,"")</f>
        <v>943.98505460184151</v>
      </c>
      <c r="FE13" s="6">
        <f>IFERROR(IF(OR(B13="",NOT(ISNUMBER(EN13))),"",1.05*(Uн_лин*1000/SQRT(3))/(_xlfn.XLOOKUP(A13,Щиты[Щит],Щиты[Zmax на шинах, Ом])+FB13)/1000),"")</f>
        <v>3.3015316477945449</v>
      </c>
      <c r="FF13" s="6" t="str">
        <f>IF(B13="","",IF(ISNUMBER(AC13),"Сил",IF(IFERROR(_xlfn.XLOOKUP(BC13,Коды_код,Коды_группа)&amp;"","")="","Быт",_xlfn.XLOOKUP(BC13,Коды_код,Коды_группа)&amp;"")))</f>
        <v>Быт</v>
      </c>
      <c r="FG13" s="6" t="str">
        <f t="shared" si="60"/>
        <v>ВНГ</v>
      </c>
      <c r="FH13" s="6">
        <f>IF(FG13="Щит","щит",IF(FG13="","",IF(FG13="Быт",IFERROR(_xlfn.XLOOKUP(A13,Щиты[Щит],Щиты[Кс быт]),1),IF(FG13="Сил",IF(ISNUMBER(AC13),AC13,IF(Методика="нормы 2026",IFERROR(_xlfn.XLOOKUP(A13,Щиты[Щит],Щиты[Кс силовых (табл. 7.5)]),1),1)),IF(OR(FG13="Пост",FG13="Отоп"),1,IF(FG13="ВНГ",0.7,0))))))</f>
        <v>0.7</v>
      </c>
      <c r="FI13">
        <f>IF(FG13="","",IF(AND(BP13=1,TRIM(AE13&amp;"")=""),IF(COUNTIFS(Линии[Щит],A13,Линии[Секция (1/2/3)],"&gt;=2")&gt;0,MIN(3,MAX(1,IFERROR(--BD13,1))),1),IFERROR(MIN(3,MAX(1,INT(--AE13))),1)))</f>
        <v>1</v>
      </c>
      <c r="FJ13">
        <f t="shared" si="61"/>
        <v>5</v>
      </c>
      <c r="FK13">
        <f t="shared" si="62"/>
        <v>0</v>
      </c>
      <c r="FL13">
        <f t="shared" si="63"/>
        <v>0</v>
      </c>
      <c r="FM13">
        <f t="shared" si="64"/>
        <v>0</v>
      </c>
      <c r="FN13">
        <f t="shared" si="65"/>
        <v>0</v>
      </c>
      <c r="FO13">
        <f t="shared" si="66"/>
        <v>3.5</v>
      </c>
      <c r="FP13">
        <f t="shared" si="67"/>
        <v>5</v>
      </c>
      <c r="FQ13">
        <f t="shared" si="68"/>
        <v>5</v>
      </c>
      <c r="FR13">
        <f t="shared" si="69"/>
        <v>4.75</v>
      </c>
      <c r="FS13">
        <f>IF(CG13=1,IF(AND(CH13=1,CW13=1),0,IF(AND(CS13&lt;&gt;"",CS13=BA13,CW13=1),SUMIFS(Линии[_Р линии, кВт],Линии[_блок УЗО],BA13,Линии[Щит],A13),N(BS13)+IF(AJ13="вручную",0,N(CK13)))),0)</f>
        <v>5</v>
      </c>
      <c r="FT13" t="str">
        <f t="shared" si="70"/>
        <v/>
      </c>
      <c r="FU13" t="str">
        <f>IF(B13="","",IF(CG13=0,IF(BA13=1,"",FW12),IF(AND(CH13=1,CW13=1,CS13&lt;&gt;""),IFERROR(_xlfn.XLOOKUP(CS13,Линии[_n],Линии[_фаза итог]),"L1"),IF(OR(N(DL13)&gt;=3,N(BX13)&gt;=3),"L1,L2,L3",IFERROR(_xlfn.TEXTBEFORE(_xlfn.TEXTAFTER(_xlfn.XLOOKUP(A13,Щиты[Щит],Щиты[_фазы авто]),";"&amp;BA13&amp;":"),";"),"L1")))))</f>
        <v>L1</v>
      </c>
      <c r="FV13" t="str">
        <f t="shared" si="71"/>
        <v>L1</v>
      </c>
      <c r="FW13" t="str">
        <f t="shared" si="72"/>
        <v>L1</v>
      </c>
      <c r="FX13" cm="1">
        <f t="array" ref="FX13">IFERROR(IF(CD13=2,_xlfn.IFS(BX13=3,VLOOKUP(BS13,Справочная_двигатели,3,FALSE),BX13=1,VLOOKUP(BS13,Справочная_двигатели,5,TRUE)),0),0)</f>
        <v>0</v>
      </c>
      <c r="FY13">
        <f>IFERROR(IF(CD13=3,VLOOKUP(BS13,Справочная_ЛЭД,2,TRUE),0),0)</f>
        <v>0</v>
      </c>
      <c r="FZ13" s="6">
        <f t="shared" si="73"/>
        <v>0</v>
      </c>
      <c r="GA13" t="str">
        <f>IF(B13="","",IF(TRIM(AH13&amp;"")&lt;&gt;"",IF(LOWER(TRIM(AH13&amp;""))="да","да","нет"),IF(IFERROR(_xlfn.XLOOKUP(BC13,Коды_код,Коды_пожарная),"")="да","да","нет")))</f>
        <v>нет</v>
      </c>
      <c r="GB13" t="str">
        <f t="shared" si="74"/>
        <v/>
      </c>
      <c r="GC13" t="str">
        <f t="shared" si="75"/>
        <v>основная</v>
      </c>
      <c r="GD13">
        <f>IF(AND(BP13=1,TRIM(AE13&amp;"")=""),IF(COUNTIFS(Линии[Щит],A13,Линии[Секция (1/2/3)],"&gt;=2")&gt;0,MIN(3,MAX(1,IFERROR(--BD13,1))),1),IFERROR(MIN(3,MAX(1,INT(--AE13))),1))</f>
        <v>1</v>
      </c>
      <c r="GE13" t="str" cm="1">
        <f t="array" ref="GE13">IF(B13="","",_xlfn.LET(_xlpm.t,IFERROR(_xlfn.XLOOKUP(1,(Шины[Шина]=GC13)*(((Шины[Щит]=A13)+(Шины[Щит]=""))&gt;0),Шины[Тип]),"")&amp;"",IF(_xlpm.t&lt;&gt;"",_xlpm.t,IF(ISNUMBER(SEARCH("ИБП",GC13)),"ИБП",IF(ISNUMBER(SEARCH("ДГУ",GC13)),"ДГУ","Ввод "&amp;GD13)))))</f>
        <v>Ввод 1</v>
      </c>
      <c r="GF13" t="str">
        <f t="shared" si="76"/>
        <v>Ввод 1</v>
      </c>
      <c r="GG13" t="str">
        <f>IF(BP13=0,"",IF(TRIM(AG13&amp;"")&lt;&gt;"",TRIM(AG13&amp;""),IF(OR(GE13="ИБП",GE13="ДГУ"),"I особая",_xlfn.XLOOKUP(A13,Щиты[Щит],Щиты[Категория шины «Ввод»],"III"))))</f>
        <v/>
      </c>
      <c r="GH13" t="str">
        <f>IF(A13="","",_xlfn.XLOOKUP(A13,Щиты[Щит],Щиты[Путь],""))</f>
        <v>|ВРУ|</v>
      </c>
      <c r="GI13" t="str">
        <f>IF(B13="","",IF(AI13&lt;&gt;"",AI13,IF(IFERROR(_xlfn.XLOOKUP(BC13,Коды_код,Коды_вид)&amp;"","")="","Прочее",_xlfn.XLOOKUP(BC13,Коды_код,Коды_вид)&amp;"")))</f>
        <v>Водонагреватели</v>
      </c>
      <c r="GJ13">
        <f>IF(BM13="","",INT((BM13-1)/Столбцов_на_лист)+1)</f>
        <v>2</v>
      </c>
      <c r="GK13" t="str">
        <f t="shared" si="77"/>
        <v>ВВГнг(А)-LS (3х6) L=11-0,78%</v>
      </c>
      <c r="GL13">
        <f t="shared" si="78"/>
        <v>5</v>
      </c>
      <c r="GM13">
        <f t="shared" si="79"/>
        <v>22.8</v>
      </c>
      <c r="GN13">
        <f t="shared" si="80"/>
        <v>1</v>
      </c>
      <c r="GO13">
        <f t="shared" si="81"/>
        <v>0</v>
      </c>
      <c r="GP13">
        <f t="shared" si="82"/>
        <v>1</v>
      </c>
      <c r="GQ13">
        <f>IF(BM13="","",IF(AND(CG13=1,GP13=1),COUNTIFS(A$3:A13,A13,CG$3:CG13,1,GP$3:GP13,1),IF(OR(OR(BA13=1,A13&lt;&gt;A12),AJ13="вручную",GP13=0),"",IF(BA13=1,"",GR12))))</f>
        <v>9</v>
      </c>
      <c r="GR13">
        <f t="shared" si="83"/>
        <v>9</v>
      </c>
      <c r="GS13">
        <f>IF(B13="","",IFERROR(LOOKUP(INDEX(CHOOSE(EB13,Iдоп_1ж,Iдоп_2ж,Iдоп_3ж),MATCH(EN13,Iдоп_S,0))*DZ13*EA13,{6,10,16,20,25,32,40,50,63,80,100,125,160,200,250,315,400,500,630}),""))</f>
        <v>50</v>
      </c>
      <c r="GT13" t="str">
        <f t="shared" si="84"/>
        <v>QFD9</v>
      </c>
      <c r="GU13" t="str">
        <f t="shared" si="85"/>
        <v>QFD9</v>
      </c>
      <c r="GV13" t="str">
        <f t="shared" si="86"/>
        <v/>
      </c>
      <c r="GW13">
        <f t="shared" si="87"/>
        <v>0</v>
      </c>
      <c r="GX13" t="str">
        <f>IF(OR(B13="",DJ13=""),"",IFERROR(_xlfn.XLOOKUP(DJ13,Модули_умолч[Управление],Модули_умолч[Модель])&amp;"",""))</f>
        <v/>
      </c>
      <c r="GY13">
        <f>IF(DJ13="",1,IFERROR(MAX(0,N(_xlfn.XLOOKUP(DJ13,Модули_умолч[Управление],Модули_умолч[Каналов на линию]))),1))</f>
        <v>1</v>
      </c>
      <c r="GZ13" t="str">
        <f t="shared" si="88"/>
        <v/>
      </c>
      <c r="HA13" t="str">
        <f t="shared" si="89"/>
        <v/>
      </c>
      <c r="HB13" t="str">
        <f t="shared" si="90"/>
        <v/>
      </c>
      <c r="HC13">
        <f>IF(HB13="",0,IFERROR(N(VLOOKUP(HB13,Модули_спр,3,FALSE)),0))</f>
        <v>0</v>
      </c>
      <c r="HD13" t="str">
        <f t="shared" si="91"/>
        <v/>
      </c>
      <c r="HE13" t="str">
        <f t="shared" si="92"/>
        <v/>
      </c>
      <c r="HF13" t="str">
        <f>IF(OR(HE13="",HE13="-"),"",IFERROR(VLOOKUP(HE13,Модули_спр,2,FALSE),"R"))</f>
        <v/>
      </c>
      <c r="HG13" t="str">
        <f>IF(HF13="","",HF13&amp;"."&amp;COUNTIFS(A$3:A13,A13,HF$3:HF13,HF13))</f>
        <v/>
      </c>
      <c r="HH13" t="str">
        <f t="shared" si="93"/>
        <v/>
      </c>
      <c r="HI13" t="str">
        <f t="shared" si="94"/>
        <v/>
      </c>
      <c r="HJ13" t="str">
        <f t="shared" si="95"/>
        <v/>
      </c>
      <c r="HK13" t="str">
        <f t="shared" si="96"/>
        <v/>
      </c>
      <c r="HL13">
        <f t="shared" si="97"/>
        <v>1</v>
      </c>
      <c r="HM13" t="str">
        <f>IF(HL13=1,"XT"&amp;COUNTIFS(A$3:A13,A13,HL$3:HL13,1),"")</f>
        <v>XT9</v>
      </c>
      <c r="HN13" t="str">
        <f t="shared" si="98"/>
        <v>XT9</v>
      </c>
      <c r="HO13" t="str">
        <f t="shared" si="99"/>
        <v>QFD9</v>
      </c>
      <c r="HP13" t="str">
        <f t="shared" si="100"/>
        <v/>
      </c>
      <c r="HQ13" t="str">
        <f t="shared" si="101"/>
        <v>ok</v>
      </c>
      <c r="HR13" t="str">
        <f>IF(OR(HJ13="",HH13=""),"",IF(HJ13+MAX(0,GY13-1)&gt;IFERROR(VLOOKUP(HI13,Модули_спр,3,FALSE),99),"ЛИШНИЙ КАНАЛ",IF(AND(AL13&lt;&gt;"=",GY13&gt;0,COUNTIFS(Линии[_модуль гр.],HH13,Линии[Канал (итог)],HJ13,Линии[Канал],"&lt;&gt;=",Линии[Щит],A13)&gt;1),"ДУБЛЬ КАНАЛА","")))</f>
        <v/>
      </c>
      <c r="HS13" s="6">
        <f t="shared" si="102"/>
        <v>29.499532956307547</v>
      </c>
      <c r="HT13">
        <f t="shared" si="103"/>
        <v>10</v>
      </c>
      <c r="HU13" t="str">
        <f t="shared" si="104"/>
        <v>ok</v>
      </c>
      <c r="HV13">
        <f t="shared" si="105"/>
        <v>9.2260568819414583</v>
      </c>
      <c r="HW13">
        <f t="shared" si="106"/>
        <v>0</v>
      </c>
      <c r="HX13">
        <f t="shared" si="107"/>
        <v>0</v>
      </c>
      <c r="HY13">
        <f t="shared" si="108"/>
        <v>0</v>
      </c>
      <c r="HZ13">
        <f t="shared" si="109"/>
        <v>0</v>
      </c>
      <c r="IA13">
        <f t="shared" si="110"/>
        <v>0</v>
      </c>
      <c r="IB13">
        <f t="shared" si="111"/>
        <v>0</v>
      </c>
      <c r="IC13" t="str">
        <f t="shared" si="112"/>
        <v/>
      </c>
      <c r="ID13" t="str" cm="1">
        <f t="array" ref="ID13">IF(IC13="","",_xlfn.LET(_xlpm.tk,_xlfn.TEXTSPLIT(SUBSTITUTE(SUBSTITUTE(IC13,";"," "),"→"," ")," ",,TRUE),_xlpm.w_,_xlfn._xlws.FILTER(_xlpm.tk,ISNUMBER(--LEFT(_xlpm.tk,1))*((ISNUMBER(SEARCH("W",_xlpm.tk))+ISNUMBER(SEARCH("Вт",_xlpm.tk)))&gt;0),""),IFERROR(--SUBSTITUTE(SUBSTITUTE(UPPER(INDEX(_xlpm.w_,1)),"W",""),"ВТ",""),"")))</f>
        <v/>
      </c>
      <c r="IE13" t="str" cm="1">
        <f t="array" ref="IE13">IF(IC13="","",_xlfn.LET(_xlpm.tk,_xlfn.TEXTSPLIT(SUBSTITUTE(SUBSTITUTE(IC13,";"," "),"→"," ")," ",,TRUE),_xlpm.v_,_xlfn._xlws.FILTER(_xlpm.tk,ISNUMBER(--LEFT(_xlpm.tk,1))*((ISNUMBER(SEARCH("V",_xlpm.tk))+(RIGHT(UPPER(_xlpm.tk))="В"))&gt;0),""),IFERROR(--SUBSTITUTE(SUBSTITUTE(UPPER(INDEX(_xlpm.v_,1)),"V",""),"В",""),"")))</f>
        <v/>
      </c>
      <c r="IF13" s="6" t="str">
        <f>IF(OR(BV13=0,HI13="",HJ13=""),"",IFERROR(N(_xlfn.XLOOKUP(HI13,Каталог!$C$4:$C$500,Каталог!$Q$4:$Q$500)),""))</f>
        <v/>
      </c>
      <c r="IG13" s="6" t="str">
        <f>IF(N(IF13)=0,"",SUMIFS(Линии[Iр, А],Линии[Щит],A13,Линии[_модуль гр.],HH13,Линии[Канал (итог)],HJ13))</f>
        <v/>
      </c>
      <c r="IH13" t="str">
        <f>IF(AND(B13="",HO13=""),"",_xlfn.TEXTJOIN("; ",TRUE,IF(AND(B13&lt;&gt;"",FV13=""),"нет фазы",""),IF(AND(B13&lt;&gt;"",N(GL13)=0,FG13&lt;&gt;"Нет"),"нет мощности",""),IF(AND(HN13&lt;&gt;"",COUNTIFS(Линии[Щит],A13,Линии[Клемма (итог)],HN13)&gt;1),"дубль клеммы "&amp;HN13,""),IF(AND(HQ13&lt;&gt;"",HQ13&lt;&gt;"ok"),HQ13,""),IF(HR13&lt;&gt;"",HR13,""),IF(AND(N(CB13)&gt;=4,N(BX13)=1),CB13&amp;" жил на 1 фазе",""),IF(AND(BC13="R",CG13=1,IF(CS13&lt;&gt;"",N(CV13)&gt;30,OR(N(DA13)=0,N(DA13)&gt;30))),"розетка без дифзащиты до 30 мА",""),IF(AND(CG13=1,N(DA13)&gt;0,ISNUMBER(T13)),IF(T13&gt;N(DA13)/3,"ток утечки "&amp;FIXED(T13,1)&amp;" мА &gt; 1/3 уставки ("&amp;DA13&amp;" мА)",""),""),IF(AND(CH13=1,CS13=""),"«узо»: нет строки с УЗО выше (УЗО 2P 40А 30мА в «Аппаратах»)",""),IF(AND(CS13&lt;&gt;"",CS13=BA13),IF(CT13="","впишите номинал УЗО (УЗО 2P 40А 30мА)",IF(N(CT13)&lt;N(DT13),"УЗО "&amp;CT13&amp;" А &lt; автомата "&amp;DT13&amp;" А перед ним",IF(N(CT13)&lt;N(CX13),"УЗО "&amp;CT13&amp;" А &lt; тока блока "&amp;FIXED(CX13,1)&amp;" А",""))),""),IF(AND(CS13&lt;&gt;"",CS13=BA13,ISNUMBER(CY13)),IF(CY13&gt;N(CV13)/3,"ток утечки блока УЗО "&amp;FIXED(CY13,1)&amp;" мА &gt; 1/3 уставки ("&amp;CV13&amp;" мА)",""),""),IF(AND(CG13=1,N(BV13)+N(IB13)&gt;0,IC13=""),"линии до 50 В без БП: впишите в «Аппараты» (БП 24V 480W)",""),IF(AND(CG13=1,ISNUMBER(ID13),ISNUMBER(U13)),IF(U13&gt;ID13,"БП "&amp;ID13&amp;" Вт &lt; нужно "&amp;U13&amp;" Вт (×"&amp;Запас_БП&amp;")",""),""),IF(AND(CG13=1,ISNUMBER(IE13),N(BV13)=1),IF(IE13&lt;&gt;N(BU13),"БП на "&amp;IE13&amp;" В, линия "&amp;BU13&amp;" В",""),""),IF(AND(N(IF13)&gt;0,N(IG13)&gt;N(IF13)),HH13&amp;" канал "&amp;HJ13&amp;": "&amp;FIXED(IG13,1)&amp;" А &gt; "&amp;IF13&amp;" А",""),IFERROR(IF(AND(ISNUMBER(Q13),Q13&gt;EL13),"потери "&amp;FIXED(Q13,1)&amp;" % &gt; "&amp;EL13&amp;" %",""),""),IFERROR(IF(LEFT(HU13,4)="мало","Iкз мало — отключение &gt; 0,4 с",""),""),IF(AND(B13&lt;&gt;"",BM13=""),"не на схеме",""),IF(AND(CG13=0,B13&lt;&gt;"",FV13&lt;&gt;"",IF(BA13=1,"",FW12)&lt;&gt;"",FV13&lt;&gt;IF(BA13=1,"",FW12)),"фаза не как у автомата группы ("&amp;IF(BA13=1,"",FW12)&amp;")","")))</f>
        <v/>
      </c>
      <c r="II13" s="6">
        <f>IF(OR(CG13=0,DQ13=""),"",_xlfn.LET(_xlpm.t,IFERROR(_xlfn.XLOOKUP(DQ13,Каталог!$U$4:$U$500,Каталог!$G$4:$G$500),""),_xlpm.k,SEARCH("кА",_xlpm.t),IFERROR(--TRIM(RIGHT(SUBSTITUTE(MID(_xlpm.t,MAX(1,_xlpm.k-4),_xlpm.k-MAX(1,_xlpm.k-4))," ",REPT(" ",9)),5)),"")))</f>
        <v>6</v>
      </c>
      <c r="IJ13" t="str">
        <f>IF(OR(II13="",CG13=0),"",IF(_xlfn.XLOOKUP(A13,Щиты[Щит],Щиты[Iкз max на шинах, кА],"")="","",IF(II13&lt;_xlfn.XLOOKUP(A13,Щиты[Щит],Щиты[Iкз max на шинах, кА]),"Icu "&amp;II13&amp;" кА &lt; Iкз max","ok")))</f>
        <v>ok</v>
      </c>
      <c r="IK13" t="str">
        <f t="shared" si="113"/>
        <v/>
      </c>
      <c r="IL13" t="str">
        <f t="shared" si="114"/>
        <v>QFD9|XT9</v>
      </c>
      <c r="IM13" t="str">
        <f t="shared" si="115"/>
        <v>QFD9|XT9|кабель ВВГнг(А)-LS (3х6) → Проточный водонагреватель, пом. 002</v>
      </c>
      <c r="IN13" t="str" cm="1">
        <f t="array" ref="IN13">IF(IM13="","",_xlfn.LET(_xlpm.nd,_xlfn.TEXTSPLIT(IM13,"|"),IF(COLUMNS(_xlpm.nd)&gt;1,A13&amp;"¦"&amp;INDEX(_xlpm.nd,1)&amp;"¦"&amp;INDEX(_xlpm.nd,2),"")))</f>
        <v>ВРУ¦QFD9¦XT9</v>
      </c>
      <c r="IO13" t="str">
        <f t="shared" si="116"/>
        <v>ПН.0.002.1¦Проточный водонагреватель, пом. 002</v>
      </c>
      <c r="IP13" t="str" cm="1">
        <f t="array" ref="IP13">IF(IM13="","",_xlfn.LET(_xlpm.nd,_xlfn.TEXTSPLIT(IM13,"|"),IF(COLUMNS(_xlpm.nd)&gt;2,A13&amp;"¦"&amp;INDEX(_xlpm.nd,2)&amp;"¦"&amp;INDEX(_xlpm.nd,3),"")))</f>
        <v>ВРУ¦XT9¦кабель ВВГнг(А)-LS (3х6) → Проточный водонагреватель, пом. 002</v>
      </c>
      <c r="IQ13" t="str">
        <f t="shared" si="117"/>
        <v>ПН.0.002.1¦Проточный водонагреватель, пом. 002</v>
      </c>
      <c r="IR13" t="str" cm="1">
        <f t="array" ref="IR13">IF(IM13="","",_xlfn.LET(_xlpm.nd,_xlfn.TEXTSPLIT(IM13,"|"),IF(COLUMNS(_xlpm.nd)&gt;3,A13&amp;"¦"&amp;INDEX(_xlpm.nd,3)&amp;"¦"&amp;INDEX(_xlpm.nd,4),"")))</f>
        <v/>
      </c>
      <c r="IS13" t="str">
        <f t="shared" si="118"/>
        <v/>
      </c>
      <c r="IT13" t="str" cm="1">
        <f t="array" ref="IT13">IF(IM13="","",_xlfn.LET(_xlpm.nd,_xlfn.TEXTSPLIT(IM13,"|"),IF(COLUMNS(_xlpm.nd)&gt;4,A13&amp;"¦"&amp;INDEX(_xlpm.nd,4)&amp;"¦"&amp;INDEX(_xlpm.nd,5),"")))</f>
        <v/>
      </c>
      <c r="IU13" t="str">
        <f t="shared" si="119"/>
        <v/>
      </c>
      <c r="IV13" t="str" cm="1">
        <f t="array" ref="IV13">IF(IM13="","",_xlfn.LET(_xlpm.nd,_xlfn.TEXTSPLIT(IM13,"|"),IF(COLUMNS(_xlpm.nd)&gt;5,A13&amp;"¦"&amp;INDEX(_xlpm.nd,5)&amp;"¦"&amp;INDEX(_xlpm.nd,6),"")))</f>
        <v/>
      </c>
      <c r="IW13" t="str">
        <f t="shared" si="120"/>
        <v/>
      </c>
      <c r="IX13" t="str" cm="1">
        <f t="array" ref="IX13">IF(IM13="","",_xlfn.LET(_xlpm.nd,_xlfn.TEXTSPLIT(IM13,"|"),IF(COLUMNS(_xlpm.nd)&gt;6,A13&amp;"¦"&amp;INDEX(_xlpm.nd,6)&amp;"¦"&amp;INDEX(_xlpm.nd,7),"")))</f>
        <v/>
      </c>
      <c r="IY13" t="str">
        <f t="shared" si="121"/>
        <v/>
      </c>
      <c r="IZ13" t="str">
        <f t="shared" si="122"/>
        <v/>
      </c>
      <c r="JA13" t="str">
        <f t="shared" si="123"/>
        <v>QFD9 → XT9</v>
      </c>
      <c r="JB13">
        <f t="shared" si="124"/>
        <v>0</v>
      </c>
      <c r="JC13">
        <f t="shared" si="125"/>
        <v>1</v>
      </c>
      <c r="JD13" t="str">
        <f t="shared" si="126"/>
        <v/>
      </c>
      <c r="JE13" t="str">
        <f t="shared" si="127"/>
        <v/>
      </c>
      <c r="JF13" t="str">
        <f t="shared" si="128"/>
        <v/>
      </c>
      <c r="JG13" t="str">
        <f t="shared" si="129"/>
        <v/>
      </c>
      <c r="JH13" t="str">
        <f>IF(B13="","",IFERROR(_xlfn.XLOOKUP(B13,Коды_код,Коды_уго),IFERROR(_xlfn.XLOOKUP(BC13,Коды_код,Коды_уго),IFERROR(_xlfn.XLOOKUP(LEFT(BC13,2),Коды_код,Коды_уго),""))))</f>
        <v>Нагреватель</v>
      </c>
      <c r="JI13" t="str">
        <f>IF(B13="","",IF(OR(JH13="",JH13=0),"BOX",IFERROR(IF(VLOOKUP(JH13,УГО_блоки,3,FALSE)&amp;""&lt;&gt;"",VLOOKUP(JH13,УГО_блоки,3,FALSE),VLOOKUP(JH13,УГО_блоки,2,FALSE)),JH13)))</f>
        <v>HEAT</v>
      </c>
      <c r="JJ13">
        <f t="shared" si="130"/>
        <v>1</v>
      </c>
      <c r="JK13">
        <f>IF(DQ13="","",IF(COUNTIF(DQ$3:DQ13,DQ13)=1,MAX(JK$2:JK12)+1,""))</f>
        <v>9</v>
      </c>
      <c r="JL13" t="str">
        <f>IF(DE13="","",IF(COUNTIF(DE$3:DE13,DE13)+COUNTIF(DF$2:DF12,DE13)+COUNTIF(DG$2:DG12,DE13)=1,MAX(JL$2:JN12)+1,""))</f>
        <v/>
      </c>
      <c r="JM13" t="str">
        <f>IF(DF13="","",IF(COUNTIF(DE$3:DE13,DF13)+COUNTIF(DF$3:DF13,DF13)+COUNTIF(DG$2:DG12,DF13)=1,MAX(JL$2:JN12,JL13)+1,""))</f>
        <v/>
      </c>
      <c r="JN13" t="str">
        <f>IF(DG13="","",IF(COUNTIF(DE$3:DE13,DG13)+COUNTIF(DF$3:DF13,DG13)+COUNTIF(DG$3:DG13,DG13)=1,MAX(JL$2:JN12,JL13,JM13)+1,""))</f>
        <v/>
      </c>
      <c r="JO13" t="str">
        <f t="shared" si="131"/>
        <v>3х6</v>
      </c>
      <c r="JP13">
        <f>IF(JO13="","",IF(COUNTIF(JO$3:JO13,JO13)=1,MAX(JP$2:JP12)+1,""))</f>
        <v>6</v>
      </c>
      <c r="JQ13" t="str">
        <f>IF(HG13="","",COUNTIF(HG$3:HG13,"?*"))</f>
        <v/>
      </c>
      <c r="JR13" t="str">
        <f>IF(OR(HG13="",HI13=""),"",IF(COUNTIFS(HG$3:HG13,"?*",HI$3:HI13,HI13)=1,MAX(JR$2:JR12)+1,""))</f>
        <v/>
      </c>
      <c r="JS13">
        <f t="shared" si="132"/>
        <v>0</v>
      </c>
      <c r="JT13">
        <f>IF(B13="","",COUNTIF(B$3:B13,"?*"))</f>
        <v>11</v>
      </c>
      <c r="JU13">
        <f>IF(HL13&lt;&gt;1,0,_xlfn.LET(_xlpm.k,MAX(IFERROR(--_xlfn.XLOOKUP(B13,Коды_код,Коды_3L),0),IFERROR(--_xlfn.XLOOKUP(BC13,Коды_код,Коды_3L),0),IFERROR(--_xlfn.XLOOKUP(LEFT(BC13,2),Коды_код,Коды_3L),0)),IF(_xlpm.k&gt;0,_xlpm.k,IF(IFERROR(--LEFT(SUBSTITUTE(JO13,"x","х"),FIND("х",SUBSTITUTE(JO13,"x","х"))-1),3)&gt;3,Каталог!$S$9,1))))</f>
        <v>1</v>
      </c>
      <c r="JV13">
        <f t="shared" si="133"/>
        <v>0</v>
      </c>
      <c r="JW13" t="str">
        <f t="shared" si="134"/>
        <v>авто</v>
      </c>
      <c r="JX13">
        <f t="shared" si="135"/>
        <v>30</v>
      </c>
      <c r="JY13">
        <f t="shared" si="136"/>
        <v>1</v>
      </c>
      <c r="JZ13">
        <f t="shared" si="137"/>
        <v>1</v>
      </c>
    </row>
    <row r="14" spans="1:286" x14ac:dyDescent="0.3">
      <c r="A14" t="s">
        <v>151</v>
      </c>
      <c r="B14" t="s">
        <v>1195</v>
      </c>
      <c r="C14" t="str">
        <f>Линии[[#This Row],[_авто наименование]]</f>
        <v>Питание подсветок, пом. 003</v>
      </c>
      <c r="E14">
        <v>0.3</v>
      </c>
      <c r="G14" t="str">
        <f>Линии[[#This Row],[_авто автомат]]</f>
        <v>1P С10А</v>
      </c>
      <c r="H14" t="str">
        <f>Линии[[#This Row],[_авто управление]]</f>
        <v/>
      </c>
      <c r="I14" t="str">
        <f>Линии[[#This Row],[_авто аппараты]]</f>
        <v/>
      </c>
      <c r="J14">
        <f>Линии[[#This Row],[_авто сечение]]</f>
        <v>1.5</v>
      </c>
      <c r="K14">
        <v>5</v>
      </c>
      <c r="L14" t="str">
        <f>Линии[[#This Row],[_авто фаза]]</f>
        <v>L3</v>
      </c>
      <c r="M14" t="str">
        <f>Линии[[#This Row],[_авто клемма]]</f>
        <v>XT10</v>
      </c>
      <c r="N14" t="str">
        <f t="shared" si="0"/>
        <v>не на схеме</v>
      </c>
      <c r="O14" s="6" cm="1">
        <f t="array" ref="O14">IF(B14="","",IF(BH14&lt;&gt;"",IFERROR(_xlfn.XLOOKUP(BH14,Щиты[Щит],Щиты[Iр, А]),""),IF(BP14=1,IF(OR(N(_xlfn.XLOOKUP(A14,Щиты[Щит],Щиты[Вводов],1))&lt;=1,LOWER(TRIM(_xlfn.XLOOKUP(A14,Щиты[Щит],Щиты[АВР],"")&amp;""))="да"),IFERROR(_xlfn.XLOOKUP(A14,Щиты[Щит],Щиты[Iр, А]),""),IFERROR(N(BS14)*_xlfn.XLOOKUP(A14,Щиты[Щит],Щиты[Кс итог])/(SQRT(3)*Uн_лин*_xlfn.XLOOKUP(A14,Щиты[Щит],Щиты[cos φ])),"")),IF(BV14=1,IFERROR(BS14*1000/BU14,""),IFERROR(_xlfn.IFS(BX14=1,BS14/((Uн_лин/SQRT(3))*CE14),BX14=3,BS14/(SQRT(3)*Uн_лин*CE14)),"")))))</f>
        <v>1.3674085322912188</v>
      </c>
      <c r="P14" s="7">
        <f>IF(B14="","",IFERROR(IF(VLOOKUP(BC14,Потребители_обозначение,4,FALSE)=1,VLOOKUP(BC14,Потребители_обозначение,3,FALSE)*(MAX(1,N(D14))*2-1)+EI14+VLOOKUP(BE14,Этаж_обозначение,3,FALSE)+VLOOKUP(BE14,Этаж_обозначение,4,FALSE),VLOOKUP(BC14,Потребители_обозначение,3,FALSE)*(MAX(1,N(D14))*2-1)+EI14),EI14))</f>
        <v>8</v>
      </c>
      <c r="Q14" s="6">
        <f t="shared" si="1"/>
        <v>0.50602884987279761</v>
      </c>
      <c r="R14" t="str">
        <f t="shared" si="2"/>
        <v>ВВГнг(А)-LS (3х1,5)</v>
      </c>
      <c r="S14" t="str">
        <f>IF(BM14="","",IF(BN14="вводной узел","узел ","")&amp;"л."&amp;(INT((BM14-1)/Столбцов_на_лист)+1)&amp;" / "&amp;(MOD(BM14-1,Столбцов_на_лист)+1))</f>
        <v/>
      </c>
      <c r="T14" s="119">
        <f t="shared" si="3"/>
        <v>0.6</v>
      </c>
      <c r="U14" s="7" t="str">
        <f>IF(OR(CG14=0,N(BV14)+N(IB14)=0),"",ROUNDUP(Запас_БП*(N(HY14)+N(HZ14)),0))</f>
        <v/>
      </c>
      <c r="V14" s="119" t="str">
        <f t="shared" si="4"/>
        <v/>
      </c>
      <c r="W14" s="7">
        <f>IFERROR(IF(OR(B14="",BP14=1,BV14=1,NOT(ISNUMBER(EN14)),N(DT14)=0),"",MAX(0,ROUNDDOWN((c_min*(Uн_лин*1000/SQRT(3))/(HT14*N(DT14))-_xlfn.XLOOKUP(A14,Щиты[Щит],Щиты[Zпетли на шинах, Ом]))*EN14/(2*ρкз_Cu),0))),"")</f>
        <v>58</v>
      </c>
      <c r="Y14" t="str">
        <f>Линии[[#This Row],[_авто утечка]]</f>
        <v/>
      </c>
      <c r="Z14">
        <v>1</v>
      </c>
      <c r="AA14">
        <v>230</v>
      </c>
      <c r="AB14" t="str">
        <f>Линии[[#This Row],[_авто группа Кс]]</f>
        <v>Быт</v>
      </c>
      <c r="AK14" t="str">
        <f>Линии[[#This Row],[_авто модуль]]</f>
        <v/>
      </c>
      <c r="AM14" t="s">
        <v>536</v>
      </c>
      <c r="AN14" t="s">
        <v>11</v>
      </c>
      <c r="AO14">
        <v>3</v>
      </c>
      <c r="BA14" cm="1">
        <f t="array" ref="BA14">ROW()-ROW(Линии[#Headers])</f>
        <v>12</v>
      </c>
      <c r="BC14" s="6" t="str">
        <f t="shared" si="5"/>
        <v>LD</v>
      </c>
      <c r="BD14" t="str">
        <f t="shared" si="6"/>
        <v>0.003.1</v>
      </c>
      <c r="BE14" t="str">
        <f t="shared" si="7"/>
        <v>0</v>
      </c>
      <c r="BF14" t="str">
        <f t="shared" si="8"/>
        <v>003.1</v>
      </c>
      <c r="BG14" t="str">
        <f t="shared" si="9"/>
        <v>003</v>
      </c>
      <c r="BH14" t="str">
        <f>IF(X14&lt;&gt;"",X14,IF(AND(B14&lt;&gt;"",B14&lt;&gt;A14,ISNUMBER(_xlfn.XMATCH(B14,Щиты[Щит]))),B14,""))</f>
        <v/>
      </c>
      <c r="BI14" t="str" cm="1">
        <f t="array" ref="BI14">IF(B14="","",IF(BH14&lt;&gt;"","Щит "&amp;BH14,_xlfn.LET(_xlpm.nm,IFERROR(_xlfn.XLOOKUP(BC14,Коды_код,Коды_имя)&amp;"",""),_xlpm.md,IFERROR(N(_xlfn.XLOOKUP(BC14,Коды_код,Коды_режим)),1),_xlpm.ex,IF(Имя_режим="по экспликации",IFERROR(_xlfn.XLOOKUP(BE14&amp;"|"&amp;BG14,Экспликация[Этаж]&amp;"|"&amp;Экспликация[Помещение],Экспликация[Название])&amp;"",""),""),_xlpm.rm,IF(BG14="","",IF(_xlpm.ex&lt;&gt;"",". "&amp;_xlpm.ex&amp;IF(Имя_пом="нет"," ("&amp;BG14&amp;")"," (пом. "&amp;BG14&amp;")"),IF(Имя_пом="нет"," ",", пом. ")&amp;BG14)),IF(_xlpm.nm="","",IF(_xlpm.md=2,_xlpm.nm&amp;" шлейф "&amp;BE14,_xlpm.nm&amp;_xlpm.rm)))))</f>
        <v>Питание подсветок, пом. 003</v>
      </c>
      <c r="BJ14" t="str">
        <f t="shared" si="10"/>
        <v>Питание подсветок, пом. 003</v>
      </c>
      <c r="BK14">
        <f>IFERROR(_xlfn.XMATCH(A14,Щиты[Щит]),0)</f>
        <v>1</v>
      </c>
      <c r="BL14">
        <f>_xlfn.LET(_xlpm.k,IFERROR(_xlfn.XLOOKUP(A14,Щиты[Щит],Щиты[Мест под вводной узел]),""),IF(_xlpm.k="",Столбцов_на_лист,N(_xlpm.k)))</f>
        <v>4</v>
      </c>
      <c r="BM14" t="str">
        <f t="shared" si="11"/>
        <v/>
      </c>
      <c r="BN14" t="str">
        <f t="shared" si="12"/>
        <v/>
      </c>
      <c r="BO14" s="6">
        <f>IFERROR(N(_xlfn.XLOOKUP(BC14,Коды_код,Коды_квт)),0)</f>
        <v>0</v>
      </c>
      <c r="BP14">
        <f t="shared" si="13"/>
        <v>0</v>
      </c>
      <c r="BQ14" t="str">
        <f>IF(B14="","",IF(BH14&lt;&gt;"",IFERROR(_xlfn.XLOOKUP(BH14,Щиты[Щит],Щиты[Руст, кВт]),0),IF(BP14=1,IF(OR(N(_xlfn.XLOOKUP(A14,Щиты[Щит],Щиты[Вводов],1))&lt;=1,LOWER(TRIM(_xlfn.XLOOKUP(A14,Щиты[Щит],Щиты[АВР],"")&amp;""))="да"),IFERROR(_xlfn.XLOOKUP(A14,Щиты[Щит],Щиты[Руст, кВт]),0),SUMIFS(Линии[_Р для вводов],Линии[Щит],A14,Линии[Источник для режимов],GF14)),IF(BO14&gt;0,ROUND(BO14*MAX(1,N(D14)),3),""))))</f>
        <v/>
      </c>
      <c r="BR14">
        <f t="shared" si="14"/>
        <v>0.3</v>
      </c>
      <c r="BS14" s="6">
        <f>IF(B14="","",IF(BH14&lt;&gt;"",IFERROR(_xlfn.XLOOKUP(BH14,Щиты[Щит],Щиты[Руст, кВт]),0),N(BR14)))</f>
        <v>0.3</v>
      </c>
      <c r="BT14" t="str">
        <f>IF(B14="","",IFERROR(IF(VLOOKUP(BC14,Потребители_обозначение,8,FALSE)=0,"",VLOOKUP(BC14,Потребители_обозначение,8,FALSE)),""))</f>
        <v/>
      </c>
      <c r="BU14">
        <f t="shared" si="15"/>
        <v>230</v>
      </c>
      <c r="BV14">
        <f t="shared" si="16"/>
        <v>0</v>
      </c>
      <c r="BW14">
        <f>IF(B14="","",IF(BH14&lt;&gt;"",3,IFERROR(IF(N(VLOOKUP(BC14,Потребители_обозначение,9,FALSE))=0,1,VLOOKUP(BC14,Потребители_обозначение,9,FALSE)),1)))</f>
        <v>1</v>
      </c>
      <c r="BX14">
        <f t="shared" si="17"/>
        <v>1</v>
      </c>
      <c r="BY14" t="str">
        <f>IF(B14="","",_xlfn.LET(_xlpm.bc,IFERROR(IF(VLOOKUP(BC14,Потребители_обозначение,6,FALSE)=0,"",VLOOKUP(BC14,Потребители_обозначение,6,FALSE)&amp;""),""),IF(AND(GA14="да",OR(_xlpm.bc="",_xlpm.bc="мс")),Марка_пож,IF(AND(_xlpm.bc="",BH14&lt;&gt;""),"мс",_xlpm.bc))))</f>
        <v>мс</v>
      </c>
      <c r="BZ14" t="str">
        <f t="shared" si="18"/>
        <v>мс</v>
      </c>
      <c r="CA14">
        <f>IF(B14="","",_xlfn.LET(_xlpm.cc,IFERROR(N(VLOOKUP(BC14,Потребители_обозначение,7,FALSE)),0),IF(_xlpm.cc&gt;0,_xlpm.cc,IF(BZ14="","",IF(BV14=1,2,IF(N(BX14)=3,5,3))))))</f>
        <v>3</v>
      </c>
      <c r="CB14">
        <f t="shared" si="19"/>
        <v>3</v>
      </c>
      <c r="CC14">
        <f>IFERROR(N(VLOOKUP(BC14,Потребители_обозначение,10,FALSE)),0)</f>
        <v>0</v>
      </c>
      <c r="CD14">
        <f>IFERROR(VLOOKUP(BC14,Потребители_обозначение,5,FALSE),0)</f>
        <v>1</v>
      </c>
      <c r="CE14" s="6" cm="1">
        <f t="array" ref="CE14">IF(B14="","",IF(BH14&lt;&gt;"",IFERROR(_xlfn.XLOOKUP(BH14,Щиты[Щит],Щиты[cos φ]),0.95),IF(BP14=1,IFERROR(_xlfn.XLOOKUP(A14,Щиты[Щит],Щиты[cos φ]),0.95),IF(ISNUMBER(AD14),AD14,IFERROR(IF(CD14=2,_xlfn.IFS(BX14=3,VLOOKUP(BS14,Справочная_двигатели,8,FALSE),BX14=1,VLOOKUP(BS14,Справочная_двигатели,10,TRUE)),IF(AND(Методика="нормы 2026",FG14="Сил"),0.8,0.95)),0.95)))))</f>
        <v>0.95</v>
      </c>
      <c r="CF14">
        <f t="shared" si="20"/>
        <v>0</v>
      </c>
      <c r="CG14">
        <f t="shared" si="21"/>
        <v>1</v>
      </c>
      <c r="CH14">
        <f t="shared" si="22"/>
        <v>0</v>
      </c>
      <c r="CI14">
        <f>IF(B14="","",IF(BV14=1,IFERROR(BS14/((Uн_лин/SQRT(3))*MAX(0.5,N(CE14))),0),N(O14)))</f>
        <v>1.3674085322912188</v>
      </c>
      <c r="CJ14">
        <f t="shared" si="23"/>
        <v>0</v>
      </c>
      <c r="CK14">
        <f t="shared" si="24"/>
        <v>0</v>
      </c>
      <c r="CL14">
        <f t="shared" si="25"/>
        <v>0</v>
      </c>
      <c r="CM14">
        <f t="shared" si="26"/>
        <v>0</v>
      </c>
      <c r="CN14">
        <f t="shared" si="27"/>
        <v>0</v>
      </c>
      <c r="CO14">
        <f>IF(BC14="",0,_xlfn.LET(_xlpm.v,IFERROR(_xlfn.XLOOKUP(B14,Коды_код,Коды_мА),IFERROR(_xlfn.XLOOKUP(BC14,Коды_код,Коды_мА),IFERROR(_xlfn.XLOOKUP(LEFT(BC14,2),Коды_код,Коды_мА),""))),IF(_xlpm.v="да",30,IF(ISNUMBER(_xlpm.v),_xlpm.v,0))))</f>
        <v>0</v>
      </c>
      <c r="CP14" t="str">
        <f t="shared" si="28"/>
        <v/>
      </c>
      <c r="CQ14" t="str">
        <f>_xlfn.LET(_xlpm.k,IFERROR(_xlfn.XLOOKUP(BC14,Коды_код,Коды_утечка)&amp;"",""),IF(_xlpm.k="","дифавтомат",_xlpm.k))</f>
        <v>дифавтомат</v>
      </c>
      <c r="CR14" t="str" cm="1">
        <f t="array" ref="CR14">IF(CG14=0,"",_xlfn.LET(_xlpm.sg,TRIM(_xlfn.TEXTSPLIT(DD14&amp;"",";")),_xlpm.f_,_xlfn._xlws.FILTER(_xlpm.sg,LEFT(_xlpm.sg,3)="УЗО",""),IFERROR(INDEX(_xlpm.f_,1)&amp;"","")))</f>
        <v/>
      </c>
      <c r="CS14" t="str">
        <f t="shared" si="29"/>
        <v/>
      </c>
      <c r="CT14" s="6" t="str" cm="1">
        <f t="array" ref="CT14">IF(CR14="","",_xlfn.LET(_xlpm.tk,_xlfn.TEXTSPLIT(UPPER(CR14)," ",,TRUE),_xlpm.a_,_xlfn._xlws.FILTER(_xlpm.tk,ISNUMBER(--LEFT(_xlpm.tk,1))*((ISNUMBER(SEARCH("А",_xlpm.tk))+ISNUMBER(SEARCH("A",_xlpm.tk)))&gt;0)*NOT(ISNUMBER(SEARCH("МА",_xlpm.tk)))*NOT(ISNUMBER(SEARCH("MA",_xlpm.tk))),""),IFERROR(--SUBSTITUTE(SUBSTITUTE(INDEX(_xlpm.a_,1),"А",""),"A",""),"")))</f>
        <v/>
      </c>
      <c r="CU14" t="str" cm="1">
        <f t="array" ref="CU14">IF(CR14="","",_xlfn.LET(_xlpm.tk,_xlfn.TEXTSPLIT(UPPER(CR14)," ",,TRUE),_xlpm.a_,_xlfn._xlws.FILTER(_xlpm.tk,ISNUMBER(--LEFT(_xlpm.tk,1))*((ISNUMBER(SEARCH("МА",_xlpm.tk))+ISNUMBER(SEARCH("MA",_xlpm.tk)))&gt;0),""),IFERROR(--SUBSTITUTE(SUBSTITUTE(INDEX(_xlpm.a_,1),"МА",""),"MA",""),30)))</f>
        <v/>
      </c>
      <c r="CV14" t="str">
        <f>IF(CS14="","",IFERROR(_xlfn.XLOOKUP(CS14,Линии[_n],Линии[_УЗО, мА]),30))</f>
        <v/>
      </c>
      <c r="CW14">
        <f>IF(CS14="",0,IF(ISNUMBER(SEARCH("4P",IFERROR(_xlfn.XLOOKUP(CS14,Линии[_n],Линии[_УЗО строки])&amp;"",""))),0,1))</f>
        <v>0</v>
      </c>
      <c r="CX14" t="str">
        <f>IF(AND(CS14&lt;&gt;"",CS14=BA14),SUMIFS(Линии[_ток на 230 В],Линии[_блок УЗО],BA14,Линии[Щит],A14),"")</f>
        <v/>
      </c>
      <c r="CY14" t="str">
        <f>IF(AND(CS14&lt;&gt;"",CS14=BA14),SUMIFS(Линии[_ток утечки линии, мА],Линии[_блок УЗО],BA14,Линии[Щит],A14),"")</f>
        <v/>
      </c>
      <c r="CZ14">
        <f t="shared" si="30"/>
        <v>0</v>
      </c>
      <c r="DA14">
        <f t="shared" si="31"/>
        <v>0</v>
      </c>
      <c r="DB14">
        <f>IF(B14="",0,IFERROR(--_xlfn.XLOOKUP(B14,Коды_код,Коды_минавт),IFERROR(--_xlfn.XLOOKUP(BC14,Коды_код,Коды_минавт),IFERROR(--_xlfn.XLOOKUP(LEFT(BC14,2),Коды_код,Коды_минавт),0))))</f>
        <v>10</v>
      </c>
      <c r="DC14" t="str">
        <f>IF(B14="","",IFERROR(_xlfn.XLOOKUP(BC14,Коды_код,Коды_апп)&amp;"",""))</f>
        <v/>
      </c>
      <c r="DD14" t="str">
        <f t="shared" si="32"/>
        <v/>
      </c>
      <c r="DE14" t="str" cm="1">
        <f t="array" ref="DE14">IF(TRIM(DD14&amp;"")="","",IFERROR(TRIM(INDEX(_xlfn.TEXTSPLIT(DD14&amp;";;;",";"),1)),""))</f>
        <v/>
      </c>
      <c r="DF14" t="str" cm="1">
        <f t="array" ref="DF14">IF(TRIM(DD14&amp;"")="","",IFERROR(TRIM(INDEX(_xlfn.TEXTSPLIT(DD14&amp;";;;",";"),2)),""))</f>
        <v/>
      </c>
      <c r="DG14" t="str" cm="1">
        <f t="array" ref="DG14">IF(TRIM(DD14&amp;"")="","",IFERROR(TRIM(INDEX(_xlfn.TEXTSPLIT(DD14&amp;";;;",";"),3)),""))</f>
        <v/>
      </c>
      <c r="DH14">
        <f t="shared" si="33"/>
        <v>0</v>
      </c>
      <c r="DI14" t="str">
        <f>IF(B14="","",_xlfn.LET(_xlpm.t,LOWER(AZ14&amp;""),IF(ISNUMBER(SEARCH("dim",_xlpm.t)),"DIM",IF(ISNUMBER(SEARCH("dali",_xlpm.t)),"DALI",IF(OR(ISNUMBER(SEARCH("relay",_xlpm.t)),ISNUMBER(SEARCH("реле",_xlpm.t))),"Relay",IF(ISNUMBER(SEARCH("кнопк",_xlpm.t)),"",IFERROR(_xlfn.XLOOKUP(BC14,Коды_код,Коды_упр)&amp;"","")))))))</f>
        <v/>
      </c>
      <c r="DJ14" t="str">
        <f t="shared" si="34"/>
        <v/>
      </c>
      <c r="DK14">
        <f>IF(B14="","",_xlfn.LET(_xlpm.ig,IF(N(CX14)&gt;0,N(CX14),N(CI14)+IF(AJ14="вручную",0,N(CJ14))),_xlpm.n0,IFERROR(VLOOKUP(_xlpm.ig,Автомат_номиналы,2,TRUE),0),_xlpm.mn,MAX(DB14,IF(AJ14="вручную",0,N(CM14))),MAX(_xlpm.n0,_xlpm.mn,IF(DH14=1,Мин_автомат_БП,0))))</f>
        <v>10</v>
      </c>
      <c r="DL14">
        <f t="shared" si="35"/>
        <v>1</v>
      </c>
      <c r="DM14" t="str">
        <f t="shared" si="36"/>
        <v>1P</v>
      </c>
      <c r="DN14" t="str">
        <f>_xlfn.LET(_xlpm.cc,UPPER(TRIM(IFERROR(_xlfn.XLOOKUP(BC14,Коды_код,Коды_хар)&amp;"",""))),IF(OR(_xlpm.cc="B",_xlpm.cc="В"),"B",IF(_xlpm.cc="D","D","С")))</f>
        <v>С</v>
      </c>
      <c r="DO14" t="str">
        <f t="shared" si="37"/>
        <v>1P С10А</v>
      </c>
      <c r="DP14" t="str">
        <f t="shared" si="38"/>
        <v>1P С10А</v>
      </c>
      <c r="DQ14" t="str">
        <f t="shared" si="39"/>
        <v>1P С10А</v>
      </c>
      <c r="DR14" cm="1">
        <f t="array" ref="DR14">IF(DQ14="","",_xlfn.LET(_xlpm.t,SUBSTITUTE(SUBSTITUTE(SUBSTITUTE(UPPER(DQ14),"С","C"),"А","A"),"В","B"),_xlpm.tk,_xlfn.TEXTSPLIT(_xlpm.t," "),_xlpm.f,_xlfn._xlws.FILTER(_xlpm.tk,ISNUMBER(--MID(_xlpm.tk,2,1))*ISNUMBER(SEARCH(LEFT(_xlpm.tk,1)&amp;"#","B#C#D#"))*(LEN(_xlpm.tk)&gt;1),""),_xlpm.x,INDEX(_xlpm.f,1),IFERROR(--SUBSTITUTE(MID(_xlpm.x,2,9),"A",""),IFERROR(--SUBSTITUTE(INDEX(_xlfn._xlws.FILTER(_xlpm.tk,ISNUMBER(--SUBSTITUTE(_xlpm.tk,"A","")),""),1),"A",""),""))))</f>
        <v>10</v>
      </c>
      <c r="DS14" t="str">
        <f t="shared" si="40"/>
        <v>ok</v>
      </c>
      <c r="DT14">
        <f t="shared" si="41"/>
        <v>10</v>
      </c>
      <c r="DU14" t="str">
        <f t="shared" si="42"/>
        <v>1P С10А</v>
      </c>
      <c r="DV14">
        <f t="shared" si="43"/>
        <v>0</v>
      </c>
      <c r="DW14">
        <f t="shared" si="44"/>
        <v>0</v>
      </c>
      <c r="DX14">
        <f t="shared" si="45"/>
        <v>0</v>
      </c>
      <c r="DY14">
        <f t="shared" si="46"/>
        <v>1.3674085322912188</v>
      </c>
      <c r="DZ14">
        <f t="shared" si="47"/>
        <v>1</v>
      </c>
      <c r="EA14">
        <f>IF(ISNUMBER(AP14),AP14,К_прокл)</f>
        <v>1</v>
      </c>
      <c r="EB14">
        <f t="shared" si="48"/>
        <v>2</v>
      </c>
      <c r="EC14">
        <f>IFERROR(N(VLOOKUP(BZ14,Кабель_обозначение,3,FALSE)),1)</f>
        <v>1</v>
      </c>
      <c r="ED14">
        <f>IFERROR(N(_xlfn.XLOOKUP(A14,Щиты[Щит],Щиты[ΔU до шин, %])),0)</f>
        <v>0.3660288498727976</v>
      </c>
      <c r="EE14">
        <f>IFERROR(_xlfn.XLOOKUP(A14,Щиты[Щит],Щиты[Zпетли на шинах, Ом]),"")</f>
        <v>0.13597829354840207</v>
      </c>
      <c r="EF14">
        <f>IFERROR(N(_xlfn.XLOOKUP(A14,Щиты[Щит],Щиты[ΔU до шин (подбор), %])),0)</f>
        <v>0.3660288498727976</v>
      </c>
      <c r="EG14">
        <f>IFERROR(_xlfn.XLOOKUP(A14,Щиты[Щит],Щиты[Zпетли на шинах (подбор), Ом]),"")</f>
        <v>0.13597829354840207</v>
      </c>
      <c r="EH14" t="str">
        <f t="shared" si="49"/>
        <v/>
      </c>
      <c r="EI14">
        <f t="shared" si="50"/>
        <v>5</v>
      </c>
      <c r="EJ14">
        <f t="shared" si="51"/>
        <v>2</v>
      </c>
      <c r="EK14">
        <f t="shared" si="52"/>
        <v>0.31</v>
      </c>
      <c r="EL14" s="6">
        <f>IF(B14="","",IF(BV14=1,dU_LED,IF(IFERROR(_xlfn.XLOOKUP(BC14,Коды_код,Коды_уго),"")="Светильник",3,4)+IF(Методика="нормы 2026",MIN(0.5,MAX(0,N(P14)-100)*0.005),0)))</f>
        <v>3</v>
      </c>
      <c r="EM14" cm="1">
        <f t="array" ref="EM14">IF(OR(B14="",BZ14="",EC14&lt;&gt;1),"",_xlfn.LET(_xlpm.sz,Iдоп_S,_xlpm.t_,CHOOSE(EB14,Iдоп_1ж,Iдоп_2ж,Iдоп_3ж)*DZ14*EA14,_xlpm.dcx,BV14=1,_xlpm.inn,IF(_xlpm.dcx,N(O14),N(DT14)),_xlpm.smin,MAX(1.5,CC14),_xlpm.L_,N(P14)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14)/N(BU14)*100,999),IFERROR(N(EJ14)*(_xlpm.rho*_xlpm.L_/_xlpm.sz*N(CE14)+_xlpm.xx*_xlpm.L_*N(EK14)/1000)*N(O14)/((Uн_лин/SQRT(3))*1000)*100,999)),_xlpm.kz,IF(OR(_xlpm.dcx,DW14=1,NOT(ISNUMBER(EG14)),_xlpm.L_=0,_xlpm.inn=0),1,IFERROR(--(c_min*(Uн_лин*1000/SQRT(3))/(EG14+2*ρкз_Cu*_xlpm.L_/_xlpm.sz)&gt;=HT14*_xlpm.inn),0)),_xlpm.ok,IFERROR((_xlpm.sz&gt;=_xlpm.smin)*(_xlpm.t_&gt;=_xlpm.inn)*IF(_xlpm.L_&gt;0,(_xlpm.du_+IF(_xlpm.dcx,0,EF14)&lt;=EL14+0.00001),1)*_xlpm.kz,0),_xlpm.r_,_xlfn._xlws.FILTER(_xlpm.sz,_xlpm.ok,"не подобрано"),INDEX(_xlpm.r_,1)))</f>
        <v>1.5</v>
      </c>
      <c r="EN14">
        <f t="shared" si="53"/>
        <v>1.5</v>
      </c>
      <c r="EO14" cm="1">
        <f t="array" ref="EO14">IF(OR(B14="",BZ14="",EC14&lt;&gt;1),"",_xlfn.LET(_xlpm.sz,Iдоп_S,_xlpm.t_,CHOOSE(EB14,Iдоп_1ж,Iдоп_2ж,Iдоп_3ж)*DZ14*EA14,_xlpm.ok,IFERROR((_xlpm.sz&gt;=MAX(1.5,CC14))*(_xlpm.t_&gt;=N(DT14)),0),_xlpm.r_,_xlfn._xlws.FILTER(_xlpm.sz,_xlpm.ok,""),INDEX(_xlpm.r_,1)))</f>
        <v>1.5</v>
      </c>
      <c r="EP14" s="6" cm="1">
        <f t="array" ref="EP14">IFERROR(ROUNDUP(N(EJ14)*(_xlfn.XLOOKUP(EO14,INDEX(Кабель_сопротивление,0,1),INDEX(Кабель_сопротивление,0,3))*N(P14)/EO14*N(CE14)+_xlfn.XLOOKUP(EO14,INDEX(Кабель_сопротивление,0,1),INDEX(Кабель_сопротивление,0,2))*N(P14)*N(EK14)/1000)*N(O14)/((Uн_лин/SQRT(3))*1000)*100,2),"")</f>
        <v>0.14000000000000001</v>
      </c>
      <c r="EQ14">
        <f>IFERROR(2*ρкз_Cu*N(P14)/EO14,"")</f>
        <v>0.28053333333333336</v>
      </c>
      <c r="ER14">
        <f>IFERROR(VLOOKUP(EN14,Кабель_сопротивление,3,FALSE),"")</f>
        <v>2.2499999999999999E-2</v>
      </c>
      <c r="ES14">
        <f>IFERROR(VLOOKUP(EN14,Кабель_сопротивление,2,FALSE),"")</f>
        <v>0.11</v>
      </c>
      <c r="ET14" t="str">
        <f t="shared" si="54"/>
        <v/>
      </c>
      <c r="EU14" t="str">
        <f t="shared" si="55"/>
        <v/>
      </c>
      <c r="EV14">
        <f t="shared" si="56"/>
        <v>0.31251520345761596</v>
      </c>
      <c r="EW14" s="6">
        <f>IFERROR(ROUNDUP(EV14/IF(BV14=1,BU14,(Uн_лин/SQRT(3))*1000)*100,2),"")</f>
        <v>0.14000000000000001</v>
      </c>
      <c r="EX14" t="str">
        <f>IFERROR(VLOOKUP(BZ14,Кабель_обозначение,2,FALSE),"")</f>
        <v>ВВГнг(А)-LS</v>
      </c>
      <c r="EY14" t="str">
        <f t="shared" si="57"/>
        <v>ВВГнг(А)-LS (3х1,5)</v>
      </c>
      <c r="EZ14" t="str">
        <f t="shared" si="58"/>
        <v>ВВГнг(А)-LS (3х1,5)
L=8-0,14%</v>
      </c>
      <c r="FA14">
        <f>IFERROR(2*ρкз_Cu*P14/EN14,"")</f>
        <v>0.28053333333333336</v>
      </c>
      <c r="FB14">
        <f t="shared" si="59"/>
        <v>9.3333333333333338E-2</v>
      </c>
      <c r="FC14" s="6">
        <f>IFERROR(IF(OR(B14="",BV14=1,NOT(ISNUMBER(EN14)),N(P14)=0),"",_xlfn.XLOOKUP(A14,Щиты[Щит],Щиты[Zпетли на шинах, Ом])+FA14),"")</f>
        <v>0.41651162688173543</v>
      </c>
      <c r="FD14" s="6">
        <f>IF(ISNUMBER(FC14),c_min*(Uн_лин*1000/SQRT(3))/FC14,"")</f>
        <v>526.73944286878793</v>
      </c>
      <c r="FE14" s="6">
        <f>IFERROR(IF(OR(B14="",NOT(ISNUMBER(EN14))),"",1.05*(Uн_лин*1000/SQRT(3))/(_xlfn.XLOOKUP(A14,Щиты[Щит],Щиты[Zmax на шинах, Ом])+FB14)/1000),"")</f>
        <v>1.8002433299526583</v>
      </c>
      <c r="FF14" s="6" t="str">
        <f>IF(B14="","",IF(ISNUMBER(AC14),"Сил",IF(IFERROR(_xlfn.XLOOKUP(BC14,Коды_код,Коды_группа)&amp;"","")="","Быт",_xlfn.XLOOKUP(BC14,Коды_код,Коды_группа)&amp;"")))</f>
        <v>Быт</v>
      </c>
      <c r="FG14" s="6" t="str">
        <f t="shared" si="60"/>
        <v>Быт</v>
      </c>
      <c r="FH14" s="6">
        <f>IF(FG14="Щит","щит",IF(FG14="","",IF(FG14="Быт",IFERROR(_xlfn.XLOOKUP(A14,Щиты[Щит],Щиты[Кс быт]),1),IF(FG14="Сил",IF(ISNUMBER(AC14),AC14,IF(Методика="нормы 2026",IFERROR(_xlfn.XLOOKUP(A14,Щиты[Щит],Щиты[Кс силовых (табл. 7.5)]),1),1)),IF(OR(FG14="Пост",FG14="Отоп"),1,IF(FG14="ВНГ",0.7,0))))))</f>
        <v>0.74050000000000005</v>
      </c>
      <c r="FI14">
        <f>IF(FG14="","",IF(AND(BP14=1,TRIM(AE14&amp;"")=""),IF(COUNTIFS(Линии[Щит],A14,Линии[Секция (1/2/3)],"&gt;=2")&gt;0,MIN(3,MAX(1,IFERROR(--BD14,1))),1),IFERROR(MIN(3,MAX(1,INT(--AE14))),1)))</f>
        <v>1</v>
      </c>
      <c r="FJ14">
        <f t="shared" si="61"/>
        <v>0.3</v>
      </c>
      <c r="FK14">
        <f t="shared" si="62"/>
        <v>0.3</v>
      </c>
      <c r="FL14">
        <f t="shared" si="63"/>
        <v>0</v>
      </c>
      <c r="FM14">
        <f t="shared" si="64"/>
        <v>0</v>
      </c>
      <c r="FN14">
        <f t="shared" si="65"/>
        <v>0</v>
      </c>
      <c r="FO14">
        <f t="shared" si="66"/>
        <v>0</v>
      </c>
      <c r="FP14">
        <f t="shared" si="67"/>
        <v>0.3</v>
      </c>
      <c r="FQ14">
        <f t="shared" si="68"/>
        <v>0.3</v>
      </c>
      <c r="FR14">
        <f t="shared" si="69"/>
        <v>0.28499999999999998</v>
      </c>
      <c r="FS14">
        <f>IF(CG14=1,IF(AND(CH14=1,CW14=1),0,IF(AND(CS14&lt;&gt;"",CS14=BA14,CW14=1),SUMIFS(Линии[_Р линии, кВт],Линии[_блок УЗО],BA14,Линии[Щит],A14),N(BS14)+IF(AJ14="вручную",0,N(CK14)))),0)</f>
        <v>0.3</v>
      </c>
      <c r="FT14" t="str">
        <f t="shared" si="70"/>
        <v/>
      </c>
      <c r="FU14" t="str">
        <f>IF(B14="","",IF(CG14=0,IF(BA14=1,"",FW13),IF(AND(CH14=1,CW14=1,CS14&lt;&gt;""),IFERROR(_xlfn.XLOOKUP(CS14,Линии[_n],Линии[_фаза итог]),"L1"),IF(OR(N(DL14)&gt;=3,N(BX14)&gt;=3),"L1,L2,L3",IFERROR(_xlfn.TEXTBEFORE(_xlfn.TEXTAFTER(_xlfn.XLOOKUP(A14,Щиты[Щит],Щиты[_фазы авто]),";"&amp;BA14&amp;":"),";"),"L1")))))</f>
        <v>L3</v>
      </c>
      <c r="FV14" t="str">
        <f t="shared" si="71"/>
        <v>L3</v>
      </c>
      <c r="FW14" t="str">
        <f t="shared" si="72"/>
        <v>L3</v>
      </c>
      <c r="FX14" cm="1">
        <f t="array" ref="FX14">IFERROR(IF(CD14=2,_xlfn.IFS(BX14=3,VLOOKUP(BS14,Справочная_двигатели,3,FALSE),BX14=1,VLOOKUP(BS14,Справочная_двигатели,5,TRUE)),0),0)</f>
        <v>0</v>
      </c>
      <c r="FY14">
        <f>IFERROR(IF(CD14=3,VLOOKUP(BS14,Справочная_ЛЭД,2,TRUE),0),0)</f>
        <v>0</v>
      </c>
      <c r="FZ14" s="6">
        <f t="shared" si="73"/>
        <v>0</v>
      </c>
      <c r="GA14" t="str">
        <f>IF(B14="","",IF(TRIM(AH14&amp;"")&lt;&gt;"",IF(LOWER(TRIM(AH14&amp;""))="да","да","нет"),IF(IFERROR(_xlfn.XLOOKUP(BC14,Коды_код,Коды_пожарная),"")="да","да","нет")))</f>
        <v>нет</v>
      </c>
      <c r="GB14" t="str">
        <f t="shared" si="74"/>
        <v/>
      </c>
      <c r="GC14" t="str">
        <f t="shared" si="75"/>
        <v>основная</v>
      </c>
      <c r="GD14">
        <f>IF(AND(BP14=1,TRIM(AE14&amp;"")=""),IF(COUNTIFS(Линии[Щит],A14,Линии[Секция (1/2/3)],"&gt;=2")&gt;0,MIN(3,MAX(1,IFERROR(--BD14,1))),1),IFERROR(MIN(3,MAX(1,INT(--AE14))),1))</f>
        <v>1</v>
      </c>
      <c r="GE14" t="str" cm="1">
        <f t="array" ref="GE14">IF(B14="","",_xlfn.LET(_xlpm.t,IFERROR(_xlfn.XLOOKUP(1,(Шины[Шина]=GC14)*(((Шины[Щит]=A14)+(Шины[Щит]=""))&gt;0),Шины[Тип]),"")&amp;"",IF(_xlpm.t&lt;&gt;"",_xlpm.t,IF(ISNUMBER(SEARCH("ИБП",GC14)),"ИБП",IF(ISNUMBER(SEARCH("ДГУ",GC14)),"ДГУ","Ввод "&amp;GD14)))))</f>
        <v>Ввод 1</v>
      </c>
      <c r="GF14" t="str">
        <f t="shared" si="76"/>
        <v>Ввод 1</v>
      </c>
      <c r="GG14" t="str">
        <f>IF(BP14=0,"",IF(TRIM(AG14&amp;"")&lt;&gt;"",TRIM(AG14&amp;""),IF(OR(GE14="ИБП",GE14="ДГУ"),"I особая",_xlfn.XLOOKUP(A14,Щиты[Щит],Щиты[Категория шины «Ввод»],"III"))))</f>
        <v/>
      </c>
      <c r="GH14" t="str">
        <f>IF(A14="","",_xlfn.XLOOKUP(A14,Щиты[Щит],Щиты[Путь],""))</f>
        <v>|ВРУ|</v>
      </c>
      <c r="GI14" t="str">
        <f>IF(B14="","",IF(AI14&lt;&gt;"",AI14,IF(IFERROR(_xlfn.XLOOKUP(BC14,Коды_код,Коды_вид)&amp;"","")="","Прочее",_xlfn.XLOOKUP(BC14,Коды_код,Коды_вид)&amp;"")))</f>
        <v>Рабочее освещение</v>
      </c>
      <c r="GJ14" t="str">
        <f>IF(BM14="","",INT((BM14-1)/Столбцов_на_лист)+1)</f>
        <v/>
      </c>
      <c r="GK14" t="str">
        <f t="shared" si="77"/>
        <v>ВВГнг(А)-LS (3х1,5) L=8-0,14%</v>
      </c>
      <c r="GL14">
        <f t="shared" si="78"/>
        <v>0.3</v>
      </c>
      <c r="GM14">
        <f t="shared" si="79"/>
        <v>1.37</v>
      </c>
      <c r="GN14">
        <f t="shared" si="80"/>
        <v>1</v>
      </c>
      <c r="GO14">
        <f t="shared" si="81"/>
        <v>0</v>
      </c>
      <c r="GP14">
        <f t="shared" si="82"/>
        <v>0</v>
      </c>
      <c r="GQ14" t="str">
        <f>IF(BM14="","",IF(AND(CG14=1,GP14=1),COUNTIFS(A$3:A14,A14,CG$3:CG14,1,GP$3:GP14,1),IF(OR(OR(BA14=1,A14&lt;&gt;A13),AJ14="вручную",GP14=0),"",IF(BA14=1,"",GR13))))</f>
        <v/>
      </c>
      <c r="GR14">
        <f t="shared" si="83"/>
        <v>9</v>
      </c>
      <c r="GS14">
        <f>IF(B14="","",IFERROR(LOOKUP(INDEX(CHOOSE(EB14,Iдоп_1ж,Iдоп_2ж,Iдоп_3ж),MATCH(EN14,Iдоп_S,0))*DZ14*EA14,{6,10,16,20,25,32,40,50,63,80,100,125,160,200,250,315,400,500,630}),""))</f>
        <v>16</v>
      </c>
      <c r="GT14" t="str">
        <f t="shared" si="84"/>
        <v/>
      </c>
      <c r="GU14" t="str">
        <f t="shared" si="85"/>
        <v>QFD9</v>
      </c>
      <c r="GV14" t="str">
        <f t="shared" si="86"/>
        <v/>
      </c>
      <c r="GW14">
        <f t="shared" si="87"/>
        <v>0</v>
      </c>
      <c r="GX14" t="str">
        <f>IF(OR(B14="",DJ14=""),"",IFERROR(_xlfn.XLOOKUP(DJ14,Модули_умолч[Управление],Модули_умолч[Модель])&amp;"",""))</f>
        <v/>
      </c>
      <c r="GY14">
        <f>IF(DJ14="",1,IFERROR(MAX(0,N(_xlfn.XLOOKUP(DJ14,Модули_умолч[Управление],Модули_умолч[Каналов на линию]))),1))</f>
        <v>1</v>
      </c>
      <c r="GZ14" t="str">
        <f t="shared" si="88"/>
        <v/>
      </c>
      <c r="HA14" t="str">
        <f t="shared" si="89"/>
        <v/>
      </c>
      <c r="HB14" t="str">
        <f t="shared" si="90"/>
        <v/>
      </c>
      <c r="HC14">
        <f>IF(HB14="",0,IFERROR(N(VLOOKUP(HB14,Модули_спр,3,FALSE)),0))</f>
        <v>0</v>
      </c>
      <c r="HD14" t="str">
        <f t="shared" si="91"/>
        <v/>
      </c>
      <c r="HE14" t="str">
        <f t="shared" si="92"/>
        <v/>
      </c>
      <c r="HF14" t="str">
        <f>IF(OR(HE14="",HE14="-"),"",IFERROR(VLOOKUP(HE14,Модули_спр,2,FALSE),"R"))</f>
        <v/>
      </c>
      <c r="HG14" t="str">
        <f>IF(HF14="","",HF14&amp;"."&amp;COUNTIFS(A$3:A14,A14,HF$3:HF14,HF14))</f>
        <v/>
      </c>
      <c r="HH14" t="str">
        <f t="shared" si="93"/>
        <v/>
      </c>
      <c r="HI14" t="str">
        <f t="shared" si="94"/>
        <v/>
      </c>
      <c r="HJ14" t="str">
        <f t="shared" si="95"/>
        <v/>
      </c>
      <c r="HK14" t="str">
        <f t="shared" si="96"/>
        <v/>
      </c>
      <c r="HL14">
        <f t="shared" si="97"/>
        <v>1</v>
      </c>
      <c r="HM14" t="str">
        <f>IF(HL14=1,"XT"&amp;COUNTIFS(A$3:A14,A14,HL$3:HL14,1),"")</f>
        <v>XT10</v>
      </c>
      <c r="HN14" t="str">
        <f t="shared" si="98"/>
        <v>XT10</v>
      </c>
      <c r="HO14" t="str">
        <f t="shared" si="99"/>
        <v>QFD9</v>
      </c>
      <c r="HP14" t="str">
        <f t="shared" si="100"/>
        <v/>
      </c>
      <c r="HQ14" t="str">
        <f t="shared" si="101"/>
        <v>ok</v>
      </c>
      <c r="HR14" t="str">
        <f>IF(OR(HJ14="",HH14=""),"",IF(HJ14+MAX(0,GY14-1)&gt;IFERROR(VLOOKUP(HI14,Модули_спр,3,FALSE),99),"ЛИШНИЙ КАНАЛ",IF(AND(AL14&lt;&gt;"=",GY14&gt;0,COUNTIFS(Линии[_модуль гр.],HH14,Линии[Канал (итог)],HJ14,Линии[Канал],"&lt;&gt;=",Линии[Щит],A14)&gt;1),"ДУБЛЬ КАНАЛА","")))</f>
        <v/>
      </c>
      <c r="HS14" s="6">
        <f t="shared" si="102"/>
        <v>52.673944286878793</v>
      </c>
      <c r="HT14">
        <f t="shared" si="103"/>
        <v>10</v>
      </c>
      <c r="HU14" t="str">
        <f t="shared" si="104"/>
        <v>ok</v>
      </c>
      <c r="HV14">
        <f t="shared" si="105"/>
        <v>0.62696341291648749</v>
      </c>
      <c r="HW14">
        <f t="shared" si="106"/>
        <v>0</v>
      </c>
      <c r="HX14">
        <f t="shared" si="107"/>
        <v>0</v>
      </c>
      <c r="HY14">
        <f t="shared" si="108"/>
        <v>0</v>
      </c>
      <c r="HZ14">
        <f t="shared" si="109"/>
        <v>0</v>
      </c>
      <c r="IA14">
        <f t="shared" si="110"/>
        <v>0</v>
      </c>
      <c r="IB14">
        <f t="shared" si="111"/>
        <v>0</v>
      </c>
      <c r="IC14" t="str">
        <f t="shared" si="112"/>
        <v/>
      </c>
      <c r="ID14" t="str" cm="1">
        <f t="array" ref="ID14">IF(IC14="","",_xlfn.LET(_xlpm.tk,_xlfn.TEXTSPLIT(SUBSTITUTE(SUBSTITUTE(IC14,";"," "),"→"," ")," ",,TRUE),_xlpm.w_,_xlfn._xlws.FILTER(_xlpm.tk,ISNUMBER(--LEFT(_xlpm.tk,1))*((ISNUMBER(SEARCH("W",_xlpm.tk))+ISNUMBER(SEARCH("Вт",_xlpm.tk)))&gt;0),""),IFERROR(--SUBSTITUTE(SUBSTITUTE(UPPER(INDEX(_xlpm.w_,1)),"W",""),"ВТ",""),"")))</f>
        <v/>
      </c>
      <c r="IE14" t="str" cm="1">
        <f t="array" ref="IE14">IF(IC14="","",_xlfn.LET(_xlpm.tk,_xlfn.TEXTSPLIT(SUBSTITUTE(SUBSTITUTE(IC14,";"," "),"→"," ")," ",,TRUE),_xlpm.v_,_xlfn._xlws.FILTER(_xlpm.tk,ISNUMBER(--LEFT(_xlpm.tk,1))*((ISNUMBER(SEARCH("V",_xlpm.tk))+(RIGHT(UPPER(_xlpm.tk))="В"))&gt;0),""),IFERROR(--SUBSTITUTE(SUBSTITUTE(UPPER(INDEX(_xlpm.v_,1)),"V",""),"В",""),"")))</f>
        <v/>
      </c>
      <c r="IF14" s="6" t="str">
        <f>IF(OR(BV14=0,HI14="",HJ14=""),"",IFERROR(N(_xlfn.XLOOKUP(HI14,Каталог!$C$4:$C$500,Каталог!$Q$4:$Q$500)),""))</f>
        <v/>
      </c>
      <c r="IG14" s="6" t="str">
        <f>IF(N(IF14)=0,"",SUMIFS(Линии[Iр, А],Линии[Щит],A14,Линии[_модуль гр.],HH14,Линии[Канал (итог)],HJ14))</f>
        <v/>
      </c>
      <c r="IH14" t="str">
        <f>IF(AND(B14="",HO14=""),"",_xlfn.TEXTJOIN("; ",TRUE,IF(AND(B14&lt;&gt;"",FV14=""),"нет фазы",""),IF(AND(B14&lt;&gt;"",N(GL14)=0,FG14&lt;&gt;"Нет"),"нет мощности",""),IF(AND(HN14&lt;&gt;"",COUNTIFS(Линии[Щит],A14,Линии[Клемма (итог)],HN14)&gt;1),"дубль клеммы "&amp;HN14,""),IF(AND(HQ14&lt;&gt;"",HQ14&lt;&gt;"ok"),HQ14,""),IF(HR14&lt;&gt;"",HR14,""),IF(AND(N(CB14)&gt;=4,N(BX14)=1),CB14&amp;" жил на 1 фазе",""),IF(AND(BC14="R",CG14=1,IF(CS14&lt;&gt;"",N(CV14)&gt;30,OR(N(DA14)=0,N(DA14)&gt;30))),"розетка без дифзащиты до 30 мА",""),IF(AND(CG14=1,N(DA14)&gt;0,ISNUMBER(T14)),IF(T14&gt;N(DA14)/3,"ток утечки "&amp;FIXED(T14,1)&amp;" мА &gt; 1/3 уставки ("&amp;DA14&amp;" мА)",""),""),IF(AND(CH14=1,CS14=""),"«узо»: нет строки с УЗО выше (УЗО 2P 40А 30мА в «Аппаратах»)",""),IF(AND(CS14&lt;&gt;"",CS14=BA14),IF(CT14="","впишите номинал УЗО (УЗО 2P 40А 30мА)",IF(N(CT14)&lt;N(DT14),"УЗО "&amp;CT14&amp;" А &lt; автомата "&amp;DT14&amp;" А перед ним",IF(N(CT14)&lt;N(CX14),"УЗО "&amp;CT14&amp;" А &lt; тока блока "&amp;FIXED(CX14,1)&amp;" А",""))),""),IF(AND(CS14&lt;&gt;"",CS14=BA14,ISNUMBER(CY14)),IF(CY14&gt;N(CV14)/3,"ток утечки блока УЗО "&amp;FIXED(CY14,1)&amp;" мА &gt; 1/3 уставки ("&amp;CV14&amp;" мА)",""),""),IF(AND(CG14=1,N(BV14)+N(IB14)&gt;0,IC14=""),"линии до 50 В без БП: впишите в «Аппараты» (БП 24V 480W)",""),IF(AND(CG14=1,ISNUMBER(ID14),ISNUMBER(U14)),IF(U14&gt;ID14,"БП "&amp;ID14&amp;" Вт &lt; нужно "&amp;U14&amp;" Вт (×"&amp;Запас_БП&amp;")",""),""),IF(AND(CG14=1,ISNUMBER(IE14),N(BV14)=1),IF(IE14&lt;&gt;N(BU14),"БП на "&amp;IE14&amp;" В, линия "&amp;BU14&amp;" В",""),""),IF(AND(N(IF14)&gt;0,N(IG14)&gt;N(IF14)),HH14&amp;" канал "&amp;HJ14&amp;": "&amp;FIXED(IG14,1)&amp;" А &gt; "&amp;IF14&amp;" А",""),IFERROR(IF(AND(ISNUMBER(Q14),Q14&gt;EL14),"потери "&amp;FIXED(Q14,1)&amp;" % &gt; "&amp;EL14&amp;" %",""),""),IFERROR(IF(LEFT(HU14,4)="мало","Iкз мало — отключение &gt; 0,4 с",""),""),IF(AND(B14&lt;&gt;"",BM14=""),"не на схеме",""),IF(AND(CG14=0,B14&lt;&gt;"",FV14&lt;&gt;"",IF(BA14=1,"",FW13)&lt;&gt;"",FV14&lt;&gt;IF(BA14=1,"",FW13)),"фаза не как у автомата группы ("&amp;IF(BA14=1,"",FW13)&amp;")","")))</f>
        <v>не на схеме</v>
      </c>
      <c r="II14" s="6">
        <f>IF(OR(CG14=0,DQ14=""),"",_xlfn.LET(_xlpm.t,IFERROR(_xlfn.XLOOKUP(DQ14,Каталог!$U$4:$U$500,Каталог!$G$4:$G$500),""),_xlpm.k,SEARCH("кА",_xlpm.t),IFERROR(--TRIM(RIGHT(SUBSTITUTE(MID(_xlpm.t,MAX(1,_xlpm.k-4),_xlpm.k-MAX(1,_xlpm.k-4))," ",REPT(" ",9)),5)),"")))</f>
        <v>6</v>
      </c>
      <c r="IJ14" t="str">
        <f>IF(OR(II14="",CG14=0),"",IF(_xlfn.XLOOKUP(A14,Щиты[Щит],Щиты[Iкз max на шинах, кА],"")="","",IF(II14&lt;_xlfn.XLOOKUP(A14,Щиты[Щит],Щиты[Iкз max на шинах, кА]),"Icu "&amp;II14&amp;" кА &lt; Iкз max","ok")))</f>
        <v>ok</v>
      </c>
      <c r="IK14" t="str">
        <f t="shared" si="113"/>
        <v/>
      </c>
      <c r="IL14" t="str">
        <f t="shared" si="114"/>
        <v/>
      </c>
      <c r="IM14" t="str">
        <f t="shared" si="115"/>
        <v/>
      </c>
      <c r="IN14" t="str" cm="1">
        <f t="array" ref="IN14">IF(IM14="","",_xlfn.LET(_xlpm.nd,_xlfn.TEXTSPLIT(IM14,"|"),IF(COLUMNS(_xlpm.nd)&gt;1,A14&amp;"¦"&amp;INDEX(_xlpm.nd,1)&amp;"¦"&amp;INDEX(_xlpm.nd,2),"")))</f>
        <v/>
      </c>
      <c r="IO14" t="str">
        <f t="shared" si="116"/>
        <v/>
      </c>
      <c r="IP14" t="str" cm="1">
        <f t="array" ref="IP14">IF(IM14="","",_xlfn.LET(_xlpm.nd,_xlfn.TEXTSPLIT(IM14,"|"),IF(COLUMNS(_xlpm.nd)&gt;2,A14&amp;"¦"&amp;INDEX(_xlpm.nd,2)&amp;"¦"&amp;INDEX(_xlpm.nd,3),"")))</f>
        <v/>
      </c>
      <c r="IQ14" t="str">
        <f t="shared" si="117"/>
        <v/>
      </c>
      <c r="IR14" t="str" cm="1">
        <f t="array" ref="IR14">IF(IM14="","",_xlfn.LET(_xlpm.nd,_xlfn.TEXTSPLIT(IM14,"|"),IF(COLUMNS(_xlpm.nd)&gt;3,A14&amp;"¦"&amp;INDEX(_xlpm.nd,3)&amp;"¦"&amp;INDEX(_xlpm.nd,4),"")))</f>
        <v/>
      </c>
      <c r="IS14" t="str">
        <f t="shared" si="118"/>
        <v/>
      </c>
      <c r="IT14" t="str" cm="1">
        <f t="array" ref="IT14">IF(IM14="","",_xlfn.LET(_xlpm.nd,_xlfn.TEXTSPLIT(IM14,"|"),IF(COLUMNS(_xlpm.nd)&gt;4,A14&amp;"¦"&amp;INDEX(_xlpm.nd,4)&amp;"¦"&amp;INDEX(_xlpm.nd,5),"")))</f>
        <v/>
      </c>
      <c r="IU14" t="str">
        <f t="shared" si="119"/>
        <v/>
      </c>
      <c r="IV14" t="str" cm="1">
        <f t="array" ref="IV14">IF(IM14="","",_xlfn.LET(_xlpm.nd,_xlfn.TEXTSPLIT(IM14,"|"),IF(COLUMNS(_xlpm.nd)&gt;5,A14&amp;"¦"&amp;INDEX(_xlpm.nd,5)&amp;"¦"&amp;INDEX(_xlpm.nd,6),"")))</f>
        <v/>
      </c>
      <c r="IW14" t="str">
        <f t="shared" si="120"/>
        <v/>
      </c>
      <c r="IX14" t="str" cm="1">
        <f t="array" ref="IX14">IF(IM14="","",_xlfn.LET(_xlpm.nd,_xlfn.TEXTSPLIT(IM14,"|"),IF(COLUMNS(_xlpm.nd)&gt;6,A14&amp;"¦"&amp;INDEX(_xlpm.nd,6)&amp;"¦"&amp;INDEX(_xlpm.nd,7),"")))</f>
        <v/>
      </c>
      <c r="IY14" t="str">
        <f t="shared" si="121"/>
        <v/>
      </c>
      <c r="IZ14" t="str">
        <f t="shared" si="122"/>
        <v/>
      </c>
      <c r="JA14" t="str">
        <f t="shared" si="123"/>
        <v>QFD9 → XT10</v>
      </c>
      <c r="JB14">
        <f t="shared" si="124"/>
        <v>0</v>
      </c>
      <c r="JC14">
        <f t="shared" si="125"/>
        <v>0</v>
      </c>
      <c r="JD14" t="str">
        <f t="shared" si="126"/>
        <v/>
      </c>
      <c r="JE14" t="str">
        <f t="shared" si="127"/>
        <v/>
      </c>
      <c r="JF14" t="str">
        <f t="shared" si="128"/>
        <v/>
      </c>
      <c r="JG14" t="str">
        <f t="shared" si="129"/>
        <v/>
      </c>
      <c r="JH14" t="str">
        <f>IF(B14="","",IFERROR(_xlfn.XLOOKUP(B14,Коды_код,Коды_уго),IFERROR(_xlfn.XLOOKUP(BC14,Коды_код,Коды_уго),IFERROR(_xlfn.XLOOKUP(LEFT(BC14,2),Коды_код,Коды_уго),""))))</f>
        <v>Светильник</v>
      </c>
      <c r="JI14" t="str">
        <f>IF(B14="","",IF(OR(JH14="",JH14=0),"BOX",IFERROR(IF(VLOOKUP(JH14,УГО_блоки,3,FALSE)&amp;""&lt;&gt;"",VLOOKUP(JH14,УГО_блоки,3,FALSE),VLOOKUP(JH14,УГО_блоки,2,FALSE)),JH14)))</f>
        <v>LAMP</v>
      </c>
      <c r="JJ14">
        <f t="shared" si="130"/>
        <v>1</v>
      </c>
      <c r="JK14" t="str">
        <f>IF(DQ14="","",IF(COUNTIF(DQ$3:DQ14,DQ14)=1,MAX(JK$2:JK13)+1,""))</f>
        <v/>
      </c>
      <c r="JL14" t="str">
        <f>IF(DE14="","",IF(COUNTIF(DE$3:DE14,DE14)+COUNTIF(DF$2:DF13,DE14)+COUNTIF(DG$2:DG13,DE14)=1,MAX(JL$2:JN13)+1,""))</f>
        <v/>
      </c>
      <c r="JM14" t="str">
        <f>IF(DF14="","",IF(COUNTIF(DE$3:DE14,DF14)+COUNTIF(DF$3:DF14,DF14)+COUNTIF(DG$2:DG13,DF14)=1,MAX(JL$2:JN13,JL14)+1,""))</f>
        <v/>
      </c>
      <c r="JN14" t="str">
        <f>IF(DG14="","",IF(COUNTIF(DE$3:DE14,DG14)+COUNTIF(DF$3:DF14,DG14)+COUNTIF(DG$3:DG14,DG14)=1,MAX(JL$2:JN13,JL14,JM14)+1,""))</f>
        <v/>
      </c>
      <c r="JO14" t="str">
        <f t="shared" si="131"/>
        <v>3х1,5</v>
      </c>
      <c r="JP14" t="str">
        <f>IF(JO14="","",IF(COUNTIF(JO$3:JO14,JO14)=1,MAX(JP$2:JP13)+1,""))</f>
        <v/>
      </c>
      <c r="JQ14" t="str">
        <f>IF(HG14="","",COUNTIF(HG$3:HG14,"?*"))</f>
        <v/>
      </c>
      <c r="JR14" t="str">
        <f>IF(OR(HG14="",HI14=""),"",IF(COUNTIFS(HG$3:HG14,"?*",HI$3:HI14,HI14)=1,MAX(JR$2:JR13)+1,""))</f>
        <v/>
      </c>
      <c r="JS14">
        <f t="shared" si="132"/>
        <v>1</v>
      </c>
      <c r="JT14">
        <f>IF(B14="","",COUNTIF(B$3:B14,"?*"))</f>
        <v>12</v>
      </c>
      <c r="JU14">
        <f>IF(HL14&lt;&gt;1,0,_xlfn.LET(_xlpm.k,MAX(IFERROR(--_xlfn.XLOOKUP(B14,Коды_код,Коды_3L),0),IFERROR(--_xlfn.XLOOKUP(BC14,Коды_код,Коды_3L),0),IFERROR(--_xlfn.XLOOKUP(LEFT(BC14,2),Коды_код,Коды_3L),0)),IF(_xlpm.k&gt;0,_xlpm.k,IF(IFERROR(--LEFT(SUBSTITUTE(JO14,"x","х"),FIND("х",SUBSTITUTE(JO14,"x","х"))-1),3)&gt;3,Каталог!$S$9,1))))</f>
        <v>1</v>
      </c>
      <c r="JV14">
        <f t="shared" si="133"/>
        <v>0</v>
      </c>
      <c r="JW14" t="str">
        <f t="shared" si="134"/>
        <v>авто</v>
      </c>
      <c r="JX14" t="str">
        <f t="shared" si="135"/>
        <v/>
      </c>
      <c r="JY14">
        <f t="shared" si="136"/>
        <v>0</v>
      </c>
      <c r="JZ14">
        <f t="shared" si="137"/>
        <v>1</v>
      </c>
    </row>
    <row r="15" spans="1:286" x14ac:dyDescent="0.3">
      <c r="A15" t="s">
        <v>151</v>
      </c>
      <c r="B15" t="s">
        <v>945</v>
      </c>
      <c r="C15" t="s">
        <v>1242</v>
      </c>
      <c r="E15">
        <f>Линии[[#This Row],[_авто Р]]</f>
        <v>0.56000000000000005</v>
      </c>
      <c r="G15" t="str">
        <f>Линии[[#This Row],[_авто автомат]]</f>
        <v>1P С6А</v>
      </c>
      <c r="H15" t="str">
        <f>Линии[[#This Row],[_авто управление]]</f>
        <v/>
      </c>
      <c r="I15" t="str">
        <f>Линии[[#This Row],[_авто аппараты]]</f>
        <v/>
      </c>
      <c r="J15">
        <f>Линии[[#This Row],[_авто сечение]]</f>
        <v>1.5</v>
      </c>
      <c r="K15">
        <v>10</v>
      </c>
      <c r="L15" t="str">
        <f>Линии[[#This Row],[_авто фаза]]</f>
        <v>L2</v>
      </c>
      <c r="M15" t="str">
        <f>Линии[[#This Row],[_авто клемма]]</f>
        <v>XT11</v>
      </c>
      <c r="N15" t="str">
        <f t="shared" si="0"/>
        <v/>
      </c>
      <c r="O15" s="6" cm="1">
        <f t="array" ref="O15">IF(B15="","",IF(BH15&lt;&gt;"",IFERROR(_xlfn.XLOOKUP(BH15,Щиты[Щит],Щиты[Iр, А]),""),IF(BP15=1,IF(OR(N(_xlfn.XLOOKUP(A15,Щиты[Щит],Щиты[Вводов],1))&lt;=1,LOWER(TRIM(_xlfn.XLOOKUP(A15,Щиты[Щит],Щиты[АВР],"")&amp;""))="да"),IFERROR(_xlfn.XLOOKUP(A15,Щиты[Щит],Щиты[Iр, А]),""),IFERROR(N(BS15)*_xlfn.XLOOKUP(A15,Щиты[Щит],Щиты[Кс итог])/(SQRT(3)*Uн_лин*_xlfn.XLOOKUP(A15,Щиты[Щит],Щиты[cos φ])),"")),IF(BV15=1,IFERROR(BS15*1000/BU15,""),IFERROR(_xlfn.IFS(BX15=1,BS15/((Uн_лин/SQRT(3))*CE15),BX15=3,BS15/(SQRT(3)*Uн_лин*CE15)),"")))))</f>
        <v>1.7138186938049942</v>
      </c>
      <c r="P15" s="7">
        <f>IF(B15="","",IFERROR(IF(VLOOKUP(BC15,Потребители_обозначение,4,FALSE)=1,VLOOKUP(BC15,Потребители_обозначение,3,FALSE)*(MAX(1,N(D15))*2-1)+EI15+VLOOKUP(BE15,Этаж_обозначение,3,FALSE)+VLOOKUP(BE15,Этаж_обозначение,4,FALSE),VLOOKUP(BC15,Потребители_обозначение,3,FALSE)*(MAX(1,N(D15))*2-1)+EI15),EI15))</f>
        <v>10</v>
      </c>
      <c r="Q15" s="6">
        <f t="shared" si="1"/>
        <v>0.58602884987279757</v>
      </c>
      <c r="R15" t="str">
        <f t="shared" si="2"/>
        <v>ВВГнг(А)-LS (3х1,5)</v>
      </c>
      <c r="S15" t="str">
        <f>IF(BM15="","",IF(BN15="вводной узел","узел ","")&amp;"л."&amp;(INT((BM15-1)/Столбцов_на_лист)+1)&amp;" / "&amp;(MOD(BM15-1,Столбцов_на_лист)+1))</f>
        <v>л.1 / 5</v>
      </c>
      <c r="T15" s="119" t="str">
        <f t="shared" si="3"/>
        <v/>
      </c>
      <c r="U15" s="7" t="str">
        <f>IF(OR(CG15=0,N(BV15)+N(IB15)=0),"",ROUNDUP(Запас_БП*(N(HY15)+N(HZ15)),0))</f>
        <v/>
      </c>
      <c r="V15" s="119" t="str">
        <f t="shared" si="4"/>
        <v/>
      </c>
      <c r="W15" s="7">
        <f>IFERROR(IF(OR(B15="",BP15=1,BV15=1,NOT(ISNUMBER(EN15)),N(DT15)=0),"",MAX(0,ROUNDDOWN((c_min*(Uн_лин*1000/SQRT(3))/(HT15*N(DT15))-_xlfn.XLOOKUP(A15,Щиты[Щит],Щиты[Zпетли на шинах, Ом]))*EN15/(2*ρкз_Cu),0))),"")</f>
        <v>100</v>
      </c>
      <c r="Y15" t="str">
        <f>Линии[[#This Row],[_авто утечка]]</f>
        <v/>
      </c>
      <c r="Z15">
        <v>1</v>
      </c>
      <c r="AA15">
        <v>230</v>
      </c>
      <c r="AB15" t="str">
        <f>Линии[[#This Row],[_авто группа Кс]]</f>
        <v>Быт</v>
      </c>
      <c r="AG15" t="s">
        <v>801</v>
      </c>
      <c r="AK15" t="str">
        <f>Линии[[#This Row],[_авто модуль]]</f>
        <v/>
      </c>
      <c r="AN15" t="s">
        <v>11</v>
      </c>
      <c r="AO15">
        <v>3</v>
      </c>
      <c r="BA15" cm="1">
        <f t="array" ref="BA15">ROW()-ROW(Линии[#Headers])</f>
        <v>13</v>
      </c>
      <c r="BC15" s="6" t="str">
        <f t="shared" si="5"/>
        <v>ЩБП</v>
      </c>
      <c r="BD15" t="str">
        <f t="shared" si="6"/>
        <v/>
      </c>
      <c r="BE15" t="str">
        <f t="shared" si="7"/>
        <v/>
      </c>
      <c r="BF15" t="str">
        <f t="shared" si="8"/>
        <v/>
      </c>
      <c r="BG15" t="str">
        <f t="shared" si="9"/>
        <v/>
      </c>
      <c r="BH15" t="str">
        <f>IF(X15&lt;&gt;"",X15,IF(AND(B15&lt;&gt;"",B15&lt;&gt;A15,ISNUMBER(_xlfn.XMATCH(B15,Щиты[Щит]))),B15,""))</f>
        <v>ЩБП</v>
      </c>
      <c r="BI15" t="str" cm="1">
        <f t="array" ref="BI15">IF(B15="","",IF(BH15&lt;&gt;"","Щит "&amp;BH15,_xlfn.LET(_xlpm.nm,IFERROR(_xlfn.XLOOKUP(BC15,Коды_код,Коды_имя)&amp;"",""),_xlpm.md,IFERROR(N(_xlfn.XLOOKUP(BC15,Коды_код,Коды_режим)),1),_xlpm.ex,IF(Имя_режим="по экспликации",IFERROR(_xlfn.XLOOKUP(BE15&amp;"|"&amp;BG15,Экспликация[Этаж]&amp;"|"&amp;Экспликация[Помещение],Экспликация[Название])&amp;"",""),""),_xlpm.rm,IF(BG15="","",IF(_xlpm.ex&lt;&gt;"",". "&amp;_xlpm.ex&amp;IF(Имя_пом="нет"," ("&amp;BG15&amp;")"," (пом. "&amp;BG15&amp;")"),IF(Имя_пом="нет"," ",", пом. ")&amp;BG15)),IF(_xlpm.nm="","",IF(_xlpm.md=2,_xlpm.nm&amp;" шлейф "&amp;BE15,_xlpm.nm&amp;_xlpm.rm)))))</f>
        <v>Щит ЩБП</v>
      </c>
      <c r="BJ15" t="str">
        <f t="shared" si="10"/>
        <v>Щит блоков питания LED</v>
      </c>
      <c r="BK15">
        <f>IFERROR(_xlfn.XMATCH(A15,Щиты[Щит]),0)</f>
        <v>1</v>
      </c>
      <c r="BL15">
        <f>_xlfn.LET(_xlpm.k,IFERROR(_xlfn.XLOOKUP(A15,Щиты[Щит],Щиты[Мест под вводной узел]),""),IF(_xlpm.k="",Столбцов_на_лист,N(_xlpm.k)))</f>
        <v>4</v>
      </c>
      <c r="BM15">
        <f t="shared" si="11"/>
        <v>5</v>
      </c>
      <c r="BN15" t="str">
        <f t="shared" si="12"/>
        <v>линии</v>
      </c>
      <c r="BO15" s="6">
        <f>IFERROR(N(_xlfn.XLOOKUP(BC15,Коды_код,Коды_квт)),0)</f>
        <v>0</v>
      </c>
      <c r="BP15">
        <f t="shared" si="13"/>
        <v>0</v>
      </c>
      <c r="BQ15">
        <f>IF(B15="","",IF(BH15&lt;&gt;"",IFERROR(_xlfn.XLOOKUP(BH15,Щиты[Щит],Щиты[Руст, кВт]),0),IF(BP15=1,IF(OR(N(_xlfn.XLOOKUP(A15,Щиты[Щит],Щиты[Вводов],1))&lt;=1,LOWER(TRIM(_xlfn.XLOOKUP(A15,Щиты[Щит],Щиты[АВР],"")&amp;""))="да"),IFERROR(_xlfn.XLOOKUP(A15,Щиты[Щит],Щиты[Руст, кВт]),0),SUMIFS(Линии[_Р для вводов],Линии[Щит],A15,Линии[Источник для режимов],GF15)),IF(BO15&gt;0,ROUND(BO15*MAX(1,N(D15)),3),""))))</f>
        <v>0.56000000000000005</v>
      </c>
      <c r="BR15">
        <f t="shared" si="14"/>
        <v>0.56000000000000005</v>
      </c>
      <c r="BS15" s="6">
        <f>IF(B15="","",IF(BH15&lt;&gt;"",IFERROR(_xlfn.XLOOKUP(BH15,Щиты[Щит],Щиты[Руст, кВт]),0),N(BR15)))</f>
        <v>0.56000000000000005</v>
      </c>
      <c r="BT15" t="str">
        <f>IF(B15="","",IFERROR(IF(VLOOKUP(BC15,Потребители_обозначение,8,FALSE)=0,"",VLOOKUP(BC15,Потребители_обозначение,8,FALSE)),""))</f>
        <v/>
      </c>
      <c r="BU15">
        <f t="shared" si="15"/>
        <v>230</v>
      </c>
      <c r="BV15">
        <f t="shared" si="16"/>
        <v>0</v>
      </c>
      <c r="BW15">
        <f>IF(B15="","",IF(BH15&lt;&gt;"",3,IFERROR(IF(N(VLOOKUP(BC15,Потребители_обозначение,9,FALSE))=0,1,VLOOKUP(BC15,Потребители_обозначение,9,FALSE)),1)))</f>
        <v>3</v>
      </c>
      <c r="BX15">
        <f t="shared" si="17"/>
        <v>1</v>
      </c>
      <c r="BY15" t="str">
        <f>IF(B15="","",_xlfn.LET(_xlpm.bc,IFERROR(IF(VLOOKUP(BC15,Потребители_обозначение,6,FALSE)=0,"",VLOOKUP(BC15,Потребители_обозначение,6,FALSE)&amp;""),""),IF(AND(GA15="да",OR(_xlpm.bc="",_xlpm.bc="мс")),Марка_пож,IF(AND(_xlpm.bc="",BH15&lt;&gt;""),"мс",_xlpm.bc))))</f>
        <v>мс</v>
      </c>
      <c r="BZ15" t="str">
        <f t="shared" si="18"/>
        <v>мс</v>
      </c>
      <c r="CA15">
        <f>IF(B15="","",_xlfn.LET(_xlpm.cc,IFERROR(N(VLOOKUP(BC15,Потребители_обозначение,7,FALSE)),0),IF(_xlpm.cc&gt;0,_xlpm.cc,IF(BZ15="","",IF(BV15=1,2,IF(N(BX15)=3,5,3))))))</f>
        <v>3</v>
      </c>
      <c r="CB15">
        <f t="shared" si="19"/>
        <v>3</v>
      </c>
      <c r="CC15">
        <f>IFERROR(N(VLOOKUP(BC15,Потребители_обозначение,10,FALSE)),0)</f>
        <v>0</v>
      </c>
      <c r="CD15">
        <f>IFERROR(VLOOKUP(BC15,Потребители_обозначение,5,FALSE),0)</f>
        <v>0</v>
      </c>
      <c r="CE15" s="6" cm="1">
        <f t="array" ref="CE15">IF(B15="","",IF(BH15&lt;&gt;"",IFERROR(_xlfn.XLOOKUP(BH15,Щиты[Щит],Щиты[cos φ]),0.95),IF(BP15=1,IFERROR(_xlfn.XLOOKUP(A15,Щиты[Щит],Щиты[cos φ]),0.95),IF(ISNUMBER(AD15),AD15,IFERROR(IF(CD15=2,_xlfn.IFS(BX15=3,VLOOKUP(BS15,Справочная_двигатели,8,FALSE),BX15=1,VLOOKUP(BS15,Справочная_двигатели,10,TRUE)),IF(AND(Методика="нормы 2026",FG15="Сил"),0.8,0.95)),0.95)))))</f>
        <v>0.95</v>
      </c>
      <c r="CF15">
        <f t="shared" si="20"/>
        <v>0</v>
      </c>
      <c r="CG15">
        <f t="shared" si="21"/>
        <v>1</v>
      </c>
      <c r="CH15">
        <f t="shared" si="22"/>
        <v>0</v>
      </c>
      <c r="CI15">
        <f>IF(B15="","",IF(BV15=1,IFERROR(BS15/((Uн_лин/SQRT(3))*MAX(0.5,N(CE15))),0),N(O15)))</f>
        <v>1.7138186938049942</v>
      </c>
      <c r="CJ15">
        <f t="shared" si="23"/>
        <v>0</v>
      </c>
      <c r="CK15">
        <f t="shared" si="24"/>
        <v>0</v>
      </c>
      <c r="CL15">
        <f t="shared" si="25"/>
        <v>0</v>
      </c>
      <c r="CM15">
        <f t="shared" si="26"/>
        <v>0</v>
      </c>
      <c r="CN15">
        <f t="shared" si="27"/>
        <v>0</v>
      </c>
      <c r="CO15">
        <f>IF(BC15="",0,_xlfn.LET(_xlpm.v,IFERROR(_xlfn.XLOOKUP(B15,Коды_код,Коды_мА),IFERROR(_xlfn.XLOOKUP(BC15,Коды_код,Коды_мА),IFERROR(_xlfn.XLOOKUP(LEFT(BC15,2),Коды_код,Коды_мА),""))),IF(_xlpm.v="да",30,IF(ISNUMBER(_xlpm.v),_xlpm.v,0))))</f>
        <v>0</v>
      </c>
      <c r="CP15" t="str">
        <f t="shared" si="28"/>
        <v/>
      </c>
      <c r="CQ15" t="str">
        <f>_xlfn.LET(_xlpm.k,IFERROR(_xlfn.XLOOKUP(BC15,Коды_код,Коды_утечка)&amp;"",""),IF(_xlpm.k="","дифавтомат",_xlpm.k))</f>
        <v>дифавтомат</v>
      </c>
      <c r="CR15" t="str" cm="1">
        <f t="array" ref="CR15">IF(CG15=0,"",_xlfn.LET(_xlpm.sg,TRIM(_xlfn.TEXTSPLIT(DD15&amp;"",";")),_xlpm.f_,_xlfn._xlws.FILTER(_xlpm.sg,LEFT(_xlpm.sg,3)="УЗО",""),IFERROR(INDEX(_xlpm.f_,1)&amp;"","")))</f>
        <v/>
      </c>
      <c r="CS15" t="str">
        <f t="shared" si="29"/>
        <v/>
      </c>
      <c r="CT15" s="6" t="str" cm="1">
        <f t="array" ref="CT15">IF(CR15="","",_xlfn.LET(_xlpm.tk,_xlfn.TEXTSPLIT(UPPER(CR15)," ",,TRUE),_xlpm.a_,_xlfn._xlws.FILTER(_xlpm.tk,ISNUMBER(--LEFT(_xlpm.tk,1))*((ISNUMBER(SEARCH("А",_xlpm.tk))+ISNUMBER(SEARCH("A",_xlpm.tk)))&gt;0)*NOT(ISNUMBER(SEARCH("МА",_xlpm.tk)))*NOT(ISNUMBER(SEARCH("MA",_xlpm.tk))),""),IFERROR(--SUBSTITUTE(SUBSTITUTE(INDEX(_xlpm.a_,1),"А",""),"A",""),"")))</f>
        <v/>
      </c>
      <c r="CU15" t="str" cm="1">
        <f t="array" ref="CU15">IF(CR15="","",_xlfn.LET(_xlpm.tk,_xlfn.TEXTSPLIT(UPPER(CR15)," ",,TRUE),_xlpm.a_,_xlfn._xlws.FILTER(_xlpm.tk,ISNUMBER(--LEFT(_xlpm.tk,1))*((ISNUMBER(SEARCH("МА",_xlpm.tk))+ISNUMBER(SEARCH("MA",_xlpm.tk)))&gt;0),""),IFERROR(--SUBSTITUTE(SUBSTITUTE(INDEX(_xlpm.a_,1),"МА",""),"MA",""),30)))</f>
        <v/>
      </c>
      <c r="CV15" t="str">
        <f>IF(CS15="","",IFERROR(_xlfn.XLOOKUP(CS15,Линии[_n],Линии[_УЗО, мА]),30))</f>
        <v/>
      </c>
      <c r="CW15">
        <f>IF(CS15="",0,IF(ISNUMBER(SEARCH("4P",IFERROR(_xlfn.XLOOKUP(CS15,Линии[_n],Линии[_УЗО строки])&amp;"",""))),0,1))</f>
        <v>0</v>
      </c>
      <c r="CX15" t="str">
        <f>IF(AND(CS15&lt;&gt;"",CS15=BA15),SUMIFS(Линии[_ток на 230 В],Линии[_блок УЗО],BA15,Линии[Щит],A15),"")</f>
        <v/>
      </c>
      <c r="CY15" t="str">
        <f>IF(AND(CS15&lt;&gt;"",CS15=BA15),SUMIFS(Линии[_ток утечки линии, мА],Линии[_блок УЗО],BA15,Линии[Щит],A15),"")</f>
        <v/>
      </c>
      <c r="CZ15">
        <f t="shared" si="30"/>
        <v>0</v>
      </c>
      <c r="DA15">
        <f t="shared" si="31"/>
        <v>0</v>
      </c>
      <c r="DB15">
        <f>IF(B15="",0,IFERROR(--_xlfn.XLOOKUP(B15,Коды_код,Коды_минавт),IFERROR(--_xlfn.XLOOKUP(BC15,Коды_код,Коды_минавт),IFERROR(--_xlfn.XLOOKUP(LEFT(BC15,2),Коды_код,Коды_минавт),0))))</f>
        <v>0</v>
      </c>
      <c r="DC15" t="str">
        <f>IF(B15="","",IFERROR(_xlfn.XLOOKUP(BC15,Коды_код,Коды_апп)&amp;"",""))</f>
        <v/>
      </c>
      <c r="DD15" t="str">
        <f t="shared" si="32"/>
        <v/>
      </c>
      <c r="DE15" t="str" cm="1">
        <f t="array" ref="DE15">IF(TRIM(DD15&amp;"")="","",IFERROR(TRIM(INDEX(_xlfn.TEXTSPLIT(DD15&amp;";;;",";"),1)),""))</f>
        <v/>
      </c>
      <c r="DF15" t="str" cm="1">
        <f t="array" ref="DF15">IF(TRIM(DD15&amp;"")="","",IFERROR(TRIM(INDEX(_xlfn.TEXTSPLIT(DD15&amp;";;;",";"),2)),""))</f>
        <v/>
      </c>
      <c r="DG15" t="str" cm="1">
        <f t="array" ref="DG15">IF(TRIM(DD15&amp;"")="","",IFERROR(TRIM(INDEX(_xlfn.TEXTSPLIT(DD15&amp;";;;",";"),3)),""))</f>
        <v/>
      </c>
      <c r="DH15">
        <f t="shared" si="33"/>
        <v>0</v>
      </c>
      <c r="DI15" t="str">
        <f>IF(B15="","",_xlfn.LET(_xlpm.t,LOWER(AZ15&amp;""),IF(ISNUMBER(SEARCH("dim",_xlpm.t)),"DIM",IF(ISNUMBER(SEARCH("dali",_xlpm.t)),"DALI",IF(OR(ISNUMBER(SEARCH("relay",_xlpm.t)),ISNUMBER(SEARCH("реле",_xlpm.t))),"Relay",IF(ISNUMBER(SEARCH("кнопк",_xlpm.t)),"",IFERROR(_xlfn.XLOOKUP(BC15,Коды_код,Коды_упр)&amp;"","")))))))</f>
        <v/>
      </c>
      <c r="DJ15" t="str">
        <f t="shared" si="34"/>
        <v/>
      </c>
      <c r="DK15">
        <f>IF(B15="","",_xlfn.LET(_xlpm.ig,IF(N(CX15)&gt;0,N(CX15),N(CI15)+IF(AJ15="вручную",0,N(CJ15))),_xlpm.n0,IFERROR(VLOOKUP(_xlpm.ig,Автомат_номиналы,2,TRUE),0),_xlpm.mn,MAX(DB15,IF(AJ15="вручную",0,N(CM15))),MAX(_xlpm.n0,_xlpm.mn,IF(DH15=1,Мин_автомат_БП,0))))</f>
        <v>6</v>
      </c>
      <c r="DL15">
        <f t="shared" si="35"/>
        <v>1</v>
      </c>
      <c r="DM15" t="str">
        <f t="shared" si="36"/>
        <v>1P</v>
      </c>
      <c r="DN15" t="str">
        <f>_xlfn.LET(_xlpm.cc,UPPER(TRIM(IFERROR(_xlfn.XLOOKUP(BC15,Коды_код,Коды_хар)&amp;"",""))),IF(OR(_xlpm.cc="B",_xlpm.cc="В"),"B",IF(_xlpm.cc="D","D","С")))</f>
        <v>С</v>
      </c>
      <c r="DO15" t="str">
        <f t="shared" si="37"/>
        <v>1P С6А</v>
      </c>
      <c r="DP15" t="str">
        <f t="shared" si="38"/>
        <v>1P С6А</v>
      </c>
      <c r="DQ15" t="str">
        <f t="shared" si="39"/>
        <v>1P С6А</v>
      </c>
      <c r="DR15" cm="1">
        <f t="array" ref="DR15">IF(DQ15="","",_xlfn.LET(_xlpm.t,SUBSTITUTE(SUBSTITUTE(SUBSTITUTE(UPPER(DQ15),"С","C"),"А","A"),"В","B"),_xlpm.tk,_xlfn.TEXTSPLIT(_xlpm.t," "),_xlpm.f,_xlfn._xlws.FILTER(_xlpm.tk,ISNUMBER(--MID(_xlpm.tk,2,1))*ISNUMBER(SEARCH(LEFT(_xlpm.tk,1)&amp;"#","B#C#D#"))*(LEN(_xlpm.tk)&gt;1),""),_xlpm.x,INDEX(_xlpm.f,1),IFERROR(--SUBSTITUTE(MID(_xlpm.x,2,9),"A",""),IFERROR(--SUBSTITUTE(INDEX(_xlfn._xlws.FILTER(_xlpm.tk,ISNUMBER(--SUBSTITUTE(_xlpm.tk,"A","")),""),1),"A",""),""))))</f>
        <v>6</v>
      </c>
      <c r="DS15" t="str">
        <f t="shared" si="40"/>
        <v>ok</v>
      </c>
      <c r="DT15">
        <f t="shared" si="41"/>
        <v>6</v>
      </c>
      <c r="DU15" t="str">
        <f t="shared" si="42"/>
        <v>1P С6А</v>
      </c>
      <c r="DV15">
        <f t="shared" si="43"/>
        <v>0</v>
      </c>
      <c r="DW15">
        <f t="shared" si="44"/>
        <v>0</v>
      </c>
      <c r="DX15">
        <f t="shared" si="45"/>
        <v>0</v>
      </c>
      <c r="DY15">
        <f t="shared" si="46"/>
        <v>1.7138186938049942</v>
      </c>
      <c r="DZ15">
        <f t="shared" si="47"/>
        <v>1</v>
      </c>
      <c r="EA15">
        <f>IF(ISNUMBER(AP15),AP15,К_прокл)</f>
        <v>1</v>
      </c>
      <c r="EB15">
        <f t="shared" si="48"/>
        <v>2</v>
      </c>
      <c r="EC15">
        <f>IFERROR(N(VLOOKUP(BZ15,Кабель_обозначение,3,FALSE)),1)</f>
        <v>1</v>
      </c>
      <c r="ED15">
        <f>IFERROR(N(_xlfn.XLOOKUP(A15,Щиты[Щит],Щиты[ΔU до шин, %])),0)</f>
        <v>0.3660288498727976</v>
      </c>
      <c r="EE15">
        <f>IFERROR(_xlfn.XLOOKUP(A15,Щиты[Щит],Щиты[Zпетли на шинах, Ом]),"")</f>
        <v>0.13597829354840207</v>
      </c>
      <c r="EF15">
        <f>IFERROR(N(_xlfn.XLOOKUP(A15,Щиты[Щит],Щиты[ΔU до шин (подбор), %])),0)</f>
        <v>0.3660288498727976</v>
      </c>
      <c r="EG15">
        <f>IFERROR(_xlfn.XLOOKUP(A15,Щиты[Щит],Щиты[Zпетли на шинах (подбор), Ом]),"")</f>
        <v>0.13597829354840207</v>
      </c>
      <c r="EH15" t="str">
        <f t="shared" si="49"/>
        <v/>
      </c>
      <c r="EI15">
        <f t="shared" si="50"/>
        <v>10</v>
      </c>
      <c r="EJ15">
        <f t="shared" si="51"/>
        <v>2</v>
      </c>
      <c r="EK15">
        <f t="shared" si="52"/>
        <v>0.31</v>
      </c>
      <c r="EL15" s="6">
        <f>IF(B15="","",IF(BV15=1,dU_LED,IF(IFERROR(_xlfn.XLOOKUP(BC15,Коды_код,Коды_уго),"")="Светильник",3,4)+IF(Методика="нормы 2026",MIN(0.5,MAX(0,N(P15)-100)*0.005),0)))</f>
        <v>4</v>
      </c>
      <c r="EM15" cm="1">
        <f t="array" ref="EM15">IF(OR(B15="",BZ15="",EC15&lt;&gt;1),"",_xlfn.LET(_xlpm.sz,Iдоп_S,_xlpm.t_,CHOOSE(EB15,Iдоп_1ж,Iдоп_2ж,Iдоп_3ж)*DZ15*EA15,_xlpm.dcx,BV15=1,_xlpm.inn,IF(_xlpm.dcx,N(O15),N(DT15)),_xlpm.smin,MAX(1.5,CC15),_xlpm.L_,N(P15)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15)/N(BU15)*100,999),IFERROR(N(EJ15)*(_xlpm.rho*_xlpm.L_/_xlpm.sz*N(CE15)+_xlpm.xx*_xlpm.L_*N(EK15)/1000)*N(O15)/((Uн_лин/SQRT(3))*1000)*100,999)),_xlpm.kz,IF(OR(_xlpm.dcx,DW15=1,NOT(ISNUMBER(EG15)),_xlpm.L_=0,_xlpm.inn=0),1,IFERROR(--(c_min*(Uн_лин*1000/SQRT(3))/(EG15+2*ρкз_Cu*_xlpm.L_/_xlpm.sz)&gt;=HT15*_xlpm.inn),0)),_xlpm.ok,IFERROR((_xlpm.sz&gt;=_xlpm.smin)*(_xlpm.t_&gt;=_xlpm.inn)*IF(_xlpm.L_&gt;0,(_xlpm.du_+IF(_xlpm.dcx,0,EF15)&lt;=EL15+0.00001),1)*_xlpm.kz,0),_xlpm.r_,_xlfn._xlws.FILTER(_xlpm.sz,_xlpm.ok,"не подобрано"),INDEX(_xlpm.r_,1)))</f>
        <v>1.5</v>
      </c>
      <c r="EN15">
        <f t="shared" si="53"/>
        <v>1.5</v>
      </c>
      <c r="EO15" cm="1">
        <f t="array" ref="EO15">IF(OR(B15="",BZ15="",EC15&lt;&gt;1),"",_xlfn.LET(_xlpm.sz,Iдоп_S,_xlpm.t_,CHOOSE(EB15,Iдоп_1ж,Iдоп_2ж,Iдоп_3ж)*DZ15*EA15,_xlpm.ok,IFERROR((_xlpm.sz&gt;=MAX(1.5,CC15))*(_xlpm.t_&gt;=N(DT15)),0),_xlpm.r_,_xlfn._xlws.FILTER(_xlpm.sz,_xlpm.ok,""),INDEX(_xlpm.r_,1)))</f>
        <v>1.5</v>
      </c>
      <c r="EP15" s="6" cm="1">
        <f t="array" ref="EP15">IFERROR(ROUNDUP(N(EJ15)*(_xlfn.XLOOKUP(EO15,INDEX(Кабель_сопротивление,0,1),INDEX(Кабель_сопротивление,0,3))*N(P15)/EO15*N(CE15)+_xlfn.XLOOKUP(EO15,INDEX(Кабель_сопротивление,0,1),INDEX(Кабель_сопротивление,0,2))*N(P15)*N(EK15)/1000)*N(O15)/((Uн_лин/SQRT(3))*1000)*100,2),"")</f>
        <v>0.22</v>
      </c>
      <c r="EQ15">
        <f>IFERROR(2*ρкз_Cu*N(P15)/EO15,"")</f>
        <v>0.35066666666666668</v>
      </c>
      <c r="ER15">
        <f>IFERROR(VLOOKUP(EN15,Кабель_сопротивление,3,FALSE),"")</f>
        <v>2.2499999999999999E-2</v>
      </c>
      <c r="ES15">
        <f>IFERROR(VLOOKUP(EN15,Кабель_сопротивление,2,FALSE),"")</f>
        <v>0.11</v>
      </c>
      <c r="ET15" t="str">
        <f t="shared" si="54"/>
        <v/>
      </c>
      <c r="EU15" t="str">
        <f t="shared" si="55"/>
        <v/>
      </c>
      <c r="EV15">
        <f t="shared" si="56"/>
        <v>0.48960715208359834</v>
      </c>
      <c r="EW15" s="6">
        <f>IFERROR(ROUNDUP(EV15/IF(BV15=1,BU15,(Uн_лин/SQRT(3))*1000)*100,2),"")</f>
        <v>0.22</v>
      </c>
      <c r="EX15" t="str">
        <f>IFERROR(VLOOKUP(BZ15,Кабель_обозначение,2,FALSE),"")</f>
        <v>ВВГнг(А)-LS</v>
      </c>
      <c r="EY15" t="str">
        <f t="shared" si="57"/>
        <v>ВВГнг(А)-LS (3х1,5)</v>
      </c>
      <c r="EZ15" t="str">
        <f t="shared" si="58"/>
        <v>ВВГнг(А)-LS (3х1,5)
L=10-0,22%</v>
      </c>
      <c r="FA15">
        <f>IFERROR(2*ρкз_Cu*P15/EN15,"")</f>
        <v>0.35066666666666668</v>
      </c>
      <c r="FB15">
        <f t="shared" si="59"/>
        <v>0.11666666666666668</v>
      </c>
      <c r="FC15" s="6">
        <f>IFERROR(IF(OR(B15="",BV15=1,NOT(ISNUMBER(EN15)),N(P15)=0),"",_xlfn.XLOOKUP(A15,Щиты[Щит],Щиты[Zпетли на шинах, Ом])+FA15),"")</f>
        <v>0.48664496021506876</v>
      </c>
      <c r="FD15" s="6">
        <f>IF(ISNUMBER(FC15),c_min*(Uн_лин*1000/SQRT(3))/FC15,"")</f>
        <v>450.82785239386595</v>
      </c>
      <c r="FE15" s="6">
        <f>IFERROR(IF(OR(B15="",NOT(ISNUMBER(EN15))),"",1.05*(Uн_лин*1000/SQRT(3))/(_xlfn.XLOOKUP(A15,Щиты[Щит],Щиты[Zmax на шинах, Ом])+FB15)/1000),"")</f>
        <v>1.5344353954318855</v>
      </c>
      <c r="FF15" s="6" t="str">
        <f>IF(B15="","",IF(ISNUMBER(AC15),"Сил",IF(IFERROR(_xlfn.XLOOKUP(BC15,Коды_код,Коды_группа)&amp;"","")="","Быт",_xlfn.XLOOKUP(BC15,Коды_код,Коды_группа)&amp;"")))</f>
        <v>Быт</v>
      </c>
      <c r="FG15" s="6" t="str">
        <f t="shared" si="60"/>
        <v>Щит</v>
      </c>
      <c r="FH15" s="6" t="str">
        <f>IF(FG15="Щит","щит",IF(FG15="","",IF(FG15="Быт",IFERROR(_xlfn.XLOOKUP(A15,Щиты[Щит],Щиты[Кс быт]),1),IF(FG15="Сил",IF(ISNUMBER(AC15),AC15,IF(Методика="нормы 2026",IFERROR(_xlfn.XLOOKUP(A15,Щиты[Щит],Щиты[Кс силовых (табл. 7.5)]),1),1)),IF(OR(FG15="Пост",FG15="Отоп"),1,IF(FG15="ВНГ",0.7,0))))))</f>
        <v>щит</v>
      </c>
      <c r="FI15">
        <f>IF(FG15="","",IF(AND(BP15=1,TRIM(AE15&amp;"")=""),IF(COUNTIFS(Линии[Щит],A15,Линии[Секция (1/2/3)],"&gt;=2")&gt;0,MIN(3,MAX(1,IFERROR(--BD15,1))),1),IFERROR(MIN(3,MAX(1,INT(--AE15))),1)))</f>
        <v>1</v>
      </c>
      <c r="FJ15">
        <f t="shared" si="61"/>
        <v>0</v>
      </c>
      <c r="FK15">
        <f t="shared" si="62"/>
        <v>0</v>
      </c>
      <c r="FL15">
        <f t="shared" si="63"/>
        <v>0</v>
      </c>
      <c r="FM15">
        <f t="shared" si="64"/>
        <v>0</v>
      </c>
      <c r="FN15">
        <f t="shared" si="65"/>
        <v>0</v>
      </c>
      <c r="FO15">
        <f t="shared" si="66"/>
        <v>0</v>
      </c>
      <c r="FP15">
        <f t="shared" si="67"/>
        <v>0.56000000000000005</v>
      </c>
      <c r="FQ15">
        <f t="shared" si="68"/>
        <v>0</v>
      </c>
      <c r="FR15">
        <f t="shared" si="69"/>
        <v>0</v>
      </c>
      <c r="FS15">
        <f>IF(CG15=1,IF(AND(CH15=1,CW15=1),0,IF(AND(CS15&lt;&gt;"",CS15=BA15,CW15=1),SUMIFS(Линии[_Р линии, кВт],Линии[_блок УЗО],BA15,Линии[Щит],A15),N(BS15)+IF(AJ15="вручную",0,N(CK15)))),0)</f>
        <v>0.56000000000000005</v>
      </c>
      <c r="FT15" t="str">
        <f t="shared" si="70"/>
        <v/>
      </c>
      <c r="FU15" t="str">
        <f>IF(B15="","",IF(CG15=0,IF(BA15=1,"",FW14),IF(AND(CH15=1,CW15=1,CS15&lt;&gt;""),IFERROR(_xlfn.XLOOKUP(CS15,Линии[_n],Линии[_фаза итог]),"L1"),IF(OR(N(DL15)&gt;=3,N(BX15)&gt;=3),"L1,L2,L3",IFERROR(_xlfn.TEXTBEFORE(_xlfn.TEXTAFTER(_xlfn.XLOOKUP(A15,Щиты[Щит],Щиты[_фазы авто]),";"&amp;BA15&amp;":"),";"),"L1")))))</f>
        <v>L2</v>
      </c>
      <c r="FV15" t="str">
        <f t="shared" si="71"/>
        <v>L2</v>
      </c>
      <c r="FW15" t="str">
        <f t="shared" si="72"/>
        <v>L2</v>
      </c>
      <c r="FX15" cm="1">
        <f t="array" ref="FX15">IFERROR(IF(CD15=2,_xlfn.IFS(BX15=3,VLOOKUP(BS15,Справочная_двигатели,3,FALSE),BX15=1,VLOOKUP(BS15,Справочная_двигатели,5,TRUE)),0),0)</f>
        <v>0</v>
      </c>
      <c r="FY15">
        <f>IFERROR(IF(CD15=3,VLOOKUP(BS15,Справочная_ЛЭД,2,TRUE),0),0)</f>
        <v>0</v>
      </c>
      <c r="FZ15" s="6">
        <f t="shared" si="73"/>
        <v>0</v>
      </c>
      <c r="GA15" t="str">
        <f>IF(B15="","",IF(TRIM(AH15&amp;"")&lt;&gt;"",IF(LOWER(TRIM(AH15&amp;""))="да","да","нет"),IF(IFERROR(_xlfn.XLOOKUP(BC15,Коды_код,Коды_пожарная),"")="да","да","нет")))</f>
        <v>нет</v>
      </c>
      <c r="GB15" t="str">
        <f t="shared" si="74"/>
        <v/>
      </c>
      <c r="GC15" t="str">
        <f t="shared" si="75"/>
        <v>основная</v>
      </c>
      <c r="GD15">
        <f>IF(AND(BP15=1,TRIM(AE15&amp;"")=""),IF(COUNTIFS(Линии[Щит],A15,Линии[Секция (1/2/3)],"&gt;=2")&gt;0,MIN(3,MAX(1,IFERROR(--BD15,1))),1),IFERROR(MIN(3,MAX(1,INT(--AE15))),1))</f>
        <v>1</v>
      </c>
      <c r="GE15" t="str" cm="1">
        <f t="array" ref="GE15">IF(B15="","",_xlfn.LET(_xlpm.t,IFERROR(_xlfn.XLOOKUP(1,(Шины[Шина]=GC15)*(((Шины[Щит]=A15)+(Шины[Щит]=""))&gt;0),Шины[Тип]),"")&amp;"",IF(_xlpm.t&lt;&gt;"",_xlpm.t,IF(ISNUMBER(SEARCH("ИБП",GC15)),"ИБП",IF(ISNUMBER(SEARCH("ДГУ",GC15)),"ДГУ","Ввод "&amp;GD15)))))</f>
        <v>Ввод 1</v>
      </c>
      <c r="GF15" t="str">
        <f t="shared" si="76"/>
        <v>Ввод 1</v>
      </c>
      <c r="GG15" t="str">
        <f>IF(BP15=0,"",IF(TRIM(AG15&amp;"")&lt;&gt;"",TRIM(AG15&amp;""),IF(OR(GE15="ИБП",GE15="ДГУ"),"I особая",_xlfn.XLOOKUP(A15,Щиты[Щит],Щиты[Категория шины «Ввод»],"III"))))</f>
        <v/>
      </c>
      <c r="GH15" t="str">
        <f>IF(A15="","",_xlfn.XLOOKUP(A15,Щиты[Щит],Щиты[Путь],""))</f>
        <v>|ВРУ|</v>
      </c>
      <c r="GI15" t="str">
        <f>IF(B15="","",IF(AI15&lt;&gt;"",AI15,IF(IFERROR(_xlfn.XLOOKUP(BC15,Коды_код,Коды_вид)&amp;"","")="","Прочее",_xlfn.XLOOKUP(BC15,Коды_код,Коды_вид)&amp;"")))</f>
        <v>Прочее</v>
      </c>
      <c r="GJ15">
        <f>IF(BM15="","",INT((BM15-1)/Столбцов_на_лист)+1)</f>
        <v>1</v>
      </c>
      <c r="GK15" t="str">
        <f t="shared" si="77"/>
        <v>ВВГнг(А)-LS (3х1,5) L=10-0,22%</v>
      </c>
      <c r="GL15">
        <f t="shared" si="78"/>
        <v>0.56000000000000005</v>
      </c>
      <c r="GM15">
        <f t="shared" si="79"/>
        <v>1.72</v>
      </c>
      <c r="GN15">
        <f t="shared" si="80"/>
        <v>1</v>
      </c>
      <c r="GO15">
        <f t="shared" si="81"/>
        <v>0</v>
      </c>
      <c r="GP15">
        <f t="shared" si="82"/>
        <v>1</v>
      </c>
      <c r="GQ15">
        <f>IF(BM15="","",IF(AND(CG15=1,GP15=1),COUNTIFS(A$3:A15,A15,CG$3:CG15,1,GP$3:GP15,1),IF(OR(OR(BA15=1,A15&lt;&gt;A14),AJ15="вручную",GP15=0),"",IF(BA15=1,"",GR14))))</f>
        <v>10</v>
      </c>
      <c r="GR15">
        <f t="shared" si="83"/>
        <v>10</v>
      </c>
      <c r="GS15">
        <f>IF(B15="","",IFERROR(LOOKUP(INDEX(CHOOSE(EB15,Iдоп_1ж,Iдоп_2ж,Iдоп_3ж),MATCH(EN15,Iдоп_S,0))*DZ15*EA15,{6,10,16,20,25,32,40,50,63,80,100,125,160,200,250,315,400,500,630}),""))</f>
        <v>16</v>
      </c>
      <c r="GT15" t="str">
        <f t="shared" si="84"/>
        <v>QF10</v>
      </c>
      <c r="GU15" t="str">
        <f t="shared" si="85"/>
        <v>QF10</v>
      </c>
      <c r="GV15" t="str">
        <f t="shared" si="86"/>
        <v/>
      </c>
      <c r="GW15">
        <f t="shared" si="87"/>
        <v>0</v>
      </c>
      <c r="GX15" t="str">
        <f>IF(OR(B15="",DJ15=""),"",IFERROR(_xlfn.XLOOKUP(DJ15,Модули_умолч[Управление],Модули_умолч[Модель])&amp;"",""))</f>
        <v/>
      </c>
      <c r="GY15">
        <f>IF(DJ15="",1,IFERROR(MAX(0,N(_xlfn.XLOOKUP(DJ15,Модули_умолч[Управление],Модули_умолч[Каналов на линию]))),1))</f>
        <v>1</v>
      </c>
      <c r="GZ15" t="str">
        <f t="shared" si="88"/>
        <v/>
      </c>
      <c r="HA15" t="str">
        <f t="shared" si="89"/>
        <v/>
      </c>
      <c r="HB15" t="str">
        <f t="shared" si="90"/>
        <v/>
      </c>
      <c r="HC15">
        <f>IF(HB15="",0,IFERROR(N(VLOOKUP(HB15,Модули_спр,3,FALSE)),0))</f>
        <v>0</v>
      </c>
      <c r="HD15" t="str">
        <f t="shared" si="91"/>
        <v/>
      </c>
      <c r="HE15" t="str">
        <f t="shared" si="92"/>
        <v/>
      </c>
      <c r="HF15" t="str">
        <f>IF(OR(HE15="",HE15="-"),"",IFERROR(VLOOKUP(HE15,Модули_спр,2,FALSE),"R"))</f>
        <v/>
      </c>
      <c r="HG15" t="str">
        <f>IF(HF15="","",HF15&amp;"."&amp;COUNTIFS(A$3:A15,A15,HF$3:HF15,HF15))</f>
        <v/>
      </c>
      <c r="HH15" t="str">
        <f t="shared" si="93"/>
        <v/>
      </c>
      <c r="HI15" t="str">
        <f t="shared" si="94"/>
        <v/>
      </c>
      <c r="HJ15" t="str">
        <f t="shared" si="95"/>
        <v/>
      </c>
      <c r="HK15" t="str">
        <f t="shared" si="96"/>
        <v/>
      </c>
      <c r="HL15">
        <f t="shared" si="97"/>
        <v>1</v>
      </c>
      <c r="HM15" t="str">
        <f>IF(HL15=1,"XT"&amp;COUNTIFS(A$3:A15,A15,HL$3:HL15,1),"")</f>
        <v>XT11</v>
      </c>
      <c r="HN15" t="str">
        <f t="shared" si="98"/>
        <v>XT11</v>
      </c>
      <c r="HO15" t="str">
        <f t="shared" si="99"/>
        <v>QF10</v>
      </c>
      <c r="HP15" t="str">
        <f t="shared" si="100"/>
        <v/>
      </c>
      <c r="HQ15" t="str">
        <f t="shared" si="101"/>
        <v>ok</v>
      </c>
      <c r="HR15" t="str">
        <f>IF(OR(HJ15="",HH15=""),"",IF(HJ15+MAX(0,GY15-1)&gt;IFERROR(VLOOKUP(HI15,Модули_спр,3,FALSE),99),"ЛИШНИЙ КАНАЛ",IF(AND(AL15&lt;&gt;"=",GY15&gt;0,COUNTIFS(Линии[_модуль гр.],HH15,Линии[Канал (итог)],HJ15,Линии[Канал],"&lt;&gt;=",Линии[Щит],A15)&gt;1),"ДУБЛЬ КАНАЛА","")))</f>
        <v/>
      </c>
      <c r="HS15" s="6">
        <f t="shared" si="102"/>
        <v>75.137975398977659</v>
      </c>
      <c r="HT15">
        <f t="shared" si="103"/>
        <v>10</v>
      </c>
      <c r="HU15" t="str">
        <f t="shared" si="104"/>
        <v>ok</v>
      </c>
      <c r="HV15">
        <f t="shared" si="105"/>
        <v>0</v>
      </c>
      <c r="HW15">
        <f t="shared" si="106"/>
        <v>0</v>
      </c>
      <c r="HX15">
        <f t="shared" si="107"/>
        <v>0</v>
      </c>
      <c r="HY15">
        <f t="shared" si="108"/>
        <v>0</v>
      </c>
      <c r="HZ15">
        <f t="shared" si="109"/>
        <v>0</v>
      </c>
      <c r="IA15">
        <f t="shared" si="110"/>
        <v>0</v>
      </c>
      <c r="IB15">
        <f t="shared" si="111"/>
        <v>0</v>
      </c>
      <c r="IC15" t="str">
        <f t="shared" si="112"/>
        <v/>
      </c>
      <c r="ID15" t="str" cm="1">
        <f t="array" ref="ID15">IF(IC15="","",_xlfn.LET(_xlpm.tk,_xlfn.TEXTSPLIT(SUBSTITUTE(SUBSTITUTE(IC15,";"," "),"→"," ")," ",,TRUE),_xlpm.w_,_xlfn._xlws.FILTER(_xlpm.tk,ISNUMBER(--LEFT(_xlpm.tk,1))*((ISNUMBER(SEARCH("W",_xlpm.tk))+ISNUMBER(SEARCH("Вт",_xlpm.tk)))&gt;0),""),IFERROR(--SUBSTITUTE(SUBSTITUTE(UPPER(INDEX(_xlpm.w_,1)),"W",""),"ВТ",""),"")))</f>
        <v/>
      </c>
      <c r="IE15" t="str" cm="1">
        <f t="array" ref="IE15">IF(IC15="","",_xlfn.LET(_xlpm.tk,_xlfn.TEXTSPLIT(SUBSTITUTE(SUBSTITUTE(IC15,";"," "),"→"," ")," ",,TRUE),_xlpm.v_,_xlfn._xlws.FILTER(_xlpm.tk,ISNUMBER(--LEFT(_xlpm.tk,1))*((ISNUMBER(SEARCH("V",_xlpm.tk))+(RIGHT(UPPER(_xlpm.tk))="В"))&gt;0),""),IFERROR(--SUBSTITUTE(SUBSTITUTE(UPPER(INDEX(_xlpm.v_,1)),"V",""),"В",""),"")))</f>
        <v/>
      </c>
      <c r="IF15" s="6" t="str">
        <f>IF(OR(BV15=0,HI15="",HJ15=""),"",IFERROR(N(_xlfn.XLOOKUP(HI15,Каталог!$C$4:$C$500,Каталог!$Q$4:$Q$500)),""))</f>
        <v/>
      </c>
      <c r="IG15" s="6" t="str">
        <f>IF(N(IF15)=0,"",SUMIFS(Линии[Iр, А],Линии[Щит],A15,Линии[_модуль гр.],HH15,Линии[Канал (итог)],HJ15))</f>
        <v/>
      </c>
      <c r="IH15" t="str">
        <f>IF(AND(B15="",HO15=""),"",_xlfn.TEXTJOIN("; ",TRUE,IF(AND(B15&lt;&gt;"",FV15=""),"нет фазы",""),IF(AND(B15&lt;&gt;"",N(GL15)=0,FG15&lt;&gt;"Нет"),"нет мощности",""),IF(AND(HN15&lt;&gt;"",COUNTIFS(Линии[Щит],A15,Линии[Клемма (итог)],HN15)&gt;1),"дубль клеммы "&amp;HN15,""),IF(AND(HQ15&lt;&gt;"",HQ15&lt;&gt;"ok"),HQ15,""),IF(HR15&lt;&gt;"",HR15,""),IF(AND(N(CB15)&gt;=4,N(BX15)=1),CB15&amp;" жил на 1 фазе",""),IF(AND(BC15="R",CG15=1,IF(CS15&lt;&gt;"",N(CV15)&gt;30,OR(N(DA15)=0,N(DA15)&gt;30))),"розетка без дифзащиты до 30 мА",""),IF(AND(CG15=1,N(DA15)&gt;0,ISNUMBER(T15)),IF(T15&gt;N(DA15)/3,"ток утечки "&amp;FIXED(T15,1)&amp;" мА &gt; 1/3 уставки ("&amp;DA15&amp;" мА)",""),""),IF(AND(CH15=1,CS15=""),"«узо»: нет строки с УЗО выше (УЗО 2P 40А 30мА в «Аппаратах»)",""),IF(AND(CS15&lt;&gt;"",CS15=BA15),IF(CT15="","впишите номинал УЗО (УЗО 2P 40А 30мА)",IF(N(CT15)&lt;N(DT15),"УЗО "&amp;CT15&amp;" А &lt; автомата "&amp;DT15&amp;" А перед ним",IF(N(CT15)&lt;N(CX15),"УЗО "&amp;CT15&amp;" А &lt; тока блока "&amp;FIXED(CX15,1)&amp;" А",""))),""),IF(AND(CS15&lt;&gt;"",CS15=BA15,ISNUMBER(CY15)),IF(CY15&gt;N(CV15)/3,"ток утечки блока УЗО "&amp;FIXED(CY15,1)&amp;" мА &gt; 1/3 уставки ("&amp;CV15&amp;" мА)",""),""),IF(AND(CG15=1,N(BV15)+N(IB15)&gt;0,IC15=""),"линии до 50 В без БП: впишите в «Аппараты» (БП 24V 480W)",""),IF(AND(CG15=1,ISNUMBER(ID15),ISNUMBER(U15)),IF(U15&gt;ID15,"БП "&amp;ID15&amp;" Вт &lt; нужно "&amp;U15&amp;" Вт (×"&amp;Запас_БП&amp;")",""),""),IF(AND(CG15=1,ISNUMBER(IE15),N(BV15)=1),IF(IE15&lt;&gt;N(BU15),"БП на "&amp;IE15&amp;" В, линия "&amp;BU15&amp;" В",""),""),IF(AND(N(IF15)&gt;0,N(IG15)&gt;N(IF15)),HH15&amp;" канал "&amp;HJ15&amp;": "&amp;FIXED(IG15,1)&amp;" А &gt; "&amp;IF15&amp;" А",""),IFERROR(IF(AND(ISNUMBER(Q15),Q15&gt;EL15),"потери "&amp;FIXED(Q15,1)&amp;" % &gt; "&amp;EL15&amp;" %",""),""),IFERROR(IF(LEFT(HU15,4)="мало","Iкз мало — отключение &gt; 0,4 с",""),""),IF(AND(B15&lt;&gt;"",BM15=""),"не на схеме",""),IF(AND(CG15=0,B15&lt;&gt;"",FV15&lt;&gt;"",IF(BA15=1,"",FW14)&lt;&gt;"",FV15&lt;&gt;IF(BA15=1,"",FW14)),"фаза не как у автомата группы ("&amp;IF(BA15=1,"",FW14)&amp;")","")))</f>
        <v/>
      </c>
      <c r="II15" s="6" t="str">
        <f>IF(OR(CG15=0,DQ15=""),"",_xlfn.LET(_xlpm.t,IFERROR(_xlfn.XLOOKUP(DQ15,Каталог!$U$4:$U$500,Каталог!$G$4:$G$500),""),_xlpm.k,SEARCH("кА",_xlpm.t),IFERROR(--TRIM(RIGHT(SUBSTITUTE(MID(_xlpm.t,MAX(1,_xlpm.k-4),_xlpm.k-MAX(1,_xlpm.k-4))," ",REPT(" ",9)),5)),"")))</f>
        <v/>
      </c>
      <c r="IJ15" t="str">
        <f>IF(OR(II15="",CG15=0),"",IF(_xlfn.XLOOKUP(A15,Щиты[Щит],Щиты[Iкз max на шинах, кА],"")="","",IF(II15&lt;_xlfn.XLOOKUP(A15,Щиты[Щит],Щиты[Iкз max на шинах, кА]),"Icu "&amp;II15&amp;" кА &lt; Iкз max","ok")))</f>
        <v/>
      </c>
      <c r="IK15" t="str">
        <f t="shared" si="113"/>
        <v/>
      </c>
      <c r="IL15" t="str">
        <f t="shared" si="114"/>
        <v>QF10|XT11</v>
      </c>
      <c r="IM15" t="str">
        <f t="shared" si="115"/>
        <v>QF10|XT11|кабель ВВГнг(А)-LS (3х1,5) → Щит блоков питания LED</v>
      </c>
      <c r="IN15" t="str" cm="1">
        <f t="array" ref="IN15">IF(IM15="","",_xlfn.LET(_xlpm.nd,_xlfn.TEXTSPLIT(IM15,"|"),IF(COLUMNS(_xlpm.nd)&gt;1,A15&amp;"¦"&amp;INDEX(_xlpm.nd,1)&amp;"¦"&amp;INDEX(_xlpm.nd,2),"")))</f>
        <v>ВРУ¦QF10¦XT11</v>
      </c>
      <c r="IO15" t="str">
        <f t="shared" si="116"/>
        <v>ЩБП¦Щит блоков питания LED</v>
      </c>
      <c r="IP15" t="str" cm="1">
        <f t="array" ref="IP15">IF(IM15="","",_xlfn.LET(_xlpm.nd,_xlfn.TEXTSPLIT(IM15,"|"),IF(COLUMNS(_xlpm.nd)&gt;2,A15&amp;"¦"&amp;INDEX(_xlpm.nd,2)&amp;"¦"&amp;INDEX(_xlpm.nd,3),"")))</f>
        <v>ВРУ¦XT11¦кабель ВВГнг(А)-LS (3х1,5) → Щит блоков питания LED</v>
      </c>
      <c r="IQ15" t="str">
        <f t="shared" si="117"/>
        <v>ЩБП¦Щит блоков питания LED</v>
      </c>
      <c r="IR15" t="str" cm="1">
        <f t="array" ref="IR15">IF(IM15="","",_xlfn.LET(_xlpm.nd,_xlfn.TEXTSPLIT(IM15,"|"),IF(COLUMNS(_xlpm.nd)&gt;3,A15&amp;"¦"&amp;INDEX(_xlpm.nd,3)&amp;"¦"&amp;INDEX(_xlpm.nd,4),"")))</f>
        <v/>
      </c>
      <c r="IS15" t="str">
        <f t="shared" si="118"/>
        <v/>
      </c>
      <c r="IT15" t="str" cm="1">
        <f t="array" ref="IT15">IF(IM15="","",_xlfn.LET(_xlpm.nd,_xlfn.TEXTSPLIT(IM15,"|"),IF(COLUMNS(_xlpm.nd)&gt;4,A15&amp;"¦"&amp;INDEX(_xlpm.nd,4)&amp;"¦"&amp;INDEX(_xlpm.nd,5),"")))</f>
        <v/>
      </c>
      <c r="IU15" t="str">
        <f t="shared" si="119"/>
        <v/>
      </c>
      <c r="IV15" t="str" cm="1">
        <f t="array" ref="IV15">IF(IM15="","",_xlfn.LET(_xlpm.nd,_xlfn.TEXTSPLIT(IM15,"|"),IF(COLUMNS(_xlpm.nd)&gt;5,A15&amp;"¦"&amp;INDEX(_xlpm.nd,5)&amp;"¦"&amp;INDEX(_xlpm.nd,6),"")))</f>
        <v/>
      </c>
      <c r="IW15" t="str">
        <f t="shared" si="120"/>
        <v/>
      </c>
      <c r="IX15" t="str" cm="1">
        <f t="array" ref="IX15">IF(IM15="","",_xlfn.LET(_xlpm.nd,_xlfn.TEXTSPLIT(IM15,"|"),IF(COLUMNS(_xlpm.nd)&gt;6,A15&amp;"¦"&amp;INDEX(_xlpm.nd,6)&amp;"¦"&amp;INDEX(_xlpm.nd,7),"")))</f>
        <v/>
      </c>
      <c r="IY15" t="str">
        <f t="shared" si="121"/>
        <v/>
      </c>
      <c r="IZ15" t="str">
        <f t="shared" si="122"/>
        <v/>
      </c>
      <c r="JA15" t="str">
        <f t="shared" si="123"/>
        <v>QF10 → XT11</v>
      </c>
      <c r="JB15">
        <f t="shared" si="124"/>
        <v>0</v>
      </c>
      <c r="JC15">
        <f t="shared" si="125"/>
        <v>0</v>
      </c>
      <c r="JD15" t="str">
        <f t="shared" si="126"/>
        <v/>
      </c>
      <c r="JE15" t="str">
        <f t="shared" si="127"/>
        <v/>
      </c>
      <c r="JF15" t="str">
        <f t="shared" si="128"/>
        <v/>
      </c>
      <c r="JG15" t="str">
        <f t="shared" si="129"/>
        <v/>
      </c>
      <c r="JH15" t="str">
        <f>IF(B15="","",IFERROR(_xlfn.XLOOKUP(B15,Коды_код,Коды_уго),IFERROR(_xlfn.XLOOKUP(BC15,Коды_код,Коды_уго),IFERROR(_xlfn.XLOOKUP(LEFT(BC15,2),Коды_код,Коды_уго),""))))</f>
        <v/>
      </c>
      <c r="JI15" t="str">
        <f>IF(B15="","",IF(OR(JH15="",JH15=0),"BOX",IFERROR(IF(VLOOKUP(JH15,УГО_блоки,3,FALSE)&amp;""&lt;&gt;"",VLOOKUP(JH15,УГО_блоки,3,FALSE),VLOOKUP(JH15,УГО_блоки,2,FALSE)),JH15)))</f>
        <v>BOX</v>
      </c>
      <c r="JJ15">
        <f t="shared" si="130"/>
        <v>1</v>
      </c>
      <c r="JK15" t="str">
        <f>IF(DQ15="","",IF(COUNTIF(DQ$3:DQ15,DQ15)=1,MAX(JK$2:JK14)+1,""))</f>
        <v/>
      </c>
      <c r="JL15" t="str">
        <f>IF(DE15="","",IF(COUNTIF(DE$3:DE15,DE15)+COUNTIF(DF$2:DF14,DE15)+COUNTIF(DG$2:DG14,DE15)=1,MAX(JL$2:JN14)+1,""))</f>
        <v/>
      </c>
      <c r="JM15" t="str">
        <f>IF(DF15="","",IF(COUNTIF(DE$3:DE15,DF15)+COUNTIF(DF$3:DF15,DF15)+COUNTIF(DG$2:DG14,DF15)=1,MAX(JL$2:JN14,JL15)+1,""))</f>
        <v/>
      </c>
      <c r="JN15" t="str">
        <f>IF(DG15="","",IF(COUNTIF(DE$3:DE15,DG15)+COUNTIF(DF$3:DF15,DG15)+COUNTIF(DG$3:DG15,DG15)=1,MAX(JL$2:JN14,JL15,JM15)+1,""))</f>
        <v/>
      </c>
      <c r="JO15" t="str">
        <f t="shared" si="131"/>
        <v>3х1,5</v>
      </c>
      <c r="JP15" t="str">
        <f>IF(JO15="","",IF(COUNTIF(JO$3:JO15,JO15)=1,MAX(JP$2:JP14)+1,""))</f>
        <v/>
      </c>
      <c r="JQ15" t="str">
        <f>IF(HG15="","",COUNTIF(HG$3:HG15,"?*"))</f>
        <v/>
      </c>
      <c r="JR15" t="str">
        <f>IF(OR(HG15="",HI15=""),"",IF(COUNTIFS(HG$3:HG15,"?*",HI$3:HI15,HI15)=1,MAX(JR$2:JR14)+1,""))</f>
        <v/>
      </c>
      <c r="JS15">
        <f t="shared" si="132"/>
        <v>0</v>
      </c>
      <c r="JT15">
        <f>IF(B15="","",COUNTIF(B$3:B15,"?*"))</f>
        <v>13</v>
      </c>
      <c r="JU15">
        <f>IF(HL15&lt;&gt;1,0,_xlfn.LET(_xlpm.k,MAX(IFERROR(--_xlfn.XLOOKUP(B15,Коды_код,Коды_3L),0),IFERROR(--_xlfn.XLOOKUP(BC15,Коды_код,Коды_3L),0),IFERROR(--_xlfn.XLOOKUP(LEFT(BC15,2),Коды_код,Коды_3L),0)),IF(_xlpm.k&gt;0,_xlpm.k,IF(IFERROR(--LEFT(SUBSTITUTE(JO15,"x","х"),FIND("х",SUBSTITUTE(JO15,"x","х"))-1),3)&gt;3,Каталог!$S$9,1))))</f>
        <v>1</v>
      </c>
      <c r="JV15">
        <f t="shared" si="133"/>
        <v>0</v>
      </c>
      <c r="JW15" t="str">
        <f t="shared" si="134"/>
        <v>авто</v>
      </c>
      <c r="JX15" t="str">
        <f t="shared" si="135"/>
        <v/>
      </c>
      <c r="JY15">
        <f t="shared" si="136"/>
        <v>0</v>
      </c>
      <c r="JZ15">
        <f t="shared" si="137"/>
        <v>1</v>
      </c>
    </row>
    <row r="16" spans="1:286" x14ac:dyDescent="0.3">
      <c r="A16" t="s">
        <v>945</v>
      </c>
      <c r="B16" t="s">
        <v>1185</v>
      </c>
      <c r="C16" t="str">
        <f>Линии[[#This Row],[_авто наименование]]</f>
        <v>Ввод питающей линии</v>
      </c>
      <c r="E16">
        <f>Линии[[#This Row],[_авто Р]]</f>
        <v>0.56000000000000005</v>
      </c>
      <c r="G16" t="str">
        <f>Линии[[#This Row],[_авто автомат]]</f>
        <v>1P С6А</v>
      </c>
      <c r="H16" t="str">
        <f>Линии[[#This Row],[_авто управление]]</f>
        <v/>
      </c>
      <c r="I16" t="str">
        <f>Линии[[#This Row],[_авто аппараты]]</f>
        <v/>
      </c>
      <c r="J16">
        <v>2.5</v>
      </c>
      <c r="K16" t="str">
        <f>Линии[[#This Row],[_авто длина по плану]]</f>
        <v/>
      </c>
      <c r="L16" t="str">
        <f>Линии[[#This Row],[_авто фаза]]</f>
        <v>L3</v>
      </c>
      <c r="M16" t="str">
        <f>Линии[[#This Row],[_авто клемма]]</f>
        <v/>
      </c>
      <c r="N16" t="str">
        <f t="shared" si="0"/>
        <v/>
      </c>
      <c r="O16" s="6" cm="1">
        <f t="array" ref="O16">IF(B16="","",IF(BH16&lt;&gt;"",IFERROR(_xlfn.XLOOKUP(BH16,Щиты[Щит],Щиты[Iр, А]),""),IF(BP16=1,IF(OR(N(_xlfn.XLOOKUP(A16,Щиты[Щит],Щиты[Вводов],1))&lt;=1,LOWER(TRIM(_xlfn.XLOOKUP(A16,Щиты[Щит],Щиты[АВР],"")&amp;""))="да"),IFERROR(_xlfn.XLOOKUP(A16,Щиты[Щит],Щиты[Iр, А]),""),IFERROR(N(BS16)*_xlfn.XLOOKUP(A16,Щиты[Щит],Щиты[Кс итог])/(SQRT(3)*Uн_лин*_xlfn.XLOOKUP(A16,Щиты[Щит],Щиты[cos φ])),"")),IF(BV16=1,IFERROR(BS16*1000/BU16,""),IFERROR(_xlfn.IFS(BX16=1,BS16/((Uн_лин/SQRT(3))*CE16),BX16=3,BS16/(SQRT(3)*Uн_лин*CE16)),"")))))</f>
        <v>1.7138186938049942</v>
      </c>
      <c r="P16" s="7" t="str">
        <f>IF(B16="","",IFERROR(IF(VLOOKUP(BC16,Потребители_обозначение,4,FALSE)=1,VLOOKUP(BC16,Потребители_обозначение,3,FALSE)*(MAX(1,N(D16))*2-1)+EI16+VLOOKUP(BE16,Этаж_обозначение,3,FALSE)+VLOOKUP(BE16,Этаж_обозначение,4,FALSE),VLOOKUP(BC16,Потребители_обозначение,3,FALSE)*(MAX(1,N(D16))*2-1)+EI16),EI16))</f>
        <v/>
      </c>
      <c r="Q16" s="6" t="str">
        <f t="shared" si="1"/>
        <v/>
      </c>
      <c r="R16" t="str">
        <f t="shared" si="2"/>
        <v>ВВГнг(А)-LS (3х2,5)</v>
      </c>
      <c r="S16" t="str">
        <f>IF(BM16="","",IF(BN16="вводной узел","узел ","")&amp;"л."&amp;(INT((BM16-1)/Столбцов_на_лист)+1)&amp;" / "&amp;(MOD(BM16-1,Столбцов_на_лист)+1))</f>
        <v>узел л.1 / 1</v>
      </c>
      <c r="T16" s="119" t="str">
        <f t="shared" si="3"/>
        <v/>
      </c>
      <c r="U16" s="7" t="str">
        <f>IF(OR(CG16=0,N(BV16)+N(IB16)=0),"",ROUNDUP(Запас_БП*(N(HY16)+N(HZ16)),0))</f>
        <v/>
      </c>
      <c r="V16" s="119" t="str">
        <f t="shared" si="4"/>
        <v/>
      </c>
      <c r="W16" s="7" t="str">
        <f>IFERROR(IF(OR(B16="",BP16=1,BV16=1,NOT(ISNUMBER(EN16)),N(DT16)=0),"",MAX(0,ROUNDDOWN((c_min*(Uн_лин*1000/SQRT(3))/(HT16*N(DT16))-_xlfn.XLOOKUP(A16,Щиты[Щит],Щиты[Zпетли на шинах, Ом]))*EN16/(2*ρкз_Cu),0))),"")</f>
        <v/>
      </c>
      <c r="Y16" t="str">
        <f>Линии[[#This Row],[_авто утечка]]</f>
        <v/>
      </c>
      <c r="Z16">
        <v>1</v>
      </c>
      <c r="AA16">
        <v>230</v>
      </c>
      <c r="AB16" t="s">
        <v>556</v>
      </c>
      <c r="AJ16" t="s">
        <v>1186</v>
      </c>
      <c r="AK16" t="str">
        <f>Линии[[#This Row],[_авто модуль]]</f>
        <v/>
      </c>
      <c r="AM16">
        <v>1</v>
      </c>
      <c r="AN16" t="s">
        <v>11</v>
      </c>
      <c r="AO16">
        <v>3</v>
      </c>
      <c r="BA16" cm="1">
        <f t="array" ref="BA16">ROW()-ROW(Линии[#Headers])</f>
        <v>14</v>
      </c>
      <c r="BC16" s="6" t="str">
        <f t="shared" si="5"/>
        <v>Ввод</v>
      </c>
      <c r="BD16" t="str">
        <f t="shared" si="6"/>
        <v>1</v>
      </c>
      <c r="BE16" t="str">
        <f t="shared" si="7"/>
        <v>1</v>
      </c>
      <c r="BF16" t="str">
        <f t="shared" si="8"/>
        <v/>
      </c>
      <c r="BG16" t="str">
        <f t="shared" si="9"/>
        <v/>
      </c>
      <c r="BH16" t="str">
        <f>IF(X16&lt;&gt;"",X16,IF(AND(B16&lt;&gt;"",B16&lt;&gt;A16,ISNUMBER(_xlfn.XMATCH(B16,Щиты[Щит]))),B16,""))</f>
        <v/>
      </c>
      <c r="BI16" t="str" cm="1">
        <f t="array" ref="BI16">IF(B16="","",IF(BH16&lt;&gt;"","Щит "&amp;BH16,_xlfn.LET(_xlpm.nm,IFERROR(_xlfn.XLOOKUP(BC16,Коды_код,Коды_имя)&amp;"",""),_xlpm.md,IFERROR(N(_xlfn.XLOOKUP(BC16,Коды_код,Коды_режим)),1),_xlpm.ex,IF(Имя_режим="по экспликации",IFERROR(_xlfn.XLOOKUP(BE16&amp;"|"&amp;BG16,Экспликация[Этаж]&amp;"|"&amp;Экспликация[Помещение],Экспликация[Название])&amp;"",""),""),_xlpm.rm,IF(BG16="","",IF(_xlpm.ex&lt;&gt;"",". "&amp;_xlpm.ex&amp;IF(Имя_пом="нет"," ("&amp;BG16&amp;")"," (пом. "&amp;BG16&amp;")"),IF(Имя_пом="нет"," ",", пом. ")&amp;BG16)),IF(_xlpm.nm="","",IF(_xlpm.md=2,_xlpm.nm&amp;" шлейф "&amp;BE16,_xlpm.nm&amp;_xlpm.rm)))))</f>
        <v>Ввод питающей линии</v>
      </c>
      <c r="BJ16" t="str">
        <f t="shared" si="10"/>
        <v>Ввод питающей линии</v>
      </c>
      <c r="BK16">
        <f>IFERROR(_xlfn.XMATCH(A16,Щиты[Щит]),0)</f>
        <v>2</v>
      </c>
      <c r="BL16">
        <f>_xlfn.LET(_xlpm.k,IFERROR(_xlfn.XLOOKUP(A16,Щиты[Щит],Щиты[Мест под вводной узел]),""),IF(_xlpm.k="",Столбцов_на_лист,N(_xlpm.k)))</f>
        <v>2</v>
      </c>
      <c r="BM16">
        <f t="shared" si="11"/>
        <v>1</v>
      </c>
      <c r="BN16" t="str">
        <f t="shared" si="12"/>
        <v>вводной узел</v>
      </c>
      <c r="BO16" s="6">
        <f>IFERROR(N(_xlfn.XLOOKUP(BC16,Коды_код,Коды_квт)),0)</f>
        <v>0</v>
      </c>
      <c r="BP16">
        <f t="shared" si="13"/>
        <v>1</v>
      </c>
      <c r="BQ16">
        <f>IF(B16="","",IF(BH16&lt;&gt;"",IFERROR(_xlfn.XLOOKUP(BH16,Щиты[Щит],Щиты[Руст, кВт]),0),IF(BP16=1,IF(OR(N(_xlfn.XLOOKUP(A16,Щиты[Щит],Щиты[Вводов],1))&lt;=1,LOWER(TRIM(_xlfn.XLOOKUP(A16,Щиты[Щит],Щиты[АВР],"")&amp;""))="да"),IFERROR(_xlfn.XLOOKUP(A16,Щиты[Щит],Щиты[Руст, кВт]),0),SUMIFS(Линии[_Р для вводов],Линии[Щит],A16,Линии[Источник для режимов],GF16)),IF(BO16&gt;0,ROUND(BO16*MAX(1,N(D16)),3),""))))</f>
        <v>0.56000000000000005</v>
      </c>
      <c r="BR16">
        <f t="shared" si="14"/>
        <v>0.56000000000000005</v>
      </c>
      <c r="BS16" s="6">
        <f>IF(B16="","",IF(BH16&lt;&gt;"",IFERROR(_xlfn.XLOOKUP(BH16,Щиты[Щит],Щиты[Руст, кВт]),0),N(BR16)))</f>
        <v>0.56000000000000005</v>
      </c>
      <c r="BT16" t="str">
        <f>IF(B16="","",IFERROR(IF(VLOOKUP(BC16,Потребители_обозначение,8,FALSE)=0,"",VLOOKUP(BC16,Потребители_обозначение,8,FALSE)),""))</f>
        <v/>
      </c>
      <c r="BU16">
        <f t="shared" si="15"/>
        <v>230</v>
      </c>
      <c r="BV16">
        <f t="shared" si="16"/>
        <v>0</v>
      </c>
      <c r="BW16">
        <f>IF(B16="","",IF(BH16&lt;&gt;"",3,IFERROR(IF(N(VLOOKUP(BC16,Потребители_обозначение,9,FALSE))=0,1,VLOOKUP(BC16,Потребители_обозначение,9,FALSE)),1)))</f>
        <v>1</v>
      </c>
      <c r="BX16">
        <f t="shared" si="17"/>
        <v>1</v>
      </c>
      <c r="BY16" t="str">
        <f>IF(B16="","",_xlfn.LET(_xlpm.bc,IFERROR(IF(VLOOKUP(BC16,Потребители_обозначение,6,FALSE)=0,"",VLOOKUP(BC16,Потребители_обозначение,6,FALSE)&amp;""),""),IF(AND(GA16="да",OR(_xlpm.bc="",_xlpm.bc="мс")),Марка_пож,IF(AND(_xlpm.bc="",BH16&lt;&gt;""),"мс",_xlpm.bc))))</f>
        <v/>
      </c>
      <c r="BZ16" t="str">
        <f t="shared" si="18"/>
        <v>мс</v>
      </c>
      <c r="CA16">
        <f>IF(B16="","",_xlfn.LET(_xlpm.cc,IFERROR(N(VLOOKUP(BC16,Потребители_обозначение,7,FALSE)),0),IF(_xlpm.cc&gt;0,_xlpm.cc,IF(BZ16="","",IF(BV16=1,2,IF(N(BX16)=3,5,3))))))</f>
        <v>3</v>
      </c>
      <c r="CB16">
        <f t="shared" si="19"/>
        <v>3</v>
      </c>
      <c r="CC16">
        <f>IFERROR(N(VLOOKUP(BC16,Потребители_обозначение,10,FALSE)),0)</f>
        <v>0</v>
      </c>
      <c r="CD16">
        <f>IFERROR(VLOOKUP(BC16,Потребители_обозначение,5,FALSE),0)</f>
        <v>1</v>
      </c>
      <c r="CE16" s="6" cm="1">
        <f t="array" ref="CE16">IF(B16="","",IF(BH16&lt;&gt;"",IFERROR(_xlfn.XLOOKUP(BH16,Щиты[Щит],Щиты[cos φ]),0.95),IF(BP16=1,IFERROR(_xlfn.XLOOKUP(A16,Щиты[Щит],Щиты[cos φ]),0.95),IF(ISNUMBER(AD16),AD16,IFERROR(IF(CD16=2,_xlfn.IFS(BX16=3,VLOOKUP(BS16,Справочная_двигатели,8,FALSE),BX16=1,VLOOKUP(BS16,Справочная_двигатели,10,TRUE)),IF(AND(Методика="нормы 2026",FG16="Сил"),0.8,0.95)),0.95)))))</f>
        <v>0.95</v>
      </c>
      <c r="CF16">
        <f t="shared" si="20"/>
        <v>0</v>
      </c>
      <c r="CG16">
        <f t="shared" si="21"/>
        <v>1</v>
      </c>
      <c r="CH16">
        <f t="shared" si="22"/>
        <v>0</v>
      </c>
      <c r="CI16">
        <f>IF(B16="","",IF(BV16=1,IFERROR(BS16/((Uн_лин/SQRT(3))*MAX(0.5,N(CE16))),0),N(O16)))</f>
        <v>1.7138186938049942</v>
      </c>
      <c r="CJ16">
        <f t="shared" si="23"/>
        <v>0</v>
      </c>
      <c r="CK16">
        <f t="shared" si="24"/>
        <v>0</v>
      </c>
      <c r="CL16">
        <f t="shared" si="25"/>
        <v>0</v>
      </c>
      <c r="CM16">
        <f t="shared" si="26"/>
        <v>0</v>
      </c>
      <c r="CN16">
        <f t="shared" si="27"/>
        <v>0</v>
      </c>
      <c r="CO16">
        <f>IF(BC16="",0,_xlfn.LET(_xlpm.v,IFERROR(_xlfn.XLOOKUP(B16,Коды_код,Коды_мА),IFERROR(_xlfn.XLOOKUP(BC16,Коды_код,Коды_мА),IFERROR(_xlfn.XLOOKUP(LEFT(BC16,2),Коды_код,Коды_мА),""))),IF(_xlpm.v="да",30,IF(ISNUMBER(_xlpm.v),_xlpm.v,0))))</f>
        <v>0</v>
      </c>
      <c r="CP16" t="str">
        <f t="shared" si="28"/>
        <v/>
      </c>
      <c r="CQ16" t="str">
        <f>_xlfn.LET(_xlpm.k,IFERROR(_xlfn.XLOOKUP(BC16,Коды_код,Коды_утечка)&amp;"",""),IF(_xlpm.k="","дифавтомат",_xlpm.k))</f>
        <v>дифавтомат</v>
      </c>
      <c r="CR16" t="str" cm="1">
        <f t="array" ref="CR16">IF(CG16=0,"",_xlfn.LET(_xlpm.sg,TRIM(_xlfn.TEXTSPLIT(DD16&amp;"",";")),_xlpm.f_,_xlfn._xlws.FILTER(_xlpm.sg,LEFT(_xlpm.sg,3)="УЗО",""),IFERROR(INDEX(_xlpm.f_,1)&amp;"","")))</f>
        <v/>
      </c>
      <c r="CS16" t="str">
        <f t="shared" si="29"/>
        <v/>
      </c>
      <c r="CT16" s="6" t="str" cm="1">
        <f t="array" ref="CT16">IF(CR16="","",_xlfn.LET(_xlpm.tk,_xlfn.TEXTSPLIT(UPPER(CR16)," ",,TRUE),_xlpm.a_,_xlfn._xlws.FILTER(_xlpm.tk,ISNUMBER(--LEFT(_xlpm.tk,1))*((ISNUMBER(SEARCH("А",_xlpm.tk))+ISNUMBER(SEARCH("A",_xlpm.tk)))&gt;0)*NOT(ISNUMBER(SEARCH("МА",_xlpm.tk)))*NOT(ISNUMBER(SEARCH("MA",_xlpm.tk))),""),IFERROR(--SUBSTITUTE(SUBSTITUTE(INDEX(_xlpm.a_,1),"А",""),"A",""),"")))</f>
        <v/>
      </c>
      <c r="CU16" t="str" cm="1">
        <f t="array" ref="CU16">IF(CR16="","",_xlfn.LET(_xlpm.tk,_xlfn.TEXTSPLIT(UPPER(CR16)," ",,TRUE),_xlpm.a_,_xlfn._xlws.FILTER(_xlpm.tk,ISNUMBER(--LEFT(_xlpm.tk,1))*((ISNUMBER(SEARCH("МА",_xlpm.tk))+ISNUMBER(SEARCH("MA",_xlpm.tk)))&gt;0),""),IFERROR(--SUBSTITUTE(SUBSTITUTE(INDEX(_xlpm.a_,1),"МА",""),"MA",""),30)))</f>
        <v/>
      </c>
      <c r="CV16" t="str">
        <f>IF(CS16="","",IFERROR(_xlfn.XLOOKUP(CS16,Линии[_n],Линии[_УЗО, мА]),30))</f>
        <v/>
      </c>
      <c r="CW16">
        <f>IF(CS16="",0,IF(ISNUMBER(SEARCH("4P",IFERROR(_xlfn.XLOOKUP(CS16,Линии[_n],Линии[_УЗО строки])&amp;"",""))),0,1))</f>
        <v>0</v>
      </c>
      <c r="CX16" t="str">
        <f>IF(AND(CS16&lt;&gt;"",CS16=BA16),SUMIFS(Линии[_ток на 230 В],Линии[_блок УЗО],BA16,Линии[Щит],A16),"")</f>
        <v/>
      </c>
      <c r="CY16" t="str">
        <f>IF(AND(CS16&lt;&gt;"",CS16=BA16),SUMIFS(Линии[_ток утечки линии, мА],Линии[_блок УЗО],BA16,Линии[Щит],A16),"")</f>
        <v/>
      </c>
      <c r="CZ16">
        <f t="shared" si="30"/>
        <v>0</v>
      </c>
      <c r="DA16">
        <f t="shared" si="31"/>
        <v>0</v>
      </c>
      <c r="DB16">
        <f>IF(B16="",0,IFERROR(--_xlfn.XLOOKUP(B16,Коды_код,Коды_минавт),IFERROR(--_xlfn.XLOOKUP(BC16,Коды_код,Коды_минавт),IFERROR(--_xlfn.XLOOKUP(LEFT(BC16,2),Коды_код,Коды_минавт),0))))</f>
        <v>0</v>
      </c>
      <c r="DC16" t="str">
        <f>IF(B16="","",IFERROR(_xlfn.XLOOKUP(BC16,Коды_код,Коды_апп)&amp;"",""))</f>
        <v/>
      </c>
      <c r="DD16" t="str">
        <f t="shared" si="32"/>
        <v/>
      </c>
      <c r="DE16" t="str" cm="1">
        <f t="array" ref="DE16">IF(TRIM(DD16&amp;"")="","",IFERROR(TRIM(INDEX(_xlfn.TEXTSPLIT(DD16&amp;";;;",";"),1)),""))</f>
        <v/>
      </c>
      <c r="DF16" t="str" cm="1">
        <f t="array" ref="DF16">IF(TRIM(DD16&amp;"")="","",IFERROR(TRIM(INDEX(_xlfn.TEXTSPLIT(DD16&amp;";;;",";"),2)),""))</f>
        <v/>
      </c>
      <c r="DG16" t="str" cm="1">
        <f t="array" ref="DG16">IF(TRIM(DD16&amp;"")="","",IFERROR(TRIM(INDEX(_xlfn.TEXTSPLIT(DD16&amp;";;;",";"),3)),""))</f>
        <v/>
      </c>
      <c r="DH16">
        <f t="shared" si="33"/>
        <v>0</v>
      </c>
      <c r="DI16" t="str">
        <f>IF(B16="","",_xlfn.LET(_xlpm.t,LOWER(AZ16&amp;""),IF(ISNUMBER(SEARCH("dim",_xlpm.t)),"DIM",IF(ISNUMBER(SEARCH("dali",_xlpm.t)),"DALI",IF(OR(ISNUMBER(SEARCH("relay",_xlpm.t)),ISNUMBER(SEARCH("реле",_xlpm.t))),"Relay",IF(ISNUMBER(SEARCH("кнопк",_xlpm.t)),"",IFERROR(_xlfn.XLOOKUP(BC16,Коды_код,Коды_упр)&amp;"","")))))))</f>
        <v/>
      </c>
      <c r="DJ16" t="str">
        <f t="shared" si="34"/>
        <v/>
      </c>
      <c r="DK16">
        <f>IF(B16="","",_xlfn.LET(_xlpm.ig,IF(N(CX16)&gt;0,N(CX16),N(CI16)+IF(AJ16="вручную",0,N(CJ16))),_xlpm.n0,IFERROR(VLOOKUP(_xlpm.ig,Автомат_номиналы,2,TRUE),0),_xlpm.mn,MAX(DB16,IF(AJ16="вручную",0,N(CM16))),MAX(_xlpm.n0,_xlpm.mn,IF(DH16=1,Мин_автомат_БП,0))))</f>
        <v>6</v>
      </c>
      <c r="DL16">
        <f t="shared" si="35"/>
        <v>1</v>
      </c>
      <c r="DM16" t="str">
        <f t="shared" si="36"/>
        <v>1P</v>
      </c>
      <c r="DN16" t="str">
        <f>_xlfn.LET(_xlpm.cc,UPPER(TRIM(IFERROR(_xlfn.XLOOKUP(BC16,Коды_код,Коды_хар)&amp;"",""))),IF(OR(_xlpm.cc="B",_xlpm.cc="В"),"B",IF(_xlpm.cc="D","D","С")))</f>
        <v>С</v>
      </c>
      <c r="DO16" t="str">
        <f t="shared" si="37"/>
        <v>1P С6А</v>
      </c>
      <c r="DP16" t="str">
        <f t="shared" si="38"/>
        <v>1P С6А</v>
      </c>
      <c r="DQ16" t="str">
        <f t="shared" si="39"/>
        <v>1P С6А</v>
      </c>
      <c r="DR16" cm="1">
        <f t="array" ref="DR16">IF(DQ16="","",_xlfn.LET(_xlpm.t,SUBSTITUTE(SUBSTITUTE(SUBSTITUTE(UPPER(DQ16),"С","C"),"А","A"),"В","B"),_xlpm.tk,_xlfn.TEXTSPLIT(_xlpm.t," "),_xlpm.f,_xlfn._xlws.FILTER(_xlpm.tk,ISNUMBER(--MID(_xlpm.tk,2,1))*ISNUMBER(SEARCH(LEFT(_xlpm.tk,1)&amp;"#","B#C#D#"))*(LEN(_xlpm.tk)&gt;1),""),_xlpm.x,INDEX(_xlpm.f,1),IFERROR(--SUBSTITUTE(MID(_xlpm.x,2,9),"A",""),IFERROR(--SUBSTITUTE(INDEX(_xlfn._xlws.FILTER(_xlpm.tk,ISNUMBER(--SUBSTITUTE(_xlpm.tk,"A","")),""),1),"A",""),""))))</f>
        <v>6</v>
      </c>
      <c r="DS16" t="str">
        <f t="shared" si="40"/>
        <v>узел</v>
      </c>
      <c r="DT16">
        <f t="shared" si="41"/>
        <v>6</v>
      </c>
      <c r="DU16" t="str">
        <f t="shared" si="42"/>
        <v>1P С6А</v>
      </c>
      <c r="DV16">
        <f t="shared" si="43"/>
        <v>0</v>
      </c>
      <c r="DW16">
        <f t="shared" si="44"/>
        <v>0</v>
      </c>
      <c r="DX16">
        <f t="shared" si="45"/>
        <v>0</v>
      </c>
      <c r="DY16">
        <f t="shared" si="46"/>
        <v>1.7138186938049942</v>
      </c>
      <c r="DZ16">
        <f t="shared" si="47"/>
        <v>1</v>
      </c>
      <c r="EA16">
        <f>IF(ISNUMBER(AP16),AP16,К_прокл)</f>
        <v>1</v>
      </c>
      <c r="EB16">
        <f t="shared" si="48"/>
        <v>2</v>
      </c>
      <c r="EC16">
        <f>IFERROR(N(VLOOKUP(BZ16,Кабель_обозначение,3,FALSE)),1)</f>
        <v>1</v>
      </c>
      <c r="ED16">
        <f>IFERROR(N(_xlfn.XLOOKUP(A16,Щиты[Щит],Щиты[ΔU до шин, %])),0)</f>
        <v>0.58602884987279757</v>
      </c>
      <c r="EE16">
        <f>IFERROR(_xlfn.XLOOKUP(A16,Щиты[Щит],Щиты[Zпетли на шинах, Ом]),"")</f>
        <v>0.50164496021506877</v>
      </c>
      <c r="EF16">
        <f>IFERROR(N(_xlfn.XLOOKUP(A16,Щиты[Щит],Щиты[ΔU до шин (подбор), %])),0)</f>
        <v>0.58602884987279757</v>
      </c>
      <c r="EG16">
        <f>IFERROR(_xlfn.XLOOKUP(A16,Щиты[Щит],Щиты[Zпетли на шинах (подбор), Ом]),"")</f>
        <v>0.50164496021506877</v>
      </c>
      <c r="EH16" t="str">
        <f t="shared" si="49"/>
        <v/>
      </c>
      <c r="EI16" t="str">
        <f t="shared" si="50"/>
        <v/>
      </c>
      <c r="EJ16">
        <f t="shared" si="51"/>
        <v>2</v>
      </c>
      <c r="EK16">
        <f t="shared" si="52"/>
        <v>0.31</v>
      </c>
      <c r="EL16" s="6">
        <f>IF(B16="","",IF(BV16=1,dU_LED,IF(IFERROR(_xlfn.XLOOKUP(BC16,Коды_код,Коды_уго),"")="Светильник",3,4)+IF(Методика="нормы 2026",MIN(0.5,MAX(0,N(P16)-100)*0.005),0)))</f>
        <v>4</v>
      </c>
      <c r="EM16" cm="1">
        <f t="array" ref="EM16">IF(OR(B16="",BZ16="",EC16&lt;&gt;1),"",_xlfn.LET(_xlpm.sz,Iдоп_S,_xlpm.t_,CHOOSE(EB16,Iдоп_1ж,Iдоп_2ж,Iдоп_3ж)*DZ16*EA16,_xlpm.dcx,BV16=1,_xlpm.inn,IF(_xlpm.dcx,N(O16),N(DT16)),_xlpm.smin,MAX(1.5,CC16),_xlpm.L_,N(P16)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16)/N(BU16)*100,999),IFERROR(N(EJ16)*(_xlpm.rho*_xlpm.L_/_xlpm.sz*N(CE16)+_xlpm.xx*_xlpm.L_*N(EK16)/1000)*N(O16)/((Uн_лин/SQRT(3))*1000)*100,999)),_xlpm.kz,IF(OR(_xlpm.dcx,DW16=1,NOT(ISNUMBER(EG16)),_xlpm.L_=0,_xlpm.inn=0),1,IFERROR(--(c_min*(Uн_лин*1000/SQRT(3))/(EG16+2*ρкз_Cu*_xlpm.L_/_xlpm.sz)&gt;=HT16*_xlpm.inn),0)),_xlpm.ok,IFERROR((_xlpm.sz&gt;=_xlpm.smin)*(_xlpm.t_&gt;=_xlpm.inn)*IF(_xlpm.L_&gt;0,(_xlpm.du_+IF(_xlpm.dcx,0,EF16)&lt;=EL16+0.00001),1)*_xlpm.kz,0),_xlpm.r_,_xlfn._xlws.FILTER(_xlpm.sz,_xlpm.ok,"не подобрано"),INDEX(_xlpm.r_,1)))</f>
        <v>1.5</v>
      </c>
      <c r="EN16">
        <f t="shared" si="53"/>
        <v>2.5</v>
      </c>
      <c r="EO16" cm="1">
        <f t="array" ref="EO16">IF(OR(B16="",BZ16="",EC16&lt;&gt;1),"",_xlfn.LET(_xlpm.sz,Iдоп_S,_xlpm.t_,CHOOSE(EB16,Iдоп_1ж,Iдоп_2ж,Iдоп_3ж)*DZ16*EA16,_xlpm.ok,IFERROR((_xlpm.sz&gt;=MAX(1.5,CC16))*(_xlpm.t_&gt;=N(DT16)),0),_xlpm.r_,_xlfn._xlws.FILTER(_xlpm.sz,_xlpm.ok,""),INDEX(_xlpm.r_,1)))</f>
        <v>1.5</v>
      </c>
      <c r="EP16" s="6" cm="1">
        <f t="array" ref="EP16">IFERROR(ROUNDUP(N(EJ16)*(_xlfn.XLOOKUP(EO16,INDEX(Кабель_сопротивление,0,1),INDEX(Кабель_сопротивление,0,3))*N(P16)/EO16*N(CE16)+_xlfn.XLOOKUP(EO16,INDEX(Кабель_сопротивление,0,1),INDEX(Кабель_сопротивление,0,2))*N(P16)*N(EK16)/1000)*N(O16)/((Uн_лин/SQRT(3))*1000)*100,2),"")</f>
        <v>0</v>
      </c>
      <c r="EQ16">
        <f>IFERROR(2*ρкз_Cu*N(P16)/EO16,"")</f>
        <v>0</v>
      </c>
      <c r="ER16">
        <f>IFERROR(VLOOKUP(EN16,Кабель_сопротивление,3,FALSE),"")</f>
        <v>2.2499999999999999E-2</v>
      </c>
      <c r="ES16">
        <f>IFERROR(VLOOKUP(EN16,Кабель_сопротивление,2,FALSE),"")</f>
        <v>0.1</v>
      </c>
      <c r="ET16" t="str">
        <f t="shared" si="54"/>
        <v/>
      </c>
      <c r="EU16" t="str">
        <f t="shared" si="55"/>
        <v/>
      </c>
      <c r="EV16" t="str">
        <f t="shared" si="56"/>
        <v/>
      </c>
      <c r="EW16" s="6" t="str">
        <f>IFERROR(ROUNDUP(EV16/IF(BV16=1,BU16,(Uн_лин/SQRT(3))*1000)*100,2),"")</f>
        <v/>
      </c>
      <c r="EX16" t="str">
        <f>IFERROR(VLOOKUP(BZ16,Кабель_обозначение,2,FALSE),"")</f>
        <v>ВВГнг(А)-LS</v>
      </c>
      <c r="EY16" t="str">
        <f t="shared" si="57"/>
        <v>ВВГнг(А)-LS (3х2,5)</v>
      </c>
      <c r="EZ16" t="str">
        <f t="shared" si="58"/>
        <v>ВВГнг(А)-LS (3х2,5)</v>
      </c>
      <c r="FA16" t="str">
        <f>IFERROR(2*ρкз_Cu*P16/EN16,"")</f>
        <v/>
      </c>
      <c r="FB16">
        <f t="shared" si="59"/>
        <v>0</v>
      </c>
      <c r="FC16" s="6" t="str">
        <f>IFERROR(IF(OR(B16="",BV16=1,NOT(ISNUMBER(EN16)),N(P16)=0),"",_xlfn.XLOOKUP(A16,Щиты[Щит],Щиты[Zпетли на шинах, Ом])+FA16),"")</f>
        <v/>
      </c>
      <c r="FD16" s="6" t="str">
        <f>IF(ISNUMBER(FC16),c_min*(Uн_лин*1000/SQRT(3))/FC16,"")</f>
        <v/>
      </c>
      <c r="FE16" s="6">
        <f>IFERROR(IF(OR(B16="",NOT(ISNUMBER(EN16))),"",1.05*(Uн_лин*1000/SQRT(3))/(_xlfn.XLOOKUP(A16,Щиты[Щит],Щиты[Zmax на шинах, Ом])+FB16)/1000),"")</f>
        <v>1.5344353954318855</v>
      </c>
      <c r="FF16" s="6" t="str">
        <f>IF(B16="","",IF(ISNUMBER(AC16),"Сил",IF(IFERROR(_xlfn.XLOOKUP(BC16,Коды_код,Коды_группа)&amp;"","")="","Быт",_xlfn.XLOOKUP(BC16,Коды_код,Коды_группа)&amp;"")))</f>
        <v>Нет</v>
      </c>
      <c r="FG16" s="6" t="str">
        <f t="shared" si="60"/>
        <v>Нет</v>
      </c>
      <c r="FH16" s="6">
        <f>IF(FG16="Щит","щит",IF(FG16="","",IF(FG16="Быт",IFERROR(_xlfn.XLOOKUP(A16,Щиты[Щит],Щиты[Кс быт]),1),IF(FG16="Сил",IF(ISNUMBER(AC16),AC16,IF(Методика="нормы 2026",IFERROR(_xlfn.XLOOKUP(A16,Щиты[Щит],Щиты[Кс силовых (табл. 7.5)]),1),1)),IF(OR(FG16="Пост",FG16="Отоп"),1,IF(FG16="ВНГ",0.7,0))))))</f>
        <v>0</v>
      </c>
      <c r="FI16">
        <f>IF(FG16="","",IF(AND(BP16=1,TRIM(AE16&amp;"")=""),IF(COUNTIFS(Линии[Щит],A16,Линии[Секция (1/2/3)],"&gt;=2")&gt;0,MIN(3,MAX(1,IFERROR(--BD16,1))),1),IFERROR(MIN(3,MAX(1,INT(--AE16))),1)))</f>
        <v>1</v>
      </c>
      <c r="FJ16">
        <f t="shared" si="61"/>
        <v>0</v>
      </c>
      <c r="FK16">
        <f t="shared" si="62"/>
        <v>0</v>
      </c>
      <c r="FL16">
        <f t="shared" si="63"/>
        <v>0</v>
      </c>
      <c r="FM16">
        <f t="shared" si="64"/>
        <v>0</v>
      </c>
      <c r="FN16">
        <f t="shared" si="65"/>
        <v>0</v>
      </c>
      <c r="FO16">
        <f t="shared" si="66"/>
        <v>0</v>
      </c>
      <c r="FP16">
        <f t="shared" si="67"/>
        <v>0</v>
      </c>
      <c r="FQ16">
        <f t="shared" si="68"/>
        <v>0</v>
      </c>
      <c r="FR16">
        <f t="shared" si="69"/>
        <v>0</v>
      </c>
      <c r="FS16">
        <f>IF(CG16=1,IF(AND(CH16=1,CW16=1),0,IF(AND(CS16&lt;&gt;"",CS16=BA16,CW16=1),SUMIFS(Линии[_Р линии, кВт],Линии[_блок УЗО],BA16,Линии[Щит],A16),N(BS16)+IF(AJ16="вручную",0,N(CK16)))),0)</f>
        <v>0.56000000000000005</v>
      </c>
      <c r="FT16" t="str">
        <f t="shared" si="70"/>
        <v/>
      </c>
      <c r="FU16" t="str">
        <f>IF(B16="","",IF(CG16=0,IF(BA16=1,"",FW15),IF(AND(CH16=1,CW16=1,CS16&lt;&gt;""),IFERROR(_xlfn.XLOOKUP(CS16,Линии[_n],Линии[_фаза итог]),"L1"),IF(OR(N(DL16)&gt;=3,N(BX16)&gt;=3),"L1,L2,L3",IFERROR(_xlfn.TEXTBEFORE(_xlfn.TEXTAFTER(_xlfn.XLOOKUP(A16,Щиты[Щит],Щиты[_фазы авто]),";"&amp;BA16&amp;":"),";"),"L1")))))</f>
        <v>L3</v>
      </c>
      <c r="FV16" t="str">
        <f t="shared" si="71"/>
        <v>L3</v>
      </c>
      <c r="FW16" t="str">
        <f t="shared" si="72"/>
        <v>L3</v>
      </c>
      <c r="FX16" cm="1">
        <f t="array" ref="FX16">IFERROR(IF(CD16=2,_xlfn.IFS(BX16=3,VLOOKUP(BS16,Справочная_двигатели,3,FALSE),BX16=1,VLOOKUP(BS16,Справочная_двигатели,5,TRUE)),0),0)</f>
        <v>0</v>
      </c>
      <c r="FY16">
        <f>IFERROR(IF(CD16=3,VLOOKUP(BS16,Справочная_ЛЭД,2,TRUE),0),0)</f>
        <v>0</v>
      </c>
      <c r="FZ16" s="6">
        <f t="shared" si="73"/>
        <v>0</v>
      </c>
      <c r="GA16" t="str">
        <f>IF(B16="","",IF(TRIM(AH16&amp;"")&lt;&gt;"",IF(LOWER(TRIM(AH16&amp;""))="да","да","нет"),IF(IFERROR(_xlfn.XLOOKUP(BC16,Коды_код,Коды_пожарная),"")="да","да","нет")))</f>
        <v>нет</v>
      </c>
      <c r="GB16" t="str">
        <f t="shared" si="74"/>
        <v/>
      </c>
      <c r="GC16" t="str">
        <f t="shared" si="75"/>
        <v>основная</v>
      </c>
      <c r="GD16">
        <f>IF(AND(BP16=1,TRIM(AE16&amp;"")=""),IF(COUNTIFS(Линии[Щит],A16,Линии[Секция (1/2/3)],"&gt;=2")&gt;0,MIN(3,MAX(1,IFERROR(--BD16,1))),1),IFERROR(MIN(3,MAX(1,INT(--AE16))),1))</f>
        <v>1</v>
      </c>
      <c r="GE16" t="str" cm="1">
        <f t="array" ref="GE16">IF(B16="","",_xlfn.LET(_xlpm.t,IFERROR(_xlfn.XLOOKUP(1,(Шины[Шина]=GC16)*(((Шины[Щит]=A16)+(Шины[Щит]=""))&gt;0),Шины[Тип]),"")&amp;"",IF(_xlpm.t&lt;&gt;"",_xlpm.t,IF(ISNUMBER(SEARCH("ИБП",GC16)),"ИБП",IF(ISNUMBER(SEARCH("ДГУ",GC16)),"ДГУ","Ввод "&amp;GD16)))))</f>
        <v>Ввод 1</v>
      </c>
      <c r="GF16" t="str">
        <f t="shared" si="76"/>
        <v>Ввод 1</v>
      </c>
      <c r="GG16" t="str">
        <f>IF(BP16=0,"",IF(TRIM(AG16&amp;"")&lt;&gt;"",TRIM(AG16&amp;""),IF(OR(GE16="ИБП",GE16="ДГУ"),"I особая",_xlfn.XLOOKUP(A16,Щиты[Щит],Щиты[Категория шины «Ввод»],"III"))))</f>
        <v>II</v>
      </c>
      <c r="GH16" t="str">
        <f>IF(A16="","",_xlfn.XLOOKUP(A16,Щиты[Щит],Щиты[Путь],""))</f>
        <v>|ВРУ|ЩБП|</v>
      </c>
      <c r="GI16" t="str">
        <f>IF(B16="","",IF(AI16&lt;&gt;"",AI16,IF(IFERROR(_xlfn.XLOOKUP(BC16,Коды_код,Коды_вид)&amp;"","")="","Прочее",_xlfn.XLOOKUP(BC16,Коды_код,Коды_вид)&amp;"")))</f>
        <v>Прочее</v>
      </c>
      <c r="GJ16">
        <f>IF(BM16="","",INT((BM16-1)/Столбцов_на_лист)+1)</f>
        <v>1</v>
      </c>
      <c r="GK16" t="str">
        <f t="shared" si="77"/>
        <v>ВВГнг(А)-LS (3х2,5)</v>
      </c>
      <c r="GL16">
        <f t="shared" si="78"/>
        <v>0.56000000000000005</v>
      </c>
      <c r="GM16">
        <f t="shared" si="79"/>
        <v>1.72</v>
      </c>
      <c r="GN16">
        <f t="shared" si="80"/>
        <v>1</v>
      </c>
      <c r="GO16">
        <f t="shared" si="81"/>
        <v>0</v>
      </c>
      <c r="GP16">
        <f t="shared" si="82"/>
        <v>0</v>
      </c>
      <c r="GQ16" t="str">
        <f>IF(BM16="","",IF(AND(CG16=1,GP16=1),COUNTIFS(A$3:A16,A16,CG$3:CG16,1,GP$3:GP16,1),IF(OR(OR(BA16=1,A16&lt;&gt;A15),AJ16="вручную",GP16=0),"",IF(BA16=1,"",GR15))))</f>
        <v/>
      </c>
      <c r="GR16" t="str">
        <f t="shared" si="83"/>
        <v/>
      </c>
      <c r="GS16">
        <f>IF(B16="","",IFERROR(LOOKUP(INDEX(CHOOSE(EB16,Iдоп_1ж,Iдоп_2ж,Iдоп_3ж),MATCH(EN16,Iдоп_S,0))*DZ16*EA16,{6,10,16,20,25,32,40,50,63,80,100,125,160,200,250,315,400,500,630}),""))</f>
        <v>25</v>
      </c>
      <c r="GT16" t="str">
        <f t="shared" si="84"/>
        <v/>
      </c>
      <c r="GU16" t="str">
        <f t="shared" si="85"/>
        <v/>
      </c>
      <c r="GV16" t="str">
        <f t="shared" si="86"/>
        <v/>
      </c>
      <c r="GW16">
        <f t="shared" si="87"/>
        <v>0</v>
      </c>
      <c r="GX16" t="str">
        <f>IF(OR(B16="",DJ16=""),"",IFERROR(_xlfn.XLOOKUP(DJ16,Модули_умолч[Управление],Модули_умолч[Модель])&amp;"",""))</f>
        <v/>
      </c>
      <c r="GY16">
        <f>IF(DJ16="",1,IFERROR(MAX(0,N(_xlfn.XLOOKUP(DJ16,Модули_умолч[Управление],Модули_умолч[Каналов на линию]))),1))</f>
        <v>1</v>
      </c>
      <c r="GZ16" t="str">
        <f t="shared" si="88"/>
        <v/>
      </c>
      <c r="HA16" t="str">
        <f t="shared" si="89"/>
        <v/>
      </c>
      <c r="HB16" t="str">
        <f t="shared" si="90"/>
        <v/>
      </c>
      <c r="HC16">
        <f>IF(HB16="",0,IFERROR(N(VLOOKUP(HB16,Модули_спр,3,FALSE)),0))</f>
        <v>0</v>
      </c>
      <c r="HD16" t="str">
        <f t="shared" si="91"/>
        <v/>
      </c>
      <c r="HE16" t="str">
        <f t="shared" si="92"/>
        <v/>
      </c>
      <c r="HF16" t="str">
        <f>IF(OR(HE16="",HE16="-"),"",IFERROR(VLOOKUP(HE16,Модули_спр,2,FALSE),"R"))</f>
        <v/>
      </c>
      <c r="HG16" t="str">
        <f>IF(HF16="","",HF16&amp;"."&amp;COUNTIFS(A$3:A16,A16,HF$3:HF16,HF16))</f>
        <v/>
      </c>
      <c r="HH16" t="str">
        <f t="shared" si="93"/>
        <v/>
      </c>
      <c r="HI16" t="str">
        <f t="shared" si="94"/>
        <v/>
      </c>
      <c r="HJ16" t="str">
        <f t="shared" si="95"/>
        <v/>
      </c>
      <c r="HK16" t="str">
        <f t="shared" si="96"/>
        <v/>
      </c>
      <c r="HL16">
        <f t="shared" si="97"/>
        <v>0</v>
      </c>
      <c r="HM16" t="str">
        <f>IF(HL16=1,"XT"&amp;COUNTIFS(A$3:A16,A16,HL$3:HL16,1),"")</f>
        <v/>
      </c>
      <c r="HN16" t="str">
        <f t="shared" si="98"/>
        <v/>
      </c>
      <c r="HO16" t="str">
        <f t="shared" si="99"/>
        <v/>
      </c>
      <c r="HP16" t="str">
        <f t="shared" si="100"/>
        <v/>
      </c>
      <c r="HQ16" t="str">
        <f t="shared" si="101"/>
        <v>ok</v>
      </c>
      <c r="HR16" t="str">
        <f>IF(OR(HJ16="",HH16=""),"",IF(HJ16+MAX(0,GY16-1)&gt;IFERROR(VLOOKUP(HI16,Модули_спр,3,FALSE),99),"ЛИШНИЙ КАНАЛ",IF(AND(AL16&lt;&gt;"=",GY16&gt;0,COUNTIFS(Линии[_модуль гр.],HH16,Линии[Канал (итог)],HJ16,Линии[Канал],"&lt;&gt;=",Линии[Щит],A16)&gt;1),"ДУБЛЬ КАНАЛА","")))</f>
        <v/>
      </c>
      <c r="HS16" s="6" t="str">
        <f t="shared" si="102"/>
        <v/>
      </c>
      <c r="HT16">
        <f t="shared" si="103"/>
        <v>10</v>
      </c>
      <c r="HU16" t="str">
        <f t="shared" si="104"/>
        <v/>
      </c>
      <c r="HV16">
        <f t="shared" si="105"/>
        <v>0</v>
      </c>
      <c r="HW16">
        <f t="shared" si="106"/>
        <v>0</v>
      </c>
      <c r="HX16">
        <f t="shared" si="107"/>
        <v>0</v>
      </c>
      <c r="HY16">
        <f t="shared" si="108"/>
        <v>0</v>
      </c>
      <c r="HZ16">
        <f t="shared" si="109"/>
        <v>0</v>
      </c>
      <c r="IA16">
        <f t="shared" si="110"/>
        <v>0</v>
      </c>
      <c r="IB16">
        <f t="shared" si="111"/>
        <v>0</v>
      </c>
      <c r="IC16" t="str">
        <f t="shared" si="112"/>
        <v/>
      </c>
      <c r="ID16" t="str" cm="1">
        <f t="array" ref="ID16">IF(IC16="","",_xlfn.LET(_xlpm.tk,_xlfn.TEXTSPLIT(SUBSTITUTE(SUBSTITUTE(IC16,";"," "),"→"," ")," ",,TRUE),_xlpm.w_,_xlfn._xlws.FILTER(_xlpm.tk,ISNUMBER(--LEFT(_xlpm.tk,1))*((ISNUMBER(SEARCH("W",_xlpm.tk))+ISNUMBER(SEARCH("Вт",_xlpm.tk)))&gt;0),""),IFERROR(--SUBSTITUTE(SUBSTITUTE(UPPER(INDEX(_xlpm.w_,1)),"W",""),"ВТ",""),"")))</f>
        <v/>
      </c>
      <c r="IE16" t="str" cm="1">
        <f t="array" ref="IE16">IF(IC16="","",_xlfn.LET(_xlpm.tk,_xlfn.TEXTSPLIT(SUBSTITUTE(SUBSTITUTE(IC16,";"," "),"→"," ")," ",,TRUE),_xlpm.v_,_xlfn._xlws.FILTER(_xlpm.tk,ISNUMBER(--LEFT(_xlpm.tk,1))*((ISNUMBER(SEARCH("V",_xlpm.tk))+(RIGHT(UPPER(_xlpm.tk))="В"))&gt;0),""),IFERROR(--SUBSTITUTE(SUBSTITUTE(UPPER(INDEX(_xlpm.v_,1)),"V",""),"В",""),"")))</f>
        <v/>
      </c>
      <c r="IF16" s="6" t="str">
        <f>IF(OR(BV16=0,HI16="",HJ16=""),"",IFERROR(N(_xlfn.XLOOKUP(HI16,Каталог!$C$4:$C$500,Каталог!$Q$4:$Q$500)),""))</f>
        <v/>
      </c>
      <c r="IG16" s="6" t="str">
        <f>IF(N(IF16)=0,"",SUMIFS(Линии[Iр, А],Линии[Щит],A16,Линии[_модуль гр.],HH16,Линии[Канал (итог)],HJ16))</f>
        <v/>
      </c>
      <c r="IH16" t="str">
        <f>IF(AND(B16="",HO16=""),"",_xlfn.TEXTJOIN("; ",TRUE,IF(AND(B16&lt;&gt;"",FV16=""),"нет фазы",""),IF(AND(B16&lt;&gt;"",N(GL16)=0,FG16&lt;&gt;"Нет"),"нет мощности",""),IF(AND(HN16&lt;&gt;"",COUNTIFS(Линии[Щит],A16,Линии[Клемма (итог)],HN16)&gt;1),"дубль клеммы "&amp;HN16,""),IF(AND(HQ16&lt;&gt;"",HQ16&lt;&gt;"ok"),HQ16,""),IF(HR16&lt;&gt;"",HR16,""),IF(AND(N(CB16)&gt;=4,N(BX16)=1),CB16&amp;" жил на 1 фазе",""),IF(AND(BC16="R",CG16=1,IF(CS16&lt;&gt;"",N(CV16)&gt;30,OR(N(DA16)=0,N(DA16)&gt;30))),"розетка без дифзащиты до 30 мА",""),IF(AND(CG16=1,N(DA16)&gt;0,ISNUMBER(T16)),IF(T16&gt;N(DA16)/3,"ток утечки "&amp;FIXED(T16,1)&amp;" мА &gt; 1/3 уставки ("&amp;DA16&amp;" мА)",""),""),IF(AND(CH16=1,CS16=""),"«узо»: нет строки с УЗО выше (УЗО 2P 40А 30мА в «Аппаратах»)",""),IF(AND(CS16&lt;&gt;"",CS16=BA16),IF(CT16="","впишите номинал УЗО (УЗО 2P 40А 30мА)",IF(N(CT16)&lt;N(DT16),"УЗО "&amp;CT16&amp;" А &lt; автомата "&amp;DT16&amp;" А перед ним",IF(N(CT16)&lt;N(CX16),"УЗО "&amp;CT16&amp;" А &lt; тока блока "&amp;FIXED(CX16,1)&amp;" А",""))),""),IF(AND(CS16&lt;&gt;"",CS16=BA16,ISNUMBER(CY16)),IF(CY16&gt;N(CV16)/3,"ток утечки блока УЗО "&amp;FIXED(CY16,1)&amp;" мА &gt; 1/3 уставки ("&amp;CV16&amp;" мА)",""),""),IF(AND(CG16=1,N(BV16)+N(IB16)&gt;0,IC16=""),"линии до 50 В без БП: впишите в «Аппараты» (БП 24V 480W)",""),IF(AND(CG16=1,ISNUMBER(ID16),ISNUMBER(U16)),IF(U16&gt;ID16,"БП "&amp;ID16&amp;" Вт &lt; нужно "&amp;U16&amp;" Вт (×"&amp;Запас_БП&amp;")",""),""),IF(AND(CG16=1,ISNUMBER(IE16),N(BV16)=1),IF(IE16&lt;&gt;N(BU16),"БП на "&amp;IE16&amp;" В, линия "&amp;BU16&amp;" В",""),""),IF(AND(N(IF16)&gt;0,N(IG16)&gt;N(IF16)),HH16&amp;" канал "&amp;HJ16&amp;": "&amp;FIXED(IG16,1)&amp;" А &gt; "&amp;IF16&amp;" А",""),IFERROR(IF(AND(ISNUMBER(Q16),Q16&gt;EL16),"потери "&amp;FIXED(Q16,1)&amp;" % &gt; "&amp;EL16&amp;" %",""),""),IFERROR(IF(LEFT(HU16,4)="мало","Iкз мало — отключение &gt; 0,4 с",""),""),IF(AND(B16&lt;&gt;"",BM16=""),"не на схеме",""),IF(AND(CG16=0,B16&lt;&gt;"",FV16&lt;&gt;"",IF(BA16=1,"",FW15)&lt;&gt;"",FV16&lt;&gt;IF(BA16=1,"",FW15)),"фаза не как у автомата группы ("&amp;IF(BA16=1,"",FW15)&amp;")","")))</f>
        <v/>
      </c>
      <c r="II16" s="6" t="str">
        <f>IF(OR(CG16=0,DQ16=""),"",_xlfn.LET(_xlpm.t,IFERROR(_xlfn.XLOOKUP(DQ16,Каталог!$U$4:$U$500,Каталог!$G$4:$G$500),""),_xlpm.k,SEARCH("кА",_xlpm.t),IFERROR(--TRIM(RIGHT(SUBSTITUTE(MID(_xlpm.t,MAX(1,_xlpm.k-4),_xlpm.k-MAX(1,_xlpm.k-4))," ",REPT(" ",9)),5)),"")))</f>
        <v/>
      </c>
      <c r="IJ16" t="str">
        <f>IF(OR(II16="",CG16=0),"",IF(_xlfn.XLOOKUP(A16,Щиты[Щит],Щиты[Iкз max на шинах, кА],"")="","",IF(II16&lt;_xlfn.XLOOKUP(A16,Щиты[Щит],Щиты[Iкз max на шинах, кА]),"Icu "&amp;II16&amp;" кА &lt; Iкз max","ok")))</f>
        <v/>
      </c>
      <c r="IK16" t="str">
        <f t="shared" si="113"/>
        <v/>
      </c>
      <c r="IL16" t="str">
        <f t="shared" si="114"/>
        <v/>
      </c>
      <c r="IM16" t="str">
        <f t="shared" si="115"/>
        <v/>
      </c>
      <c r="IN16" t="str" cm="1">
        <f t="array" ref="IN16">IF(IM16="","",_xlfn.LET(_xlpm.nd,_xlfn.TEXTSPLIT(IM16,"|"),IF(COLUMNS(_xlpm.nd)&gt;1,A16&amp;"¦"&amp;INDEX(_xlpm.nd,1)&amp;"¦"&amp;INDEX(_xlpm.nd,2),"")))</f>
        <v/>
      </c>
      <c r="IO16" t="str">
        <f t="shared" si="116"/>
        <v/>
      </c>
      <c r="IP16" t="str" cm="1">
        <f t="array" ref="IP16">IF(IM16="","",_xlfn.LET(_xlpm.nd,_xlfn.TEXTSPLIT(IM16,"|"),IF(COLUMNS(_xlpm.nd)&gt;2,A16&amp;"¦"&amp;INDEX(_xlpm.nd,2)&amp;"¦"&amp;INDEX(_xlpm.nd,3),"")))</f>
        <v/>
      </c>
      <c r="IQ16" t="str">
        <f t="shared" si="117"/>
        <v/>
      </c>
      <c r="IR16" t="str" cm="1">
        <f t="array" ref="IR16">IF(IM16="","",_xlfn.LET(_xlpm.nd,_xlfn.TEXTSPLIT(IM16,"|"),IF(COLUMNS(_xlpm.nd)&gt;3,A16&amp;"¦"&amp;INDEX(_xlpm.nd,3)&amp;"¦"&amp;INDEX(_xlpm.nd,4),"")))</f>
        <v/>
      </c>
      <c r="IS16" t="str">
        <f t="shared" si="118"/>
        <v/>
      </c>
      <c r="IT16" t="str" cm="1">
        <f t="array" ref="IT16">IF(IM16="","",_xlfn.LET(_xlpm.nd,_xlfn.TEXTSPLIT(IM16,"|"),IF(COLUMNS(_xlpm.nd)&gt;4,A16&amp;"¦"&amp;INDEX(_xlpm.nd,4)&amp;"¦"&amp;INDEX(_xlpm.nd,5),"")))</f>
        <v/>
      </c>
      <c r="IU16" t="str">
        <f t="shared" si="119"/>
        <v/>
      </c>
      <c r="IV16" t="str" cm="1">
        <f t="array" ref="IV16">IF(IM16="","",_xlfn.LET(_xlpm.nd,_xlfn.TEXTSPLIT(IM16,"|"),IF(COLUMNS(_xlpm.nd)&gt;5,A16&amp;"¦"&amp;INDEX(_xlpm.nd,5)&amp;"¦"&amp;INDEX(_xlpm.nd,6),"")))</f>
        <v/>
      </c>
      <c r="IW16" t="str">
        <f t="shared" si="120"/>
        <v/>
      </c>
      <c r="IX16" t="str" cm="1">
        <f t="array" ref="IX16">IF(IM16="","",_xlfn.LET(_xlpm.nd,_xlfn.TEXTSPLIT(IM16,"|"),IF(COLUMNS(_xlpm.nd)&gt;6,A16&amp;"¦"&amp;INDEX(_xlpm.nd,6)&amp;"¦"&amp;INDEX(_xlpm.nd,7),"")))</f>
        <v/>
      </c>
      <c r="IY16" t="str">
        <f t="shared" si="121"/>
        <v/>
      </c>
      <c r="IZ16" t="str">
        <f t="shared" si="122"/>
        <v/>
      </c>
      <c r="JA16" t="str">
        <f t="shared" si="123"/>
        <v/>
      </c>
      <c r="JB16">
        <f t="shared" si="124"/>
        <v>0</v>
      </c>
      <c r="JC16">
        <f t="shared" si="125"/>
        <v>0</v>
      </c>
      <c r="JD16" t="str">
        <f t="shared" si="126"/>
        <v/>
      </c>
      <c r="JE16" t="str">
        <f t="shared" si="127"/>
        <v/>
      </c>
      <c r="JF16" t="str">
        <f t="shared" si="128"/>
        <v/>
      </c>
      <c r="JG16" t="str">
        <f t="shared" si="129"/>
        <v/>
      </c>
      <c r="JH16">
        <f>IF(B16="","",IFERROR(_xlfn.XLOOKUP(B16,Коды_код,Коды_уго),IFERROR(_xlfn.XLOOKUP(BC16,Коды_код,Коды_уго),IFERROR(_xlfn.XLOOKUP(LEFT(BC16,2),Коды_код,Коды_уго),""))))</f>
        <v>0</v>
      </c>
      <c r="JI16" t="str">
        <f>IF(B16="","",IF(OR(JH16="",JH16=0),"BOX",IFERROR(IF(VLOOKUP(JH16,УГО_блоки,3,FALSE)&amp;""&lt;&gt;"",VLOOKUP(JH16,УГО_блоки,3,FALSE),VLOOKUP(JH16,УГО_блоки,2,FALSE)),JH16)))</f>
        <v>BOX</v>
      </c>
      <c r="JJ16">
        <f t="shared" si="130"/>
        <v>1</v>
      </c>
      <c r="JK16" t="str">
        <f>IF(DQ16="","",IF(COUNTIF(DQ$3:DQ16,DQ16)=1,MAX(JK$2:JK15)+1,""))</f>
        <v/>
      </c>
      <c r="JL16" t="str">
        <f>IF(DE16="","",IF(COUNTIF(DE$3:DE16,DE16)+COUNTIF(DF$2:DF15,DE16)+COUNTIF(DG$2:DG15,DE16)=1,MAX(JL$2:JN15)+1,""))</f>
        <v/>
      </c>
      <c r="JM16" t="str">
        <f>IF(DF16="","",IF(COUNTIF(DE$3:DE16,DF16)+COUNTIF(DF$3:DF16,DF16)+COUNTIF(DG$2:DG15,DF16)=1,MAX(JL$2:JN15,JL16)+1,""))</f>
        <v/>
      </c>
      <c r="JN16" t="str">
        <f>IF(DG16="","",IF(COUNTIF(DE$3:DE16,DG16)+COUNTIF(DF$3:DF16,DG16)+COUNTIF(DG$3:DG16,DG16)=1,MAX(JL$2:JN15,JL16,JM16)+1,""))</f>
        <v/>
      </c>
      <c r="JO16" t="str">
        <f t="shared" si="131"/>
        <v/>
      </c>
      <c r="JP16" t="str">
        <f>IF(JO16="","",IF(COUNTIF(JO$3:JO16,JO16)=1,MAX(JP$2:JP15)+1,""))</f>
        <v/>
      </c>
      <c r="JQ16" t="str">
        <f>IF(HG16="","",COUNTIF(HG$3:HG16,"?*"))</f>
        <v/>
      </c>
      <c r="JR16" t="str">
        <f>IF(OR(HG16="",HI16=""),"",IF(COUNTIFS(HG$3:HG16,"?*",HI$3:HI16,HI16)=1,MAX(JR$2:JR15)+1,""))</f>
        <v/>
      </c>
      <c r="JS16">
        <f t="shared" si="132"/>
        <v>0</v>
      </c>
      <c r="JT16">
        <f>IF(B16="","",COUNTIF(B$3:B16,"?*"))</f>
        <v>14</v>
      </c>
      <c r="JU16">
        <f>IF(HL16&lt;&gt;1,0,_xlfn.LET(_xlpm.k,MAX(IFERROR(--_xlfn.XLOOKUP(B16,Коды_код,Коды_3L),0),IFERROR(--_xlfn.XLOOKUP(BC16,Коды_код,Коды_3L),0),IFERROR(--_xlfn.XLOOKUP(LEFT(BC16,2),Коды_код,Коды_3L),0)),IF(_xlpm.k&gt;0,_xlpm.k,IF(IFERROR(--LEFT(SUBSTITUTE(JO16,"x","х"),FIND("х",SUBSTITUTE(JO16,"x","х"))-1),3)&gt;3,Каталог!$S$9,1))))</f>
        <v>0</v>
      </c>
      <c r="JV16">
        <f t="shared" si="133"/>
        <v>0</v>
      </c>
      <c r="JW16" t="str">
        <f t="shared" si="134"/>
        <v>авто</v>
      </c>
      <c r="JX16" t="str">
        <f t="shared" si="135"/>
        <v/>
      </c>
      <c r="JY16">
        <f t="shared" si="136"/>
        <v>0</v>
      </c>
      <c r="JZ16">
        <f t="shared" si="137"/>
        <v>1</v>
      </c>
    </row>
    <row r="17" spans="1:286" x14ac:dyDescent="0.3">
      <c r="A17" t="s">
        <v>945</v>
      </c>
      <c r="B17" t="s">
        <v>1196</v>
      </c>
      <c r="C17" t="s">
        <v>1243</v>
      </c>
      <c r="E17">
        <v>0.1</v>
      </c>
      <c r="G17" t="str">
        <f>Линии[[#This Row],[_авто автомат]]</f>
        <v>1P С10А</v>
      </c>
      <c r="H17" t="str">
        <f>Линии[[#This Row],[_авто управление]]</f>
        <v/>
      </c>
      <c r="I17" t="s">
        <v>1257</v>
      </c>
      <c r="J17">
        <f>Линии[[#This Row],[_авто сечение]]</f>
        <v>4</v>
      </c>
      <c r="K17">
        <v>18</v>
      </c>
      <c r="L17" t="str">
        <f>Линии[[#This Row],[_авто фаза]]</f>
        <v>L1</v>
      </c>
      <c r="M17" t="str">
        <f>Линии[[#This Row],[_авто клемма]]</f>
        <v>XT1</v>
      </c>
      <c r="N17" t="str">
        <f t="shared" si="0"/>
        <v>БП 480 Вт &lt; нужно 633 Вт (×1,3)</v>
      </c>
      <c r="O17" s="6" cm="1">
        <f t="array" ref="O17">IF(B17="","",IF(BH17&lt;&gt;"",IFERROR(_xlfn.XLOOKUP(BH17,Щиты[Щит],Щиты[Iр, А]),""),IF(BP17=1,IF(OR(N(_xlfn.XLOOKUP(A17,Щиты[Щит],Щиты[Вводов],1))&lt;=1,LOWER(TRIM(_xlfn.XLOOKUP(A17,Щиты[Щит],Щиты[АВР],"")&amp;""))="да"),IFERROR(_xlfn.XLOOKUP(A17,Щиты[Щит],Щиты[Iр, А]),""),IFERROR(N(BS17)*_xlfn.XLOOKUP(A17,Щиты[Щит],Щиты[Кс итог])/(SQRT(3)*Uн_лин*_xlfn.XLOOKUP(A17,Щиты[Щит],Щиты[cos φ])),"")),IF(BV17=1,IFERROR(BS17*1000/BU17,""),IFERROR(_xlfn.IFS(BX17=1,BS17/((Uн_лин/SQRT(3))*CE17),BX17=3,BS17/(SQRT(3)*Uн_лин*CE17)),"")))))</f>
        <v>4.166666666666667</v>
      </c>
      <c r="P17" s="7">
        <f>IF(B17="","",IFERROR(IF(VLOOKUP(BC17,Потребители_обозначение,4,FALSE)=1,VLOOKUP(BC17,Потребители_обозначение,3,FALSE)*(MAX(1,N(D17))*2-1)+EI17+VLOOKUP(BE17,Этаж_обозначение,3,FALSE)+VLOOKUP(BE17,Этаж_обозначение,4,FALSE),VLOOKUP(BC17,Потребители_обозначение,3,FALSE)*(MAX(1,N(D17))*2-1)+EI17),EI17))</f>
        <v>21</v>
      </c>
      <c r="Q17" s="6">
        <f t="shared" si="1"/>
        <v>4.1099999999999994</v>
      </c>
      <c r="R17" t="str">
        <f t="shared" si="2"/>
        <v>ВВГнг(А)-LS (2х4)</v>
      </c>
      <c r="S17" t="str">
        <f>IF(BM17="","",IF(BN17="вводной узел","узел ","")&amp;"л."&amp;(INT((BM17-1)/Столбцов_на_лист)+1)&amp;" / "&amp;(MOD(BM17-1,Столбцов_на_лист)+1))</f>
        <v>л.1 / 3</v>
      </c>
      <c r="T17" s="119">
        <f t="shared" si="3"/>
        <v>0.9</v>
      </c>
      <c r="U17" s="7">
        <f>IF(OR(CG17=0,N(BV17)+N(IB17)=0),"",ROUNDUP(Запас_БП*(N(HY17)+N(HZ17)),0))</f>
        <v>633</v>
      </c>
      <c r="V17" s="119">
        <f t="shared" si="4"/>
        <v>25</v>
      </c>
      <c r="W17" s="7" t="str">
        <f>IFERROR(IF(OR(B17="",BP17=1,BV17=1,NOT(ISNUMBER(EN17)),N(DT17)=0),"",MAX(0,ROUNDDOWN((c_min*(Uн_лин*1000/SQRT(3))/(HT17*N(DT17))-_xlfn.XLOOKUP(A17,Щиты[Щит],Щиты[Zпетли на шинах, Ом]))*EN17/(2*ρкз_Cu),0))),"")</f>
        <v/>
      </c>
      <c r="Y17" t="str">
        <f>Линии[[#This Row],[_авто утечка]]</f>
        <v/>
      </c>
      <c r="Z17">
        <v>1</v>
      </c>
      <c r="AA17">
        <v>24</v>
      </c>
      <c r="AB17" t="str">
        <f>Линии[[#This Row],[_авто группа Кс]]</f>
        <v>Быт</v>
      </c>
      <c r="AK17" t="s">
        <v>710</v>
      </c>
      <c r="AN17" t="s">
        <v>11</v>
      </c>
      <c r="AO17">
        <v>2</v>
      </c>
      <c r="BA17" cm="1">
        <f t="array" ref="BA17">ROW()-ROW(Линии[#Headers])</f>
        <v>15</v>
      </c>
      <c r="BC17" s="6" t="str">
        <f t="shared" si="5"/>
        <v>LD</v>
      </c>
      <c r="BD17" t="str">
        <f t="shared" si="6"/>
        <v>1.01.1</v>
      </c>
      <c r="BE17" t="str">
        <f t="shared" si="7"/>
        <v>1</v>
      </c>
      <c r="BF17" t="str">
        <f t="shared" si="8"/>
        <v>01.1</v>
      </c>
      <c r="BG17" t="str">
        <f t="shared" si="9"/>
        <v>01</v>
      </c>
      <c r="BH17" t="str">
        <f>IF(X17&lt;&gt;"",X17,IF(AND(B17&lt;&gt;"",B17&lt;&gt;A17,ISNUMBER(_xlfn.XMATCH(B17,Щиты[Щит]))),B17,""))</f>
        <v/>
      </c>
      <c r="BI17" t="str" cm="1">
        <f t="array" ref="BI17">IF(B17="","",IF(BH17&lt;&gt;"","Щит "&amp;BH17,_xlfn.LET(_xlpm.nm,IFERROR(_xlfn.XLOOKUP(BC17,Коды_код,Коды_имя)&amp;"",""),_xlpm.md,IFERROR(N(_xlfn.XLOOKUP(BC17,Коды_код,Коды_режим)),1),_xlpm.ex,IF(Имя_режим="по экспликации",IFERROR(_xlfn.XLOOKUP(BE17&amp;"|"&amp;BG17,Экспликация[Этаж]&amp;"|"&amp;Экспликация[Помещение],Экспликация[Название])&amp;"",""),""),_xlpm.rm,IF(BG17="","",IF(_xlpm.ex&lt;&gt;"",". "&amp;_xlpm.ex&amp;IF(Имя_пом="нет"," ("&amp;BG17&amp;")"," (пом. "&amp;BG17&amp;")"),IF(Имя_пом="нет"," ",", пом. ")&amp;BG17)),IF(_xlpm.nm="","",IF(_xlpm.md=2,_xlpm.nm&amp;" шлейф "&amp;BE17,_xlpm.nm&amp;_xlpm.rm)))))</f>
        <v>Питание подсветок, пом. 01</v>
      </c>
      <c r="BJ17" t="str">
        <f t="shared" si="10"/>
        <v>LED-лента 24 В, пом. 01</v>
      </c>
      <c r="BK17">
        <f>IFERROR(_xlfn.XMATCH(A17,Щиты[Щит]),0)</f>
        <v>2</v>
      </c>
      <c r="BL17">
        <f>_xlfn.LET(_xlpm.k,IFERROR(_xlfn.XLOOKUP(A17,Щиты[Щит],Щиты[Мест под вводной узел]),""),IF(_xlpm.k="",Столбцов_на_лист,N(_xlpm.k)))</f>
        <v>2</v>
      </c>
      <c r="BM17">
        <f t="shared" si="11"/>
        <v>3</v>
      </c>
      <c r="BN17" t="str">
        <f t="shared" si="12"/>
        <v>линии</v>
      </c>
      <c r="BO17" s="6">
        <f>IFERROR(N(_xlfn.XLOOKUP(BC17,Коды_код,Коды_квт)),0)</f>
        <v>0</v>
      </c>
      <c r="BP17">
        <f t="shared" si="13"/>
        <v>0</v>
      </c>
      <c r="BQ17" t="str">
        <f>IF(B17="","",IF(BH17&lt;&gt;"",IFERROR(_xlfn.XLOOKUP(BH17,Щиты[Щит],Щиты[Руст, кВт]),0),IF(BP17=1,IF(OR(N(_xlfn.XLOOKUP(A17,Щиты[Щит],Щиты[Вводов],1))&lt;=1,LOWER(TRIM(_xlfn.XLOOKUP(A17,Щиты[Щит],Щиты[АВР],"")&amp;""))="да"),IFERROR(_xlfn.XLOOKUP(A17,Щиты[Щит],Щиты[Руст, кВт]),0),SUMIFS(Линии[_Р для вводов],Линии[Щит],A17,Линии[Источник для режимов],GF17)),IF(BO17&gt;0,ROUND(BO17*MAX(1,N(D17)),3),""))))</f>
        <v/>
      </c>
      <c r="BR17">
        <f t="shared" si="14"/>
        <v>0.1</v>
      </c>
      <c r="BS17" s="6">
        <f>IF(B17="","",IF(BH17&lt;&gt;"",IFERROR(_xlfn.XLOOKUP(BH17,Щиты[Щит],Щиты[Руст, кВт]),0),N(BR17)))</f>
        <v>0.1</v>
      </c>
      <c r="BT17" t="str">
        <f>IF(B17="","",IFERROR(IF(VLOOKUP(BC17,Потребители_обозначение,8,FALSE)=0,"",VLOOKUP(BC17,Потребители_обозначение,8,FALSE)),""))</f>
        <v/>
      </c>
      <c r="BU17">
        <f t="shared" si="15"/>
        <v>24</v>
      </c>
      <c r="BV17">
        <f t="shared" si="16"/>
        <v>1</v>
      </c>
      <c r="BW17">
        <f>IF(B17="","",IF(BH17&lt;&gt;"",3,IFERROR(IF(N(VLOOKUP(BC17,Потребители_обозначение,9,FALSE))=0,1,VLOOKUP(BC17,Потребители_обозначение,9,FALSE)),1)))</f>
        <v>1</v>
      </c>
      <c r="BX17">
        <f t="shared" si="17"/>
        <v>1</v>
      </c>
      <c r="BY17" t="str">
        <f>IF(B17="","",_xlfn.LET(_xlpm.bc,IFERROR(IF(VLOOKUP(BC17,Потребители_обозначение,6,FALSE)=0,"",VLOOKUP(BC17,Потребители_обозначение,6,FALSE)&amp;""),""),IF(AND(GA17="да",OR(_xlpm.bc="",_xlpm.bc="мс")),Марка_пож,IF(AND(_xlpm.bc="",BH17&lt;&gt;""),"мс",_xlpm.bc))))</f>
        <v>мс</v>
      </c>
      <c r="BZ17" t="str">
        <f t="shared" si="18"/>
        <v>мс</v>
      </c>
      <c r="CA17">
        <f>IF(B17="","",_xlfn.LET(_xlpm.cc,IFERROR(N(VLOOKUP(BC17,Потребители_обозначение,7,FALSE)),0),IF(_xlpm.cc&gt;0,_xlpm.cc,IF(BZ17="","",IF(BV17=1,2,IF(N(BX17)=3,5,3))))))</f>
        <v>2</v>
      </c>
      <c r="CB17">
        <f t="shared" si="19"/>
        <v>2</v>
      </c>
      <c r="CC17">
        <f>IFERROR(N(VLOOKUP(BC17,Потребители_обозначение,10,FALSE)),0)</f>
        <v>0</v>
      </c>
      <c r="CD17">
        <f>IFERROR(VLOOKUP(BC17,Потребители_обозначение,5,FALSE),0)</f>
        <v>1</v>
      </c>
      <c r="CE17" s="6" cm="1">
        <f t="array" ref="CE17">IF(B17="","",IF(BH17&lt;&gt;"",IFERROR(_xlfn.XLOOKUP(BH17,Щиты[Щит],Щиты[cos φ]),0.95),IF(BP17=1,IFERROR(_xlfn.XLOOKUP(A17,Щиты[Щит],Щиты[cos φ]),0.95),IF(ISNUMBER(AD17),AD17,IFERROR(IF(CD17=2,_xlfn.IFS(BX17=3,VLOOKUP(BS17,Справочная_двигатели,8,FALSE),BX17=1,VLOOKUP(BS17,Справочная_двигатели,10,TRUE)),IF(AND(Методика="нормы 2026",FG17="Сил"),0.8,0.95)),0.95)))))</f>
        <v>0.95</v>
      </c>
      <c r="CF17">
        <f t="shared" si="20"/>
        <v>0</v>
      </c>
      <c r="CG17">
        <f t="shared" si="21"/>
        <v>1</v>
      </c>
      <c r="CH17">
        <f t="shared" si="22"/>
        <v>0</v>
      </c>
      <c r="CI17">
        <f>IF(B17="","",IF(BV17=1,IFERROR(BS17/((Uн_лин/SQRT(3))*MAX(0.5,N(CE17))),0),N(O17)))</f>
        <v>0.455802844097073</v>
      </c>
      <c r="CJ17">
        <f t="shared" si="23"/>
        <v>1.6864705231591699</v>
      </c>
      <c r="CK17">
        <f t="shared" si="24"/>
        <v>0.37</v>
      </c>
      <c r="CL17">
        <f t="shared" si="25"/>
        <v>1</v>
      </c>
      <c r="CM17">
        <f t="shared" si="26"/>
        <v>10</v>
      </c>
      <c r="CN17">
        <f t="shared" si="27"/>
        <v>0</v>
      </c>
      <c r="CO17">
        <f>IF(BC17="",0,_xlfn.LET(_xlpm.v,IFERROR(_xlfn.XLOOKUP(B17,Коды_код,Коды_мА),IFERROR(_xlfn.XLOOKUP(BC17,Коды_код,Коды_мА),IFERROR(_xlfn.XLOOKUP(LEFT(BC17,2),Коды_код,Коды_мА),""))),IF(_xlpm.v="да",30,IF(ISNUMBER(_xlpm.v),_xlpm.v,0))))</f>
        <v>0</v>
      </c>
      <c r="CP17" t="str">
        <f t="shared" si="28"/>
        <v/>
      </c>
      <c r="CQ17" t="str">
        <f>_xlfn.LET(_xlpm.k,IFERROR(_xlfn.XLOOKUP(BC17,Коды_код,Коды_утечка)&amp;"",""),IF(_xlpm.k="","дифавтомат",_xlpm.k))</f>
        <v>дифавтомат</v>
      </c>
      <c r="CR17" t="str" cm="1">
        <f t="array" ref="CR17">IF(CG17=0,"",_xlfn.LET(_xlpm.sg,TRIM(_xlfn.TEXTSPLIT(DD17&amp;"",";")),_xlpm.f_,_xlfn._xlws.FILTER(_xlpm.sg,LEFT(_xlpm.sg,3)="УЗО",""),IFERROR(INDEX(_xlpm.f_,1)&amp;"","")))</f>
        <v/>
      </c>
      <c r="CS17" t="str">
        <f t="shared" si="29"/>
        <v/>
      </c>
      <c r="CT17" s="6" t="str" cm="1">
        <f t="array" ref="CT17">IF(CR17="","",_xlfn.LET(_xlpm.tk,_xlfn.TEXTSPLIT(UPPER(CR17)," ",,TRUE),_xlpm.a_,_xlfn._xlws.FILTER(_xlpm.tk,ISNUMBER(--LEFT(_xlpm.tk,1))*((ISNUMBER(SEARCH("А",_xlpm.tk))+ISNUMBER(SEARCH("A",_xlpm.tk)))&gt;0)*NOT(ISNUMBER(SEARCH("МА",_xlpm.tk)))*NOT(ISNUMBER(SEARCH("MA",_xlpm.tk))),""),IFERROR(--SUBSTITUTE(SUBSTITUTE(INDEX(_xlpm.a_,1),"А",""),"A",""),"")))</f>
        <v/>
      </c>
      <c r="CU17" t="str" cm="1">
        <f t="array" ref="CU17">IF(CR17="","",_xlfn.LET(_xlpm.tk,_xlfn.TEXTSPLIT(UPPER(CR17)," ",,TRUE),_xlpm.a_,_xlfn._xlws.FILTER(_xlpm.tk,ISNUMBER(--LEFT(_xlpm.tk,1))*((ISNUMBER(SEARCH("МА",_xlpm.tk))+ISNUMBER(SEARCH("MA",_xlpm.tk)))&gt;0),""),IFERROR(--SUBSTITUTE(SUBSTITUTE(INDEX(_xlpm.a_,1),"МА",""),"MA",""),30)))</f>
        <v/>
      </c>
      <c r="CV17" t="str">
        <f>IF(CS17="","",IFERROR(_xlfn.XLOOKUP(CS17,Линии[_n],Линии[_УЗО, мА]),30))</f>
        <v/>
      </c>
      <c r="CW17">
        <f>IF(CS17="",0,IF(ISNUMBER(SEARCH("4P",IFERROR(_xlfn.XLOOKUP(CS17,Линии[_n],Линии[_УЗО строки])&amp;"",""))),0,1))</f>
        <v>0</v>
      </c>
      <c r="CX17" t="str">
        <f>IF(AND(CS17&lt;&gt;"",CS17=BA17),SUMIFS(Линии[_ток на 230 В],Линии[_блок УЗО],BA17,Линии[Щит],A17),"")</f>
        <v/>
      </c>
      <c r="CY17" t="str">
        <f>IF(AND(CS17&lt;&gt;"",CS17=BA17),SUMIFS(Линии[_ток утечки линии, мА],Линии[_блок УЗО],BA17,Линии[Щит],A17),"")</f>
        <v/>
      </c>
      <c r="CZ17">
        <f t="shared" si="30"/>
        <v>0</v>
      </c>
      <c r="DA17">
        <f t="shared" si="31"/>
        <v>0</v>
      </c>
      <c r="DB17">
        <f>IF(B17="",0,IFERROR(--_xlfn.XLOOKUP(B17,Коды_код,Коды_минавт),IFERROR(--_xlfn.XLOOKUP(BC17,Коды_код,Коды_минавт),IFERROR(--_xlfn.XLOOKUP(LEFT(BC17,2),Коды_код,Коды_минавт),0))))</f>
        <v>10</v>
      </c>
      <c r="DC17" t="str">
        <f>IF(B17="","",IFERROR(_xlfn.XLOOKUP(BC17,Коды_код,Коды_апп)&amp;"",""))</f>
        <v/>
      </c>
      <c r="DD17" t="str">
        <f t="shared" si="32"/>
        <v>МК-5-1; БП 24V 480W</v>
      </c>
      <c r="DE17" t="str" cm="1">
        <f t="array" ref="DE17">IF(TRIM(DD17&amp;"")="","",IFERROR(TRIM(INDEX(_xlfn.TEXTSPLIT(DD17&amp;";;;",";"),1)),""))</f>
        <v>МК-5-1</v>
      </c>
      <c r="DF17" t="str" cm="1">
        <f t="array" ref="DF17">IF(TRIM(DD17&amp;"")="","",IFERROR(TRIM(INDEX(_xlfn.TEXTSPLIT(DD17&amp;";;;",";"),2)),""))</f>
        <v>БП 24V 480W</v>
      </c>
      <c r="DG17" t="str" cm="1">
        <f t="array" ref="DG17">IF(TRIM(DD17&amp;"")="","",IFERROR(TRIM(INDEX(_xlfn.TEXTSPLIT(DD17&amp;";;;",";"),3)),""))</f>
        <v/>
      </c>
      <c r="DH17">
        <f t="shared" si="33"/>
        <v>1</v>
      </c>
      <c r="DI17" t="str">
        <f>IF(B17="","",_xlfn.LET(_xlpm.t,LOWER(AZ17&amp;""),IF(ISNUMBER(SEARCH("dim",_xlpm.t)),"DIM",IF(ISNUMBER(SEARCH("dali",_xlpm.t)),"DALI",IF(OR(ISNUMBER(SEARCH("relay",_xlpm.t)),ISNUMBER(SEARCH("реле",_xlpm.t))),"Relay",IF(ISNUMBER(SEARCH("кнопк",_xlpm.t)),"",IFERROR(_xlfn.XLOOKUP(BC17,Коды_код,Коды_упр)&amp;"","")))))))</f>
        <v/>
      </c>
      <c r="DJ17" t="str">
        <f t="shared" si="34"/>
        <v/>
      </c>
      <c r="DK17">
        <f>IF(B17="","",_xlfn.LET(_xlpm.ig,IF(N(CX17)&gt;0,N(CX17),N(CI17)+IF(AJ17="вручную",0,N(CJ17))),_xlpm.n0,IFERROR(VLOOKUP(_xlpm.ig,Автомат_номиналы,2,TRUE),0),_xlpm.mn,MAX(DB17,IF(AJ17="вручную",0,N(CM17))),MAX(_xlpm.n0,_xlpm.mn,IF(DH17=1,Мин_автомат_БП,0))))</f>
        <v>10</v>
      </c>
      <c r="DL17">
        <f t="shared" si="35"/>
        <v>1</v>
      </c>
      <c r="DM17" t="str">
        <f t="shared" si="36"/>
        <v>1P</v>
      </c>
      <c r="DN17" t="str">
        <f>_xlfn.LET(_xlpm.cc,UPPER(TRIM(IFERROR(_xlfn.XLOOKUP(BC17,Коды_код,Коды_хар)&amp;"",""))),IF(OR(_xlpm.cc="B",_xlpm.cc="В"),"B",IF(_xlpm.cc="D","D","С")))</f>
        <v>С</v>
      </c>
      <c r="DO17" t="str">
        <f t="shared" si="37"/>
        <v>1P С10А</v>
      </c>
      <c r="DP17" t="str">
        <f t="shared" si="38"/>
        <v>1P С10А</v>
      </c>
      <c r="DQ17" t="str">
        <f t="shared" si="39"/>
        <v>1P С10А</v>
      </c>
      <c r="DR17" cm="1">
        <f t="array" ref="DR17">IF(DQ17="","",_xlfn.LET(_xlpm.t,SUBSTITUTE(SUBSTITUTE(SUBSTITUTE(UPPER(DQ17),"С","C"),"А","A"),"В","B"),_xlpm.tk,_xlfn.TEXTSPLIT(_xlpm.t," "),_xlpm.f,_xlfn._xlws.FILTER(_xlpm.tk,ISNUMBER(--MID(_xlpm.tk,2,1))*ISNUMBER(SEARCH(LEFT(_xlpm.tk,1)&amp;"#","B#C#D#"))*(LEN(_xlpm.tk)&gt;1),""),_xlpm.x,INDEX(_xlpm.f,1),IFERROR(--SUBSTITUTE(MID(_xlpm.x,2,9),"A",""),IFERROR(--SUBSTITUTE(INDEX(_xlfn._xlws.FILTER(_xlpm.tk,ISNUMBER(--SUBSTITUTE(_xlpm.tk,"A","")),""),1),"A",""),""))))</f>
        <v>10</v>
      </c>
      <c r="DS17" t="str">
        <f t="shared" si="40"/>
        <v>ok</v>
      </c>
      <c r="DT17">
        <f t="shared" si="41"/>
        <v>10</v>
      </c>
      <c r="DU17" t="str">
        <f t="shared" si="42"/>
        <v>1P С10А</v>
      </c>
      <c r="DV17">
        <f t="shared" si="43"/>
        <v>0</v>
      </c>
      <c r="DW17">
        <f t="shared" si="44"/>
        <v>0</v>
      </c>
      <c r="DX17">
        <f t="shared" si="45"/>
        <v>1</v>
      </c>
      <c r="DY17">
        <f t="shared" si="46"/>
        <v>2.1422733672562431</v>
      </c>
      <c r="DZ17">
        <f t="shared" si="47"/>
        <v>1</v>
      </c>
      <c r="EA17">
        <f>IF(ISNUMBER(AP17),AP17,К_прокл)</f>
        <v>1</v>
      </c>
      <c r="EB17">
        <f t="shared" si="48"/>
        <v>2</v>
      </c>
      <c r="EC17">
        <f>IFERROR(N(VLOOKUP(BZ17,Кабель_обозначение,3,FALSE)),1)</f>
        <v>1</v>
      </c>
      <c r="ED17">
        <f>IFERROR(N(_xlfn.XLOOKUP(A17,Щиты[Щит],Щиты[ΔU до шин, %])),0)</f>
        <v>0.58602884987279757</v>
      </c>
      <c r="EE17">
        <f>IFERROR(_xlfn.XLOOKUP(A17,Щиты[Щит],Щиты[Zпетли на шинах, Ом]),"")</f>
        <v>0.50164496021506877</v>
      </c>
      <c r="EF17">
        <f>IFERROR(N(_xlfn.XLOOKUP(A17,Щиты[Щит],Щиты[ΔU до шин (подбор), %])),0)</f>
        <v>0.58602884987279757</v>
      </c>
      <c r="EG17">
        <f>IFERROR(_xlfn.XLOOKUP(A17,Щиты[Щит],Щиты[Zпетли на шинах (подбор), Ом]),"")</f>
        <v>0.50164496021506877</v>
      </c>
      <c r="EH17" t="str">
        <f t="shared" si="49"/>
        <v/>
      </c>
      <c r="EI17">
        <f t="shared" si="50"/>
        <v>18</v>
      </c>
      <c r="EJ17">
        <f t="shared" si="51"/>
        <v>2</v>
      </c>
      <c r="EK17">
        <f t="shared" si="52"/>
        <v>0.31</v>
      </c>
      <c r="EL17" s="6">
        <f>IF(B17="","",IF(BV17=1,dU_LED,IF(IFERROR(_xlfn.XLOOKUP(BC17,Коды_код,Коды_уго),"")="Светильник",3,4)+IF(Методика="нормы 2026",MIN(0.5,MAX(0,N(P17)-100)*0.005),0)))</f>
        <v>5</v>
      </c>
      <c r="EM17" cm="1">
        <f t="array" ref="EM17">IF(OR(B17="",BZ17="",EC17&lt;&gt;1),"",_xlfn.LET(_xlpm.sz,Iдоп_S,_xlpm.t_,CHOOSE(EB17,Iдоп_1ж,Iдоп_2ж,Iдоп_3ж)*DZ17*EA17,_xlpm.dcx,BV17=1,_xlpm.inn,IF(_xlpm.dcx,N(O17),N(DT17)),_xlpm.smin,MAX(1.5,CC17),_xlpm.L_,N(P17)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17)/N(BU17)*100,999),IFERROR(N(EJ17)*(_xlpm.rho*_xlpm.L_/_xlpm.sz*N(CE17)+_xlpm.xx*_xlpm.L_*N(EK17)/1000)*N(O17)/((Uн_лин/SQRT(3))*1000)*100,999)),_xlpm.kz,IF(OR(_xlpm.dcx,DW17=1,NOT(ISNUMBER(EG17)),_xlpm.L_=0,_xlpm.inn=0),1,IFERROR(--(c_min*(Uн_лин*1000/SQRT(3))/(EG17+2*ρкз_Cu*_xlpm.L_/_xlpm.sz)&gt;=HT17*_xlpm.inn),0)),_xlpm.ok,IFERROR((_xlpm.sz&gt;=_xlpm.smin)*(_xlpm.t_&gt;=_xlpm.inn)*IF(_xlpm.L_&gt;0,(_xlpm.du_+IF(_xlpm.dcx,0,EF17)&lt;=EL17+0.00001),1)*_xlpm.kz,0),_xlpm.r_,_xlfn._xlws.FILTER(_xlpm.sz,_xlpm.ok,"не подобрано"),INDEX(_xlpm.r_,1)))</f>
        <v>4</v>
      </c>
      <c r="EN17">
        <f t="shared" si="53"/>
        <v>4</v>
      </c>
      <c r="EO17" cm="1">
        <f t="array" ref="EO17">IF(OR(B17="",BZ17="",EC17&lt;&gt;1),"",_xlfn.LET(_xlpm.sz,Iдоп_S,_xlpm.t_,CHOOSE(EB17,Iдоп_1ж,Iдоп_2ж,Iдоп_3ж)*DZ17*EA17,_xlpm.ok,IFERROR((_xlpm.sz&gt;=MAX(1.5,CC17))*(_xlpm.t_&gt;=N(DT17)),0),_xlpm.r_,_xlfn._xlws.FILTER(_xlpm.sz,_xlpm.ok,""),INDEX(_xlpm.r_,1)))</f>
        <v>1.5</v>
      </c>
      <c r="EP17" s="6" cm="1">
        <f t="array" ref="EP17">IFERROR(ROUNDUP(N(EJ17)*(_xlfn.XLOOKUP(EO17,INDEX(Кабель_сопротивление,0,1),INDEX(Кабель_сопротивление,0,3))*N(P17)/EO17*N(CE17)+_xlfn.XLOOKUP(EO17,INDEX(Кабель_сопротивление,0,1),INDEX(Кабель_сопротивление,0,2))*N(P17)*N(EK17)/1000)*N(O17)/((Uн_лин/SQRT(3))*1000)*100,2),"")</f>
        <v>1.0900000000000001</v>
      </c>
      <c r="EQ17">
        <f>IFERROR(2*ρкз_Cu*N(P17)/EO17,"")</f>
        <v>0.73640000000000005</v>
      </c>
      <c r="ER17">
        <f>IFERROR(VLOOKUP(EN17,Кабель_сопротивление,3,FALSE),"")</f>
        <v>2.2499999999999999E-2</v>
      </c>
      <c r="ES17">
        <f>IFERROR(VLOOKUP(EN17,Кабель_сопротивление,2,FALSE),"")</f>
        <v>9.5000000000000001E-2</v>
      </c>
      <c r="ET17" t="str">
        <f t="shared" si="54"/>
        <v/>
      </c>
      <c r="EU17" t="str">
        <f t="shared" si="55"/>
        <v/>
      </c>
      <c r="EV17">
        <f t="shared" si="56"/>
        <v>0.984375</v>
      </c>
      <c r="EW17" s="6">
        <f>IFERROR(ROUNDUP(EV17/IF(BV17=1,BU17,(Uн_лин/SQRT(3))*1000)*100,2),"")</f>
        <v>4.1099999999999994</v>
      </c>
      <c r="EX17" t="str">
        <f>IFERROR(VLOOKUP(BZ17,Кабель_обозначение,2,FALSE),"")</f>
        <v>ВВГнг(А)-LS</v>
      </c>
      <c r="EY17" t="str">
        <f t="shared" si="57"/>
        <v>ВВГнг(А)-LS (2х4)</v>
      </c>
      <c r="EZ17" t="str">
        <f t="shared" si="58"/>
        <v>ВВГнг(А)-LS (2х4)
L=21-4,11%</v>
      </c>
      <c r="FA17">
        <f>IFERROR(2*ρкз_Cu*P17/EN17,"")</f>
        <v>0.27615000000000001</v>
      </c>
      <c r="FB17">
        <f t="shared" si="59"/>
        <v>9.1875000000000012E-2</v>
      </c>
      <c r="FC17" s="6" t="str">
        <f>IFERROR(IF(OR(B17="",BV17=1,NOT(ISNUMBER(EN17)),N(P17)=0),"",_xlfn.XLOOKUP(A17,Щиты[Щит],Щиты[Zпетли на шинах, Ом])+FA17),"")</f>
        <v/>
      </c>
      <c r="FD17" s="6" t="str">
        <f>IF(ISNUMBER(FC17),c_min*(Uн_лин*1000/SQRT(3))/FC17,"")</f>
        <v/>
      </c>
      <c r="FE17" s="6">
        <f>IFERROR(IF(OR(B17="",NOT(ISNUMBER(EN17))),"",1.05*(Uн_лин*1000/SQRT(3))/(_xlfn.XLOOKUP(A17,Щиты[Щит],Щиты[Zmax на шинах, Ом])+FB17)/1000),"")</f>
        <v>0.97031644522366756</v>
      </c>
      <c r="FF17" s="6" t="str">
        <f>IF(B17="","",IF(ISNUMBER(AC17),"Сил",IF(IFERROR(_xlfn.XLOOKUP(BC17,Коды_код,Коды_группа)&amp;"","")="","Быт",_xlfn.XLOOKUP(BC17,Коды_код,Коды_группа)&amp;"")))</f>
        <v>Быт</v>
      </c>
      <c r="FG17" s="6" t="str">
        <f t="shared" si="60"/>
        <v>Быт</v>
      </c>
      <c r="FH17" s="6">
        <f>IF(FG17="Щит","щит",IF(FG17="","",IF(FG17="Быт",IFERROR(_xlfn.XLOOKUP(A17,Щиты[Щит],Щиты[Кс быт]),1),IF(FG17="Сил",IF(ISNUMBER(AC17),AC17,IF(Методика="нормы 2026",IFERROR(_xlfn.XLOOKUP(A17,Щиты[Щит],Щиты[Кс силовых (табл. 7.5)]),1),1)),IF(OR(FG17="Пост",FG17="Отоп"),1,IF(FG17="ВНГ",0.7,0))))))</f>
        <v>0.8</v>
      </c>
      <c r="FI17">
        <f>IF(FG17="","",IF(AND(BP17=1,TRIM(AE17&amp;"")=""),IF(COUNTIFS(Линии[Щит],A17,Линии[Секция (1/2/3)],"&gt;=2")&gt;0,MIN(3,MAX(1,IFERROR(--BD17,1))),1),IFERROR(MIN(3,MAX(1,INT(--AE17))),1)))</f>
        <v>1</v>
      </c>
      <c r="FJ17">
        <f t="shared" si="61"/>
        <v>0.1</v>
      </c>
      <c r="FK17">
        <f t="shared" si="62"/>
        <v>0.1</v>
      </c>
      <c r="FL17">
        <f t="shared" si="63"/>
        <v>0</v>
      </c>
      <c r="FM17">
        <f t="shared" si="64"/>
        <v>0</v>
      </c>
      <c r="FN17">
        <f t="shared" si="65"/>
        <v>0</v>
      </c>
      <c r="FO17">
        <f t="shared" si="66"/>
        <v>0</v>
      </c>
      <c r="FP17">
        <f t="shared" si="67"/>
        <v>0.1</v>
      </c>
      <c r="FQ17">
        <f t="shared" si="68"/>
        <v>0.1</v>
      </c>
      <c r="FR17">
        <f t="shared" si="69"/>
        <v>9.5000000000000001E-2</v>
      </c>
      <c r="FS17">
        <f>IF(CG17=1,IF(AND(CH17=1,CW17=1),0,IF(AND(CS17&lt;&gt;"",CS17=BA17,CW17=1),SUMIFS(Линии[_Р линии, кВт],Линии[_блок УЗО],BA17,Линии[Щит],A17),N(BS17)+IF(AJ17="вручную",0,N(CK17)))),0)</f>
        <v>0.47</v>
      </c>
      <c r="FT17" t="str">
        <f t="shared" si="70"/>
        <v/>
      </c>
      <c r="FU17" t="str">
        <f>IF(B17="","",IF(CG17=0,IF(BA17=1,"",FW16),IF(AND(CH17=1,CW17=1,CS17&lt;&gt;""),IFERROR(_xlfn.XLOOKUP(CS17,Линии[_n],Линии[_фаза итог]),"L1"),IF(OR(N(DL17)&gt;=3,N(BX17)&gt;=3),"L1,L2,L3",IFERROR(_xlfn.TEXTBEFORE(_xlfn.TEXTAFTER(_xlfn.XLOOKUP(A17,Щиты[Щит],Щиты[_фазы авто]),";"&amp;BA17&amp;":"),";"),"L1")))))</f>
        <v>L1</v>
      </c>
      <c r="FV17" t="str">
        <f t="shared" si="71"/>
        <v>L1</v>
      </c>
      <c r="FW17" t="str">
        <f t="shared" si="72"/>
        <v>L1</v>
      </c>
      <c r="FX17" cm="1">
        <f t="array" ref="FX17">IFERROR(IF(CD17=2,_xlfn.IFS(BX17=3,VLOOKUP(BS17,Справочная_двигатели,3,FALSE),BX17=1,VLOOKUP(BS17,Справочная_двигатели,5,TRUE)),0),0)</f>
        <v>0</v>
      </c>
      <c r="FY17">
        <f>IFERROR(IF(CD17=3,VLOOKUP(BS17,Справочная_ЛЭД,2,TRUE),0),0)</f>
        <v>0</v>
      </c>
      <c r="FZ17" s="6">
        <f t="shared" si="73"/>
        <v>0</v>
      </c>
      <c r="GA17" t="str">
        <f>IF(B17="","",IF(TRIM(AH17&amp;"")&lt;&gt;"",IF(LOWER(TRIM(AH17&amp;""))="да","да","нет"),IF(IFERROR(_xlfn.XLOOKUP(BC17,Коды_код,Коды_пожарная),"")="да","да","нет")))</f>
        <v>нет</v>
      </c>
      <c r="GB17" t="str">
        <f t="shared" si="74"/>
        <v/>
      </c>
      <c r="GC17" t="str">
        <f t="shared" si="75"/>
        <v>основная</v>
      </c>
      <c r="GD17">
        <f>IF(AND(BP17=1,TRIM(AE17&amp;"")=""),IF(COUNTIFS(Линии[Щит],A17,Линии[Секция (1/2/3)],"&gt;=2")&gt;0,MIN(3,MAX(1,IFERROR(--BD17,1))),1),IFERROR(MIN(3,MAX(1,INT(--AE17))),1))</f>
        <v>1</v>
      </c>
      <c r="GE17" t="str" cm="1">
        <f t="array" ref="GE17">IF(B17="","",_xlfn.LET(_xlpm.t,IFERROR(_xlfn.XLOOKUP(1,(Шины[Шина]=GC17)*(((Шины[Щит]=A17)+(Шины[Щит]=""))&gt;0),Шины[Тип]),"")&amp;"",IF(_xlpm.t&lt;&gt;"",_xlpm.t,IF(ISNUMBER(SEARCH("ИБП",GC17)),"ИБП",IF(ISNUMBER(SEARCH("ДГУ",GC17)),"ДГУ","Ввод "&amp;GD17)))))</f>
        <v>Ввод 1</v>
      </c>
      <c r="GF17" t="str">
        <f t="shared" si="76"/>
        <v>Ввод 1</v>
      </c>
      <c r="GG17" t="str">
        <f>IF(BP17=0,"",IF(TRIM(AG17&amp;"")&lt;&gt;"",TRIM(AG17&amp;""),IF(OR(GE17="ИБП",GE17="ДГУ"),"I особая",_xlfn.XLOOKUP(A17,Щиты[Щит],Щиты[Категория шины «Ввод»],"III"))))</f>
        <v/>
      </c>
      <c r="GH17" t="str">
        <f>IF(A17="","",_xlfn.XLOOKUP(A17,Щиты[Щит],Щиты[Путь],""))</f>
        <v>|ВРУ|ЩБП|</v>
      </c>
      <c r="GI17" t="str">
        <f>IF(B17="","",IF(AI17&lt;&gt;"",AI17,IF(IFERROR(_xlfn.XLOOKUP(BC17,Коды_код,Коды_вид)&amp;"","")="","Прочее",_xlfn.XLOOKUP(BC17,Коды_код,Коды_вид)&amp;"")))</f>
        <v>Рабочее освещение</v>
      </c>
      <c r="GJ17">
        <f>IF(BM17="","",INT((BM17-1)/Столбцов_на_лист)+1)</f>
        <v>1</v>
      </c>
      <c r="GK17" t="str">
        <f t="shared" si="77"/>
        <v>ВВГнг(А)-LS (2х4) L=21-4,11%</v>
      </c>
      <c r="GL17">
        <f t="shared" si="78"/>
        <v>0.1</v>
      </c>
      <c r="GM17">
        <f t="shared" si="79"/>
        <v>4.17</v>
      </c>
      <c r="GN17">
        <f t="shared" si="80"/>
        <v>1</v>
      </c>
      <c r="GO17">
        <f t="shared" si="81"/>
        <v>0</v>
      </c>
      <c r="GP17">
        <f t="shared" si="82"/>
        <v>1</v>
      </c>
      <c r="GQ17">
        <f>IF(BM17="","",IF(AND(CG17=1,GP17=1),COUNTIFS(A$3:A17,A17,CG$3:CG17,1,GP$3:GP17,1),IF(OR(OR(BA17=1,A17&lt;&gt;A16),AJ17="вручную",GP17=0),"",IF(BA17=1,"",GR16))))</f>
        <v>1</v>
      </c>
      <c r="GR17">
        <f t="shared" si="83"/>
        <v>1</v>
      </c>
      <c r="GS17">
        <f>IF(B17="","",IFERROR(LOOKUP(INDEX(CHOOSE(EB17,Iдоп_1ж,Iдоп_2ж,Iдоп_3ж),MATCH(EN17,Iдоп_S,0))*DZ17*EA17,{6,10,16,20,25,32,40,50,63,80,100,125,160,200,250,315,400,500,630}),""))</f>
        <v>32</v>
      </c>
      <c r="GT17" t="str">
        <f t="shared" si="84"/>
        <v>QF1</v>
      </c>
      <c r="GU17" t="str">
        <f t="shared" si="85"/>
        <v>QF1</v>
      </c>
      <c r="GV17" t="str">
        <f t="shared" si="86"/>
        <v>МК-5-1 → БП 24V 480W</v>
      </c>
      <c r="GW17">
        <f t="shared" si="87"/>
        <v>1</v>
      </c>
      <c r="GX17" t="str">
        <f>IF(OR(B17="",DJ17=""),"",IFERROR(_xlfn.XLOOKUP(DJ17,Модули_умолч[Управление],Модули_умолч[Модель])&amp;"",""))</f>
        <v/>
      </c>
      <c r="GY17">
        <f>IF(DJ17="",1,IFERROR(MAX(0,N(_xlfn.XLOOKUP(DJ17,Модули_умолч[Управление],Модули_умолч[Каналов на линию]))),1))</f>
        <v>1</v>
      </c>
      <c r="GZ17" t="str">
        <f t="shared" si="88"/>
        <v>SMART-DALI-104</v>
      </c>
      <c r="HA17" t="str">
        <f t="shared" si="89"/>
        <v>M</v>
      </c>
      <c r="HB17" t="str">
        <f t="shared" si="90"/>
        <v/>
      </c>
      <c r="HC17">
        <f>IF(HB17="",0,IFERROR(N(VLOOKUP(HB17,Модули_спр,3,FALSE)),0))</f>
        <v>0</v>
      </c>
      <c r="HD17" t="str">
        <f t="shared" si="91"/>
        <v/>
      </c>
      <c r="HE17" t="str">
        <f t="shared" si="92"/>
        <v>SMART-DALI-104</v>
      </c>
      <c r="HF17" t="str">
        <f>IF(OR(HE17="",HE17="-"),"",IFERROR(VLOOKUP(HE17,Модули_спр,2,FALSE),"R"))</f>
        <v>Di</v>
      </c>
      <c r="HG17" t="str">
        <f>IF(HF17="","",HF17&amp;"."&amp;COUNTIFS(A$3:A17,A17,HF$3:HF17,HF17))</f>
        <v>Di.1</v>
      </c>
      <c r="HH17" t="str">
        <f t="shared" si="93"/>
        <v>Di.1</v>
      </c>
      <c r="HI17" t="str">
        <f t="shared" si="94"/>
        <v>SMART-DALI-104</v>
      </c>
      <c r="HJ17">
        <f t="shared" si="95"/>
        <v>1</v>
      </c>
      <c r="HK17">
        <f t="shared" si="96"/>
        <v>1</v>
      </c>
      <c r="HL17">
        <f t="shared" si="97"/>
        <v>1</v>
      </c>
      <c r="HM17" t="str">
        <f>IF(HL17=1,"XT"&amp;COUNTIFS(A$3:A17,A17,HL$3:HL17,1),"")</f>
        <v>XT1</v>
      </c>
      <c r="HN17" t="str">
        <f t="shared" si="98"/>
        <v>XT1</v>
      </c>
      <c r="HO17" t="str">
        <f t="shared" si="99"/>
        <v>QF1</v>
      </c>
      <c r="HP17" t="str">
        <f t="shared" si="100"/>
        <v>Di.1</v>
      </c>
      <c r="HQ17" t="str">
        <f t="shared" si="101"/>
        <v>ok</v>
      </c>
      <c r="HR17" t="str">
        <f>IF(OR(HJ17="",HH17=""),"",IF(HJ17+MAX(0,GY17-1)&gt;IFERROR(VLOOKUP(HI17,Модули_спр,3,FALSE),99),"ЛИШНИЙ КАНАЛ",IF(AND(AL17&lt;&gt;"=",GY17&gt;0,COUNTIFS(Линии[_модуль гр.],HH17,Линии[Канал (итог)],HJ17,Линии[Канал],"&lt;&gt;=",Линии[Щит],A17)&gt;1),"ДУБЛЬ КАНАЛА","")))</f>
        <v/>
      </c>
      <c r="HS17" s="6" t="str">
        <f t="shared" si="102"/>
        <v/>
      </c>
      <c r="HT17">
        <f t="shared" si="103"/>
        <v>10</v>
      </c>
      <c r="HU17" t="str">
        <f t="shared" si="104"/>
        <v/>
      </c>
      <c r="HV17">
        <f t="shared" si="105"/>
        <v>0.18232113763882921</v>
      </c>
      <c r="HW17">
        <f t="shared" si="106"/>
        <v>0.67458820926366803</v>
      </c>
      <c r="HX17">
        <f t="shared" si="107"/>
        <v>24.984375</v>
      </c>
      <c r="HY17">
        <f t="shared" si="108"/>
        <v>104.10156250000001</v>
      </c>
      <c r="HZ17">
        <f t="shared" si="109"/>
        <v>382.28974609375001</v>
      </c>
      <c r="IA17">
        <f t="shared" si="110"/>
        <v>24.84375</v>
      </c>
      <c r="IB17">
        <f t="shared" si="111"/>
        <v>3</v>
      </c>
      <c r="IC17" t="str">
        <f t="shared" si="112"/>
        <v>БП 24V 480W</v>
      </c>
      <c r="ID17" cm="1">
        <f t="array" ref="ID17">IF(IC17="","",_xlfn.LET(_xlpm.tk,_xlfn.TEXTSPLIT(SUBSTITUTE(SUBSTITUTE(IC17,";"," "),"→"," ")," ",,TRUE),_xlpm.w_,_xlfn._xlws.FILTER(_xlpm.tk,ISNUMBER(--LEFT(_xlpm.tk,1))*((ISNUMBER(SEARCH("W",_xlpm.tk))+ISNUMBER(SEARCH("Вт",_xlpm.tk)))&gt;0),""),IFERROR(--SUBSTITUTE(SUBSTITUTE(UPPER(INDEX(_xlpm.w_,1)),"W",""),"ВТ",""),"")))</f>
        <v>480</v>
      </c>
      <c r="IE17" cm="1">
        <f t="array" ref="IE17">IF(IC17="","",_xlfn.LET(_xlpm.tk,_xlfn.TEXTSPLIT(SUBSTITUTE(SUBSTITUTE(IC17,";"," "),"→"," ")," ",,TRUE),_xlpm.v_,_xlfn._xlws.FILTER(_xlpm.tk,ISNUMBER(--LEFT(_xlpm.tk,1))*((ISNUMBER(SEARCH("V",_xlpm.tk))+(RIGHT(UPPER(_xlpm.tk))="В"))&gt;0),""),IFERROR(--SUBSTITUTE(SUBSTITUTE(UPPER(INDEX(_xlpm.v_,1)),"V",""),"В",""),"")))</f>
        <v>24</v>
      </c>
      <c r="IF17" s="6">
        <f>IF(OR(BV17=0,HI17="",HJ17=""),"",IFERROR(N(_xlfn.XLOOKUP(HI17,Каталог!$C$4:$C$500,Каталог!$Q$4:$Q$500)),""))</f>
        <v>5</v>
      </c>
      <c r="IG17" s="6">
        <f>IF(N(IF17)=0,"",SUMIFS(Линии[Iр, А],Линии[Щит],A17,Линии[_модуль гр.],HH17,Линии[Канал (итог)],HJ17))</f>
        <v>4.166666666666667</v>
      </c>
      <c r="IH17" t="str">
        <f>IF(AND(B17="",HO17=""),"",_xlfn.TEXTJOIN("; ",TRUE,IF(AND(B17&lt;&gt;"",FV17=""),"нет фазы",""),IF(AND(B17&lt;&gt;"",N(GL17)=0,FG17&lt;&gt;"Нет"),"нет мощности",""),IF(AND(HN17&lt;&gt;"",COUNTIFS(Линии[Щит],A17,Линии[Клемма (итог)],HN17)&gt;1),"дубль клеммы "&amp;HN17,""),IF(AND(HQ17&lt;&gt;"",HQ17&lt;&gt;"ok"),HQ17,""),IF(HR17&lt;&gt;"",HR17,""),IF(AND(N(CB17)&gt;=4,N(BX17)=1),CB17&amp;" жил на 1 фазе",""),IF(AND(BC17="R",CG17=1,IF(CS17&lt;&gt;"",N(CV17)&gt;30,OR(N(DA17)=0,N(DA17)&gt;30))),"розетка без дифзащиты до 30 мА",""),IF(AND(CG17=1,N(DA17)&gt;0,ISNUMBER(T17)),IF(T17&gt;N(DA17)/3,"ток утечки "&amp;FIXED(T17,1)&amp;" мА &gt; 1/3 уставки ("&amp;DA17&amp;" мА)",""),""),IF(AND(CH17=1,CS17=""),"«узо»: нет строки с УЗО выше (УЗО 2P 40А 30мА в «Аппаратах»)",""),IF(AND(CS17&lt;&gt;"",CS17=BA17),IF(CT17="","впишите номинал УЗО (УЗО 2P 40А 30мА)",IF(N(CT17)&lt;N(DT17),"УЗО "&amp;CT17&amp;" А &lt; автомата "&amp;DT17&amp;" А перед ним",IF(N(CT17)&lt;N(CX17),"УЗО "&amp;CT17&amp;" А &lt; тока блока "&amp;FIXED(CX17,1)&amp;" А",""))),""),IF(AND(CS17&lt;&gt;"",CS17=BA17,ISNUMBER(CY17)),IF(CY17&gt;N(CV17)/3,"ток утечки блока УЗО "&amp;FIXED(CY17,1)&amp;" мА &gt; 1/3 уставки ("&amp;CV17&amp;" мА)",""),""),IF(AND(CG17=1,N(BV17)+N(IB17)&gt;0,IC17=""),"линии до 50 В без БП: впишите в «Аппараты» (БП 24V 480W)",""),IF(AND(CG17=1,ISNUMBER(ID17),ISNUMBER(U17)),IF(U17&gt;ID17,"БП "&amp;ID17&amp;" Вт &lt; нужно "&amp;U17&amp;" Вт (×"&amp;Запас_БП&amp;")",""),""),IF(AND(CG17=1,ISNUMBER(IE17),N(BV17)=1),IF(IE17&lt;&gt;N(BU17),"БП на "&amp;IE17&amp;" В, линия "&amp;BU17&amp;" В",""),""),IF(AND(N(IF17)&gt;0,N(IG17)&gt;N(IF17)),HH17&amp;" канал "&amp;HJ17&amp;": "&amp;FIXED(IG17,1)&amp;" А &gt; "&amp;IF17&amp;" А",""),IFERROR(IF(AND(ISNUMBER(Q17),Q17&gt;EL17),"потери "&amp;FIXED(Q17,1)&amp;" % &gt; "&amp;EL17&amp;" %",""),""),IFERROR(IF(LEFT(HU17,4)="мало","Iкз мало — отключение &gt; 0,4 с",""),""),IF(AND(B17&lt;&gt;"",BM17=""),"не на схеме",""),IF(AND(CG17=0,B17&lt;&gt;"",FV17&lt;&gt;"",IF(BA17=1,"",FW16)&lt;&gt;"",FV17&lt;&gt;IF(BA17=1,"",FW16)),"фаза не как у автомата группы ("&amp;IF(BA17=1,"",FW16)&amp;")","")))</f>
        <v>БП 480 Вт &lt; нужно 633 Вт (×1,3)</v>
      </c>
      <c r="II17" s="6">
        <f>IF(OR(CG17=0,DQ17=""),"",_xlfn.LET(_xlpm.t,IFERROR(_xlfn.XLOOKUP(DQ17,Каталог!$U$4:$U$500,Каталог!$G$4:$G$500),""),_xlpm.k,SEARCH("кА",_xlpm.t),IFERROR(--TRIM(RIGHT(SUBSTITUTE(MID(_xlpm.t,MAX(1,_xlpm.k-4),_xlpm.k-MAX(1,_xlpm.k-4))," ",REPT(" ",9)),5)),"")))</f>
        <v>6</v>
      </c>
      <c r="IJ17" t="str">
        <f>IF(OR(II17="",CG17=0),"",IF(_xlfn.XLOOKUP(A17,Щиты[Щит],Щиты[Iкз max на шинах, кА],"")="","",IF(II17&lt;_xlfn.XLOOKUP(A17,Щиты[Щит],Щиты[Iкз max на шинах, кА]),"Icu "&amp;II17&amp;" кА &lt; Iкз max","ok")))</f>
        <v>ok</v>
      </c>
      <c r="IK17" t="str">
        <f t="shared" si="113"/>
        <v/>
      </c>
      <c r="IL17" t="str">
        <f t="shared" si="114"/>
        <v>QF1|МК-5-1|БП 24V 480W|Di.1 к.1|XT1</v>
      </c>
      <c r="IM17" t="str">
        <f t="shared" si="115"/>
        <v>QF1|МК-5-1|БП 24V 480W|Di.1 к.1|XT1|кабель ВВГнг(А)-LS (2х4) → LED-лента 24 В, пом. 01</v>
      </c>
      <c r="IN17" t="str" cm="1">
        <f t="array" ref="IN17">IF(IM17="","",_xlfn.LET(_xlpm.nd,_xlfn.TEXTSPLIT(IM17,"|"),IF(COLUMNS(_xlpm.nd)&gt;1,A17&amp;"¦"&amp;INDEX(_xlpm.nd,1)&amp;"¦"&amp;INDEX(_xlpm.nd,2),"")))</f>
        <v>ЩБП¦QF1¦МК-5-1</v>
      </c>
      <c r="IO17" t="str">
        <f t="shared" si="116"/>
        <v>LD.1.01.1¦LED-лента 24 В, пом. 01</v>
      </c>
      <c r="IP17" t="str" cm="1">
        <f t="array" ref="IP17">IF(IM17="","",_xlfn.LET(_xlpm.nd,_xlfn.TEXTSPLIT(IM17,"|"),IF(COLUMNS(_xlpm.nd)&gt;2,A17&amp;"¦"&amp;INDEX(_xlpm.nd,2)&amp;"¦"&amp;INDEX(_xlpm.nd,3),"")))</f>
        <v>ЩБП¦МК-5-1¦БП 24V 480W</v>
      </c>
      <c r="IQ17" t="str">
        <f t="shared" si="117"/>
        <v>LD.1.01.1¦LED-лента 24 В, пом. 01</v>
      </c>
      <c r="IR17" t="str" cm="1">
        <f t="array" ref="IR17">IF(IM17="","",_xlfn.LET(_xlpm.nd,_xlfn.TEXTSPLIT(IM17,"|"),IF(COLUMNS(_xlpm.nd)&gt;3,A17&amp;"¦"&amp;INDEX(_xlpm.nd,3)&amp;"¦"&amp;INDEX(_xlpm.nd,4),"")))</f>
        <v>ЩБП¦БП 24V 480W¦Di.1 к.1</v>
      </c>
      <c r="IS17" t="str">
        <f t="shared" si="118"/>
        <v>LD.1.01.1¦LED-лента 24 В, пом. 01</v>
      </c>
      <c r="IT17" t="str" cm="1">
        <f t="array" ref="IT17">IF(IM17="","",_xlfn.LET(_xlpm.nd,_xlfn.TEXTSPLIT(IM17,"|"),IF(COLUMNS(_xlpm.nd)&gt;4,A17&amp;"¦"&amp;INDEX(_xlpm.nd,4)&amp;"¦"&amp;INDEX(_xlpm.nd,5),"")))</f>
        <v>ЩБП¦Di.1 к.1¦XT1</v>
      </c>
      <c r="IU17" t="str">
        <f t="shared" si="119"/>
        <v>LD.1.01.1¦LED-лента 24 В, пом. 01</v>
      </c>
      <c r="IV17" t="str" cm="1">
        <f t="array" ref="IV17">IF(IM17="","",_xlfn.LET(_xlpm.nd,_xlfn.TEXTSPLIT(IM17,"|"),IF(COLUMNS(_xlpm.nd)&gt;5,A17&amp;"¦"&amp;INDEX(_xlpm.nd,5)&amp;"¦"&amp;INDEX(_xlpm.nd,6),"")))</f>
        <v>ЩБП¦XT1¦кабель ВВГнг(А)-LS (2х4) → LED-лента 24 В, пом. 01</v>
      </c>
      <c r="IW17" t="str">
        <f t="shared" si="120"/>
        <v>LD.1.01.1¦LED-лента 24 В, пом. 01</v>
      </c>
      <c r="IX17" t="str" cm="1">
        <f t="array" ref="IX17">IF(IM17="","",_xlfn.LET(_xlpm.nd,_xlfn.TEXTSPLIT(IM17,"|"),IF(COLUMNS(_xlpm.nd)&gt;6,A17&amp;"¦"&amp;INDEX(_xlpm.nd,6)&amp;"¦"&amp;INDEX(_xlpm.nd,7),"")))</f>
        <v/>
      </c>
      <c r="IY17" t="str">
        <f t="shared" si="121"/>
        <v/>
      </c>
      <c r="IZ17" t="str">
        <f t="shared" si="122"/>
        <v>SMART-DALI-104</v>
      </c>
      <c r="JA17" t="str">
        <f t="shared" si="123"/>
        <v>QF1 → МК-5-1 → БП 24V 480W → Di.1 к.1 → XT1</v>
      </c>
      <c r="JB17">
        <f t="shared" si="124"/>
        <v>0</v>
      </c>
      <c r="JC17">
        <f t="shared" si="125"/>
        <v>0</v>
      </c>
      <c r="JD17" t="str">
        <f t="shared" si="126"/>
        <v/>
      </c>
      <c r="JE17" t="str">
        <f t="shared" si="127"/>
        <v>MK</v>
      </c>
      <c r="JF17" t="str">
        <f t="shared" si="128"/>
        <v>PS</v>
      </c>
      <c r="JG17" t="str">
        <f t="shared" si="129"/>
        <v/>
      </c>
      <c r="JH17" t="str">
        <f>IF(B17="","",IFERROR(_xlfn.XLOOKUP(B17,Коды_код,Коды_уго),IFERROR(_xlfn.XLOOKUP(BC17,Коды_код,Коды_уго),IFERROR(_xlfn.XLOOKUP(LEFT(BC17,2),Коды_код,Коды_уго),""))))</f>
        <v>Светильник</v>
      </c>
      <c r="JI17" t="str">
        <f>IF(B17="","",IF(OR(JH17="",JH17=0),"BOX",IFERROR(IF(VLOOKUP(JH17,УГО_блоки,3,FALSE)&amp;""&lt;&gt;"",VLOOKUP(JH17,УГО_блоки,3,FALSE),VLOOKUP(JH17,УГО_блоки,2,FALSE)),JH17)))</f>
        <v>LAMP</v>
      </c>
      <c r="JJ17">
        <f t="shared" si="130"/>
        <v>1</v>
      </c>
      <c r="JK17" t="str">
        <f>IF(DQ17="","",IF(COUNTIF(DQ$3:DQ17,DQ17)=1,MAX(JK$2:JK16)+1,""))</f>
        <v/>
      </c>
      <c r="JL17">
        <f>IF(DE17="","",IF(COUNTIF(DE$3:DE17,DE17)+COUNTIF(DF$2:DF16,DE17)+COUNTIF(DG$2:DG16,DE17)=1,MAX(JL$2:JN16)+1,""))</f>
        <v>1</v>
      </c>
      <c r="JM17">
        <f>IF(DF17="","",IF(COUNTIF(DE$3:DE17,DF17)+COUNTIF(DF$3:DF17,DF17)+COUNTIF(DG$2:DG16,DF17)=1,MAX(JL$2:JN16,JL17)+1,""))</f>
        <v>2</v>
      </c>
      <c r="JN17" t="str">
        <f>IF(DG17="","",IF(COUNTIF(DE$3:DE17,DG17)+COUNTIF(DF$3:DF17,DG17)+COUNTIF(DG$3:DG17,DG17)=1,MAX(JL$2:JN16,JL17,JM17)+1,""))</f>
        <v/>
      </c>
      <c r="JO17" t="str">
        <f t="shared" si="131"/>
        <v>2х4</v>
      </c>
      <c r="JP17">
        <f>IF(JO17="","",IF(COUNTIF(JO$3:JO17,JO17)=1,MAX(JP$2:JP16)+1,""))</f>
        <v>7</v>
      </c>
      <c r="JQ17">
        <f>IF(HG17="","",COUNTIF(HG$3:HG17,"?*"))</f>
        <v>1</v>
      </c>
      <c r="JR17">
        <f>IF(OR(HG17="",HI17=""),"",IF(COUNTIFS(HG$3:HG17,"?*",HI$3:HI17,HI17)=1,MAX(JR$2:JR16)+1,""))</f>
        <v>1</v>
      </c>
      <c r="JS17">
        <f t="shared" si="132"/>
        <v>1</v>
      </c>
      <c r="JT17">
        <f>IF(B17="","",COUNTIF(B$3:B17,"?*"))</f>
        <v>15</v>
      </c>
      <c r="JU17">
        <f>IF(HL17&lt;&gt;1,0,_xlfn.LET(_xlpm.k,MAX(IFERROR(--_xlfn.XLOOKUP(B17,Коды_код,Коды_3L),0),IFERROR(--_xlfn.XLOOKUP(BC17,Коды_код,Коды_3L),0),IFERROR(--_xlfn.XLOOKUP(LEFT(BC17,2),Коды_код,Коды_3L),0)),IF(_xlpm.k&gt;0,_xlpm.k,IF(IFERROR(--LEFT(SUBSTITUTE(JO17,"x","х"),FIND("х",SUBSTITUTE(JO17,"x","х"))-1),3)&gt;3,Каталог!$S$9,1))))</f>
        <v>1</v>
      </c>
      <c r="JV17">
        <f t="shared" si="133"/>
        <v>0</v>
      </c>
      <c r="JW17" t="str">
        <f t="shared" si="134"/>
        <v>авто</v>
      </c>
      <c r="JX17" t="str">
        <f t="shared" si="135"/>
        <v/>
      </c>
      <c r="JY17">
        <f t="shared" si="136"/>
        <v>0</v>
      </c>
      <c r="JZ17">
        <f t="shared" si="137"/>
        <v>1</v>
      </c>
    </row>
    <row r="18" spans="1:286" x14ac:dyDescent="0.3">
      <c r="A18" t="s">
        <v>945</v>
      </c>
      <c r="B18" t="s">
        <v>1197</v>
      </c>
      <c r="C18" t="s">
        <v>1243</v>
      </c>
      <c r="E18">
        <v>0.1</v>
      </c>
      <c r="F18" t="s">
        <v>1198</v>
      </c>
      <c r="G18" t="str">
        <f>Линии[[#This Row],[_авто автомат]]</f>
        <v>↑ 1P С10А</v>
      </c>
      <c r="H18" t="str">
        <f>Линии[[#This Row],[_авто управление]]</f>
        <v/>
      </c>
      <c r="I18" t="str">
        <f>Линии[[#This Row],[_авто аппараты]]</f>
        <v/>
      </c>
      <c r="J18">
        <f>Линии[[#This Row],[_авто сечение]]</f>
        <v>6</v>
      </c>
      <c r="K18">
        <v>24</v>
      </c>
      <c r="L18" t="str">
        <f>Линии[[#This Row],[_авто фаза]]</f>
        <v>L1</v>
      </c>
      <c r="M18" t="str">
        <f>Линии[[#This Row],[_авто клемма]]</f>
        <v>XT2</v>
      </c>
      <c r="N18" t="str">
        <f t="shared" si="0"/>
        <v/>
      </c>
      <c r="O18" s="6" cm="1">
        <f t="array" ref="O18">IF(B18="","",IF(BH18&lt;&gt;"",IFERROR(_xlfn.XLOOKUP(BH18,Щиты[Щит],Щиты[Iр, А]),""),IF(BP18=1,IF(OR(N(_xlfn.XLOOKUP(A18,Щиты[Щит],Щиты[Вводов],1))&lt;=1,LOWER(TRIM(_xlfn.XLOOKUP(A18,Щиты[Щит],Щиты[АВР],"")&amp;""))="да"),IFERROR(_xlfn.XLOOKUP(A18,Щиты[Щит],Щиты[Iр, А]),""),IFERROR(N(BS18)*_xlfn.XLOOKUP(A18,Щиты[Щит],Щиты[Кс итог])/(SQRT(3)*Uн_лин*_xlfn.XLOOKUP(A18,Щиты[Щит],Щиты[cos φ])),"")),IF(BV18=1,IFERROR(BS18*1000/BU18,""),IFERROR(_xlfn.IFS(BX18=1,BS18/((Uн_лин/SQRT(3))*CE18),BX18=3,BS18/(SQRT(3)*Uн_лин*CE18)),"")))))</f>
        <v>4.166666666666667</v>
      </c>
      <c r="P18" s="7">
        <f>IF(B18="","",IFERROR(IF(VLOOKUP(BC18,Потребители_обозначение,4,FALSE)=1,VLOOKUP(BC18,Потребители_обозначение,3,FALSE)*(MAX(1,N(D18))*2-1)+EI18+VLOOKUP(BE18,Этаж_обозначение,3,FALSE)+VLOOKUP(BE18,Этаж_обозначение,4,FALSE),VLOOKUP(BC18,Потребители_обозначение,3,FALSE)*(MAX(1,N(D18))*2-1)+EI18),EI18))</f>
        <v>27</v>
      </c>
      <c r="Q18" s="6">
        <f t="shared" si="1"/>
        <v>3.5199999999999996</v>
      </c>
      <c r="R18" t="str">
        <f t="shared" si="2"/>
        <v>ВВГнг(А)-LS (2х6)</v>
      </c>
      <c r="S18" t="str">
        <f>IF(BM18="","",IF(BN18="вводной узел","узел ","")&amp;"л."&amp;(INT((BM18-1)/Столбцов_на_лист)+1)&amp;" / "&amp;(MOD(BM18-1,Столбцов_на_лист)+1))</f>
        <v>л.1 / 4</v>
      </c>
      <c r="T18" s="119" t="str">
        <f t="shared" si="3"/>
        <v/>
      </c>
      <c r="U18" s="7" t="str">
        <f>IF(OR(CG18=0,N(BV18)+N(IB18)=0),"",ROUNDUP(Запас_БП*(N(HY18)+N(HZ18)),0))</f>
        <v/>
      </c>
      <c r="V18" s="119" t="str">
        <f t="shared" si="4"/>
        <v/>
      </c>
      <c r="W18" s="7" t="str">
        <f>IFERROR(IF(OR(B18="",BP18=1,BV18=1,NOT(ISNUMBER(EN18)),N(DT18)=0),"",MAX(0,ROUNDDOWN((c_min*(Uн_лин*1000/SQRT(3))/(HT18*N(DT18))-_xlfn.XLOOKUP(A18,Щиты[Щит],Щиты[Zпетли на шинах, Ом]))*EN18/(2*ρкз_Cu),0))),"")</f>
        <v/>
      </c>
      <c r="Y18" t="str">
        <f>Линии[[#This Row],[_авто утечка]]</f>
        <v/>
      </c>
      <c r="Z18">
        <v>1</v>
      </c>
      <c r="AA18">
        <v>24</v>
      </c>
      <c r="AB18" t="str">
        <f>Линии[[#This Row],[_авто группа Кс]]</f>
        <v>Быт</v>
      </c>
      <c r="AK18" t="str">
        <f>Линии[[#This Row],[_авто модуль]]</f>
        <v/>
      </c>
      <c r="AN18" t="s">
        <v>11</v>
      </c>
      <c r="AO18">
        <v>2</v>
      </c>
      <c r="BA18" cm="1">
        <f t="array" ref="BA18">ROW()-ROW(Линии[#Headers])</f>
        <v>16</v>
      </c>
      <c r="BC18" s="6" t="str">
        <f t="shared" si="5"/>
        <v>LD</v>
      </c>
      <c r="BD18" t="str">
        <f t="shared" si="6"/>
        <v>1.01.2</v>
      </c>
      <c r="BE18" t="str">
        <f t="shared" si="7"/>
        <v>1</v>
      </c>
      <c r="BF18" t="str">
        <f t="shared" si="8"/>
        <v>01.2</v>
      </c>
      <c r="BG18" t="str">
        <f t="shared" si="9"/>
        <v>01</v>
      </c>
      <c r="BH18" t="str">
        <f>IF(X18&lt;&gt;"",X18,IF(AND(B18&lt;&gt;"",B18&lt;&gt;A18,ISNUMBER(_xlfn.XMATCH(B18,Щиты[Щит]))),B18,""))</f>
        <v/>
      </c>
      <c r="BI18" t="str" cm="1">
        <f t="array" ref="BI18">IF(B18="","",IF(BH18&lt;&gt;"","Щит "&amp;BH18,_xlfn.LET(_xlpm.nm,IFERROR(_xlfn.XLOOKUP(BC18,Коды_код,Коды_имя)&amp;"",""),_xlpm.md,IFERROR(N(_xlfn.XLOOKUP(BC18,Коды_код,Коды_режим)),1),_xlpm.ex,IF(Имя_режим="по экспликации",IFERROR(_xlfn.XLOOKUP(BE18&amp;"|"&amp;BG18,Экспликация[Этаж]&amp;"|"&amp;Экспликация[Помещение],Экспликация[Название])&amp;"",""),""),_xlpm.rm,IF(BG18="","",IF(_xlpm.ex&lt;&gt;"",". "&amp;_xlpm.ex&amp;IF(Имя_пом="нет"," ("&amp;BG18&amp;")"," (пом. "&amp;BG18&amp;")"),IF(Имя_пом="нет"," ",", пом. ")&amp;BG18)),IF(_xlpm.nm="","",IF(_xlpm.md=2,_xlpm.nm&amp;" шлейф "&amp;BE18,_xlpm.nm&amp;_xlpm.rm)))))</f>
        <v>Питание подсветок, пом. 01</v>
      </c>
      <c r="BJ18" t="str">
        <f t="shared" si="10"/>
        <v>LED-лента 24 В, пом. 01</v>
      </c>
      <c r="BK18">
        <f>IFERROR(_xlfn.XMATCH(A18,Щиты[Щит]),0)</f>
        <v>2</v>
      </c>
      <c r="BL18">
        <f>_xlfn.LET(_xlpm.k,IFERROR(_xlfn.XLOOKUP(A18,Щиты[Щит],Щиты[Мест под вводной узел]),""),IF(_xlpm.k="",Столбцов_на_лист,N(_xlpm.k)))</f>
        <v>2</v>
      </c>
      <c r="BM18">
        <f t="shared" si="11"/>
        <v>4</v>
      </c>
      <c r="BN18" t="str">
        <f t="shared" si="12"/>
        <v>линии</v>
      </c>
      <c r="BO18" s="6">
        <f>IFERROR(N(_xlfn.XLOOKUP(BC18,Коды_код,Коды_квт)),0)</f>
        <v>0</v>
      </c>
      <c r="BP18">
        <f t="shared" si="13"/>
        <v>0</v>
      </c>
      <c r="BQ18" t="str">
        <f>IF(B18="","",IF(BH18&lt;&gt;"",IFERROR(_xlfn.XLOOKUP(BH18,Щиты[Щит],Щиты[Руст, кВт]),0),IF(BP18=1,IF(OR(N(_xlfn.XLOOKUP(A18,Щиты[Щит],Щиты[Вводов],1))&lt;=1,LOWER(TRIM(_xlfn.XLOOKUP(A18,Щиты[Щит],Щиты[АВР],"")&amp;""))="да"),IFERROR(_xlfn.XLOOKUP(A18,Щиты[Щит],Щиты[Руст, кВт]),0),SUMIFS(Линии[_Р для вводов],Линии[Щит],A18,Линии[Источник для режимов],GF18)),IF(BO18&gt;0,ROUND(BO18*MAX(1,N(D18)),3),""))))</f>
        <v/>
      </c>
      <c r="BR18">
        <f t="shared" si="14"/>
        <v>0.1</v>
      </c>
      <c r="BS18" s="6">
        <f>IF(B18="","",IF(BH18&lt;&gt;"",IFERROR(_xlfn.XLOOKUP(BH18,Щиты[Щит],Щиты[Руст, кВт]),0),N(BR18)))</f>
        <v>0.1</v>
      </c>
      <c r="BT18" t="str">
        <f>IF(B18="","",IFERROR(IF(VLOOKUP(BC18,Потребители_обозначение,8,FALSE)=0,"",VLOOKUP(BC18,Потребители_обозначение,8,FALSE)),""))</f>
        <v/>
      </c>
      <c r="BU18">
        <f t="shared" si="15"/>
        <v>24</v>
      </c>
      <c r="BV18">
        <f t="shared" si="16"/>
        <v>1</v>
      </c>
      <c r="BW18">
        <f>IF(B18="","",IF(BH18&lt;&gt;"",3,IFERROR(IF(N(VLOOKUP(BC18,Потребители_обозначение,9,FALSE))=0,1,VLOOKUP(BC18,Потребители_обозначение,9,FALSE)),1)))</f>
        <v>1</v>
      </c>
      <c r="BX18">
        <f t="shared" si="17"/>
        <v>1</v>
      </c>
      <c r="BY18" t="str">
        <f>IF(B18="","",_xlfn.LET(_xlpm.bc,IFERROR(IF(VLOOKUP(BC18,Потребители_обозначение,6,FALSE)=0,"",VLOOKUP(BC18,Потребители_обозначение,6,FALSE)&amp;""),""),IF(AND(GA18="да",OR(_xlpm.bc="",_xlpm.bc="мс")),Марка_пож,IF(AND(_xlpm.bc="",BH18&lt;&gt;""),"мс",_xlpm.bc))))</f>
        <v>мс</v>
      </c>
      <c r="BZ18" t="str">
        <f t="shared" si="18"/>
        <v>мс</v>
      </c>
      <c r="CA18">
        <f>IF(B18="","",_xlfn.LET(_xlpm.cc,IFERROR(N(VLOOKUP(BC18,Потребители_обозначение,7,FALSE)),0),IF(_xlpm.cc&gt;0,_xlpm.cc,IF(BZ18="","",IF(BV18=1,2,IF(N(BX18)=3,5,3))))))</f>
        <v>2</v>
      </c>
      <c r="CB18">
        <f t="shared" si="19"/>
        <v>2</v>
      </c>
      <c r="CC18">
        <f>IFERROR(N(VLOOKUP(BC18,Потребители_обозначение,10,FALSE)),0)</f>
        <v>0</v>
      </c>
      <c r="CD18">
        <f>IFERROR(VLOOKUP(BC18,Потребители_обозначение,5,FALSE),0)</f>
        <v>1</v>
      </c>
      <c r="CE18" s="6" cm="1">
        <f t="array" ref="CE18">IF(B18="","",IF(BH18&lt;&gt;"",IFERROR(_xlfn.XLOOKUP(BH18,Щиты[Щит],Щиты[cos φ]),0.95),IF(BP18=1,IFERROR(_xlfn.XLOOKUP(A18,Щиты[Щит],Щиты[cos φ]),0.95),IF(ISNUMBER(AD18),AD18,IFERROR(IF(CD18=2,_xlfn.IFS(BX18=3,VLOOKUP(BS18,Справочная_двигатели,8,FALSE),BX18=1,VLOOKUP(BS18,Справочная_двигатели,10,TRUE)),IF(AND(Методика="нормы 2026",FG18="Сил"),0.8,0.95)),0.95)))))</f>
        <v>0.95</v>
      </c>
      <c r="CF18">
        <f t="shared" si="20"/>
        <v>1</v>
      </c>
      <c r="CG18">
        <f t="shared" si="21"/>
        <v>0</v>
      </c>
      <c r="CH18">
        <f t="shared" si="22"/>
        <v>0</v>
      </c>
      <c r="CI18">
        <f>IF(B18="","",IF(BV18=1,IFERROR(BS18/((Uн_лин/SQRT(3))*MAX(0.5,N(CE18))),0),N(O18)))</f>
        <v>0.455802844097073</v>
      </c>
      <c r="CJ18">
        <f t="shared" si="23"/>
        <v>1.230667679062097</v>
      </c>
      <c r="CK18">
        <f t="shared" si="24"/>
        <v>0.27</v>
      </c>
      <c r="CL18">
        <f t="shared" si="25"/>
        <v>1</v>
      </c>
      <c r="CM18">
        <f t="shared" si="26"/>
        <v>10</v>
      </c>
      <c r="CN18">
        <f t="shared" si="27"/>
        <v>0</v>
      </c>
      <c r="CO18">
        <f>IF(BC18="",0,_xlfn.LET(_xlpm.v,IFERROR(_xlfn.XLOOKUP(B18,Коды_код,Коды_мА),IFERROR(_xlfn.XLOOKUP(BC18,Коды_код,Коды_мА),IFERROR(_xlfn.XLOOKUP(LEFT(BC18,2),Коды_код,Коды_мА),""))),IF(_xlpm.v="да",30,IF(ISNUMBER(_xlpm.v),_xlpm.v,0))))</f>
        <v>0</v>
      </c>
      <c r="CP18" t="str">
        <f t="shared" si="28"/>
        <v/>
      </c>
      <c r="CQ18" t="str">
        <f>_xlfn.LET(_xlpm.k,IFERROR(_xlfn.XLOOKUP(BC18,Коды_код,Коды_утечка)&amp;"",""),IF(_xlpm.k="","дифавтомат",_xlpm.k))</f>
        <v>дифавтомат</v>
      </c>
      <c r="CR18" t="str" cm="1">
        <f t="array" ref="CR18">IF(CG18=0,"",_xlfn.LET(_xlpm.sg,TRIM(_xlfn.TEXTSPLIT(DD18&amp;"",";")),_xlpm.f_,_xlfn._xlws.FILTER(_xlpm.sg,LEFT(_xlpm.sg,3)="УЗО",""),IFERROR(INDEX(_xlpm.f_,1)&amp;"","")))</f>
        <v/>
      </c>
      <c r="CS18" t="str">
        <f t="shared" si="29"/>
        <v/>
      </c>
      <c r="CT18" s="6" t="str" cm="1">
        <f t="array" ref="CT18">IF(CR18="","",_xlfn.LET(_xlpm.tk,_xlfn.TEXTSPLIT(UPPER(CR18)," ",,TRUE),_xlpm.a_,_xlfn._xlws.FILTER(_xlpm.tk,ISNUMBER(--LEFT(_xlpm.tk,1))*((ISNUMBER(SEARCH("А",_xlpm.tk))+ISNUMBER(SEARCH("A",_xlpm.tk)))&gt;0)*NOT(ISNUMBER(SEARCH("МА",_xlpm.tk)))*NOT(ISNUMBER(SEARCH("MA",_xlpm.tk))),""),IFERROR(--SUBSTITUTE(SUBSTITUTE(INDEX(_xlpm.a_,1),"А",""),"A",""),"")))</f>
        <v/>
      </c>
      <c r="CU18" t="str" cm="1">
        <f t="array" ref="CU18">IF(CR18="","",_xlfn.LET(_xlpm.tk,_xlfn.TEXTSPLIT(UPPER(CR18)," ",,TRUE),_xlpm.a_,_xlfn._xlws.FILTER(_xlpm.tk,ISNUMBER(--LEFT(_xlpm.tk,1))*((ISNUMBER(SEARCH("МА",_xlpm.tk))+ISNUMBER(SEARCH("MA",_xlpm.tk)))&gt;0),""),IFERROR(--SUBSTITUTE(SUBSTITUTE(INDEX(_xlpm.a_,1),"МА",""),"MA",""),30)))</f>
        <v/>
      </c>
      <c r="CV18" t="str">
        <f>IF(CS18="","",IFERROR(_xlfn.XLOOKUP(CS18,Линии[_n],Линии[_УЗО, мА]),30))</f>
        <v/>
      </c>
      <c r="CW18">
        <f>IF(CS18="",0,IF(ISNUMBER(SEARCH("4P",IFERROR(_xlfn.XLOOKUP(CS18,Линии[_n],Линии[_УЗО строки])&amp;"",""))),0,1))</f>
        <v>0</v>
      </c>
      <c r="CX18" t="str">
        <f>IF(AND(CS18&lt;&gt;"",CS18=BA18),SUMIFS(Линии[_ток на 230 В],Линии[_блок УЗО],BA18,Линии[Щит],A18),"")</f>
        <v/>
      </c>
      <c r="CY18" t="str">
        <f>IF(AND(CS18&lt;&gt;"",CS18=BA18),SUMIFS(Линии[_ток утечки линии, мА],Линии[_блок УЗО],BA18,Линии[Щит],A18),"")</f>
        <v/>
      </c>
      <c r="CZ18">
        <f t="shared" si="30"/>
        <v>0</v>
      </c>
      <c r="DA18" t="str">
        <f t="shared" si="31"/>
        <v/>
      </c>
      <c r="DB18">
        <f>IF(B18="",0,IFERROR(--_xlfn.XLOOKUP(B18,Коды_код,Коды_минавт),IFERROR(--_xlfn.XLOOKUP(BC18,Коды_код,Коды_минавт),IFERROR(--_xlfn.XLOOKUP(LEFT(BC18,2),Коды_код,Коды_минавт),0))))</f>
        <v>10</v>
      </c>
      <c r="DC18" t="str">
        <f>IF(B18="","",IFERROR(_xlfn.XLOOKUP(BC18,Коды_код,Коды_апп)&amp;"",""))</f>
        <v/>
      </c>
      <c r="DD18" t="str">
        <f t="shared" si="32"/>
        <v/>
      </c>
      <c r="DE18" t="str" cm="1">
        <f t="array" ref="DE18">IF(TRIM(DD18&amp;"")="","",IFERROR(TRIM(INDEX(_xlfn.TEXTSPLIT(DD18&amp;";;;",";"),1)),""))</f>
        <v/>
      </c>
      <c r="DF18" t="str" cm="1">
        <f t="array" ref="DF18">IF(TRIM(DD18&amp;"")="","",IFERROR(TRIM(INDEX(_xlfn.TEXTSPLIT(DD18&amp;";;;",";"),2)),""))</f>
        <v/>
      </c>
      <c r="DG18" t="str" cm="1">
        <f t="array" ref="DG18">IF(TRIM(DD18&amp;"")="","",IFERROR(TRIM(INDEX(_xlfn.TEXTSPLIT(DD18&amp;";;;",";"),3)),""))</f>
        <v/>
      </c>
      <c r="DH18">
        <f t="shared" si="33"/>
        <v>0</v>
      </c>
      <c r="DI18" t="str">
        <f>IF(B18="","",_xlfn.LET(_xlpm.t,LOWER(AZ18&amp;""),IF(ISNUMBER(SEARCH("dim",_xlpm.t)),"DIM",IF(ISNUMBER(SEARCH("dali",_xlpm.t)),"DALI",IF(OR(ISNUMBER(SEARCH("relay",_xlpm.t)),ISNUMBER(SEARCH("реле",_xlpm.t))),"Relay",IF(ISNUMBER(SEARCH("кнопк",_xlpm.t)),"",IFERROR(_xlfn.XLOOKUP(BC18,Коды_код,Коды_упр)&amp;"","")))))))</f>
        <v/>
      </c>
      <c r="DJ18" t="str">
        <f t="shared" si="34"/>
        <v/>
      </c>
      <c r="DK18">
        <f>IF(B18="","",_xlfn.LET(_xlpm.ig,IF(N(CX18)&gt;0,N(CX18),N(CI18)+IF(AJ18="вручную",0,N(CJ18))),_xlpm.n0,IFERROR(VLOOKUP(_xlpm.ig,Автомат_номиналы,2,TRUE),0),_xlpm.mn,MAX(DB18,IF(AJ18="вручную",0,N(CM18))),MAX(_xlpm.n0,_xlpm.mn,IF(DH18=1,Мин_автомат_БП,0))))</f>
        <v>10</v>
      </c>
      <c r="DL18">
        <f t="shared" si="35"/>
        <v>1</v>
      </c>
      <c r="DM18" t="str">
        <f t="shared" si="36"/>
        <v>1P</v>
      </c>
      <c r="DN18" t="str">
        <f>_xlfn.LET(_xlpm.cc,UPPER(TRIM(IFERROR(_xlfn.XLOOKUP(BC18,Коды_код,Коды_хар)&amp;"",""))),IF(OR(_xlpm.cc="B",_xlpm.cc="В"),"B",IF(_xlpm.cc="D","D","С")))</f>
        <v>С</v>
      </c>
      <c r="DO18" t="str">
        <f t="shared" si="37"/>
        <v>↑ 1P С10А</v>
      </c>
      <c r="DP18" t="str">
        <f t="shared" si="38"/>
        <v>↑ 1P С10А</v>
      </c>
      <c r="DQ18" t="str">
        <f t="shared" si="39"/>
        <v/>
      </c>
      <c r="DR18" t="str" cm="1">
        <f t="array" ref="DR18">IF(DQ18="","",_xlfn.LET(_xlpm.t,SUBSTITUTE(SUBSTITUTE(SUBSTITUTE(UPPER(DQ18),"С","C"),"А","A"),"В","B"),_xlpm.tk,_xlfn.TEXTSPLIT(_xlpm.t," "),_xlpm.f,_xlfn._xlws.FILTER(_xlpm.tk,ISNUMBER(--MID(_xlpm.tk,2,1))*ISNUMBER(SEARCH(LEFT(_xlpm.tk,1)&amp;"#","B#C#D#"))*(LEN(_xlpm.tk)&gt;1),""),_xlpm.x,INDEX(_xlpm.f,1),IFERROR(--SUBSTITUTE(MID(_xlpm.x,2,9),"A",""),IFERROR(--SUBSTITUTE(INDEX(_xlfn._xlws.FILTER(_xlpm.tk,ISNUMBER(--SUBSTITUTE(_xlpm.tk,"A","")),""),1),"A",""),""))))</f>
        <v/>
      </c>
      <c r="DS18" t="str">
        <f t="shared" si="40"/>
        <v>ok</v>
      </c>
      <c r="DT18">
        <f t="shared" si="41"/>
        <v>10</v>
      </c>
      <c r="DU18" t="str">
        <f t="shared" si="42"/>
        <v>1P С10А</v>
      </c>
      <c r="DV18">
        <f t="shared" si="43"/>
        <v>0</v>
      </c>
      <c r="DW18">
        <f t="shared" si="44"/>
        <v>0</v>
      </c>
      <c r="DX18">
        <f t="shared" si="45"/>
        <v>1</v>
      </c>
      <c r="DY18" t="str">
        <f t="shared" si="46"/>
        <v/>
      </c>
      <c r="DZ18">
        <f t="shared" si="47"/>
        <v>1</v>
      </c>
      <c r="EA18">
        <f>IF(ISNUMBER(AP18),AP18,К_прокл)</f>
        <v>1</v>
      </c>
      <c r="EB18">
        <f t="shared" si="48"/>
        <v>2</v>
      </c>
      <c r="EC18">
        <f>IFERROR(N(VLOOKUP(BZ18,Кабель_обозначение,3,FALSE)),1)</f>
        <v>1</v>
      </c>
      <c r="ED18">
        <f>IFERROR(N(_xlfn.XLOOKUP(A18,Щиты[Щит],Щиты[ΔU до шин, %])),0)</f>
        <v>0.58602884987279757</v>
      </c>
      <c r="EE18">
        <f>IFERROR(_xlfn.XLOOKUP(A18,Щиты[Щит],Щиты[Zпетли на шинах, Ом]),"")</f>
        <v>0.50164496021506877</v>
      </c>
      <c r="EF18">
        <f>IFERROR(N(_xlfn.XLOOKUP(A18,Щиты[Щит],Щиты[ΔU до шин (подбор), %])),0)</f>
        <v>0.58602884987279757</v>
      </c>
      <c r="EG18">
        <f>IFERROR(_xlfn.XLOOKUP(A18,Щиты[Щит],Щиты[Zпетли на шинах (подбор), Ом]),"")</f>
        <v>0.50164496021506877</v>
      </c>
      <c r="EH18" t="str">
        <f t="shared" si="49"/>
        <v/>
      </c>
      <c r="EI18">
        <f t="shared" si="50"/>
        <v>24</v>
      </c>
      <c r="EJ18">
        <f t="shared" si="51"/>
        <v>2</v>
      </c>
      <c r="EK18">
        <f t="shared" si="52"/>
        <v>0.31</v>
      </c>
      <c r="EL18" s="6">
        <f>IF(B18="","",IF(BV18=1,dU_LED,IF(IFERROR(_xlfn.XLOOKUP(BC18,Коды_код,Коды_уго),"")="Светильник",3,4)+IF(Методика="нормы 2026",MIN(0.5,MAX(0,N(P18)-100)*0.005),0)))</f>
        <v>5</v>
      </c>
      <c r="EM18" cm="1">
        <f t="array" ref="EM18">IF(OR(B18="",BZ18="",EC18&lt;&gt;1),"",_xlfn.LET(_xlpm.sz,Iдоп_S,_xlpm.t_,CHOOSE(EB18,Iдоп_1ж,Iдоп_2ж,Iдоп_3ж)*DZ18*EA18,_xlpm.dcx,BV18=1,_xlpm.inn,IF(_xlpm.dcx,N(O18),N(DT18)),_xlpm.smin,MAX(1.5,CC18),_xlpm.L_,N(P18)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18)/N(BU18)*100,999),IFERROR(N(EJ18)*(_xlpm.rho*_xlpm.L_/_xlpm.sz*N(CE18)+_xlpm.xx*_xlpm.L_*N(EK18)/1000)*N(O18)/((Uн_лин/SQRT(3))*1000)*100,999)),_xlpm.kz,IF(OR(_xlpm.dcx,DW18=1,NOT(ISNUMBER(EG18)),_xlpm.L_=0,_xlpm.inn=0),1,IFERROR(--(c_min*(Uн_лин*1000/SQRT(3))/(EG18+2*ρкз_Cu*_xlpm.L_/_xlpm.sz)&gt;=HT18*_xlpm.inn),0)),_xlpm.ok,IFERROR((_xlpm.sz&gt;=_xlpm.smin)*(_xlpm.t_&gt;=_xlpm.inn)*IF(_xlpm.L_&gt;0,(_xlpm.du_+IF(_xlpm.dcx,0,EF18)&lt;=EL18+0.00001),1)*_xlpm.kz,0),_xlpm.r_,_xlfn._xlws.FILTER(_xlpm.sz,_xlpm.ok,"не подобрано"),INDEX(_xlpm.r_,1)))</f>
        <v>6</v>
      </c>
      <c r="EN18">
        <f t="shared" si="53"/>
        <v>6</v>
      </c>
      <c r="EO18" cm="1">
        <f t="array" ref="EO18">IF(OR(B18="",BZ18="",EC18&lt;&gt;1),"",_xlfn.LET(_xlpm.sz,Iдоп_S,_xlpm.t_,CHOOSE(EB18,Iдоп_1ж,Iдоп_2ж,Iдоп_3ж)*DZ18*EA18,_xlpm.ok,IFERROR((_xlpm.sz&gt;=MAX(1.5,CC18))*(_xlpm.t_&gt;=N(DT18)),0),_xlpm.r_,_xlfn._xlws.FILTER(_xlpm.sz,_xlpm.ok,""),INDEX(_xlpm.r_,1)))</f>
        <v>1.5</v>
      </c>
      <c r="EP18" s="6" cm="1">
        <f t="array" ref="EP18">IFERROR(ROUNDUP(N(EJ18)*(_xlfn.XLOOKUP(EO18,INDEX(Кабель_сопротивление,0,1),INDEX(Кабель_сопротивление,0,3))*N(P18)/EO18*N(CE18)+_xlfn.XLOOKUP(EO18,INDEX(Кабель_сопротивление,0,1),INDEX(Кабель_сопротивление,0,2))*N(P18)*N(EK18)/1000)*N(O18)/((Uн_лин/SQRT(3))*1000)*100,2),"")</f>
        <v>1.4</v>
      </c>
      <c r="EQ18">
        <f>IFERROR(2*ρкз_Cu*N(P18)/EO18,"")</f>
        <v>0.94680000000000009</v>
      </c>
      <c r="ER18">
        <f>IFERROR(VLOOKUP(EN18,Кабель_сопротивление,3,FALSE),"")</f>
        <v>2.2499999999999999E-2</v>
      </c>
      <c r="ES18">
        <f>IFERROR(VLOOKUP(EN18,Кабель_сопротивление,2,FALSE),"")</f>
        <v>0.09</v>
      </c>
      <c r="ET18" t="str">
        <f t="shared" si="54"/>
        <v/>
      </c>
      <c r="EU18" t="str">
        <f t="shared" si="55"/>
        <v/>
      </c>
      <c r="EV18">
        <f t="shared" si="56"/>
        <v>0.84375</v>
      </c>
      <c r="EW18" s="6">
        <f>IFERROR(ROUNDUP(EV18/IF(BV18=1,BU18,(Uн_лин/SQRT(3))*1000)*100,2),"")</f>
        <v>3.5199999999999996</v>
      </c>
      <c r="EX18" t="str">
        <f>IFERROR(VLOOKUP(BZ18,Кабель_обозначение,2,FALSE),"")</f>
        <v>ВВГнг(А)-LS</v>
      </c>
      <c r="EY18" t="str">
        <f t="shared" si="57"/>
        <v>ВВГнг(А)-LS (2х6)</v>
      </c>
      <c r="EZ18" t="str">
        <f t="shared" si="58"/>
        <v>ВВГнг(А)-LS (2х6)
L=27-3,52%</v>
      </c>
      <c r="FA18">
        <f>IFERROR(2*ρкз_Cu*P18/EN18,"")</f>
        <v>0.23670000000000002</v>
      </c>
      <c r="FB18">
        <f t="shared" si="59"/>
        <v>7.8750000000000001E-2</v>
      </c>
      <c r="FC18" s="6" t="str">
        <f>IFERROR(IF(OR(B18="",BV18=1,NOT(ISNUMBER(EN18)),N(P18)=0),"",_xlfn.XLOOKUP(A18,Щиты[Щит],Щиты[Zпетли на шинах, Ом])+FA18),"")</f>
        <v/>
      </c>
      <c r="FD18" s="6" t="str">
        <f>IF(ISNUMBER(FC18),c_min*(Uн_лин*1000/SQRT(3))/FC18,"")</f>
        <v/>
      </c>
      <c r="FE18" s="6">
        <f>IFERROR(IF(OR(B18="",NOT(ISNUMBER(EN18))),"",1.05*(Uн_лин*1000/SQRT(3))/(_xlfn.XLOOKUP(A18,Щиты[Щит],Щиты[Zmax на шинах, Ом])+FB18)/1000),"")</f>
        <v>1.0241022094997381</v>
      </c>
      <c r="FF18" s="6" t="str">
        <f>IF(B18="","",IF(ISNUMBER(AC18),"Сил",IF(IFERROR(_xlfn.XLOOKUP(BC18,Коды_код,Коды_группа)&amp;"","")="","Быт",_xlfn.XLOOKUP(BC18,Коды_код,Коды_группа)&amp;"")))</f>
        <v>Быт</v>
      </c>
      <c r="FG18" s="6" t="str">
        <f t="shared" si="60"/>
        <v>Быт</v>
      </c>
      <c r="FH18" s="6">
        <f>IF(FG18="Щит","щит",IF(FG18="","",IF(FG18="Быт",IFERROR(_xlfn.XLOOKUP(A18,Щиты[Щит],Щиты[Кс быт]),1),IF(FG18="Сил",IF(ISNUMBER(AC18),AC18,IF(Методика="нормы 2026",IFERROR(_xlfn.XLOOKUP(A18,Щиты[Щит],Щиты[Кс силовых (табл. 7.5)]),1),1)),IF(OR(FG18="Пост",FG18="Отоп"),1,IF(FG18="ВНГ",0.7,0))))))</f>
        <v>0.8</v>
      </c>
      <c r="FI18">
        <f>IF(FG18="","",IF(AND(BP18=1,TRIM(AE18&amp;"")=""),IF(COUNTIFS(Линии[Щит],A18,Линии[Секция (1/2/3)],"&gt;=2")&gt;0,MIN(3,MAX(1,IFERROR(--BD18,1))),1),IFERROR(MIN(3,MAX(1,INT(--AE18))),1)))</f>
        <v>1</v>
      </c>
      <c r="FJ18">
        <f t="shared" si="61"/>
        <v>0.1</v>
      </c>
      <c r="FK18">
        <f t="shared" si="62"/>
        <v>0.1</v>
      </c>
      <c r="FL18">
        <f t="shared" si="63"/>
        <v>0</v>
      </c>
      <c r="FM18">
        <f t="shared" si="64"/>
        <v>0</v>
      </c>
      <c r="FN18">
        <f t="shared" si="65"/>
        <v>0</v>
      </c>
      <c r="FO18">
        <f t="shared" si="66"/>
        <v>0</v>
      </c>
      <c r="FP18">
        <f t="shared" si="67"/>
        <v>0.1</v>
      </c>
      <c r="FQ18">
        <f t="shared" si="68"/>
        <v>0.1</v>
      </c>
      <c r="FR18">
        <f t="shared" si="69"/>
        <v>9.5000000000000001E-2</v>
      </c>
      <c r="FS18">
        <f>IF(CG18=1,IF(AND(CH18=1,CW18=1),0,IF(AND(CS18&lt;&gt;"",CS18=BA18,CW18=1),SUMIFS(Линии[_Р линии, кВт],Линии[_блок УЗО],BA18,Линии[Щит],A18),N(BS18)+IF(AJ18="вручную",0,N(CK18)))),0)</f>
        <v>0</v>
      </c>
      <c r="FT18" t="str">
        <f t="shared" si="70"/>
        <v/>
      </c>
      <c r="FU18" t="str">
        <f>IF(B18="","",IF(CG18=0,IF(BA18=1,"",FW17),IF(AND(CH18=1,CW18=1,CS18&lt;&gt;""),IFERROR(_xlfn.XLOOKUP(CS18,Линии[_n],Линии[_фаза итог]),"L1"),IF(OR(N(DL18)&gt;=3,N(BX18)&gt;=3),"L1,L2,L3",IFERROR(_xlfn.TEXTBEFORE(_xlfn.TEXTAFTER(_xlfn.XLOOKUP(A18,Щиты[Щит],Щиты[_фазы авто]),";"&amp;BA18&amp;":"),";"),"L1")))))</f>
        <v>L1</v>
      </c>
      <c r="FV18" t="str">
        <f t="shared" si="71"/>
        <v>L1</v>
      </c>
      <c r="FW18" t="str">
        <f t="shared" si="72"/>
        <v>L1</v>
      </c>
      <c r="FX18" cm="1">
        <f t="array" ref="FX18">IFERROR(IF(CD18=2,_xlfn.IFS(BX18=3,VLOOKUP(BS18,Справочная_двигатели,3,FALSE),BX18=1,VLOOKUP(BS18,Справочная_двигатели,5,TRUE)),0),0)</f>
        <v>0</v>
      </c>
      <c r="FY18">
        <f>IFERROR(IF(CD18=3,VLOOKUP(BS18,Справочная_ЛЭД,2,TRUE),0),0)</f>
        <v>0</v>
      </c>
      <c r="FZ18" s="6">
        <f t="shared" si="73"/>
        <v>0</v>
      </c>
      <c r="GA18" t="str">
        <f>IF(B18="","",IF(TRIM(AH18&amp;"")&lt;&gt;"",IF(LOWER(TRIM(AH18&amp;""))="да","да","нет"),IF(IFERROR(_xlfn.XLOOKUP(BC18,Коды_код,Коды_пожарная),"")="да","да","нет")))</f>
        <v>нет</v>
      </c>
      <c r="GB18" t="str">
        <f t="shared" si="74"/>
        <v/>
      </c>
      <c r="GC18" t="str">
        <f t="shared" si="75"/>
        <v>основная</v>
      </c>
      <c r="GD18">
        <f>IF(AND(BP18=1,TRIM(AE18&amp;"")=""),IF(COUNTIFS(Линии[Щит],A18,Линии[Секция (1/2/3)],"&gt;=2")&gt;0,MIN(3,MAX(1,IFERROR(--BD18,1))),1),IFERROR(MIN(3,MAX(1,INT(--AE18))),1))</f>
        <v>1</v>
      </c>
      <c r="GE18" t="str" cm="1">
        <f t="array" ref="GE18">IF(B18="","",_xlfn.LET(_xlpm.t,IFERROR(_xlfn.XLOOKUP(1,(Шины[Шина]=GC18)*(((Шины[Щит]=A18)+(Шины[Щит]=""))&gt;0),Шины[Тип]),"")&amp;"",IF(_xlpm.t&lt;&gt;"",_xlpm.t,IF(ISNUMBER(SEARCH("ИБП",GC18)),"ИБП",IF(ISNUMBER(SEARCH("ДГУ",GC18)),"ДГУ","Ввод "&amp;GD18)))))</f>
        <v>Ввод 1</v>
      </c>
      <c r="GF18" t="str">
        <f t="shared" si="76"/>
        <v>Ввод 1</v>
      </c>
      <c r="GG18" t="str">
        <f>IF(BP18=0,"",IF(TRIM(AG18&amp;"")&lt;&gt;"",TRIM(AG18&amp;""),IF(OR(GE18="ИБП",GE18="ДГУ"),"I особая",_xlfn.XLOOKUP(A18,Щиты[Щит],Щиты[Категория шины «Ввод»],"III"))))</f>
        <v/>
      </c>
      <c r="GH18" t="str">
        <f>IF(A18="","",_xlfn.XLOOKUP(A18,Щиты[Щит],Щиты[Путь],""))</f>
        <v>|ВРУ|ЩБП|</v>
      </c>
      <c r="GI18" t="str">
        <f>IF(B18="","",IF(AI18&lt;&gt;"",AI18,IF(IFERROR(_xlfn.XLOOKUP(BC18,Коды_код,Коды_вид)&amp;"","")="","Прочее",_xlfn.XLOOKUP(BC18,Коды_код,Коды_вид)&amp;"")))</f>
        <v>Рабочее освещение</v>
      </c>
      <c r="GJ18">
        <f>IF(BM18="","",INT((BM18-1)/Столбцов_на_лист)+1)</f>
        <v>1</v>
      </c>
      <c r="GK18" t="str">
        <f t="shared" si="77"/>
        <v>ВВГнг(А)-LS (2х6) L=27-3,52%</v>
      </c>
      <c r="GL18">
        <f t="shared" si="78"/>
        <v>0.1</v>
      </c>
      <c r="GM18">
        <f t="shared" si="79"/>
        <v>4.17</v>
      </c>
      <c r="GN18">
        <f t="shared" si="80"/>
        <v>1</v>
      </c>
      <c r="GO18">
        <f t="shared" si="81"/>
        <v>0</v>
      </c>
      <c r="GP18">
        <f t="shared" si="82"/>
        <v>1</v>
      </c>
      <c r="GQ18">
        <f>IF(BM18="","",IF(AND(CG18=1,GP18=1),COUNTIFS(A$3:A18,A18,CG$3:CG18,1,GP$3:GP18,1),IF(OR(OR(BA18=1,A18&lt;&gt;A17),AJ18="вручную",GP18=0),"",IF(BA18=1,"",GR17))))</f>
        <v>1</v>
      </c>
      <c r="GR18">
        <f t="shared" si="83"/>
        <v>1</v>
      </c>
      <c r="GS18">
        <f>IF(B18="","",IFERROR(LOOKUP(INDEX(CHOOSE(EB18,Iдоп_1ж,Iдоп_2ж,Iдоп_3ж),MATCH(EN18,Iдоп_S,0))*DZ18*EA18,{6,10,16,20,25,32,40,50,63,80,100,125,160,200,250,315,400,500,630}),""))</f>
        <v>50</v>
      </c>
      <c r="GT18" t="str">
        <f t="shared" si="84"/>
        <v/>
      </c>
      <c r="GU18" t="str">
        <f t="shared" si="85"/>
        <v>QF1</v>
      </c>
      <c r="GV18" t="str">
        <f t="shared" si="86"/>
        <v>МК-5-1 → БП 24V 480W</v>
      </c>
      <c r="GW18">
        <f t="shared" si="87"/>
        <v>1</v>
      </c>
      <c r="GX18" t="str">
        <f>IF(OR(B18="",DJ18=""),"",IFERROR(_xlfn.XLOOKUP(DJ18,Модули_умолч[Управление],Модули_умолч[Модель])&amp;"",""))</f>
        <v/>
      </c>
      <c r="GY18">
        <f>IF(DJ18="",1,IFERROR(MAX(0,N(_xlfn.XLOOKUP(DJ18,Модули_умолч[Управление],Модули_умолч[Каналов на линию]))),1))</f>
        <v>1</v>
      </c>
      <c r="GZ18" t="str">
        <f t="shared" si="88"/>
        <v/>
      </c>
      <c r="HA18" t="str">
        <f t="shared" si="89"/>
        <v>M</v>
      </c>
      <c r="HB18" t="str">
        <f t="shared" si="90"/>
        <v/>
      </c>
      <c r="HC18">
        <f>IF(HB18="",0,IFERROR(N(VLOOKUP(HB18,Модули_спр,3,FALSE)),0))</f>
        <v>0</v>
      </c>
      <c r="HD18" t="str">
        <f t="shared" si="91"/>
        <v/>
      </c>
      <c r="HE18" t="str">
        <f t="shared" si="92"/>
        <v/>
      </c>
      <c r="HF18" t="str">
        <f>IF(OR(HE18="",HE18="-"),"",IFERROR(VLOOKUP(HE18,Модули_спр,2,FALSE),"R"))</f>
        <v/>
      </c>
      <c r="HG18" t="str">
        <f>IF(HF18="","",HF18&amp;"."&amp;COUNTIFS(A$3:A18,A18,HF$3:HF18,HF18))</f>
        <v/>
      </c>
      <c r="HH18" t="str">
        <f t="shared" si="93"/>
        <v>Di.1</v>
      </c>
      <c r="HI18" t="str">
        <f t="shared" si="94"/>
        <v>SMART-DALI-104</v>
      </c>
      <c r="HJ18">
        <f t="shared" si="95"/>
        <v>2</v>
      </c>
      <c r="HK18">
        <f t="shared" si="96"/>
        <v>2</v>
      </c>
      <c r="HL18">
        <f t="shared" si="97"/>
        <v>1</v>
      </c>
      <c r="HM18" t="str">
        <f>IF(HL18=1,"XT"&amp;COUNTIFS(A$3:A18,A18,HL$3:HL18,1),"")</f>
        <v>XT2</v>
      </c>
      <c r="HN18" t="str">
        <f t="shared" si="98"/>
        <v>XT2</v>
      </c>
      <c r="HO18" t="str">
        <f t="shared" si="99"/>
        <v>QF1</v>
      </c>
      <c r="HP18" t="str">
        <f t="shared" si="100"/>
        <v>Di.1</v>
      </c>
      <c r="HQ18" t="str">
        <f t="shared" si="101"/>
        <v>ok</v>
      </c>
      <c r="HR18" t="str">
        <f>IF(OR(HJ18="",HH18=""),"",IF(HJ18+MAX(0,GY18-1)&gt;IFERROR(VLOOKUP(HI18,Модули_спр,3,FALSE),99),"ЛИШНИЙ КАНАЛ",IF(AND(AL18&lt;&gt;"=",GY18&gt;0,COUNTIFS(Линии[_модуль гр.],HH18,Линии[Канал (итог)],HJ18,Линии[Канал],"&lt;&gt;=",Линии[Щит],A18)&gt;1),"ДУБЛЬ КАНАЛА","")))</f>
        <v/>
      </c>
      <c r="HS18" s="6" t="str">
        <f t="shared" si="102"/>
        <v/>
      </c>
      <c r="HT18">
        <f t="shared" si="103"/>
        <v>10</v>
      </c>
      <c r="HU18" t="str">
        <f t="shared" si="104"/>
        <v/>
      </c>
      <c r="HV18">
        <f t="shared" si="105"/>
        <v>0.18232113763882921</v>
      </c>
      <c r="HW18">
        <f t="shared" si="106"/>
        <v>0.49226707162483879</v>
      </c>
      <c r="HX18">
        <f t="shared" si="107"/>
        <v>24.84375</v>
      </c>
      <c r="HY18">
        <f t="shared" si="108"/>
        <v>103.51562500000001</v>
      </c>
      <c r="HZ18">
        <f t="shared" si="109"/>
        <v>278.77412109375001</v>
      </c>
      <c r="IA18">
        <f t="shared" si="110"/>
        <v>24.81</v>
      </c>
      <c r="IB18">
        <f t="shared" si="111"/>
        <v>2</v>
      </c>
      <c r="IC18" t="str">
        <f t="shared" si="112"/>
        <v/>
      </c>
      <c r="ID18" t="str" cm="1">
        <f t="array" ref="ID18">IF(IC18="","",_xlfn.LET(_xlpm.tk,_xlfn.TEXTSPLIT(SUBSTITUTE(SUBSTITUTE(IC18,";"," "),"→"," ")," ",,TRUE),_xlpm.w_,_xlfn._xlws.FILTER(_xlpm.tk,ISNUMBER(--LEFT(_xlpm.tk,1))*((ISNUMBER(SEARCH("W",_xlpm.tk))+ISNUMBER(SEARCH("Вт",_xlpm.tk)))&gt;0),""),IFERROR(--SUBSTITUTE(SUBSTITUTE(UPPER(INDEX(_xlpm.w_,1)),"W",""),"ВТ",""),"")))</f>
        <v/>
      </c>
      <c r="IE18" t="str" cm="1">
        <f t="array" ref="IE18">IF(IC18="","",_xlfn.LET(_xlpm.tk,_xlfn.TEXTSPLIT(SUBSTITUTE(SUBSTITUTE(IC18,";"," "),"→"," ")," ",,TRUE),_xlpm.v_,_xlfn._xlws.FILTER(_xlpm.tk,ISNUMBER(--LEFT(_xlpm.tk,1))*((ISNUMBER(SEARCH("V",_xlpm.tk))+(RIGHT(UPPER(_xlpm.tk))="В"))&gt;0),""),IFERROR(--SUBSTITUTE(SUBSTITUTE(UPPER(INDEX(_xlpm.v_,1)),"V",""),"В",""),"")))</f>
        <v/>
      </c>
      <c r="IF18" s="6">
        <f>IF(OR(BV18=0,HI18="",HJ18=""),"",IFERROR(N(_xlfn.XLOOKUP(HI18,Каталог!$C$4:$C$500,Каталог!$Q$4:$Q$500)),""))</f>
        <v>5</v>
      </c>
      <c r="IG18" s="6">
        <f>IF(N(IF18)=0,"",SUMIFS(Линии[Iр, А],Линии[Щит],A18,Линии[_модуль гр.],HH18,Линии[Канал (итог)],HJ18))</f>
        <v>4.166666666666667</v>
      </c>
      <c r="IH18" t="str">
        <f>IF(AND(B18="",HO18=""),"",_xlfn.TEXTJOIN("; ",TRUE,IF(AND(B18&lt;&gt;"",FV18=""),"нет фазы",""),IF(AND(B18&lt;&gt;"",N(GL18)=0,FG18&lt;&gt;"Нет"),"нет мощности",""),IF(AND(HN18&lt;&gt;"",COUNTIFS(Линии[Щит],A18,Линии[Клемма (итог)],HN18)&gt;1),"дубль клеммы "&amp;HN18,""),IF(AND(HQ18&lt;&gt;"",HQ18&lt;&gt;"ok"),HQ18,""),IF(HR18&lt;&gt;"",HR18,""),IF(AND(N(CB18)&gt;=4,N(BX18)=1),CB18&amp;" жил на 1 фазе",""),IF(AND(BC18="R",CG18=1,IF(CS18&lt;&gt;"",N(CV18)&gt;30,OR(N(DA18)=0,N(DA18)&gt;30))),"розетка без дифзащиты до 30 мА",""),IF(AND(CG18=1,N(DA18)&gt;0,ISNUMBER(T18)),IF(T18&gt;N(DA18)/3,"ток утечки "&amp;FIXED(T18,1)&amp;" мА &gt; 1/3 уставки ("&amp;DA18&amp;" мА)",""),""),IF(AND(CH18=1,CS18=""),"«узо»: нет строки с УЗО выше (УЗО 2P 40А 30мА в «Аппаратах»)",""),IF(AND(CS18&lt;&gt;"",CS18=BA18),IF(CT18="","впишите номинал УЗО (УЗО 2P 40А 30мА)",IF(N(CT18)&lt;N(DT18),"УЗО "&amp;CT18&amp;" А &lt; автомата "&amp;DT18&amp;" А перед ним",IF(N(CT18)&lt;N(CX18),"УЗО "&amp;CT18&amp;" А &lt; тока блока "&amp;FIXED(CX18,1)&amp;" А",""))),""),IF(AND(CS18&lt;&gt;"",CS18=BA18,ISNUMBER(CY18)),IF(CY18&gt;N(CV18)/3,"ток утечки блока УЗО "&amp;FIXED(CY18,1)&amp;" мА &gt; 1/3 уставки ("&amp;CV18&amp;" мА)",""),""),IF(AND(CG18=1,N(BV18)+N(IB18)&gt;0,IC18=""),"линии до 50 В без БП: впишите в «Аппараты» (БП 24V 480W)",""),IF(AND(CG18=1,ISNUMBER(ID18),ISNUMBER(U18)),IF(U18&gt;ID18,"БП "&amp;ID18&amp;" Вт &lt; нужно "&amp;U18&amp;" Вт (×"&amp;Запас_БП&amp;")",""),""),IF(AND(CG18=1,ISNUMBER(IE18),N(BV18)=1),IF(IE18&lt;&gt;N(BU18),"БП на "&amp;IE18&amp;" В, линия "&amp;BU18&amp;" В",""),""),IF(AND(N(IF18)&gt;0,N(IG18)&gt;N(IF18)),HH18&amp;" канал "&amp;HJ18&amp;": "&amp;FIXED(IG18,1)&amp;" А &gt; "&amp;IF18&amp;" А",""),IFERROR(IF(AND(ISNUMBER(Q18),Q18&gt;EL18),"потери "&amp;FIXED(Q18,1)&amp;" % &gt; "&amp;EL18&amp;" %",""),""),IFERROR(IF(LEFT(HU18,4)="мало","Iкз мало — отключение &gt; 0,4 с",""),""),IF(AND(B18&lt;&gt;"",BM18=""),"не на схеме",""),IF(AND(CG18=0,B18&lt;&gt;"",FV18&lt;&gt;"",IF(BA18=1,"",FW17)&lt;&gt;"",FV18&lt;&gt;IF(BA18=1,"",FW17)),"фаза не как у автомата группы ("&amp;IF(BA18=1,"",FW17)&amp;")","")))</f>
        <v/>
      </c>
      <c r="II18" s="6" t="str">
        <f>IF(OR(CG18=0,DQ18=""),"",_xlfn.LET(_xlpm.t,IFERROR(_xlfn.XLOOKUP(DQ18,Каталог!$U$4:$U$500,Каталог!$G$4:$G$500),""),_xlpm.k,SEARCH("кА",_xlpm.t),IFERROR(--TRIM(RIGHT(SUBSTITUTE(MID(_xlpm.t,MAX(1,_xlpm.k-4),_xlpm.k-MAX(1,_xlpm.k-4))," ",REPT(" ",9)),5)),"")))</f>
        <v/>
      </c>
      <c r="IJ18" t="str">
        <f>IF(OR(II18="",CG18=0),"",IF(_xlfn.XLOOKUP(A18,Щиты[Щит],Щиты[Iкз max на шинах, кА],"")="","",IF(II18&lt;_xlfn.XLOOKUP(A18,Щиты[Щит],Щиты[Iкз max на шинах, кА]),"Icu "&amp;II18&amp;" кА &lt; Iкз max","ok")))</f>
        <v/>
      </c>
      <c r="IK18" t="str">
        <f t="shared" si="113"/>
        <v/>
      </c>
      <c r="IL18" t="str">
        <f t="shared" si="114"/>
        <v>QF1|МК-5-1|БП 24V 480W|Di.1 к.2|XT2</v>
      </c>
      <c r="IM18" t="str">
        <f t="shared" si="115"/>
        <v>QF1|МК-5-1|БП 24V 480W|Di.1 к.2|XT2|кабель ВВГнг(А)-LS (2х6) → LED-лента 24 В, пом. 01</v>
      </c>
      <c r="IN18" t="str" cm="1">
        <f t="array" ref="IN18">IF(IM18="","",_xlfn.LET(_xlpm.nd,_xlfn.TEXTSPLIT(IM18,"|"),IF(COLUMNS(_xlpm.nd)&gt;1,A18&amp;"¦"&amp;INDEX(_xlpm.nd,1)&amp;"¦"&amp;INDEX(_xlpm.nd,2),"")))</f>
        <v>ЩБП¦QF1¦МК-5-1</v>
      </c>
      <c r="IO18" t="str">
        <f t="shared" si="116"/>
        <v>LD.1.01.2¦LED-лента 24 В, пом. 01</v>
      </c>
      <c r="IP18" t="str" cm="1">
        <f t="array" ref="IP18">IF(IM18="","",_xlfn.LET(_xlpm.nd,_xlfn.TEXTSPLIT(IM18,"|"),IF(COLUMNS(_xlpm.nd)&gt;2,A18&amp;"¦"&amp;INDEX(_xlpm.nd,2)&amp;"¦"&amp;INDEX(_xlpm.nd,3),"")))</f>
        <v>ЩБП¦МК-5-1¦БП 24V 480W</v>
      </c>
      <c r="IQ18" t="str">
        <f t="shared" si="117"/>
        <v>LD.1.01.2¦LED-лента 24 В, пом. 01</v>
      </c>
      <c r="IR18" t="str" cm="1">
        <f t="array" ref="IR18">IF(IM18="","",_xlfn.LET(_xlpm.nd,_xlfn.TEXTSPLIT(IM18,"|"),IF(COLUMNS(_xlpm.nd)&gt;3,A18&amp;"¦"&amp;INDEX(_xlpm.nd,3)&amp;"¦"&amp;INDEX(_xlpm.nd,4),"")))</f>
        <v>ЩБП¦БП 24V 480W¦Di.1 к.2</v>
      </c>
      <c r="IS18" t="str">
        <f t="shared" si="118"/>
        <v>LD.1.01.2¦LED-лента 24 В, пом. 01</v>
      </c>
      <c r="IT18" t="str" cm="1">
        <f t="array" ref="IT18">IF(IM18="","",_xlfn.LET(_xlpm.nd,_xlfn.TEXTSPLIT(IM18,"|"),IF(COLUMNS(_xlpm.nd)&gt;4,A18&amp;"¦"&amp;INDEX(_xlpm.nd,4)&amp;"¦"&amp;INDEX(_xlpm.nd,5),"")))</f>
        <v>ЩБП¦Di.1 к.2¦XT2</v>
      </c>
      <c r="IU18" t="str">
        <f t="shared" si="119"/>
        <v>LD.1.01.2¦LED-лента 24 В, пом. 01</v>
      </c>
      <c r="IV18" t="str" cm="1">
        <f t="array" ref="IV18">IF(IM18="","",_xlfn.LET(_xlpm.nd,_xlfn.TEXTSPLIT(IM18,"|"),IF(COLUMNS(_xlpm.nd)&gt;5,A18&amp;"¦"&amp;INDEX(_xlpm.nd,5)&amp;"¦"&amp;INDEX(_xlpm.nd,6),"")))</f>
        <v>ЩБП¦XT2¦кабель ВВГнг(А)-LS (2х6) → LED-лента 24 В, пом. 01</v>
      </c>
      <c r="IW18" t="str">
        <f t="shared" si="120"/>
        <v>LD.1.01.2¦LED-лента 24 В, пом. 01</v>
      </c>
      <c r="IX18" t="str" cm="1">
        <f t="array" ref="IX18">IF(IM18="","",_xlfn.LET(_xlpm.nd,_xlfn.TEXTSPLIT(IM18,"|"),IF(COLUMNS(_xlpm.nd)&gt;6,A18&amp;"¦"&amp;INDEX(_xlpm.nd,6)&amp;"¦"&amp;INDEX(_xlpm.nd,7),"")))</f>
        <v/>
      </c>
      <c r="IY18" t="str">
        <f t="shared" si="121"/>
        <v/>
      </c>
      <c r="IZ18" t="str">
        <f t="shared" si="122"/>
        <v>SMART-DALI-104</v>
      </c>
      <c r="JA18" t="str">
        <f t="shared" si="123"/>
        <v>QF1 → МК-5-1 → БП 24V 480W → Di.1 к.2 → XT2</v>
      </c>
      <c r="JB18">
        <f t="shared" si="124"/>
        <v>0</v>
      </c>
      <c r="JC18">
        <f t="shared" si="125"/>
        <v>0</v>
      </c>
      <c r="JD18" t="str">
        <f t="shared" si="126"/>
        <v/>
      </c>
      <c r="JE18" t="str">
        <f t="shared" si="127"/>
        <v/>
      </c>
      <c r="JF18" t="str">
        <f t="shared" si="128"/>
        <v/>
      </c>
      <c r="JG18" t="str">
        <f t="shared" si="129"/>
        <v/>
      </c>
      <c r="JH18" t="str">
        <f>IF(B18="","",IFERROR(_xlfn.XLOOKUP(B18,Коды_код,Коды_уго),IFERROR(_xlfn.XLOOKUP(BC18,Коды_код,Коды_уго),IFERROR(_xlfn.XLOOKUP(LEFT(BC18,2),Коды_код,Коды_уго),""))))</f>
        <v>Светильник</v>
      </c>
      <c r="JI18" t="str">
        <f>IF(B18="","",IF(OR(JH18="",JH18=0),"BOX",IFERROR(IF(VLOOKUP(JH18,УГО_блоки,3,FALSE)&amp;""&lt;&gt;"",VLOOKUP(JH18,УГО_блоки,3,FALSE),VLOOKUP(JH18,УГО_блоки,2,FALSE)),JH18)))</f>
        <v>LAMP</v>
      </c>
      <c r="JJ18">
        <f t="shared" si="130"/>
        <v>1</v>
      </c>
      <c r="JK18" t="str">
        <f>IF(DQ18="","",IF(COUNTIF(DQ$3:DQ18,DQ18)=1,MAX(JK$2:JK17)+1,""))</f>
        <v/>
      </c>
      <c r="JL18" t="str">
        <f>IF(DE18="","",IF(COUNTIF(DE$3:DE18,DE18)+COUNTIF(DF$2:DF17,DE18)+COUNTIF(DG$2:DG17,DE18)=1,MAX(JL$2:JN17)+1,""))</f>
        <v/>
      </c>
      <c r="JM18" t="str">
        <f>IF(DF18="","",IF(COUNTIF(DE$3:DE18,DF18)+COUNTIF(DF$3:DF18,DF18)+COUNTIF(DG$2:DG17,DF18)=1,MAX(JL$2:JN17,JL18)+1,""))</f>
        <v/>
      </c>
      <c r="JN18" t="str">
        <f>IF(DG18="","",IF(COUNTIF(DE$3:DE18,DG18)+COUNTIF(DF$3:DF18,DG18)+COUNTIF(DG$3:DG18,DG18)=1,MAX(JL$2:JN17,JL18,JM18)+1,""))</f>
        <v/>
      </c>
      <c r="JO18" t="str">
        <f t="shared" si="131"/>
        <v>2х6</v>
      </c>
      <c r="JP18">
        <f>IF(JO18="","",IF(COUNTIF(JO$3:JO18,JO18)=1,MAX(JP$2:JP17)+1,""))</f>
        <v>8</v>
      </c>
      <c r="JQ18" t="str">
        <f>IF(HG18="","",COUNTIF(HG$3:HG18,"?*"))</f>
        <v/>
      </c>
      <c r="JR18" t="str">
        <f>IF(OR(HG18="",HI18=""),"",IF(COUNTIFS(HG$3:HG18,"?*",HI$3:HI18,HI18)=1,MAX(JR$2:JR17)+1,""))</f>
        <v/>
      </c>
      <c r="JS18">
        <f t="shared" si="132"/>
        <v>0</v>
      </c>
      <c r="JT18">
        <f>IF(B18="","",COUNTIF(B$3:B18,"?*"))</f>
        <v>16</v>
      </c>
      <c r="JU18">
        <f>IF(HL18&lt;&gt;1,0,_xlfn.LET(_xlpm.k,MAX(IFERROR(--_xlfn.XLOOKUP(B18,Коды_код,Коды_3L),0),IFERROR(--_xlfn.XLOOKUP(BC18,Коды_код,Коды_3L),0),IFERROR(--_xlfn.XLOOKUP(LEFT(BC18,2),Коды_код,Коды_3L),0)),IF(_xlpm.k&gt;0,_xlpm.k,IF(IFERROR(--LEFT(SUBSTITUTE(JO18,"x","х"),FIND("х",SUBSTITUTE(JO18,"x","х"))-1),3)&gt;3,Каталог!$S$9,1))))</f>
        <v>1</v>
      </c>
      <c r="JV18">
        <f t="shared" si="133"/>
        <v>0</v>
      </c>
      <c r="JW18" t="str">
        <f t="shared" si="134"/>
        <v/>
      </c>
      <c r="JX18" t="str">
        <f t="shared" si="135"/>
        <v/>
      </c>
      <c r="JY18" t="str">
        <f t="shared" si="136"/>
        <v/>
      </c>
      <c r="JZ18">
        <f t="shared" si="137"/>
        <v>1</v>
      </c>
    </row>
    <row r="19" spans="1:286" x14ac:dyDescent="0.3">
      <c r="A19" t="s">
        <v>945</v>
      </c>
      <c r="B19" t="s">
        <v>1199</v>
      </c>
      <c r="C19" t="s">
        <v>1244</v>
      </c>
      <c r="E19">
        <v>0.12</v>
      </c>
      <c r="F19" t="s">
        <v>1198</v>
      </c>
      <c r="G19" t="str">
        <f>Линии[[#This Row],[_авто автомат]]</f>
        <v>↑ 1P С10А</v>
      </c>
      <c r="H19" t="str">
        <f>Линии[[#This Row],[_авто управление]]</f>
        <v/>
      </c>
      <c r="I19" t="str">
        <f>Линии[[#This Row],[_авто аппараты]]</f>
        <v/>
      </c>
      <c r="J19">
        <f>Линии[[#This Row],[_авто сечение]]</f>
        <v>10</v>
      </c>
      <c r="K19">
        <v>33</v>
      </c>
      <c r="L19" t="str">
        <f>Линии[[#This Row],[_авто фаза]]</f>
        <v>L1</v>
      </c>
      <c r="M19" t="str">
        <f>Линии[[#This Row],[_авто клемма]]</f>
        <v>XT3</v>
      </c>
      <c r="N19" t="str">
        <f t="shared" si="0"/>
        <v/>
      </c>
      <c r="O19" s="6" cm="1">
        <f t="array" ref="O19">IF(B19="","",IF(BH19&lt;&gt;"",IFERROR(_xlfn.XLOOKUP(BH19,Щиты[Щит],Щиты[Iр, А]),""),IF(BP19=1,IF(OR(N(_xlfn.XLOOKUP(A19,Щиты[Щит],Щиты[Вводов],1))&lt;=1,LOWER(TRIM(_xlfn.XLOOKUP(A19,Щиты[Щит],Щиты[АВР],"")&amp;""))="да"),IFERROR(_xlfn.XLOOKUP(A19,Щиты[Щит],Щиты[Iр, А]),""),IFERROR(N(BS19)*_xlfn.XLOOKUP(A19,Щиты[Щит],Щиты[Кс итог])/(SQRT(3)*Uн_лин*_xlfn.XLOOKUP(A19,Щиты[Щит],Щиты[cos φ])),"")),IF(BV19=1,IFERROR(BS19*1000/BU19,""),IFERROR(_xlfn.IFS(BX19=1,BS19/((Uн_лин/SQRT(3))*CE19),BX19=3,BS19/(SQRT(3)*Uн_лин*CE19)),"")))))</f>
        <v>5</v>
      </c>
      <c r="P19" s="7">
        <f>IF(B19="","",IFERROR(IF(VLOOKUP(BC19,Потребители_обозначение,4,FALSE)=1,VLOOKUP(BC19,Потребители_обозначение,3,FALSE)*(MAX(1,N(D19))*2-1)+EI19+VLOOKUP(BE19,Этаж_обозначение,3,FALSE)+VLOOKUP(BE19,Этаж_обозначение,4,FALSE),VLOOKUP(BC19,Потребители_обозначение,3,FALSE)*(MAX(1,N(D19))*2-1)+EI19),EI19))</f>
        <v>36</v>
      </c>
      <c r="Q19" s="6">
        <f t="shared" si="1"/>
        <v>3.38</v>
      </c>
      <c r="R19" t="str">
        <f t="shared" si="2"/>
        <v>ВВГнг(А)-LS (2х10)</v>
      </c>
      <c r="S19" t="str">
        <f>IF(BM19="","",IF(BN19="вводной узел","узел ","")&amp;"л."&amp;(INT((BM19-1)/Столбцов_на_лист)+1)&amp;" / "&amp;(MOD(BM19-1,Столбцов_на_лист)+1))</f>
        <v>л.1 / 5</v>
      </c>
      <c r="T19" s="119" t="str">
        <f t="shared" si="3"/>
        <v/>
      </c>
      <c r="U19" s="7" t="str">
        <f>IF(OR(CG19=0,N(BV19)+N(IB19)=0),"",ROUNDUP(Запас_БП*(N(HY19)+N(HZ19)),0))</f>
        <v/>
      </c>
      <c r="V19" s="119" t="str">
        <f t="shared" si="4"/>
        <v/>
      </c>
      <c r="W19" s="7" t="str">
        <f>IFERROR(IF(OR(B19="",BP19=1,BV19=1,NOT(ISNUMBER(EN19)),N(DT19)=0),"",MAX(0,ROUNDDOWN((c_min*(Uн_лин*1000/SQRT(3))/(HT19*N(DT19))-_xlfn.XLOOKUP(A19,Щиты[Щит],Щиты[Zпетли на шинах, Ом]))*EN19/(2*ρкз_Cu),0))),"")</f>
        <v/>
      </c>
      <c r="Y19" t="str">
        <f>Линии[[#This Row],[_авто утечка]]</f>
        <v/>
      </c>
      <c r="Z19">
        <v>1</v>
      </c>
      <c r="AA19">
        <v>24</v>
      </c>
      <c r="AB19" t="str">
        <f>Линии[[#This Row],[_авто группа Кс]]</f>
        <v>Быт</v>
      </c>
      <c r="AK19" t="str">
        <f>Линии[[#This Row],[_авто модуль]]</f>
        <v/>
      </c>
      <c r="AN19" t="s">
        <v>11</v>
      </c>
      <c r="AO19">
        <v>2</v>
      </c>
      <c r="BA19" cm="1">
        <f t="array" ref="BA19">ROW()-ROW(Линии[#Headers])</f>
        <v>17</v>
      </c>
      <c r="BC19" s="6" t="str">
        <f t="shared" si="5"/>
        <v>LD</v>
      </c>
      <c r="BD19" t="str">
        <f t="shared" si="6"/>
        <v>1.02.1</v>
      </c>
      <c r="BE19" t="str">
        <f t="shared" si="7"/>
        <v>1</v>
      </c>
      <c r="BF19" t="str">
        <f t="shared" si="8"/>
        <v>02.1</v>
      </c>
      <c r="BG19" t="str">
        <f t="shared" si="9"/>
        <v>02</v>
      </c>
      <c r="BH19" t="str">
        <f>IF(X19&lt;&gt;"",X19,IF(AND(B19&lt;&gt;"",B19&lt;&gt;A19,ISNUMBER(_xlfn.XMATCH(B19,Щиты[Щит]))),B19,""))</f>
        <v/>
      </c>
      <c r="BI19" t="str" cm="1">
        <f t="array" ref="BI19">IF(B19="","",IF(BH19&lt;&gt;"","Щит "&amp;BH19,_xlfn.LET(_xlpm.nm,IFERROR(_xlfn.XLOOKUP(BC19,Коды_код,Коды_имя)&amp;"",""),_xlpm.md,IFERROR(N(_xlfn.XLOOKUP(BC19,Коды_код,Коды_режим)),1),_xlpm.ex,IF(Имя_режим="по экспликации",IFERROR(_xlfn.XLOOKUP(BE19&amp;"|"&amp;BG19,Экспликация[Этаж]&amp;"|"&amp;Экспликация[Помещение],Экспликация[Название])&amp;"",""),""),_xlpm.rm,IF(BG19="","",IF(_xlpm.ex&lt;&gt;"",". "&amp;_xlpm.ex&amp;IF(Имя_пом="нет"," ("&amp;BG19&amp;")"," (пом. "&amp;BG19&amp;")"),IF(Имя_пом="нет"," ",", пом. ")&amp;BG19)),IF(_xlpm.nm="","",IF(_xlpm.md=2,_xlpm.nm&amp;" шлейф "&amp;BE19,_xlpm.nm&amp;_xlpm.rm)))))</f>
        <v>Питание подсветок, пом. 02</v>
      </c>
      <c r="BJ19" t="str">
        <f t="shared" si="10"/>
        <v>LED-лента 24 В, пом. 02</v>
      </c>
      <c r="BK19">
        <f>IFERROR(_xlfn.XMATCH(A19,Щиты[Щит]),0)</f>
        <v>2</v>
      </c>
      <c r="BL19">
        <f>_xlfn.LET(_xlpm.k,IFERROR(_xlfn.XLOOKUP(A19,Щиты[Щит],Щиты[Мест под вводной узел]),""),IF(_xlpm.k="",Столбцов_на_лист,N(_xlpm.k)))</f>
        <v>2</v>
      </c>
      <c r="BM19">
        <f t="shared" si="11"/>
        <v>5</v>
      </c>
      <c r="BN19" t="str">
        <f t="shared" si="12"/>
        <v>линии</v>
      </c>
      <c r="BO19" s="6">
        <f>IFERROR(N(_xlfn.XLOOKUP(BC19,Коды_код,Коды_квт)),0)</f>
        <v>0</v>
      </c>
      <c r="BP19">
        <f t="shared" si="13"/>
        <v>0</v>
      </c>
      <c r="BQ19" t="str">
        <f>IF(B19="","",IF(BH19&lt;&gt;"",IFERROR(_xlfn.XLOOKUP(BH19,Щиты[Щит],Щиты[Руст, кВт]),0),IF(BP19=1,IF(OR(N(_xlfn.XLOOKUP(A19,Щиты[Щит],Щиты[Вводов],1))&lt;=1,LOWER(TRIM(_xlfn.XLOOKUP(A19,Щиты[Щит],Щиты[АВР],"")&amp;""))="да"),IFERROR(_xlfn.XLOOKUP(A19,Щиты[Щит],Щиты[Руст, кВт]),0),SUMIFS(Линии[_Р для вводов],Линии[Щит],A19,Линии[Источник для режимов],GF19)),IF(BO19&gt;0,ROUND(BO19*MAX(1,N(D19)),3),""))))</f>
        <v/>
      </c>
      <c r="BR19">
        <f t="shared" si="14"/>
        <v>0.12</v>
      </c>
      <c r="BS19" s="6">
        <f>IF(B19="","",IF(BH19&lt;&gt;"",IFERROR(_xlfn.XLOOKUP(BH19,Щиты[Щит],Щиты[Руст, кВт]),0),N(BR19)))</f>
        <v>0.12</v>
      </c>
      <c r="BT19" t="str">
        <f>IF(B19="","",IFERROR(IF(VLOOKUP(BC19,Потребители_обозначение,8,FALSE)=0,"",VLOOKUP(BC19,Потребители_обозначение,8,FALSE)),""))</f>
        <v/>
      </c>
      <c r="BU19">
        <f t="shared" si="15"/>
        <v>24</v>
      </c>
      <c r="BV19">
        <f t="shared" si="16"/>
        <v>1</v>
      </c>
      <c r="BW19">
        <f>IF(B19="","",IF(BH19&lt;&gt;"",3,IFERROR(IF(N(VLOOKUP(BC19,Потребители_обозначение,9,FALSE))=0,1,VLOOKUP(BC19,Потребители_обозначение,9,FALSE)),1)))</f>
        <v>1</v>
      </c>
      <c r="BX19">
        <f t="shared" si="17"/>
        <v>1</v>
      </c>
      <c r="BY19" t="str">
        <f>IF(B19="","",_xlfn.LET(_xlpm.bc,IFERROR(IF(VLOOKUP(BC19,Потребители_обозначение,6,FALSE)=0,"",VLOOKUP(BC19,Потребители_обозначение,6,FALSE)&amp;""),""),IF(AND(GA19="да",OR(_xlpm.bc="",_xlpm.bc="мс")),Марка_пож,IF(AND(_xlpm.bc="",BH19&lt;&gt;""),"мс",_xlpm.bc))))</f>
        <v>мс</v>
      </c>
      <c r="BZ19" t="str">
        <f t="shared" si="18"/>
        <v>мс</v>
      </c>
      <c r="CA19">
        <f>IF(B19="","",_xlfn.LET(_xlpm.cc,IFERROR(N(VLOOKUP(BC19,Потребители_обозначение,7,FALSE)),0),IF(_xlpm.cc&gt;0,_xlpm.cc,IF(BZ19="","",IF(BV19=1,2,IF(N(BX19)=3,5,3))))))</f>
        <v>2</v>
      </c>
      <c r="CB19">
        <f t="shared" si="19"/>
        <v>2</v>
      </c>
      <c r="CC19">
        <f>IFERROR(N(VLOOKUP(BC19,Потребители_обозначение,10,FALSE)),0)</f>
        <v>0</v>
      </c>
      <c r="CD19">
        <f>IFERROR(VLOOKUP(BC19,Потребители_обозначение,5,FALSE),0)</f>
        <v>1</v>
      </c>
      <c r="CE19" s="6" cm="1">
        <f t="array" ref="CE19">IF(B19="","",IF(BH19&lt;&gt;"",IFERROR(_xlfn.XLOOKUP(BH19,Щиты[Щит],Щиты[cos φ]),0.95),IF(BP19=1,IFERROR(_xlfn.XLOOKUP(A19,Щиты[Щит],Щиты[cos φ]),0.95),IF(ISNUMBER(AD19),AD19,IFERROR(IF(CD19=2,_xlfn.IFS(BX19=3,VLOOKUP(BS19,Справочная_двигатели,8,FALSE),BX19=1,VLOOKUP(BS19,Справочная_двигатели,10,TRUE)),IF(AND(Методика="нормы 2026",FG19="Сил"),0.8,0.95)),0.95)))))</f>
        <v>0.95</v>
      </c>
      <c r="CF19">
        <f t="shared" si="20"/>
        <v>1</v>
      </c>
      <c r="CG19">
        <f t="shared" si="21"/>
        <v>0</v>
      </c>
      <c r="CH19">
        <f t="shared" si="22"/>
        <v>0</v>
      </c>
      <c r="CI19">
        <f>IF(B19="","",IF(BV19=1,IFERROR(BS19/((Uн_лин/SQRT(3))*MAX(0.5,N(CE19))),0),N(O19)))</f>
        <v>0.54696341291648753</v>
      </c>
      <c r="CJ19">
        <f t="shared" si="23"/>
        <v>0.68370426614560942</v>
      </c>
      <c r="CK19">
        <f t="shared" si="24"/>
        <v>0.15</v>
      </c>
      <c r="CL19">
        <f t="shared" si="25"/>
        <v>1</v>
      </c>
      <c r="CM19">
        <f t="shared" si="26"/>
        <v>10</v>
      </c>
      <c r="CN19">
        <f t="shared" si="27"/>
        <v>0</v>
      </c>
      <c r="CO19">
        <f>IF(BC19="",0,_xlfn.LET(_xlpm.v,IFERROR(_xlfn.XLOOKUP(B19,Коды_код,Коды_мА),IFERROR(_xlfn.XLOOKUP(BC19,Коды_код,Коды_мА),IFERROR(_xlfn.XLOOKUP(LEFT(BC19,2),Коды_код,Коды_мА),""))),IF(_xlpm.v="да",30,IF(ISNUMBER(_xlpm.v),_xlpm.v,0))))</f>
        <v>0</v>
      </c>
      <c r="CP19" t="str">
        <f t="shared" si="28"/>
        <v/>
      </c>
      <c r="CQ19" t="str">
        <f>_xlfn.LET(_xlpm.k,IFERROR(_xlfn.XLOOKUP(BC19,Коды_код,Коды_утечка)&amp;"",""),IF(_xlpm.k="","дифавтомат",_xlpm.k))</f>
        <v>дифавтомат</v>
      </c>
      <c r="CR19" t="str" cm="1">
        <f t="array" ref="CR19">IF(CG19=0,"",_xlfn.LET(_xlpm.sg,TRIM(_xlfn.TEXTSPLIT(DD19&amp;"",";")),_xlpm.f_,_xlfn._xlws.FILTER(_xlpm.sg,LEFT(_xlpm.sg,3)="УЗО",""),IFERROR(INDEX(_xlpm.f_,1)&amp;"","")))</f>
        <v/>
      </c>
      <c r="CS19" t="str">
        <f t="shared" si="29"/>
        <v/>
      </c>
      <c r="CT19" s="6" t="str" cm="1">
        <f t="array" ref="CT19">IF(CR19="","",_xlfn.LET(_xlpm.tk,_xlfn.TEXTSPLIT(UPPER(CR19)," ",,TRUE),_xlpm.a_,_xlfn._xlws.FILTER(_xlpm.tk,ISNUMBER(--LEFT(_xlpm.tk,1))*((ISNUMBER(SEARCH("А",_xlpm.tk))+ISNUMBER(SEARCH("A",_xlpm.tk)))&gt;0)*NOT(ISNUMBER(SEARCH("МА",_xlpm.tk)))*NOT(ISNUMBER(SEARCH("MA",_xlpm.tk))),""),IFERROR(--SUBSTITUTE(SUBSTITUTE(INDEX(_xlpm.a_,1),"А",""),"A",""),"")))</f>
        <v/>
      </c>
      <c r="CU19" t="str" cm="1">
        <f t="array" ref="CU19">IF(CR19="","",_xlfn.LET(_xlpm.tk,_xlfn.TEXTSPLIT(UPPER(CR19)," ",,TRUE),_xlpm.a_,_xlfn._xlws.FILTER(_xlpm.tk,ISNUMBER(--LEFT(_xlpm.tk,1))*((ISNUMBER(SEARCH("МА",_xlpm.tk))+ISNUMBER(SEARCH("MA",_xlpm.tk)))&gt;0),""),IFERROR(--SUBSTITUTE(SUBSTITUTE(INDEX(_xlpm.a_,1),"МА",""),"MA",""),30)))</f>
        <v/>
      </c>
      <c r="CV19" t="str">
        <f>IF(CS19="","",IFERROR(_xlfn.XLOOKUP(CS19,Линии[_n],Линии[_УЗО, мА]),30))</f>
        <v/>
      </c>
      <c r="CW19">
        <f>IF(CS19="",0,IF(ISNUMBER(SEARCH("4P",IFERROR(_xlfn.XLOOKUP(CS19,Линии[_n],Линии[_УЗО строки])&amp;"",""))),0,1))</f>
        <v>0</v>
      </c>
      <c r="CX19" t="str">
        <f>IF(AND(CS19&lt;&gt;"",CS19=BA19),SUMIFS(Линии[_ток на 230 В],Линии[_блок УЗО],BA19,Линии[Щит],A19),"")</f>
        <v/>
      </c>
      <c r="CY19" t="str">
        <f>IF(AND(CS19&lt;&gt;"",CS19=BA19),SUMIFS(Линии[_ток утечки линии, мА],Линии[_блок УЗО],BA19,Линии[Щит],A19),"")</f>
        <v/>
      </c>
      <c r="CZ19">
        <f t="shared" si="30"/>
        <v>0</v>
      </c>
      <c r="DA19" t="str">
        <f t="shared" si="31"/>
        <v/>
      </c>
      <c r="DB19">
        <f>IF(B19="",0,IFERROR(--_xlfn.XLOOKUP(B19,Коды_код,Коды_минавт),IFERROR(--_xlfn.XLOOKUP(BC19,Коды_код,Коды_минавт),IFERROR(--_xlfn.XLOOKUP(LEFT(BC19,2),Коды_код,Коды_минавт),0))))</f>
        <v>10</v>
      </c>
      <c r="DC19" t="str">
        <f>IF(B19="","",IFERROR(_xlfn.XLOOKUP(BC19,Коды_код,Коды_апп)&amp;"",""))</f>
        <v/>
      </c>
      <c r="DD19" t="str">
        <f t="shared" si="32"/>
        <v/>
      </c>
      <c r="DE19" t="str" cm="1">
        <f t="array" ref="DE19">IF(TRIM(DD19&amp;"")="","",IFERROR(TRIM(INDEX(_xlfn.TEXTSPLIT(DD19&amp;";;;",";"),1)),""))</f>
        <v/>
      </c>
      <c r="DF19" t="str" cm="1">
        <f t="array" ref="DF19">IF(TRIM(DD19&amp;"")="","",IFERROR(TRIM(INDEX(_xlfn.TEXTSPLIT(DD19&amp;";;;",";"),2)),""))</f>
        <v/>
      </c>
      <c r="DG19" t="str" cm="1">
        <f t="array" ref="DG19">IF(TRIM(DD19&amp;"")="","",IFERROR(TRIM(INDEX(_xlfn.TEXTSPLIT(DD19&amp;";;;",";"),3)),""))</f>
        <v/>
      </c>
      <c r="DH19">
        <f t="shared" si="33"/>
        <v>0</v>
      </c>
      <c r="DI19" t="str">
        <f>IF(B19="","",_xlfn.LET(_xlpm.t,LOWER(AZ19&amp;""),IF(ISNUMBER(SEARCH("dim",_xlpm.t)),"DIM",IF(ISNUMBER(SEARCH("dali",_xlpm.t)),"DALI",IF(OR(ISNUMBER(SEARCH("relay",_xlpm.t)),ISNUMBER(SEARCH("реле",_xlpm.t))),"Relay",IF(ISNUMBER(SEARCH("кнопк",_xlpm.t)),"",IFERROR(_xlfn.XLOOKUP(BC19,Коды_код,Коды_упр)&amp;"","")))))))</f>
        <v/>
      </c>
      <c r="DJ19" t="str">
        <f t="shared" si="34"/>
        <v/>
      </c>
      <c r="DK19">
        <f>IF(B19="","",_xlfn.LET(_xlpm.ig,IF(N(CX19)&gt;0,N(CX19),N(CI19)+IF(AJ19="вручную",0,N(CJ19))),_xlpm.n0,IFERROR(VLOOKUP(_xlpm.ig,Автомат_номиналы,2,TRUE),0),_xlpm.mn,MAX(DB19,IF(AJ19="вручную",0,N(CM19))),MAX(_xlpm.n0,_xlpm.mn,IF(DH19=1,Мин_автомат_БП,0))))</f>
        <v>10</v>
      </c>
      <c r="DL19">
        <f t="shared" si="35"/>
        <v>1</v>
      </c>
      <c r="DM19" t="str">
        <f t="shared" si="36"/>
        <v>1P</v>
      </c>
      <c r="DN19" t="str">
        <f>_xlfn.LET(_xlpm.cc,UPPER(TRIM(IFERROR(_xlfn.XLOOKUP(BC19,Коды_код,Коды_хар)&amp;"",""))),IF(OR(_xlpm.cc="B",_xlpm.cc="В"),"B",IF(_xlpm.cc="D","D","С")))</f>
        <v>С</v>
      </c>
      <c r="DO19" t="str">
        <f t="shared" si="37"/>
        <v>↑ 1P С10А</v>
      </c>
      <c r="DP19" t="str">
        <f t="shared" si="38"/>
        <v>↑ 1P С10А</v>
      </c>
      <c r="DQ19" t="str">
        <f t="shared" si="39"/>
        <v/>
      </c>
      <c r="DR19" t="str" cm="1">
        <f t="array" ref="DR19">IF(DQ19="","",_xlfn.LET(_xlpm.t,SUBSTITUTE(SUBSTITUTE(SUBSTITUTE(UPPER(DQ19),"С","C"),"А","A"),"В","B"),_xlpm.tk,_xlfn.TEXTSPLIT(_xlpm.t," "),_xlpm.f,_xlfn._xlws.FILTER(_xlpm.tk,ISNUMBER(--MID(_xlpm.tk,2,1))*ISNUMBER(SEARCH(LEFT(_xlpm.tk,1)&amp;"#","B#C#D#"))*(LEN(_xlpm.tk)&gt;1),""),_xlpm.x,INDEX(_xlpm.f,1),IFERROR(--SUBSTITUTE(MID(_xlpm.x,2,9),"A",""),IFERROR(--SUBSTITUTE(INDEX(_xlfn._xlws.FILTER(_xlpm.tk,ISNUMBER(--SUBSTITUTE(_xlpm.tk,"A","")),""),1),"A",""),""))))</f>
        <v/>
      </c>
      <c r="DS19" t="str">
        <f t="shared" si="40"/>
        <v>ok</v>
      </c>
      <c r="DT19">
        <f t="shared" si="41"/>
        <v>10</v>
      </c>
      <c r="DU19" t="str">
        <f t="shared" si="42"/>
        <v>1P С10А</v>
      </c>
      <c r="DV19">
        <f t="shared" si="43"/>
        <v>0</v>
      </c>
      <c r="DW19">
        <f t="shared" si="44"/>
        <v>0</v>
      </c>
      <c r="DX19">
        <f t="shared" si="45"/>
        <v>1</v>
      </c>
      <c r="DY19" t="str">
        <f t="shared" si="46"/>
        <v/>
      </c>
      <c r="DZ19">
        <f t="shared" si="47"/>
        <v>1</v>
      </c>
      <c r="EA19">
        <f>IF(ISNUMBER(AP19),AP19,К_прокл)</f>
        <v>1</v>
      </c>
      <c r="EB19">
        <f t="shared" si="48"/>
        <v>2</v>
      </c>
      <c r="EC19">
        <f>IFERROR(N(VLOOKUP(BZ19,Кабель_обозначение,3,FALSE)),1)</f>
        <v>1</v>
      </c>
      <c r="ED19">
        <f>IFERROR(N(_xlfn.XLOOKUP(A19,Щиты[Щит],Щиты[ΔU до шин, %])),0)</f>
        <v>0.58602884987279757</v>
      </c>
      <c r="EE19">
        <f>IFERROR(_xlfn.XLOOKUP(A19,Щиты[Щит],Щиты[Zпетли на шинах, Ом]),"")</f>
        <v>0.50164496021506877</v>
      </c>
      <c r="EF19">
        <f>IFERROR(N(_xlfn.XLOOKUP(A19,Щиты[Щит],Щиты[ΔU до шин (подбор), %])),0)</f>
        <v>0.58602884987279757</v>
      </c>
      <c r="EG19">
        <f>IFERROR(_xlfn.XLOOKUP(A19,Щиты[Щит],Щиты[Zпетли на шинах (подбор), Ом]),"")</f>
        <v>0.50164496021506877</v>
      </c>
      <c r="EH19" t="str">
        <f t="shared" si="49"/>
        <v/>
      </c>
      <c r="EI19">
        <f t="shared" si="50"/>
        <v>33</v>
      </c>
      <c r="EJ19">
        <f t="shared" si="51"/>
        <v>2</v>
      </c>
      <c r="EK19">
        <f t="shared" si="52"/>
        <v>0.31</v>
      </c>
      <c r="EL19" s="6">
        <f>IF(B19="","",IF(BV19=1,dU_LED,IF(IFERROR(_xlfn.XLOOKUP(BC19,Коды_код,Коды_уго),"")="Светильник",3,4)+IF(Методика="нормы 2026",MIN(0.5,MAX(0,N(P19)-100)*0.005),0)))</f>
        <v>5</v>
      </c>
      <c r="EM19" cm="1">
        <f t="array" ref="EM19">IF(OR(B19="",BZ19="",EC19&lt;&gt;1),"",_xlfn.LET(_xlpm.sz,Iдоп_S,_xlpm.t_,CHOOSE(EB19,Iдоп_1ж,Iдоп_2ж,Iдоп_3ж)*DZ19*EA19,_xlpm.dcx,BV19=1,_xlpm.inn,IF(_xlpm.dcx,N(O19),N(DT19)),_xlpm.smin,MAX(1.5,CC19),_xlpm.L_,N(P19)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19)/N(BU19)*100,999),IFERROR(N(EJ19)*(_xlpm.rho*_xlpm.L_/_xlpm.sz*N(CE19)+_xlpm.xx*_xlpm.L_*N(EK19)/1000)*N(O19)/((Uн_лин/SQRT(3))*1000)*100,999)),_xlpm.kz,IF(OR(_xlpm.dcx,DW19=1,NOT(ISNUMBER(EG19)),_xlpm.L_=0,_xlpm.inn=0),1,IFERROR(--(c_min*(Uн_лин*1000/SQRT(3))/(EG19+2*ρкз_Cu*_xlpm.L_/_xlpm.sz)&gt;=HT19*_xlpm.inn),0)),_xlpm.ok,IFERROR((_xlpm.sz&gt;=_xlpm.smin)*(_xlpm.t_&gt;=_xlpm.inn)*IF(_xlpm.L_&gt;0,(_xlpm.du_+IF(_xlpm.dcx,0,EF19)&lt;=EL19+0.00001),1)*_xlpm.kz,0),_xlpm.r_,_xlfn._xlws.FILTER(_xlpm.sz,_xlpm.ok,"не подобрано"),INDEX(_xlpm.r_,1)))</f>
        <v>10</v>
      </c>
      <c r="EN19">
        <f t="shared" si="53"/>
        <v>10</v>
      </c>
      <c r="EO19" cm="1">
        <f t="array" ref="EO19">IF(OR(B19="",BZ19="",EC19&lt;&gt;1),"",_xlfn.LET(_xlpm.sz,Iдоп_S,_xlpm.t_,CHOOSE(EB19,Iдоп_1ж,Iдоп_2ж,Iдоп_3ж)*DZ19*EA19,_xlpm.ok,IFERROR((_xlpm.sz&gt;=MAX(1.5,CC19))*(_xlpm.t_&gt;=N(DT19)),0),_xlpm.r_,_xlfn._xlws.FILTER(_xlpm.sz,_xlpm.ok,""),INDEX(_xlpm.r_,1)))</f>
        <v>1.5</v>
      </c>
      <c r="EP19" s="6" cm="1">
        <f t="array" ref="EP19">IFERROR(ROUNDUP(N(EJ19)*(_xlfn.XLOOKUP(EO19,INDEX(Кабель_сопротивление,0,1),INDEX(Кабель_сопротивление,0,3))*N(P19)/EO19*N(CE19)+_xlfn.XLOOKUP(EO19,INDEX(Кабель_сопротивление,0,1),INDEX(Кабель_сопротивление,0,2))*N(P19)*N(EK19)/1000)*N(O19)/((Uн_лин/SQRT(3))*1000)*100,2),"")</f>
        <v>2.23</v>
      </c>
      <c r="EQ19">
        <f>IFERROR(2*ρкз_Cu*N(P19)/EO19,"")</f>
        <v>1.2624</v>
      </c>
      <c r="ER19">
        <f>IFERROR(VLOOKUP(EN19,Кабель_сопротивление,3,FALSE),"")</f>
        <v>2.2499999999999999E-2</v>
      </c>
      <c r="ES19">
        <f>IFERROR(VLOOKUP(EN19,Кабель_сопротивление,2,FALSE),"")</f>
        <v>7.2999999999999995E-2</v>
      </c>
      <c r="ET19" t="str">
        <f t="shared" si="54"/>
        <v/>
      </c>
      <c r="EU19" t="str">
        <f t="shared" si="55"/>
        <v/>
      </c>
      <c r="EV19">
        <f t="shared" si="56"/>
        <v>0.80999999999999983</v>
      </c>
      <c r="EW19" s="6">
        <f>IFERROR(ROUNDUP(EV19/IF(BV19=1,BU19,(Uн_лин/SQRT(3))*1000)*100,2),"")</f>
        <v>3.38</v>
      </c>
      <c r="EX19" t="str">
        <f>IFERROR(VLOOKUP(BZ19,Кабель_обозначение,2,FALSE),"")</f>
        <v>ВВГнг(А)-LS</v>
      </c>
      <c r="EY19" t="str">
        <f t="shared" si="57"/>
        <v>ВВГнг(А)-LS (2х10)</v>
      </c>
      <c r="EZ19" t="str">
        <f t="shared" si="58"/>
        <v>ВВГнг(А)-LS (2х10)
L=36-3,38%</v>
      </c>
      <c r="FA19">
        <f>IFERROR(2*ρкз_Cu*P19/EN19,"")</f>
        <v>0.18936</v>
      </c>
      <c r="FB19">
        <f t="shared" si="59"/>
        <v>6.3000000000000014E-2</v>
      </c>
      <c r="FC19" s="6" t="str">
        <f>IFERROR(IF(OR(B19="",BV19=1,NOT(ISNUMBER(EN19)),N(P19)=0),"",_xlfn.XLOOKUP(A19,Щиты[Щит],Щиты[Zпетли на шинах, Ом])+FA19),"")</f>
        <v/>
      </c>
      <c r="FD19" s="6" t="str">
        <f>IF(ISNUMBER(FC19),c_min*(Uн_лин*1000/SQRT(3))/FC19,"")</f>
        <v/>
      </c>
      <c r="FE19" s="6">
        <f>IFERROR(IF(OR(B19="",NOT(ISNUMBER(EN19))),"",1.05*(Uн_лин*1000/SQRT(3))/(_xlfn.XLOOKUP(A19,Щиты[Щит],Щиты[Zmax на шинах, Ом])+FB19)/1000),"")</f>
        <v>1.0970769012871153</v>
      </c>
      <c r="FF19" s="6" t="str">
        <f>IF(B19="","",IF(ISNUMBER(AC19),"Сил",IF(IFERROR(_xlfn.XLOOKUP(BC19,Коды_код,Коды_группа)&amp;"","")="","Быт",_xlfn.XLOOKUP(BC19,Коды_код,Коды_группа)&amp;"")))</f>
        <v>Быт</v>
      </c>
      <c r="FG19" s="6" t="str">
        <f t="shared" si="60"/>
        <v>Быт</v>
      </c>
      <c r="FH19" s="6">
        <f>IF(FG19="Щит","щит",IF(FG19="","",IF(FG19="Быт",IFERROR(_xlfn.XLOOKUP(A19,Щиты[Щит],Щиты[Кс быт]),1),IF(FG19="Сил",IF(ISNUMBER(AC19),AC19,IF(Методика="нормы 2026",IFERROR(_xlfn.XLOOKUP(A19,Щиты[Щит],Щиты[Кс силовых (табл. 7.5)]),1),1)),IF(OR(FG19="Пост",FG19="Отоп"),1,IF(FG19="ВНГ",0.7,0))))))</f>
        <v>0.8</v>
      </c>
      <c r="FI19">
        <f>IF(FG19="","",IF(AND(BP19=1,TRIM(AE19&amp;"")=""),IF(COUNTIFS(Линии[Щит],A19,Линии[Секция (1/2/3)],"&gt;=2")&gt;0,MIN(3,MAX(1,IFERROR(--BD19,1))),1),IFERROR(MIN(3,MAX(1,INT(--AE19))),1)))</f>
        <v>1</v>
      </c>
      <c r="FJ19">
        <f t="shared" si="61"/>
        <v>0.12</v>
      </c>
      <c r="FK19">
        <f t="shared" si="62"/>
        <v>0.12</v>
      </c>
      <c r="FL19">
        <f t="shared" si="63"/>
        <v>0</v>
      </c>
      <c r="FM19">
        <f t="shared" si="64"/>
        <v>0</v>
      </c>
      <c r="FN19">
        <f t="shared" si="65"/>
        <v>0</v>
      </c>
      <c r="FO19">
        <f t="shared" si="66"/>
        <v>0</v>
      </c>
      <c r="FP19">
        <f t="shared" si="67"/>
        <v>0.12</v>
      </c>
      <c r="FQ19">
        <f t="shared" si="68"/>
        <v>0.12</v>
      </c>
      <c r="FR19">
        <f t="shared" si="69"/>
        <v>0.11399999999999999</v>
      </c>
      <c r="FS19">
        <f>IF(CG19=1,IF(AND(CH19=1,CW19=1),0,IF(AND(CS19&lt;&gt;"",CS19=BA19,CW19=1),SUMIFS(Линии[_Р линии, кВт],Линии[_блок УЗО],BA19,Линии[Щит],A19),N(BS19)+IF(AJ19="вручную",0,N(CK19)))),0)</f>
        <v>0</v>
      </c>
      <c r="FT19" t="str">
        <f t="shared" si="70"/>
        <v/>
      </c>
      <c r="FU19" t="str">
        <f>IF(B19="","",IF(CG19=0,IF(BA19=1,"",FW18),IF(AND(CH19=1,CW19=1,CS19&lt;&gt;""),IFERROR(_xlfn.XLOOKUP(CS19,Линии[_n],Линии[_фаза итог]),"L1"),IF(OR(N(DL19)&gt;=3,N(BX19)&gt;=3),"L1,L2,L3",IFERROR(_xlfn.TEXTBEFORE(_xlfn.TEXTAFTER(_xlfn.XLOOKUP(A19,Щиты[Щит],Щиты[_фазы авто]),";"&amp;BA19&amp;":"),";"),"L1")))))</f>
        <v>L1</v>
      </c>
      <c r="FV19" t="str">
        <f t="shared" si="71"/>
        <v>L1</v>
      </c>
      <c r="FW19" t="str">
        <f t="shared" si="72"/>
        <v>L1</v>
      </c>
      <c r="FX19" cm="1">
        <f t="array" ref="FX19">IFERROR(IF(CD19=2,_xlfn.IFS(BX19=3,VLOOKUP(BS19,Справочная_двигатели,3,FALSE),BX19=1,VLOOKUP(BS19,Справочная_двигатели,5,TRUE)),0),0)</f>
        <v>0</v>
      </c>
      <c r="FY19">
        <f>IFERROR(IF(CD19=3,VLOOKUP(BS19,Справочная_ЛЭД,2,TRUE),0),0)</f>
        <v>0</v>
      </c>
      <c r="FZ19" s="6">
        <f t="shared" si="73"/>
        <v>0</v>
      </c>
      <c r="GA19" t="str">
        <f>IF(B19="","",IF(TRIM(AH19&amp;"")&lt;&gt;"",IF(LOWER(TRIM(AH19&amp;""))="да","да","нет"),IF(IFERROR(_xlfn.XLOOKUP(BC19,Коды_код,Коды_пожарная),"")="да","да","нет")))</f>
        <v>нет</v>
      </c>
      <c r="GB19" t="str">
        <f t="shared" si="74"/>
        <v/>
      </c>
      <c r="GC19" t="str">
        <f t="shared" si="75"/>
        <v>основная</v>
      </c>
      <c r="GD19">
        <f>IF(AND(BP19=1,TRIM(AE19&amp;"")=""),IF(COUNTIFS(Линии[Щит],A19,Линии[Секция (1/2/3)],"&gt;=2")&gt;0,MIN(3,MAX(1,IFERROR(--BD19,1))),1),IFERROR(MIN(3,MAX(1,INT(--AE19))),1))</f>
        <v>1</v>
      </c>
      <c r="GE19" t="str" cm="1">
        <f t="array" ref="GE19">IF(B19="","",_xlfn.LET(_xlpm.t,IFERROR(_xlfn.XLOOKUP(1,(Шины[Шина]=GC19)*(((Шины[Щит]=A19)+(Шины[Щит]=""))&gt;0),Шины[Тип]),"")&amp;"",IF(_xlpm.t&lt;&gt;"",_xlpm.t,IF(ISNUMBER(SEARCH("ИБП",GC19)),"ИБП",IF(ISNUMBER(SEARCH("ДГУ",GC19)),"ДГУ","Ввод "&amp;GD19)))))</f>
        <v>Ввод 1</v>
      </c>
      <c r="GF19" t="str">
        <f t="shared" si="76"/>
        <v>Ввод 1</v>
      </c>
      <c r="GG19" t="str">
        <f>IF(BP19=0,"",IF(TRIM(AG19&amp;"")&lt;&gt;"",TRIM(AG19&amp;""),IF(OR(GE19="ИБП",GE19="ДГУ"),"I особая",_xlfn.XLOOKUP(A19,Щиты[Щит],Щиты[Категория шины «Ввод»],"III"))))</f>
        <v/>
      </c>
      <c r="GH19" t="str">
        <f>IF(A19="","",_xlfn.XLOOKUP(A19,Щиты[Щит],Щиты[Путь],""))</f>
        <v>|ВРУ|ЩБП|</v>
      </c>
      <c r="GI19" t="str">
        <f>IF(B19="","",IF(AI19&lt;&gt;"",AI19,IF(IFERROR(_xlfn.XLOOKUP(BC19,Коды_код,Коды_вид)&amp;"","")="","Прочее",_xlfn.XLOOKUP(BC19,Коды_код,Коды_вид)&amp;"")))</f>
        <v>Рабочее освещение</v>
      </c>
      <c r="GJ19">
        <f>IF(BM19="","",INT((BM19-1)/Столбцов_на_лист)+1)</f>
        <v>1</v>
      </c>
      <c r="GK19" t="str">
        <f t="shared" si="77"/>
        <v>ВВГнг(А)-LS (2х10) L=36-3,38%</v>
      </c>
      <c r="GL19">
        <f t="shared" si="78"/>
        <v>0.12</v>
      </c>
      <c r="GM19">
        <f t="shared" si="79"/>
        <v>5</v>
      </c>
      <c r="GN19">
        <f t="shared" si="80"/>
        <v>1</v>
      </c>
      <c r="GO19">
        <f t="shared" si="81"/>
        <v>0</v>
      </c>
      <c r="GP19">
        <f t="shared" si="82"/>
        <v>1</v>
      </c>
      <c r="GQ19">
        <f>IF(BM19="","",IF(AND(CG19=1,GP19=1),COUNTIFS(A$3:A19,A19,CG$3:CG19,1,GP$3:GP19,1),IF(OR(OR(BA19=1,A19&lt;&gt;A18),AJ19="вручную",GP19=0),"",IF(BA19=1,"",GR18))))</f>
        <v>1</v>
      </c>
      <c r="GR19">
        <f t="shared" si="83"/>
        <v>1</v>
      </c>
      <c r="GS19">
        <f>IF(B19="","",IFERROR(LOOKUP(INDEX(CHOOSE(EB19,Iдоп_1ж,Iдоп_2ж,Iдоп_3ж),MATCH(EN19,Iдоп_S,0))*DZ19*EA19,{6,10,16,20,25,32,40,50,63,80,100,125,160,200,250,315,400,500,630}),""))</f>
        <v>63</v>
      </c>
      <c r="GT19" t="str">
        <f t="shared" si="84"/>
        <v/>
      </c>
      <c r="GU19" t="str">
        <f t="shared" si="85"/>
        <v>QF1</v>
      </c>
      <c r="GV19" t="str">
        <f t="shared" si="86"/>
        <v>МК-5-1 → БП 24V 480W</v>
      </c>
      <c r="GW19">
        <f t="shared" si="87"/>
        <v>1</v>
      </c>
      <c r="GX19" t="str">
        <f>IF(OR(B19="",DJ19=""),"",IFERROR(_xlfn.XLOOKUP(DJ19,Модули_умолч[Управление],Модули_умолч[Модель])&amp;"",""))</f>
        <v/>
      </c>
      <c r="GY19">
        <f>IF(DJ19="",1,IFERROR(MAX(0,N(_xlfn.XLOOKUP(DJ19,Модули_умолч[Управление],Модули_умолч[Каналов на линию]))),1))</f>
        <v>1</v>
      </c>
      <c r="GZ19" t="str">
        <f t="shared" si="88"/>
        <v/>
      </c>
      <c r="HA19" t="str">
        <f t="shared" si="89"/>
        <v>M</v>
      </c>
      <c r="HB19" t="str">
        <f t="shared" si="90"/>
        <v/>
      </c>
      <c r="HC19">
        <f>IF(HB19="",0,IFERROR(N(VLOOKUP(HB19,Модули_спр,3,FALSE)),0))</f>
        <v>0</v>
      </c>
      <c r="HD19" t="str">
        <f t="shared" si="91"/>
        <v/>
      </c>
      <c r="HE19" t="str">
        <f t="shared" si="92"/>
        <v/>
      </c>
      <c r="HF19" t="str">
        <f>IF(OR(HE19="",HE19="-"),"",IFERROR(VLOOKUP(HE19,Модули_спр,2,FALSE),"R"))</f>
        <v/>
      </c>
      <c r="HG19" t="str">
        <f>IF(HF19="","",HF19&amp;"."&amp;COUNTIFS(A$3:A19,A19,HF$3:HF19,HF19))</f>
        <v/>
      </c>
      <c r="HH19" t="str">
        <f t="shared" si="93"/>
        <v>Di.1</v>
      </c>
      <c r="HI19" t="str">
        <f t="shared" si="94"/>
        <v>SMART-DALI-104</v>
      </c>
      <c r="HJ19">
        <f t="shared" si="95"/>
        <v>3</v>
      </c>
      <c r="HK19">
        <f t="shared" si="96"/>
        <v>3</v>
      </c>
      <c r="HL19">
        <f t="shared" si="97"/>
        <v>1</v>
      </c>
      <c r="HM19" t="str">
        <f>IF(HL19=1,"XT"&amp;COUNTIFS(A$3:A19,A19,HL$3:HL19,1),"")</f>
        <v>XT3</v>
      </c>
      <c r="HN19" t="str">
        <f t="shared" si="98"/>
        <v>XT3</v>
      </c>
      <c r="HO19" t="str">
        <f t="shared" si="99"/>
        <v>QF1</v>
      </c>
      <c r="HP19" t="str">
        <f t="shared" si="100"/>
        <v>Di.1</v>
      </c>
      <c r="HQ19" t="str">
        <f t="shared" si="101"/>
        <v>ok</v>
      </c>
      <c r="HR19" t="str">
        <f>IF(OR(HJ19="",HH19=""),"",IF(HJ19+MAX(0,GY19-1)&gt;IFERROR(VLOOKUP(HI19,Модули_спр,3,FALSE),99),"ЛИШНИЙ КАНАЛ",IF(AND(AL19&lt;&gt;"=",GY19&gt;0,COUNTIFS(Линии[_модуль гр.],HH19,Линии[Канал (итог)],HJ19,Линии[Канал],"&lt;&gt;=",Линии[Щит],A19)&gt;1),"ДУБЛЬ КАНАЛА","")))</f>
        <v/>
      </c>
      <c r="HS19" s="6" t="str">
        <f t="shared" si="102"/>
        <v/>
      </c>
      <c r="HT19">
        <f t="shared" si="103"/>
        <v>10</v>
      </c>
      <c r="HU19" t="str">
        <f t="shared" si="104"/>
        <v/>
      </c>
      <c r="HV19">
        <f t="shared" si="105"/>
        <v>0.21878536516659502</v>
      </c>
      <c r="HW19">
        <f t="shared" si="106"/>
        <v>0.27348170645824377</v>
      </c>
      <c r="HX19">
        <f t="shared" si="107"/>
        <v>24.81</v>
      </c>
      <c r="HY19">
        <f t="shared" si="108"/>
        <v>124.05</v>
      </c>
      <c r="HZ19">
        <f t="shared" si="109"/>
        <v>154.72412109375</v>
      </c>
      <c r="IA19">
        <f t="shared" si="110"/>
        <v>24.755859375</v>
      </c>
      <c r="IB19">
        <f t="shared" si="111"/>
        <v>1</v>
      </c>
      <c r="IC19" t="str">
        <f t="shared" si="112"/>
        <v/>
      </c>
      <c r="ID19" t="str" cm="1">
        <f t="array" ref="ID19">IF(IC19="","",_xlfn.LET(_xlpm.tk,_xlfn.TEXTSPLIT(SUBSTITUTE(SUBSTITUTE(IC19,";"," "),"→"," ")," ",,TRUE),_xlpm.w_,_xlfn._xlws.FILTER(_xlpm.tk,ISNUMBER(--LEFT(_xlpm.tk,1))*((ISNUMBER(SEARCH("W",_xlpm.tk))+ISNUMBER(SEARCH("Вт",_xlpm.tk)))&gt;0),""),IFERROR(--SUBSTITUTE(SUBSTITUTE(UPPER(INDEX(_xlpm.w_,1)),"W",""),"ВТ",""),"")))</f>
        <v/>
      </c>
      <c r="IE19" t="str" cm="1">
        <f t="array" ref="IE19">IF(IC19="","",_xlfn.LET(_xlpm.tk,_xlfn.TEXTSPLIT(SUBSTITUTE(SUBSTITUTE(IC19,";"," "),"→"," ")," ",,TRUE),_xlpm.v_,_xlfn._xlws.FILTER(_xlpm.tk,ISNUMBER(--LEFT(_xlpm.tk,1))*((ISNUMBER(SEARCH("V",_xlpm.tk))+(RIGHT(UPPER(_xlpm.tk))="В"))&gt;0),""),IFERROR(--SUBSTITUTE(SUBSTITUTE(UPPER(INDEX(_xlpm.v_,1)),"V",""),"В",""),"")))</f>
        <v/>
      </c>
      <c r="IF19" s="6">
        <f>IF(OR(BV19=0,HI19="",HJ19=""),"",IFERROR(N(_xlfn.XLOOKUP(HI19,Каталог!$C$4:$C$500,Каталог!$Q$4:$Q$500)),""))</f>
        <v>5</v>
      </c>
      <c r="IG19" s="6">
        <f>IF(N(IF19)=0,"",SUMIFS(Линии[Iр, А],Линии[Щит],A19,Линии[_модуль гр.],HH19,Линии[Канал (итог)],HJ19))</f>
        <v>5</v>
      </c>
      <c r="IH19" t="str">
        <f>IF(AND(B19="",HO19=""),"",_xlfn.TEXTJOIN("; ",TRUE,IF(AND(B19&lt;&gt;"",FV19=""),"нет фазы",""),IF(AND(B19&lt;&gt;"",N(GL19)=0,FG19&lt;&gt;"Нет"),"нет мощности",""),IF(AND(HN19&lt;&gt;"",COUNTIFS(Линии[Щит],A19,Линии[Клемма (итог)],HN19)&gt;1),"дубль клеммы "&amp;HN19,""),IF(AND(HQ19&lt;&gt;"",HQ19&lt;&gt;"ok"),HQ19,""),IF(HR19&lt;&gt;"",HR19,""),IF(AND(N(CB19)&gt;=4,N(BX19)=1),CB19&amp;" жил на 1 фазе",""),IF(AND(BC19="R",CG19=1,IF(CS19&lt;&gt;"",N(CV19)&gt;30,OR(N(DA19)=0,N(DA19)&gt;30))),"розетка без дифзащиты до 30 мА",""),IF(AND(CG19=1,N(DA19)&gt;0,ISNUMBER(T19)),IF(T19&gt;N(DA19)/3,"ток утечки "&amp;FIXED(T19,1)&amp;" мА &gt; 1/3 уставки ("&amp;DA19&amp;" мА)",""),""),IF(AND(CH19=1,CS19=""),"«узо»: нет строки с УЗО выше (УЗО 2P 40А 30мА в «Аппаратах»)",""),IF(AND(CS19&lt;&gt;"",CS19=BA19),IF(CT19="","впишите номинал УЗО (УЗО 2P 40А 30мА)",IF(N(CT19)&lt;N(DT19),"УЗО "&amp;CT19&amp;" А &lt; автомата "&amp;DT19&amp;" А перед ним",IF(N(CT19)&lt;N(CX19),"УЗО "&amp;CT19&amp;" А &lt; тока блока "&amp;FIXED(CX19,1)&amp;" А",""))),""),IF(AND(CS19&lt;&gt;"",CS19=BA19,ISNUMBER(CY19)),IF(CY19&gt;N(CV19)/3,"ток утечки блока УЗО "&amp;FIXED(CY19,1)&amp;" мА &gt; 1/3 уставки ("&amp;CV19&amp;" мА)",""),""),IF(AND(CG19=1,N(BV19)+N(IB19)&gt;0,IC19=""),"линии до 50 В без БП: впишите в «Аппараты» (БП 24V 480W)",""),IF(AND(CG19=1,ISNUMBER(ID19),ISNUMBER(U19)),IF(U19&gt;ID19,"БП "&amp;ID19&amp;" Вт &lt; нужно "&amp;U19&amp;" Вт (×"&amp;Запас_БП&amp;")",""),""),IF(AND(CG19=1,ISNUMBER(IE19),N(BV19)=1),IF(IE19&lt;&gt;N(BU19),"БП на "&amp;IE19&amp;" В, линия "&amp;BU19&amp;" В",""),""),IF(AND(N(IF19)&gt;0,N(IG19)&gt;N(IF19)),HH19&amp;" канал "&amp;HJ19&amp;": "&amp;FIXED(IG19,1)&amp;" А &gt; "&amp;IF19&amp;" А",""),IFERROR(IF(AND(ISNUMBER(Q19),Q19&gt;EL19),"потери "&amp;FIXED(Q19,1)&amp;" % &gt; "&amp;EL19&amp;" %",""),""),IFERROR(IF(LEFT(HU19,4)="мало","Iкз мало — отключение &gt; 0,4 с",""),""),IF(AND(B19&lt;&gt;"",BM19=""),"не на схеме",""),IF(AND(CG19=0,B19&lt;&gt;"",FV19&lt;&gt;"",IF(BA19=1,"",FW18)&lt;&gt;"",FV19&lt;&gt;IF(BA19=1,"",FW18)),"фаза не как у автомата группы ("&amp;IF(BA19=1,"",FW18)&amp;")","")))</f>
        <v/>
      </c>
      <c r="II19" s="6" t="str">
        <f>IF(OR(CG19=0,DQ19=""),"",_xlfn.LET(_xlpm.t,IFERROR(_xlfn.XLOOKUP(DQ19,Каталог!$U$4:$U$500,Каталог!$G$4:$G$500),""),_xlpm.k,SEARCH("кА",_xlpm.t),IFERROR(--TRIM(RIGHT(SUBSTITUTE(MID(_xlpm.t,MAX(1,_xlpm.k-4),_xlpm.k-MAX(1,_xlpm.k-4))," ",REPT(" ",9)),5)),"")))</f>
        <v/>
      </c>
      <c r="IJ19" t="str">
        <f>IF(OR(II19="",CG19=0),"",IF(_xlfn.XLOOKUP(A19,Щиты[Щит],Щиты[Iкз max на шинах, кА],"")="","",IF(II19&lt;_xlfn.XLOOKUP(A19,Щиты[Щит],Щиты[Iкз max на шинах, кА]),"Icu "&amp;II19&amp;" кА &lt; Iкз max","ok")))</f>
        <v/>
      </c>
      <c r="IK19" t="str">
        <f t="shared" si="113"/>
        <v/>
      </c>
      <c r="IL19" t="str">
        <f t="shared" si="114"/>
        <v>QF1|МК-5-1|БП 24V 480W|Di.1 к.3|XT3</v>
      </c>
      <c r="IM19" t="str">
        <f t="shared" si="115"/>
        <v>QF1|МК-5-1|БП 24V 480W|Di.1 к.3|XT3|кабель ВВГнг(А)-LS (2х10) → LED-лента 24 В, пом. 02</v>
      </c>
      <c r="IN19" t="str" cm="1">
        <f t="array" ref="IN19">IF(IM19="","",_xlfn.LET(_xlpm.nd,_xlfn.TEXTSPLIT(IM19,"|"),IF(COLUMNS(_xlpm.nd)&gt;1,A19&amp;"¦"&amp;INDEX(_xlpm.nd,1)&amp;"¦"&amp;INDEX(_xlpm.nd,2),"")))</f>
        <v>ЩБП¦QF1¦МК-5-1</v>
      </c>
      <c r="IO19" t="str">
        <f t="shared" si="116"/>
        <v>LD.1.02.1¦LED-лента 24 В, пом. 02</v>
      </c>
      <c r="IP19" t="str" cm="1">
        <f t="array" ref="IP19">IF(IM19="","",_xlfn.LET(_xlpm.nd,_xlfn.TEXTSPLIT(IM19,"|"),IF(COLUMNS(_xlpm.nd)&gt;2,A19&amp;"¦"&amp;INDEX(_xlpm.nd,2)&amp;"¦"&amp;INDEX(_xlpm.nd,3),"")))</f>
        <v>ЩБП¦МК-5-1¦БП 24V 480W</v>
      </c>
      <c r="IQ19" t="str">
        <f t="shared" si="117"/>
        <v>LD.1.02.1¦LED-лента 24 В, пом. 02</v>
      </c>
      <c r="IR19" t="str" cm="1">
        <f t="array" ref="IR19">IF(IM19="","",_xlfn.LET(_xlpm.nd,_xlfn.TEXTSPLIT(IM19,"|"),IF(COLUMNS(_xlpm.nd)&gt;3,A19&amp;"¦"&amp;INDEX(_xlpm.nd,3)&amp;"¦"&amp;INDEX(_xlpm.nd,4),"")))</f>
        <v>ЩБП¦БП 24V 480W¦Di.1 к.3</v>
      </c>
      <c r="IS19" t="str">
        <f t="shared" si="118"/>
        <v>LD.1.02.1¦LED-лента 24 В, пом. 02</v>
      </c>
      <c r="IT19" t="str" cm="1">
        <f t="array" ref="IT19">IF(IM19="","",_xlfn.LET(_xlpm.nd,_xlfn.TEXTSPLIT(IM19,"|"),IF(COLUMNS(_xlpm.nd)&gt;4,A19&amp;"¦"&amp;INDEX(_xlpm.nd,4)&amp;"¦"&amp;INDEX(_xlpm.nd,5),"")))</f>
        <v>ЩБП¦Di.1 к.3¦XT3</v>
      </c>
      <c r="IU19" t="str">
        <f t="shared" si="119"/>
        <v>LD.1.02.1¦LED-лента 24 В, пом. 02</v>
      </c>
      <c r="IV19" t="str" cm="1">
        <f t="array" ref="IV19">IF(IM19="","",_xlfn.LET(_xlpm.nd,_xlfn.TEXTSPLIT(IM19,"|"),IF(COLUMNS(_xlpm.nd)&gt;5,A19&amp;"¦"&amp;INDEX(_xlpm.nd,5)&amp;"¦"&amp;INDEX(_xlpm.nd,6),"")))</f>
        <v>ЩБП¦XT3¦кабель ВВГнг(А)-LS (2х10) → LED-лента 24 В, пом. 02</v>
      </c>
      <c r="IW19" t="str">
        <f t="shared" si="120"/>
        <v>LD.1.02.1¦LED-лента 24 В, пом. 02</v>
      </c>
      <c r="IX19" t="str" cm="1">
        <f t="array" ref="IX19">IF(IM19="","",_xlfn.LET(_xlpm.nd,_xlfn.TEXTSPLIT(IM19,"|"),IF(COLUMNS(_xlpm.nd)&gt;6,A19&amp;"¦"&amp;INDEX(_xlpm.nd,6)&amp;"¦"&amp;INDEX(_xlpm.nd,7),"")))</f>
        <v/>
      </c>
      <c r="IY19" t="str">
        <f t="shared" si="121"/>
        <v/>
      </c>
      <c r="IZ19" t="str">
        <f t="shared" si="122"/>
        <v>SMART-DALI-104</v>
      </c>
      <c r="JA19" t="str">
        <f t="shared" si="123"/>
        <v>QF1 → МК-5-1 → БП 24V 480W → Di.1 к.3 → XT3</v>
      </c>
      <c r="JB19">
        <f t="shared" si="124"/>
        <v>0</v>
      </c>
      <c r="JC19">
        <f t="shared" si="125"/>
        <v>0</v>
      </c>
      <c r="JD19" t="str">
        <f t="shared" si="126"/>
        <v/>
      </c>
      <c r="JE19" t="str">
        <f t="shared" si="127"/>
        <v/>
      </c>
      <c r="JF19" t="str">
        <f t="shared" si="128"/>
        <v/>
      </c>
      <c r="JG19" t="str">
        <f t="shared" si="129"/>
        <v/>
      </c>
      <c r="JH19" t="str">
        <f>IF(B19="","",IFERROR(_xlfn.XLOOKUP(B19,Коды_код,Коды_уго),IFERROR(_xlfn.XLOOKUP(BC19,Коды_код,Коды_уго),IFERROR(_xlfn.XLOOKUP(LEFT(BC19,2),Коды_код,Коды_уго),""))))</f>
        <v>Светильник</v>
      </c>
      <c r="JI19" t="str">
        <f>IF(B19="","",IF(OR(JH19="",JH19=0),"BOX",IFERROR(IF(VLOOKUP(JH19,УГО_блоки,3,FALSE)&amp;""&lt;&gt;"",VLOOKUP(JH19,УГО_блоки,3,FALSE),VLOOKUP(JH19,УГО_блоки,2,FALSE)),JH19)))</f>
        <v>LAMP</v>
      </c>
      <c r="JJ19">
        <f t="shared" si="130"/>
        <v>1</v>
      </c>
      <c r="JK19" t="str">
        <f>IF(DQ19="","",IF(COUNTIF(DQ$3:DQ19,DQ19)=1,MAX(JK$2:JK18)+1,""))</f>
        <v/>
      </c>
      <c r="JL19" t="str">
        <f>IF(DE19="","",IF(COUNTIF(DE$3:DE19,DE19)+COUNTIF(DF$2:DF18,DE19)+COUNTIF(DG$2:DG18,DE19)=1,MAX(JL$2:JN18)+1,""))</f>
        <v/>
      </c>
      <c r="JM19" t="str">
        <f>IF(DF19="","",IF(COUNTIF(DE$3:DE19,DF19)+COUNTIF(DF$3:DF19,DF19)+COUNTIF(DG$2:DG18,DF19)=1,MAX(JL$2:JN18,JL19)+1,""))</f>
        <v/>
      </c>
      <c r="JN19" t="str">
        <f>IF(DG19="","",IF(COUNTIF(DE$3:DE19,DG19)+COUNTIF(DF$3:DF19,DG19)+COUNTIF(DG$3:DG19,DG19)=1,MAX(JL$2:JN18,JL19,JM19)+1,""))</f>
        <v/>
      </c>
      <c r="JO19" t="str">
        <f t="shared" si="131"/>
        <v>2х10</v>
      </c>
      <c r="JP19">
        <f>IF(JO19="","",IF(COUNTIF(JO$3:JO19,JO19)=1,MAX(JP$2:JP18)+1,""))</f>
        <v>9</v>
      </c>
      <c r="JQ19" t="str">
        <f>IF(HG19="","",COUNTIF(HG$3:HG19,"?*"))</f>
        <v/>
      </c>
      <c r="JR19" t="str">
        <f>IF(OR(HG19="",HI19=""),"",IF(COUNTIFS(HG$3:HG19,"?*",HI$3:HI19,HI19)=1,MAX(JR$2:JR18)+1,""))</f>
        <v/>
      </c>
      <c r="JS19">
        <f t="shared" si="132"/>
        <v>0</v>
      </c>
      <c r="JT19">
        <f>IF(B19="","",COUNTIF(B$3:B19,"?*"))</f>
        <v>17</v>
      </c>
      <c r="JU19">
        <f>IF(HL19&lt;&gt;1,0,_xlfn.LET(_xlpm.k,MAX(IFERROR(--_xlfn.XLOOKUP(B19,Коды_код,Коды_3L),0),IFERROR(--_xlfn.XLOOKUP(BC19,Коды_код,Коды_3L),0),IFERROR(--_xlfn.XLOOKUP(LEFT(BC19,2),Коды_код,Коды_3L),0)),IF(_xlpm.k&gt;0,_xlpm.k,IF(IFERROR(--LEFT(SUBSTITUTE(JO19,"x","х"),FIND("х",SUBSTITUTE(JO19,"x","х"))-1),3)&gt;3,Каталог!$S$9,1))))</f>
        <v>1</v>
      </c>
      <c r="JV19">
        <f t="shared" si="133"/>
        <v>0</v>
      </c>
      <c r="JW19" t="str">
        <f t="shared" si="134"/>
        <v/>
      </c>
      <c r="JX19" t="str">
        <f t="shared" si="135"/>
        <v/>
      </c>
      <c r="JY19" t="str">
        <f t="shared" si="136"/>
        <v/>
      </c>
      <c r="JZ19">
        <f t="shared" si="137"/>
        <v>1</v>
      </c>
    </row>
    <row r="20" spans="1:286" x14ac:dyDescent="0.3">
      <c r="A20" t="s">
        <v>945</v>
      </c>
      <c r="B20" t="s">
        <v>1200</v>
      </c>
      <c r="C20" t="s">
        <v>1245</v>
      </c>
      <c r="E20">
        <v>0.15</v>
      </c>
      <c r="F20" t="s">
        <v>1198</v>
      </c>
      <c r="G20" t="str">
        <f>Линии[[#This Row],[_авто автомат]]</f>
        <v>↑ 1P С10А</v>
      </c>
      <c r="H20" t="str">
        <f>Линии[[#This Row],[_авто управление]]</f>
        <v/>
      </c>
      <c r="I20" t="str">
        <f>Линии[[#This Row],[_авто аппараты]]</f>
        <v/>
      </c>
      <c r="J20">
        <f>Линии[[#This Row],[_авто сечение]]</f>
        <v>16</v>
      </c>
      <c r="K20">
        <v>40</v>
      </c>
      <c r="L20" t="str">
        <f>Линии[[#This Row],[_авто фаза]]</f>
        <v>L1</v>
      </c>
      <c r="M20" t="str">
        <f>Линии[[#This Row],[_авто клемма]]</f>
        <v>XT4</v>
      </c>
      <c r="N20" t="str">
        <f t="shared" si="0"/>
        <v>Di.1 канал 4: 6,3 А &gt; 5 А</v>
      </c>
      <c r="O20" s="6" cm="1">
        <f t="array" ref="O20">IF(B20="","",IF(BH20&lt;&gt;"",IFERROR(_xlfn.XLOOKUP(BH20,Щиты[Щит],Щиты[Iр, А]),""),IF(BP20=1,IF(OR(N(_xlfn.XLOOKUP(A20,Щиты[Щит],Щиты[Вводов],1))&lt;=1,LOWER(TRIM(_xlfn.XLOOKUP(A20,Щиты[Щит],Щиты[АВР],"")&amp;""))="да"),IFERROR(_xlfn.XLOOKUP(A20,Щиты[Щит],Щиты[Iр, А]),""),IFERROR(N(BS20)*_xlfn.XLOOKUP(A20,Щиты[Щит],Щиты[Кс итог])/(SQRT(3)*Uн_лин*_xlfn.XLOOKUP(A20,Щиты[Щит],Щиты[cos φ])),"")),IF(BV20=1,IFERROR(BS20*1000/BU20,""),IFERROR(_xlfn.IFS(BX20=1,BS20/((Uн_лин/SQRT(3))*CE20),BX20=3,BS20/(SQRT(3)*Uн_лин*CE20)),"")))))</f>
        <v>6.25</v>
      </c>
      <c r="P20" s="7">
        <f>IF(B20="","",IFERROR(IF(VLOOKUP(BC20,Потребители_обозначение,4,FALSE)=1,VLOOKUP(BC20,Потребители_обозначение,3,FALSE)*(MAX(1,N(D20))*2-1)+EI20+VLOOKUP(BE20,Этаж_обозначение,3,FALSE)+VLOOKUP(BE20,Этаж_обозначение,4,FALSE),VLOOKUP(BC20,Потребители_обозначение,3,FALSE)*(MAX(1,N(D20))*2-1)+EI20),EI20))</f>
        <v>43</v>
      </c>
      <c r="Q20" s="6">
        <f t="shared" si="1"/>
        <v>3.15</v>
      </c>
      <c r="R20" t="str">
        <f t="shared" si="2"/>
        <v>ВВГнг(А)-LS (2х16)</v>
      </c>
      <c r="S20" t="str">
        <f>IF(BM20="","",IF(BN20="вводной узел","узел ","")&amp;"л."&amp;(INT((BM20-1)/Столбцов_на_лист)+1)&amp;" / "&amp;(MOD(BM20-1,Столбцов_на_лист)+1))</f>
        <v>л.1 / 6</v>
      </c>
      <c r="T20" s="119" t="str">
        <f t="shared" si="3"/>
        <v/>
      </c>
      <c r="U20" s="7" t="str">
        <f>IF(OR(CG20=0,N(BV20)+N(IB20)=0),"",ROUNDUP(Запас_БП*(N(HY20)+N(HZ20)),0))</f>
        <v/>
      </c>
      <c r="V20" s="119" t="str">
        <f t="shared" si="4"/>
        <v/>
      </c>
      <c r="W20" s="7" t="str">
        <f>IFERROR(IF(OR(B20="",BP20=1,BV20=1,NOT(ISNUMBER(EN20)),N(DT20)=0),"",MAX(0,ROUNDDOWN((c_min*(Uн_лин*1000/SQRT(3))/(HT20*N(DT20))-_xlfn.XLOOKUP(A20,Щиты[Щит],Щиты[Zпетли на шинах, Ом]))*EN20/(2*ρкз_Cu),0))),"")</f>
        <v/>
      </c>
      <c r="Y20" t="str">
        <f>Линии[[#This Row],[_авто утечка]]</f>
        <v/>
      </c>
      <c r="Z20">
        <v>1</v>
      </c>
      <c r="AA20">
        <v>24</v>
      </c>
      <c r="AB20" t="str">
        <f>Линии[[#This Row],[_авто группа Кс]]</f>
        <v>Быт</v>
      </c>
      <c r="AK20" t="str">
        <f>Линии[[#This Row],[_авто модуль]]</f>
        <v/>
      </c>
      <c r="AN20" t="s">
        <v>11</v>
      </c>
      <c r="AO20">
        <v>2</v>
      </c>
      <c r="BA20" cm="1">
        <f t="array" ref="BA20">ROW()-ROW(Линии[#Headers])</f>
        <v>18</v>
      </c>
      <c r="BC20" s="6" t="str">
        <f t="shared" si="5"/>
        <v>LD</v>
      </c>
      <c r="BD20" t="str">
        <f t="shared" si="6"/>
        <v>1.03.1</v>
      </c>
      <c r="BE20" t="str">
        <f t="shared" si="7"/>
        <v>1</v>
      </c>
      <c r="BF20" t="str">
        <f t="shared" si="8"/>
        <v>03.1</v>
      </c>
      <c r="BG20" t="str">
        <f t="shared" si="9"/>
        <v>03</v>
      </c>
      <c r="BH20" t="str">
        <f>IF(X20&lt;&gt;"",X20,IF(AND(B20&lt;&gt;"",B20&lt;&gt;A20,ISNUMBER(_xlfn.XMATCH(B20,Щиты[Щит]))),B20,""))</f>
        <v/>
      </c>
      <c r="BI20" t="str" cm="1">
        <f t="array" ref="BI20">IF(B20="","",IF(BH20&lt;&gt;"","Щит "&amp;BH20,_xlfn.LET(_xlpm.nm,IFERROR(_xlfn.XLOOKUP(BC20,Коды_код,Коды_имя)&amp;"",""),_xlpm.md,IFERROR(N(_xlfn.XLOOKUP(BC20,Коды_код,Коды_режим)),1),_xlpm.ex,IF(Имя_режим="по экспликации",IFERROR(_xlfn.XLOOKUP(BE20&amp;"|"&amp;BG20,Экспликация[Этаж]&amp;"|"&amp;Экспликация[Помещение],Экспликация[Название])&amp;"",""),""),_xlpm.rm,IF(BG20="","",IF(_xlpm.ex&lt;&gt;"",". "&amp;_xlpm.ex&amp;IF(Имя_пом="нет"," ("&amp;BG20&amp;")"," (пом. "&amp;BG20&amp;")"),IF(Имя_пом="нет"," ",", пом. ")&amp;BG20)),IF(_xlpm.nm="","",IF(_xlpm.md=2,_xlpm.nm&amp;" шлейф "&amp;BE20,_xlpm.nm&amp;_xlpm.rm)))))</f>
        <v>Питание подсветок, пом. 03</v>
      </c>
      <c r="BJ20" t="str">
        <f t="shared" si="10"/>
        <v>LED-лента 24 В, пом. 03</v>
      </c>
      <c r="BK20">
        <f>IFERROR(_xlfn.XMATCH(A20,Щиты[Щит]),0)</f>
        <v>2</v>
      </c>
      <c r="BL20">
        <f>_xlfn.LET(_xlpm.k,IFERROR(_xlfn.XLOOKUP(A20,Щиты[Щит],Щиты[Мест под вводной узел]),""),IF(_xlpm.k="",Столбцов_на_лист,N(_xlpm.k)))</f>
        <v>2</v>
      </c>
      <c r="BM20">
        <f t="shared" si="11"/>
        <v>6</v>
      </c>
      <c r="BN20" t="str">
        <f t="shared" si="12"/>
        <v>линии</v>
      </c>
      <c r="BO20" s="6">
        <f>IFERROR(N(_xlfn.XLOOKUP(BC20,Коды_код,Коды_квт)),0)</f>
        <v>0</v>
      </c>
      <c r="BP20">
        <f t="shared" si="13"/>
        <v>0</v>
      </c>
      <c r="BQ20" t="str">
        <f>IF(B20="","",IF(BH20&lt;&gt;"",IFERROR(_xlfn.XLOOKUP(BH20,Щиты[Щит],Щиты[Руст, кВт]),0),IF(BP20=1,IF(OR(N(_xlfn.XLOOKUP(A20,Щиты[Щит],Щиты[Вводов],1))&lt;=1,LOWER(TRIM(_xlfn.XLOOKUP(A20,Щиты[Щит],Щиты[АВР],"")&amp;""))="да"),IFERROR(_xlfn.XLOOKUP(A20,Щиты[Щит],Щиты[Руст, кВт]),0),SUMIFS(Линии[_Р для вводов],Линии[Щит],A20,Линии[Источник для режимов],GF20)),IF(BO20&gt;0,ROUND(BO20*MAX(1,N(D20)),3),""))))</f>
        <v/>
      </c>
      <c r="BR20">
        <f t="shared" si="14"/>
        <v>0.15</v>
      </c>
      <c r="BS20" s="6">
        <f>IF(B20="","",IF(BH20&lt;&gt;"",IFERROR(_xlfn.XLOOKUP(BH20,Щиты[Щит],Щиты[Руст, кВт]),0),N(BR20)))</f>
        <v>0.15</v>
      </c>
      <c r="BT20" t="str">
        <f>IF(B20="","",IFERROR(IF(VLOOKUP(BC20,Потребители_обозначение,8,FALSE)=0,"",VLOOKUP(BC20,Потребители_обозначение,8,FALSE)),""))</f>
        <v/>
      </c>
      <c r="BU20">
        <f t="shared" si="15"/>
        <v>24</v>
      </c>
      <c r="BV20">
        <f t="shared" si="16"/>
        <v>1</v>
      </c>
      <c r="BW20">
        <f>IF(B20="","",IF(BH20&lt;&gt;"",3,IFERROR(IF(N(VLOOKUP(BC20,Потребители_обозначение,9,FALSE))=0,1,VLOOKUP(BC20,Потребители_обозначение,9,FALSE)),1)))</f>
        <v>1</v>
      </c>
      <c r="BX20">
        <f t="shared" si="17"/>
        <v>1</v>
      </c>
      <c r="BY20" t="str">
        <f>IF(B20="","",_xlfn.LET(_xlpm.bc,IFERROR(IF(VLOOKUP(BC20,Потребители_обозначение,6,FALSE)=0,"",VLOOKUP(BC20,Потребители_обозначение,6,FALSE)&amp;""),""),IF(AND(GA20="да",OR(_xlpm.bc="",_xlpm.bc="мс")),Марка_пож,IF(AND(_xlpm.bc="",BH20&lt;&gt;""),"мс",_xlpm.bc))))</f>
        <v>мс</v>
      </c>
      <c r="BZ20" t="str">
        <f t="shared" si="18"/>
        <v>мс</v>
      </c>
      <c r="CA20">
        <f>IF(B20="","",_xlfn.LET(_xlpm.cc,IFERROR(N(VLOOKUP(BC20,Потребители_обозначение,7,FALSE)),0),IF(_xlpm.cc&gt;0,_xlpm.cc,IF(BZ20="","",IF(BV20=1,2,IF(N(BX20)=3,5,3))))))</f>
        <v>2</v>
      </c>
      <c r="CB20">
        <f t="shared" si="19"/>
        <v>2</v>
      </c>
      <c r="CC20">
        <f>IFERROR(N(VLOOKUP(BC20,Потребители_обозначение,10,FALSE)),0)</f>
        <v>0</v>
      </c>
      <c r="CD20">
        <f>IFERROR(VLOOKUP(BC20,Потребители_обозначение,5,FALSE),0)</f>
        <v>1</v>
      </c>
      <c r="CE20" s="6" cm="1">
        <f t="array" ref="CE20">IF(B20="","",IF(BH20&lt;&gt;"",IFERROR(_xlfn.XLOOKUP(BH20,Щиты[Щит],Щиты[cos φ]),0.95),IF(BP20=1,IFERROR(_xlfn.XLOOKUP(A20,Щиты[Щит],Щиты[cos φ]),0.95),IF(ISNUMBER(AD20),AD20,IFERROR(IF(CD20=2,_xlfn.IFS(BX20=3,VLOOKUP(BS20,Справочная_двигатели,8,FALSE),BX20=1,VLOOKUP(BS20,Справочная_двигатели,10,TRUE)),IF(AND(Методика="нормы 2026",FG20="Сил"),0.8,0.95)),0.95)))))</f>
        <v>0.95</v>
      </c>
      <c r="CF20">
        <f t="shared" si="20"/>
        <v>1</v>
      </c>
      <c r="CG20">
        <f t="shared" si="21"/>
        <v>0</v>
      </c>
      <c r="CH20">
        <f t="shared" si="22"/>
        <v>0</v>
      </c>
      <c r="CI20">
        <f>IF(B20="","",IF(BV20=1,IFERROR(BS20/((Uн_лин/SQRT(3))*MAX(0.5,N(CE20))),0),N(O20)))</f>
        <v>0.68370426614560942</v>
      </c>
      <c r="CJ20">
        <f t="shared" si="23"/>
        <v>0</v>
      </c>
      <c r="CK20">
        <f t="shared" si="24"/>
        <v>0</v>
      </c>
      <c r="CL20">
        <f t="shared" si="25"/>
        <v>0</v>
      </c>
      <c r="CM20">
        <f t="shared" si="26"/>
        <v>0</v>
      </c>
      <c r="CN20">
        <f t="shared" si="27"/>
        <v>0</v>
      </c>
      <c r="CO20">
        <f>IF(BC20="",0,_xlfn.LET(_xlpm.v,IFERROR(_xlfn.XLOOKUP(B20,Коды_код,Коды_мА),IFERROR(_xlfn.XLOOKUP(BC20,Коды_код,Коды_мА),IFERROR(_xlfn.XLOOKUP(LEFT(BC20,2),Коды_код,Коды_мА),""))),IF(_xlpm.v="да",30,IF(ISNUMBER(_xlpm.v),_xlpm.v,0))))</f>
        <v>0</v>
      </c>
      <c r="CP20" t="str">
        <f t="shared" si="28"/>
        <v/>
      </c>
      <c r="CQ20" t="str">
        <f>_xlfn.LET(_xlpm.k,IFERROR(_xlfn.XLOOKUP(BC20,Коды_код,Коды_утечка)&amp;"",""),IF(_xlpm.k="","дифавтомат",_xlpm.k))</f>
        <v>дифавтомат</v>
      </c>
      <c r="CR20" t="str" cm="1">
        <f t="array" ref="CR20">IF(CG20=0,"",_xlfn.LET(_xlpm.sg,TRIM(_xlfn.TEXTSPLIT(DD20&amp;"",";")),_xlpm.f_,_xlfn._xlws.FILTER(_xlpm.sg,LEFT(_xlpm.sg,3)="УЗО",""),IFERROR(INDEX(_xlpm.f_,1)&amp;"","")))</f>
        <v/>
      </c>
      <c r="CS20" t="str">
        <f t="shared" si="29"/>
        <v/>
      </c>
      <c r="CT20" s="6" t="str" cm="1">
        <f t="array" ref="CT20">IF(CR20="","",_xlfn.LET(_xlpm.tk,_xlfn.TEXTSPLIT(UPPER(CR20)," ",,TRUE),_xlpm.a_,_xlfn._xlws.FILTER(_xlpm.tk,ISNUMBER(--LEFT(_xlpm.tk,1))*((ISNUMBER(SEARCH("А",_xlpm.tk))+ISNUMBER(SEARCH("A",_xlpm.tk)))&gt;0)*NOT(ISNUMBER(SEARCH("МА",_xlpm.tk)))*NOT(ISNUMBER(SEARCH("MA",_xlpm.tk))),""),IFERROR(--SUBSTITUTE(SUBSTITUTE(INDEX(_xlpm.a_,1),"А",""),"A",""),"")))</f>
        <v/>
      </c>
      <c r="CU20" t="str" cm="1">
        <f t="array" ref="CU20">IF(CR20="","",_xlfn.LET(_xlpm.tk,_xlfn.TEXTSPLIT(UPPER(CR20)," ",,TRUE),_xlpm.a_,_xlfn._xlws.FILTER(_xlpm.tk,ISNUMBER(--LEFT(_xlpm.tk,1))*((ISNUMBER(SEARCH("МА",_xlpm.tk))+ISNUMBER(SEARCH("MA",_xlpm.tk)))&gt;0),""),IFERROR(--SUBSTITUTE(SUBSTITUTE(INDEX(_xlpm.a_,1),"МА",""),"MA",""),30)))</f>
        <v/>
      </c>
      <c r="CV20" t="str">
        <f>IF(CS20="","",IFERROR(_xlfn.XLOOKUP(CS20,Линии[_n],Линии[_УЗО, мА]),30))</f>
        <v/>
      </c>
      <c r="CW20">
        <f>IF(CS20="",0,IF(ISNUMBER(SEARCH("4P",IFERROR(_xlfn.XLOOKUP(CS20,Линии[_n],Линии[_УЗО строки])&amp;"",""))),0,1))</f>
        <v>0</v>
      </c>
      <c r="CX20" t="str">
        <f>IF(AND(CS20&lt;&gt;"",CS20=BA20),SUMIFS(Линии[_ток на 230 В],Линии[_блок УЗО],BA20,Линии[Щит],A20),"")</f>
        <v/>
      </c>
      <c r="CY20" t="str">
        <f>IF(AND(CS20&lt;&gt;"",CS20=BA20),SUMIFS(Линии[_ток утечки линии, мА],Линии[_блок УЗО],BA20,Линии[Щит],A20),"")</f>
        <v/>
      </c>
      <c r="CZ20">
        <f t="shared" si="30"/>
        <v>0</v>
      </c>
      <c r="DA20" t="str">
        <f t="shared" si="31"/>
        <v/>
      </c>
      <c r="DB20">
        <f>IF(B20="",0,IFERROR(--_xlfn.XLOOKUP(B20,Коды_код,Коды_минавт),IFERROR(--_xlfn.XLOOKUP(BC20,Коды_код,Коды_минавт),IFERROR(--_xlfn.XLOOKUP(LEFT(BC20,2),Коды_код,Коды_минавт),0))))</f>
        <v>10</v>
      </c>
      <c r="DC20" t="str">
        <f>IF(B20="","",IFERROR(_xlfn.XLOOKUP(BC20,Коды_код,Коды_апп)&amp;"",""))</f>
        <v/>
      </c>
      <c r="DD20" t="str">
        <f t="shared" si="32"/>
        <v/>
      </c>
      <c r="DE20" t="str" cm="1">
        <f t="array" ref="DE20">IF(TRIM(DD20&amp;"")="","",IFERROR(TRIM(INDEX(_xlfn.TEXTSPLIT(DD20&amp;";;;",";"),1)),""))</f>
        <v/>
      </c>
      <c r="DF20" t="str" cm="1">
        <f t="array" ref="DF20">IF(TRIM(DD20&amp;"")="","",IFERROR(TRIM(INDEX(_xlfn.TEXTSPLIT(DD20&amp;";;;",";"),2)),""))</f>
        <v/>
      </c>
      <c r="DG20" t="str" cm="1">
        <f t="array" ref="DG20">IF(TRIM(DD20&amp;"")="","",IFERROR(TRIM(INDEX(_xlfn.TEXTSPLIT(DD20&amp;";;;",";"),3)),""))</f>
        <v/>
      </c>
      <c r="DH20">
        <f t="shared" si="33"/>
        <v>0</v>
      </c>
      <c r="DI20" t="str">
        <f>IF(B20="","",_xlfn.LET(_xlpm.t,LOWER(AZ20&amp;""),IF(ISNUMBER(SEARCH("dim",_xlpm.t)),"DIM",IF(ISNUMBER(SEARCH("dali",_xlpm.t)),"DALI",IF(OR(ISNUMBER(SEARCH("relay",_xlpm.t)),ISNUMBER(SEARCH("реле",_xlpm.t))),"Relay",IF(ISNUMBER(SEARCH("кнопк",_xlpm.t)),"",IFERROR(_xlfn.XLOOKUP(BC20,Коды_код,Коды_упр)&amp;"","")))))))</f>
        <v/>
      </c>
      <c r="DJ20" t="str">
        <f t="shared" si="34"/>
        <v/>
      </c>
      <c r="DK20">
        <f>IF(B20="","",_xlfn.LET(_xlpm.ig,IF(N(CX20)&gt;0,N(CX20),N(CI20)+IF(AJ20="вручную",0,N(CJ20))),_xlpm.n0,IFERROR(VLOOKUP(_xlpm.ig,Автомат_номиналы,2,TRUE),0),_xlpm.mn,MAX(DB20,IF(AJ20="вручную",0,N(CM20))),MAX(_xlpm.n0,_xlpm.mn,IF(DH20=1,Мин_автомат_БП,0))))</f>
        <v>10</v>
      </c>
      <c r="DL20">
        <f t="shared" si="35"/>
        <v>1</v>
      </c>
      <c r="DM20" t="str">
        <f t="shared" si="36"/>
        <v>1P</v>
      </c>
      <c r="DN20" t="str">
        <f>_xlfn.LET(_xlpm.cc,UPPER(TRIM(IFERROR(_xlfn.XLOOKUP(BC20,Коды_код,Коды_хар)&amp;"",""))),IF(OR(_xlpm.cc="B",_xlpm.cc="В"),"B",IF(_xlpm.cc="D","D","С")))</f>
        <v>С</v>
      </c>
      <c r="DO20" t="str">
        <f t="shared" si="37"/>
        <v>↑ 1P С10А</v>
      </c>
      <c r="DP20" t="str">
        <f t="shared" si="38"/>
        <v>↑ 1P С10А</v>
      </c>
      <c r="DQ20" t="str">
        <f t="shared" si="39"/>
        <v/>
      </c>
      <c r="DR20" t="str" cm="1">
        <f t="array" ref="DR20">IF(DQ20="","",_xlfn.LET(_xlpm.t,SUBSTITUTE(SUBSTITUTE(SUBSTITUTE(UPPER(DQ20),"С","C"),"А","A"),"В","B"),_xlpm.tk,_xlfn.TEXTSPLIT(_xlpm.t," "),_xlpm.f,_xlfn._xlws.FILTER(_xlpm.tk,ISNUMBER(--MID(_xlpm.tk,2,1))*ISNUMBER(SEARCH(LEFT(_xlpm.tk,1)&amp;"#","B#C#D#"))*(LEN(_xlpm.tk)&gt;1),""),_xlpm.x,INDEX(_xlpm.f,1),IFERROR(--SUBSTITUTE(MID(_xlpm.x,2,9),"A",""),IFERROR(--SUBSTITUTE(INDEX(_xlfn._xlws.FILTER(_xlpm.tk,ISNUMBER(--SUBSTITUTE(_xlpm.tk,"A","")),""),1),"A",""),""))))</f>
        <v/>
      </c>
      <c r="DS20" t="str">
        <f t="shared" si="40"/>
        <v>ok</v>
      </c>
      <c r="DT20">
        <f t="shared" si="41"/>
        <v>10</v>
      </c>
      <c r="DU20" t="str">
        <f t="shared" si="42"/>
        <v>1P С10А</v>
      </c>
      <c r="DV20">
        <f t="shared" si="43"/>
        <v>0</v>
      </c>
      <c r="DW20">
        <f t="shared" si="44"/>
        <v>0</v>
      </c>
      <c r="DX20">
        <f t="shared" si="45"/>
        <v>1</v>
      </c>
      <c r="DY20" t="str">
        <f t="shared" si="46"/>
        <v/>
      </c>
      <c r="DZ20">
        <f t="shared" si="47"/>
        <v>1</v>
      </c>
      <c r="EA20">
        <f>IF(ISNUMBER(AP20),AP20,К_прокл)</f>
        <v>1</v>
      </c>
      <c r="EB20">
        <f t="shared" si="48"/>
        <v>2</v>
      </c>
      <c r="EC20">
        <f>IFERROR(N(VLOOKUP(BZ20,Кабель_обозначение,3,FALSE)),1)</f>
        <v>1</v>
      </c>
      <c r="ED20">
        <f>IFERROR(N(_xlfn.XLOOKUP(A20,Щиты[Щит],Щиты[ΔU до шин, %])),0)</f>
        <v>0.58602884987279757</v>
      </c>
      <c r="EE20">
        <f>IFERROR(_xlfn.XLOOKUP(A20,Щиты[Щит],Щиты[Zпетли на шинах, Ом]),"")</f>
        <v>0.50164496021506877</v>
      </c>
      <c r="EF20">
        <f>IFERROR(N(_xlfn.XLOOKUP(A20,Щиты[Щит],Щиты[ΔU до шин (подбор), %])),0)</f>
        <v>0.58602884987279757</v>
      </c>
      <c r="EG20">
        <f>IFERROR(_xlfn.XLOOKUP(A20,Щиты[Щит],Щиты[Zпетли на шинах (подбор), Ом]),"")</f>
        <v>0.50164496021506877</v>
      </c>
      <c r="EH20" t="str">
        <f t="shared" si="49"/>
        <v/>
      </c>
      <c r="EI20">
        <f t="shared" si="50"/>
        <v>40</v>
      </c>
      <c r="EJ20">
        <f t="shared" si="51"/>
        <v>2</v>
      </c>
      <c r="EK20">
        <f t="shared" si="52"/>
        <v>0.31</v>
      </c>
      <c r="EL20" s="6">
        <f>IF(B20="","",IF(BV20=1,dU_LED,IF(IFERROR(_xlfn.XLOOKUP(BC20,Коды_код,Коды_уго),"")="Светильник",3,4)+IF(Методика="нормы 2026",MIN(0.5,MAX(0,N(P20)-100)*0.005),0)))</f>
        <v>5</v>
      </c>
      <c r="EM20" cm="1">
        <f t="array" ref="EM20">IF(OR(B20="",BZ20="",EC20&lt;&gt;1),"",_xlfn.LET(_xlpm.sz,Iдоп_S,_xlpm.t_,CHOOSE(EB20,Iдоп_1ж,Iдоп_2ж,Iдоп_3ж)*DZ20*EA20,_xlpm.dcx,BV20=1,_xlpm.inn,IF(_xlpm.dcx,N(O20),N(DT20)),_xlpm.smin,MAX(1.5,CC20),_xlpm.L_,N(P20)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20)/N(BU20)*100,999),IFERROR(N(EJ20)*(_xlpm.rho*_xlpm.L_/_xlpm.sz*N(CE20)+_xlpm.xx*_xlpm.L_*N(EK20)/1000)*N(O20)/((Uн_лин/SQRT(3))*1000)*100,999)),_xlpm.kz,IF(OR(_xlpm.dcx,DW20=1,NOT(ISNUMBER(EG20)),_xlpm.L_=0,_xlpm.inn=0),1,IFERROR(--(c_min*(Uн_лин*1000/SQRT(3))/(EG20+2*ρкз_Cu*_xlpm.L_/_xlpm.sz)&gt;=HT20*_xlpm.inn),0)),_xlpm.ok,IFERROR((_xlpm.sz&gt;=_xlpm.smin)*(_xlpm.t_&gt;=_xlpm.inn)*IF(_xlpm.L_&gt;0,(_xlpm.du_+IF(_xlpm.dcx,0,EF20)&lt;=EL20+0.00001),1)*_xlpm.kz,0),_xlpm.r_,_xlfn._xlws.FILTER(_xlpm.sz,_xlpm.ok,"не подобрано"),INDEX(_xlpm.r_,1)))</f>
        <v>16</v>
      </c>
      <c r="EN20">
        <f t="shared" si="53"/>
        <v>16</v>
      </c>
      <c r="EO20" cm="1">
        <f t="array" ref="EO20">IF(OR(B20="",BZ20="",EC20&lt;&gt;1),"",_xlfn.LET(_xlpm.sz,Iдоп_S,_xlpm.t_,CHOOSE(EB20,Iдоп_1ж,Iдоп_2ж,Iдоп_3ж)*DZ20*EA20,_xlpm.ok,IFERROR((_xlpm.sz&gt;=MAX(1.5,CC20))*(_xlpm.t_&gt;=N(DT20)),0),_xlpm.r_,_xlfn._xlws.FILTER(_xlpm.sz,_xlpm.ok,""),INDEX(_xlpm.r_,1)))</f>
        <v>1.5</v>
      </c>
      <c r="EP20" s="6" cm="1">
        <f t="array" ref="EP20">IFERROR(ROUNDUP(N(EJ20)*(_xlfn.XLOOKUP(EO20,INDEX(Кабель_сопротивление,0,1),INDEX(Кабель_сопротивление,0,3))*N(P20)/EO20*N(CE20)+_xlfn.XLOOKUP(EO20,INDEX(Кабель_сопротивление,0,1),INDEX(Кабель_сопротивление,0,2))*N(P20)*N(EK20)/1000)*N(O20)/((Uн_лин/SQRT(3))*1000)*100,2),"")</f>
        <v>3.3299999999999996</v>
      </c>
      <c r="EQ20">
        <f>IFERROR(2*ρкз_Cu*N(P20)/EO20,"")</f>
        <v>1.5078666666666667</v>
      </c>
      <c r="ER20">
        <f>IFERROR(VLOOKUP(EN20,Кабель_сопротивление,3,FALSE),"")</f>
        <v>2.2499999999999999E-2</v>
      </c>
      <c r="ES20">
        <f>IFERROR(VLOOKUP(EN20,Кабель_сопротивление,2,FALSE),"")</f>
        <v>6.7500000000000004E-2</v>
      </c>
      <c r="ET20" t="str">
        <f t="shared" si="54"/>
        <v/>
      </c>
      <c r="EU20" t="str">
        <f t="shared" si="55"/>
        <v/>
      </c>
      <c r="EV20">
        <f t="shared" si="56"/>
        <v>0.75585937499999989</v>
      </c>
      <c r="EW20" s="6">
        <f>IFERROR(ROUNDUP(EV20/IF(BV20=1,BU20,(Uн_лин/SQRT(3))*1000)*100,2),"")</f>
        <v>3.15</v>
      </c>
      <c r="EX20" t="str">
        <f>IFERROR(VLOOKUP(BZ20,Кабель_обозначение,2,FALSE),"")</f>
        <v>ВВГнг(А)-LS</v>
      </c>
      <c r="EY20" t="str">
        <f t="shared" si="57"/>
        <v>ВВГнг(А)-LS (2х16)</v>
      </c>
      <c r="EZ20" t="str">
        <f t="shared" si="58"/>
        <v>ВВГнг(А)-LS (2х16)
L=43-3,15%</v>
      </c>
      <c r="FA20">
        <f>IFERROR(2*ρкз_Cu*P20/EN20,"")</f>
        <v>0.1413625</v>
      </c>
      <c r="FB20">
        <f t="shared" si="59"/>
        <v>4.7031250000000004E-2</v>
      </c>
      <c r="FC20" s="6" t="str">
        <f>IFERROR(IF(OR(B20="",BV20=1,NOT(ISNUMBER(EN20)),N(P20)=0),"",_xlfn.XLOOKUP(A20,Щиты[Щит],Щиты[Zпетли на шинах, Ом])+FA20),"")</f>
        <v/>
      </c>
      <c r="FD20" s="6" t="str">
        <f>IF(ISNUMBER(FC20),c_min*(Uн_лин*1000/SQRT(3))/FC20,"")</f>
        <v/>
      </c>
      <c r="FE20" s="6">
        <f>IFERROR(IF(OR(B20="",NOT(ISNUMBER(EN20))),"",1.05*(Uн_лин*1000/SQRT(3))/(_xlfn.XLOOKUP(A20,Щиты[Щит],Щиты[Zmax на шинах, Ом])+FB20)/1000),"")</f>
        <v>1.1825095744967991</v>
      </c>
      <c r="FF20" s="6" t="str">
        <f>IF(B20="","",IF(ISNUMBER(AC20),"Сил",IF(IFERROR(_xlfn.XLOOKUP(BC20,Коды_код,Коды_группа)&amp;"","")="","Быт",_xlfn.XLOOKUP(BC20,Коды_код,Коды_группа)&amp;"")))</f>
        <v>Быт</v>
      </c>
      <c r="FG20" s="6" t="str">
        <f t="shared" si="60"/>
        <v>Быт</v>
      </c>
      <c r="FH20" s="6">
        <f>IF(FG20="Щит","щит",IF(FG20="","",IF(FG20="Быт",IFERROR(_xlfn.XLOOKUP(A20,Щиты[Щит],Щиты[Кс быт]),1),IF(FG20="Сил",IF(ISNUMBER(AC20),AC20,IF(Методика="нормы 2026",IFERROR(_xlfn.XLOOKUP(A20,Щиты[Щит],Щиты[Кс силовых (табл. 7.5)]),1),1)),IF(OR(FG20="Пост",FG20="Отоп"),1,IF(FG20="ВНГ",0.7,0))))))</f>
        <v>0.8</v>
      </c>
      <c r="FI20">
        <f>IF(FG20="","",IF(AND(BP20=1,TRIM(AE20&amp;"")=""),IF(COUNTIFS(Линии[Щит],A20,Линии[Секция (1/2/3)],"&gt;=2")&gt;0,MIN(3,MAX(1,IFERROR(--BD20,1))),1),IFERROR(MIN(3,MAX(1,INT(--AE20))),1)))</f>
        <v>1</v>
      </c>
      <c r="FJ20">
        <f t="shared" si="61"/>
        <v>0.15</v>
      </c>
      <c r="FK20">
        <f t="shared" si="62"/>
        <v>0.15</v>
      </c>
      <c r="FL20">
        <f t="shared" si="63"/>
        <v>0</v>
      </c>
      <c r="FM20">
        <f t="shared" si="64"/>
        <v>0</v>
      </c>
      <c r="FN20">
        <f t="shared" si="65"/>
        <v>0</v>
      </c>
      <c r="FO20">
        <f t="shared" si="66"/>
        <v>0</v>
      </c>
      <c r="FP20">
        <f t="shared" si="67"/>
        <v>0.15</v>
      </c>
      <c r="FQ20">
        <f t="shared" si="68"/>
        <v>0.15</v>
      </c>
      <c r="FR20">
        <f t="shared" si="69"/>
        <v>0.14249999999999999</v>
      </c>
      <c r="FS20">
        <f>IF(CG20=1,IF(AND(CH20=1,CW20=1),0,IF(AND(CS20&lt;&gt;"",CS20=BA20,CW20=1),SUMIFS(Линии[_Р линии, кВт],Линии[_блок УЗО],BA20,Линии[Щит],A20),N(BS20)+IF(AJ20="вручную",0,N(CK20)))),0)</f>
        <v>0</v>
      </c>
      <c r="FT20" t="str">
        <f t="shared" si="70"/>
        <v/>
      </c>
      <c r="FU20" t="str">
        <f>IF(B20="","",IF(CG20=0,IF(BA20=1,"",FW19),IF(AND(CH20=1,CW20=1,CS20&lt;&gt;""),IFERROR(_xlfn.XLOOKUP(CS20,Линии[_n],Линии[_фаза итог]),"L1"),IF(OR(N(DL20)&gt;=3,N(BX20)&gt;=3),"L1,L2,L3",IFERROR(_xlfn.TEXTBEFORE(_xlfn.TEXTAFTER(_xlfn.XLOOKUP(A20,Щиты[Щит],Щиты[_фазы авто]),";"&amp;BA20&amp;":"),";"),"L1")))))</f>
        <v>L1</v>
      </c>
      <c r="FV20" t="str">
        <f t="shared" si="71"/>
        <v>L1</v>
      </c>
      <c r="FW20" t="str">
        <f t="shared" si="72"/>
        <v>L1</v>
      </c>
      <c r="FX20" cm="1">
        <f t="array" ref="FX20">IFERROR(IF(CD20=2,_xlfn.IFS(BX20=3,VLOOKUP(BS20,Справочная_двигатели,3,FALSE),BX20=1,VLOOKUP(BS20,Справочная_двигатели,5,TRUE)),0),0)</f>
        <v>0</v>
      </c>
      <c r="FY20">
        <f>IFERROR(IF(CD20=3,VLOOKUP(BS20,Справочная_ЛЭД,2,TRUE),0),0)</f>
        <v>0</v>
      </c>
      <c r="FZ20" s="6">
        <f t="shared" si="73"/>
        <v>0</v>
      </c>
      <c r="GA20" t="str">
        <f>IF(B20="","",IF(TRIM(AH20&amp;"")&lt;&gt;"",IF(LOWER(TRIM(AH20&amp;""))="да","да","нет"),IF(IFERROR(_xlfn.XLOOKUP(BC20,Коды_код,Коды_пожарная),"")="да","да","нет")))</f>
        <v>нет</v>
      </c>
      <c r="GB20" t="str">
        <f t="shared" si="74"/>
        <v/>
      </c>
      <c r="GC20" t="str">
        <f t="shared" si="75"/>
        <v>основная</v>
      </c>
      <c r="GD20">
        <f>IF(AND(BP20=1,TRIM(AE20&amp;"")=""),IF(COUNTIFS(Линии[Щит],A20,Линии[Секция (1/2/3)],"&gt;=2")&gt;0,MIN(3,MAX(1,IFERROR(--BD20,1))),1),IFERROR(MIN(3,MAX(1,INT(--AE20))),1))</f>
        <v>1</v>
      </c>
      <c r="GE20" t="str" cm="1">
        <f t="array" ref="GE20">IF(B20="","",_xlfn.LET(_xlpm.t,IFERROR(_xlfn.XLOOKUP(1,(Шины[Шина]=GC20)*(((Шины[Щит]=A20)+(Шины[Щит]=""))&gt;0),Шины[Тип]),"")&amp;"",IF(_xlpm.t&lt;&gt;"",_xlpm.t,IF(ISNUMBER(SEARCH("ИБП",GC20)),"ИБП",IF(ISNUMBER(SEARCH("ДГУ",GC20)),"ДГУ","Ввод "&amp;GD20)))))</f>
        <v>Ввод 1</v>
      </c>
      <c r="GF20" t="str">
        <f t="shared" si="76"/>
        <v>Ввод 1</v>
      </c>
      <c r="GG20" t="str">
        <f>IF(BP20=0,"",IF(TRIM(AG20&amp;"")&lt;&gt;"",TRIM(AG20&amp;""),IF(OR(GE20="ИБП",GE20="ДГУ"),"I особая",_xlfn.XLOOKUP(A20,Щиты[Щит],Щиты[Категория шины «Ввод»],"III"))))</f>
        <v/>
      </c>
      <c r="GH20" t="str">
        <f>IF(A20="","",_xlfn.XLOOKUP(A20,Щиты[Щит],Щиты[Путь],""))</f>
        <v>|ВРУ|ЩБП|</v>
      </c>
      <c r="GI20" t="str">
        <f>IF(B20="","",IF(AI20&lt;&gt;"",AI20,IF(IFERROR(_xlfn.XLOOKUP(BC20,Коды_код,Коды_вид)&amp;"","")="","Прочее",_xlfn.XLOOKUP(BC20,Коды_код,Коды_вид)&amp;"")))</f>
        <v>Рабочее освещение</v>
      </c>
      <c r="GJ20">
        <f>IF(BM20="","",INT((BM20-1)/Столбцов_на_лист)+1)</f>
        <v>1</v>
      </c>
      <c r="GK20" t="str">
        <f t="shared" si="77"/>
        <v>ВВГнг(А)-LS (2х16) L=43-3,15%</v>
      </c>
      <c r="GL20">
        <f t="shared" si="78"/>
        <v>0.15</v>
      </c>
      <c r="GM20">
        <f t="shared" si="79"/>
        <v>6.25</v>
      </c>
      <c r="GN20">
        <f t="shared" si="80"/>
        <v>1</v>
      </c>
      <c r="GO20">
        <f t="shared" si="81"/>
        <v>0</v>
      </c>
      <c r="GP20">
        <f t="shared" si="82"/>
        <v>1</v>
      </c>
      <c r="GQ20">
        <f>IF(BM20="","",IF(AND(CG20=1,GP20=1),COUNTIFS(A$3:A20,A20,CG$3:CG20,1,GP$3:GP20,1),IF(OR(OR(BA20=1,A20&lt;&gt;A19),AJ20="вручную",GP20=0),"",IF(BA20=1,"",GR19))))</f>
        <v>1</v>
      </c>
      <c r="GR20">
        <f t="shared" si="83"/>
        <v>1</v>
      </c>
      <c r="GS20">
        <f>IF(B20="","",IFERROR(LOOKUP(INDEX(CHOOSE(EB20,Iдоп_1ж,Iдоп_2ж,Iдоп_3ж),MATCH(EN20,Iдоп_S,0))*DZ20*EA20,{6,10,16,20,25,32,40,50,63,80,100,125,160,200,250,315,400,500,630}),""))</f>
        <v>80</v>
      </c>
      <c r="GT20" t="str">
        <f t="shared" si="84"/>
        <v/>
      </c>
      <c r="GU20" t="str">
        <f t="shared" si="85"/>
        <v>QF1</v>
      </c>
      <c r="GV20" t="str">
        <f t="shared" si="86"/>
        <v>МК-5-1 → БП 24V 480W</v>
      </c>
      <c r="GW20">
        <f t="shared" si="87"/>
        <v>1</v>
      </c>
      <c r="GX20" t="str">
        <f>IF(OR(B20="",DJ20=""),"",IFERROR(_xlfn.XLOOKUP(DJ20,Модули_умолч[Управление],Модули_умолч[Модель])&amp;"",""))</f>
        <v/>
      </c>
      <c r="GY20">
        <f>IF(DJ20="",1,IFERROR(MAX(0,N(_xlfn.XLOOKUP(DJ20,Модули_умолч[Управление],Модули_умолч[Каналов на линию]))),1))</f>
        <v>1</v>
      </c>
      <c r="GZ20" t="str">
        <f t="shared" si="88"/>
        <v/>
      </c>
      <c r="HA20" t="str">
        <f t="shared" si="89"/>
        <v>M</v>
      </c>
      <c r="HB20" t="str">
        <f t="shared" si="90"/>
        <v/>
      </c>
      <c r="HC20">
        <f>IF(HB20="",0,IFERROR(N(VLOOKUP(HB20,Модули_спр,3,FALSE)),0))</f>
        <v>0</v>
      </c>
      <c r="HD20" t="str">
        <f t="shared" si="91"/>
        <v/>
      </c>
      <c r="HE20" t="str">
        <f t="shared" si="92"/>
        <v/>
      </c>
      <c r="HF20" t="str">
        <f>IF(OR(HE20="",HE20="-"),"",IFERROR(VLOOKUP(HE20,Модули_спр,2,FALSE),"R"))</f>
        <v/>
      </c>
      <c r="HG20" t="str">
        <f>IF(HF20="","",HF20&amp;"."&amp;COUNTIFS(A$3:A20,A20,HF$3:HF20,HF20))</f>
        <v/>
      </c>
      <c r="HH20" t="str">
        <f t="shared" si="93"/>
        <v>Di.1</v>
      </c>
      <c r="HI20" t="str">
        <f t="shared" si="94"/>
        <v>SMART-DALI-104</v>
      </c>
      <c r="HJ20">
        <f t="shared" si="95"/>
        <v>4</v>
      </c>
      <c r="HK20">
        <f t="shared" si="96"/>
        <v>4</v>
      </c>
      <c r="HL20">
        <f t="shared" si="97"/>
        <v>1</v>
      </c>
      <c r="HM20" t="str">
        <f>IF(HL20=1,"XT"&amp;COUNTIFS(A$3:A20,A20,HL$3:HL20,1),"")</f>
        <v>XT4</v>
      </c>
      <c r="HN20" t="str">
        <f t="shared" si="98"/>
        <v>XT4</v>
      </c>
      <c r="HO20" t="str">
        <f t="shared" si="99"/>
        <v>QF1</v>
      </c>
      <c r="HP20" t="str">
        <f t="shared" si="100"/>
        <v>Di.1</v>
      </c>
      <c r="HQ20" t="str">
        <f t="shared" si="101"/>
        <v>ok</v>
      </c>
      <c r="HR20" t="str">
        <f>IF(OR(HJ20="",HH20=""),"",IF(HJ20+MAX(0,GY20-1)&gt;IFERROR(VLOOKUP(HI20,Модули_спр,3,FALSE),99),"ЛИШНИЙ КАНАЛ",IF(AND(AL20&lt;&gt;"=",GY20&gt;0,COUNTIFS(Линии[_модуль гр.],HH20,Линии[Канал (итог)],HJ20,Линии[Канал],"&lt;&gt;=",Линии[Щит],A20)&gt;1),"ДУБЛЬ КАНАЛА","")))</f>
        <v/>
      </c>
      <c r="HS20" s="6" t="str">
        <f t="shared" si="102"/>
        <v/>
      </c>
      <c r="HT20">
        <f t="shared" si="103"/>
        <v>10</v>
      </c>
      <c r="HU20" t="str">
        <f t="shared" si="104"/>
        <v/>
      </c>
      <c r="HV20">
        <f t="shared" si="105"/>
        <v>0.27348170645824377</v>
      </c>
      <c r="HW20">
        <f t="shared" si="106"/>
        <v>0</v>
      </c>
      <c r="HX20">
        <f t="shared" si="107"/>
        <v>24.755859375</v>
      </c>
      <c r="HY20">
        <f t="shared" si="108"/>
        <v>154.72412109375</v>
      </c>
      <c r="HZ20">
        <f t="shared" si="109"/>
        <v>0</v>
      </c>
      <c r="IA20">
        <f t="shared" si="110"/>
        <v>0</v>
      </c>
      <c r="IB20">
        <f t="shared" si="111"/>
        <v>0</v>
      </c>
      <c r="IC20" t="str">
        <f t="shared" si="112"/>
        <v/>
      </c>
      <c r="ID20" t="str" cm="1">
        <f t="array" ref="ID20">IF(IC20="","",_xlfn.LET(_xlpm.tk,_xlfn.TEXTSPLIT(SUBSTITUTE(SUBSTITUTE(IC20,";"," "),"→"," ")," ",,TRUE),_xlpm.w_,_xlfn._xlws.FILTER(_xlpm.tk,ISNUMBER(--LEFT(_xlpm.tk,1))*((ISNUMBER(SEARCH("W",_xlpm.tk))+ISNUMBER(SEARCH("Вт",_xlpm.tk)))&gt;0),""),IFERROR(--SUBSTITUTE(SUBSTITUTE(UPPER(INDEX(_xlpm.w_,1)),"W",""),"ВТ",""),"")))</f>
        <v/>
      </c>
      <c r="IE20" t="str" cm="1">
        <f t="array" ref="IE20">IF(IC20="","",_xlfn.LET(_xlpm.tk,_xlfn.TEXTSPLIT(SUBSTITUTE(SUBSTITUTE(IC20,";"," "),"→"," ")," ",,TRUE),_xlpm.v_,_xlfn._xlws.FILTER(_xlpm.tk,ISNUMBER(--LEFT(_xlpm.tk,1))*((ISNUMBER(SEARCH("V",_xlpm.tk))+(RIGHT(UPPER(_xlpm.tk))="В"))&gt;0),""),IFERROR(--SUBSTITUTE(SUBSTITUTE(UPPER(INDEX(_xlpm.v_,1)),"V",""),"В",""),"")))</f>
        <v/>
      </c>
      <c r="IF20" s="6">
        <f>IF(OR(BV20=0,HI20="",HJ20=""),"",IFERROR(N(_xlfn.XLOOKUP(HI20,Каталог!$C$4:$C$500,Каталог!$Q$4:$Q$500)),""))</f>
        <v>5</v>
      </c>
      <c r="IG20" s="6">
        <f>IF(N(IF20)=0,"",SUMIFS(Линии[Iр, А],Линии[Щит],A20,Линии[_модуль гр.],HH20,Линии[Канал (итог)],HJ20))</f>
        <v>6.25</v>
      </c>
      <c r="IH20" t="str">
        <f>IF(AND(B20="",HO20=""),"",_xlfn.TEXTJOIN("; ",TRUE,IF(AND(B20&lt;&gt;"",FV20=""),"нет фазы",""),IF(AND(B20&lt;&gt;"",N(GL20)=0,FG20&lt;&gt;"Нет"),"нет мощности",""),IF(AND(HN20&lt;&gt;"",COUNTIFS(Линии[Щит],A20,Линии[Клемма (итог)],HN20)&gt;1),"дубль клеммы "&amp;HN20,""),IF(AND(HQ20&lt;&gt;"",HQ20&lt;&gt;"ok"),HQ20,""),IF(HR20&lt;&gt;"",HR20,""),IF(AND(N(CB20)&gt;=4,N(BX20)=1),CB20&amp;" жил на 1 фазе",""),IF(AND(BC20="R",CG20=1,IF(CS20&lt;&gt;"",N(CV20)&gt;30,OR(N(DA20)=0,N(DA20)&gt;30))),"розетка без дифзащиты до 30 мА",""),IF(AND(CG20=1,N(DA20)&gt;0,ISNUMBER(T20)),IF(T20&gt;N(DA20)/3,"ток утечки "&amp;FIXED(T20,1)&amp;" мА &gt; 1/3 уставки ("&amp;DA20&amp;" мА)",""),""),IF(AND(CH20=1,CS20=""),"«узо»: нет строки с УЗО выше (УЗО 2P 40А 30мА в «Аппаратах»)",""),IF(AND(CS20&lt;&gt;"",CS20=BA20),IF(CT20="","впишите номинал УЗО (УЗО 2P 40А 30мА)",IF(N(CT20)&lt;N(DT20),"УЗО "&amp;CT20&amp;" А &lt; автомата "&amp;DT20&amp;" А перед ним",IF(N(CT20)&lt;N(CX20),"УЗО "&amp;CT20&amp;" А &lt; тока блока "&amp;FIXED(CX20,1)&amp;" А",""))),""),IF(AND(CS20&lt;&gt;"",CS20=BA20,ISNUMBER(CY20)),IF(CY20&gt;N(CV20)/3,"ток утечки блока УЗО "&amp;FIXED(CY20,1)&amp;" мА &gt; 1/3 уставки ("&amp;CV20&amp;" мА)",""),""),IF(AND(CG20=1,N(BV20)+N(IB20)&gt;0,IC20=""),"линии до 50 В без БП: впишите в «Аппараты» (БП 24V 480W)",""),IF(AND(CG20=1,ISNUMBER(ID20),ISNUMBER(U20)),IF(U20&gt;ID20,"БП "&amp;ID20&amp;" Вт &lt; нужно "&amp;U20&amp;" Вт (×"&amp;Запас_БП&amp;")",""),""),IF(AND(CG20=1,ISNUMBER(IE20),N(BV20)=1),IF(IE20&lt;&gt;N(BU20),"БП на "&amp;IE20&amp;" В, линия "&amp;BU20&amp;" В",""),""),IF(AND(N(IF20)&gt;0,N(IG20)&gt;N(IF20)),HH20&amp;" канал "&amp;HJ20&amp;": "&amp;FIXED(IG20,1)&amp;" А &gt; "&amp;IF20&amp;" А",""),IFERROR(IF(AND(ISNUMBER(Q20),Q20&gt;EL20),"потери "&amp;FIXED(Q20,1)&amp;" % &gt; "&amp;EL20&amp;" %",""),""),IFERROR(IF(LEFT(HU20,4)="мало","Iкз мало — отключение &gt; 0,4 с",""),""),IF(AND(B20&lt;&gt;"",BM20=""),"не на схеме",""),IF(AND(CG20=0,B20&lt;&gt;"",FV20&lt;&gt;"",IF(BA20=1,"",FW19)&lt;&gt;"",FV20&lt;&gt;IF(BA20=1,"",FW19)),"фаза не как у автомата группы ("&amp;IF(BA20=1,"",FW19)&amp;")","")))</f>
        <v>Di.1 канал 4: 6,3 А &gt; 5 А</v>
      </c>
      <c r="II20" s="6" t="str">
        <f>IF(OR(CG20=0,DQ20=""),"",_xlfn.LET(_xlpm.t,IFERROR(_xlfn.XLOOKUP(DQ20,Каталог!$U$4:$U$500,Каталог!$G$4:$G$500),""),_xlpm.k,SEARCH("кА",_xlpm.t),IFERROR(--TRIM(RIGHT(SUBSTITUTE(MID(_xlpm.t,MAX(1,_xlpm.k-4),_xlpm.k-MAX(1,_xlpm.k-4))," ",REPT(" ",9)),5)),"")))</f>
        <v/>
      </c>
      <c r="IJ20" t="str">
        <f>IF(OR(II20="",CG20=0),"",IF(_xlfn.XLOOKUP(A20,Щиты[Щит],Щиты[Iкз max на шинах, кА],"")="","",IF(II20&lt;_xlfn.XLOOKUP(A20,Щиты[Щит],Щиты[Iкз max на шинах, кА]),"Icu "&amp;II20&amp;" кА &lt; Iкз max","ok")))</f>
        <v/>
      </c>
      <c r="IK20" t="str">
        <f t="shared" si="113"/>
        <v/>
      </c>
      <c r="IL20" t="str">
        <f t="shared" si="114"/>
        <v>QF1|МК-5-1|БП 24V 480W|Di.1 к.4|XT4</v>
      </c>
      <c r="IM20" t="str">
        <f t="shared" si="115"/>
        <v>QF1|МК-5-1|БП 24V 480W|Di.1 к.4|XT4|кабель ВВГнг(А)-LS (2х16) → LED-лента 24 В, пом. 03</v>
      </c>
      <c r="IN20" t="str" cm="1">
        <f t="array" ref="IN20">IF(IM20="","",_xlfn.LET(_xlpm.nd,_xlfn.TEXTSPLIT(IM20,"|"),IF(COLUMNS(_xlpm.nd)&gt;1,A20&amp;"¦"&amp;INDEX(_xlpm.nd,1)&amp;"¦"&amp;INDEX(_xlpm.nd,2),"")))</f>
        <v>ЩБП¦QF1¦МК-5-1</v>
      </c>
      <c r="IO20" t="str">
        <f t="shared" si="116"/>
        <v>LD.1.03.1¦LED-лента 24 В, пом. 03</v>
      </c>
      <c r="IP20" t="str" cm="1">
        <f t="array" ref="IP20">IF(IM20="","",_xlfn.LET(_xlpm.nd,_xlfn.TEXTSPLIT(IM20,"|"),IF(COLUMNS(_xlpm.nd)&gt;2,A20&amp;"¦"&amp;INDEX(_xlpm.nd,2)&amp;"¦"&amp;INDEX(_xlpm.nd,3),"")))</f>
        <v>ЩБП¦МК-5-1¦БП 24V 480W</v>
      </c>
      <c r="IQ20" t="str">
        <f t="shared" si="117"/>
        <v>LD.1.03.1¦LED-лента 24 В, пом. 03</v>
      </c>
      <c r="IR20" t="str" cm="1">
        <f t="array" ref="IR20">IF(IM20="","",_xlfn.LET(_xlpm.nd,_xlfn.TEXTSPLIT(IM20,"|"),IF(COLUMNS(_xlpm.nd)&gt;3,A20&amp;"¦"&amp;INDEX(_xlpm.nd,3)&amp;"¦"&amp;INDEX(_xlpm.nd,4),"")))</f>
        <v>ЩБП¦БП 24V 480W¦Di.1 к.4</v>
      </c>
      <c r="IS20" t="str">
        <f t="shared" si="118"/>
        <v>LD.1.03.1¦LED-лента 24 В, пом. 03</v>
      </c>
      <c r="IT20" t="str" cm="1">
        <f t="array" ref="IT20">IF(IM20="","",_xlfn.LET(_xlpm.nd,_xlfn.TEXTSPLIT(IM20,"|"),IF(COLUMNS(_xlpm.nd)&gt;4,A20&amp;"¦"&amp;INDEX(_xlpm.nd,4)&amp;"¦"&amp;INDEX(_xlpm.nd,5),"")))</f>
        <v>ЩБП¦Di.1 к.4¦XT4</v>
      </c>
      <c r="IU20" t="str">
        <f t="shared" si="119"/>
        <v>LD.1.03.1¦LED-лента 24 В, пом. 03</v>
      </c>
      <c r="IV20" t="str" cm="1">
        <f t="array" ref="IV20">IF(IM20="","",_xlfn.LET(_xlpm.nd,_xlfn.TEXTSPLIT(IM20,"|"),IF(COLUMNS(_xlpm.nd)&gt;5,A20&amp;"¦"&amp;INDEX(_xlpm.nd,5)&amp;"¦"&amp;INDEX(_xlpm.nd,6),"")))</f>
        <v>ЩБП¦XT4¦кабель ВВГнг(А)-LS (2х16) → LED-лента 24 В, пом. 03</v>
      </c>
      <c r="IW20" t="str">
        <f t="shared" si="120"/>
        <v>LD.1.03.1¦LED-лента 24 В, пом. 03</v>
      </c>
      <c r="IX20" t="str" cm="1">
        <f t="array" ref="IX20">IF(IM20="","",_xlfn.LET(_xlpm.nd,_xlfn.TEXTSPLIT(IM20,"|"),IF(COLUMNS(_xlpm.nd)&gt;6,A20&amp;"¦"&amp;INDEX(_xlpm.nd,6)&amp;"¦"&amp;INDEX(_xlpm.nd,7),"")))</f>
        <v/>
      </c>
      <c r="IY20" t="str">
        <f t="shared" si="121"/>
        <v/>
      </c>
      <c r="IZ20" t="str">
        <f t="shared" si="122"/>
        <v>SMART-DALI-104</v>
      </c>
      <c r="JA20" t="str">
        <f t="shared" si="123"/>
        <v>QF1 → МК-5-1 → БП 24V 480W → Di.1 к.4 → XT4</v>
      </c>
      <c r="JB20">
        <f t="shared" si="124"/>
        <v>0</v>
      </c>
      <c r="JC20">
        <f t="shared" si="125"/>
        <v>0</v>
      </c>
      <c r="JD20" t="str">
        <f t="shared" si="126"/>
        <v/>
      </c>
      <c r="JE20" t="str">
        <f t="shared" si="127"/>
        <v/>
      </c>
      <c r="JF20" t="str">
        <f t="shared" si="128"/>
        <v/>
      </c>
      <c r="JG20" t="str">
        <f t="shared" si="129"/>
        <v/>
      </c>
      <c r="JH20" t="str">
        <f>IF(B20="","",IFERROR(_xlfn.XLOOKUP(B20,Коды_код,Коды_уго),IFERROR(_xlfn.XLOOKUP(BC20,Коды_код,Коды_уго),IFERROR(_xlfn.XLOOKUP(LEFT(BC20,2),Коды_код,Коды_уго),""))))</f>
        <v>Светильник</v>
      </c>
      <c r="JI20" t="str">
        <f>IF(B20="","",IF(OR(JH20="",JH20=0),"BOX",IFERROR(IF(VLOOKUP(JH20,УГО_блоки,3,FALSE)&amp;""&lt;&gt;"",VLOOKUP(JH20,УГО_блоки,3,FALSE),VLOOKUP(JH20,УГО_блоки,2,FALSE)),JH20)))</f>
        <v>LAMP</v>
      </c>
      <c r="JJ20">
        <f t="shared" si="130"/>
        <v>1</v>
      </c>
      <c r="JK20" t="str">
        <f>IF(DQ20="","",IF(COUNTIF(DQ$3:DQ20,DQ20)=1,MAX(JK$2:JK19)+1,""))</f>
        <v/>
      </c>
      <c r="JL20" t="str">
        <f>IF(DE20="","",IF(COUNTIF(DE$3:DE20,DE20)+COUNTIF(DF$2:DF19,DE20)+COUNTIF(DG$2:DG19,DE20)=1,MAX(JL$2:JN19)+1,""))</f>
        <v/>
      </c>
      <c r="JM20" t="str">
        <f>IF(DF20="","",IF(COUNTIF(DE$3:DE20,DF20)+COUNTIF(DF$3:DF20,DF20)+COUNTIF(DG$2:DG19,DF20)=1,MAX(JL$2:JN19,JL20)+1,""))</f>
        <v/>
      </c>
      <c r="JN20" t="str">
        <f>IF(DG20="","",IF(COUNTIF(DE$3:DE20,DG20)+COUNTIF(DF$3:DF20,DG20)+COUNTIF(DG$3:DG20,DG20)=1,MAX(JL$2:JN19,JL20,JM20)+1,""))</f>
        <v/>
      </c>
      <c r="JO20" t="str">
        <f t="shared" si="131"/>
        <v>2х16</v>
      </c>
      <c r="JP20">
        <f>IF(JO20="","",IF(COUNTIF(JO$3:JO20,JO20)=1,MAX(JP$2:JP19)+1,""))</f>
        <v>10</v>
      </c>
      <c r="JQ20" t="str">
        <f>IF(HG20="","",COUNTIF(HG$3:HG20,"?*"))</f>
        <v/>
      </c>
      <c r="JR20" t="str">
        <f>IF(OR(HG20="",HI20=""),"",IF(COUNTIFS(HG$3:HG20,"?*",HI$3:HI20,HI20)=1,MAX(JR$2:JR19)+1,""))</f>
        <v/>
      </c>
      <c r="JS20">
        <f t="shared" si="132"/>
        <v>2</v>
      </c>
      <c r="JT20">
        <f>IF(B20="","",COUNTIF(B$3:B20,"?*"))</f>
        <v>18</v>
      </c>
      <c r="JU20">
        <f>IF(HL20&lt;&gt;1,0,_xlfn.LET(_xlpm.k,MAX(IFERROR(--_xlfn.XLOOKUP(B20,Коды_код,Коды_3L),0),IFERROR(--_xlfn.XLOOKUP(BC20,Коды_код,Коды_3L),0),IFERROR(--_xlfn.XLOOKUP(LEFT(BC20,2),Коды_код,Коды_3L),0)),IF(_xlpm.k&gt;0,_xlpm.k,IF(IFERROR(--LEFT(SUBSTITUTE(JO20,"x","х"),FIND("х",SUBSTITUTE(JO20,"x","х"))-1),3)&gt;3,Каталог!$S$9,1))))</f>
        <v>1</v>
      </c>
      <c r="JV20">
        <f t="shared" si="133"/>
        <v>0</v>
      </c>
      <c r="JW20" t="str">
        <f t="shared" si="134"/>
        <v/>
      </c>
      <c r="JX20" t="str">
        <f t="shared" si="135"/>
        <v/>
      </c>
      <c r="JY20" t="str">
        <f t="shared" si="136"/>
        <v/>
      </c>
      <c r="JZ20">
        <f t="shared" si="137"/>
        <v>1</v>
      </c>
    </row>
    <row r="21" spans="1:286" x14ac:dyDescent="0.3">
      <c r="A21" t="s">
        <v>945</v>
      </c>
      <c r="B21" t="s">
        <v>1201</v>
      </c>
      <c r="C21" t="s">
        <v>1246</v>
      </c>
      <c r="E21">
        <v>0.05</v>
      </c>
      <c r="G21" t="str">
        <f>Линии[[#This Row],[_авто автомат]]</f>
        <v>1P С10А</v>
      </c>
      <c r="H21" t="str">
        <f>Линии[[#This Row],[_авто управление]]</f>
        <v/>
      </c>
      <c r="I21" t="s">
        <v>1258</v>
      </c>
      <c r="J21">
        <f>Линии[[#This Row],[_авто сечение]]</f>
        <v>1.5</v>
      </c>
      <c r="K21">
        <v>12</v>
      </c>
      <c r="L21" t="str">
        <f>Линии[[#This Row],[_авто фаза]]</f>
        <v>L2</v>
      </c>
      <c r="M21" t="str">
        <f>Линии[[#This Row],[_авто клемма]]</f>
        <v>XT5</v>
      </c>
      <c r="N21" t="str">
        <f t="shared" si="0"/>
        <v>БП 75 Вт &lt; нужно 121 Вт (×1,3)</v>
      </c>
      <c r="O21" s="6" cm="1">
        <f t="array" ref="O21">IF(B21="","",IF(BH21&lt;&gt;"",IFERROR(_xlfn.XLOOKUP(BH21,Щиты[Щит],Щиты[Iр, А]),""),IF(BP21=1,IF(OR(N(_xlfn.XLOOKUP(A21,Щиты[Щит],Щиты[Вводов],1))&lt;=1,LOWER(TRIM(_xlfn.XLOOKUP(A21,Щиты[Щит],Щиты[АВР],"")&amp;""))="да"),IFERROR(_xlfn.XLOOKUP(A21,Щиты[Щит],Щиты[Iр, А]),""),IFERROR(N(BS21)*_xlfn.XLOOKUP(A21,Щиты[Щит],Щиты[Кс итог])/(SQRT(3)*Uн_лин*_xlfn.XLOOKUP(A21,Щиты[Щит],Щиты[cos φ])),"")),IF(BV21=1,IFERROR(BS21*1000/BU21,""),IFERROR(_xlfn.IFS(BX21=1,BS21/((Uн_лин/SQRT(3))*CE21),BX21=3,BS21/(SQRT(3)*Uн_лин*CE21)),"")))))</f>
        <v>2.0833333333333335</v>
      </c>
      <c r="P21" s="7">
        <f>IF(B21="","",IFERROR(IF(VLOOKUP(BC21,Потребители_обозначение,4,FALSE)=1,VLOOKUP(BC21,Потребители_обозначение,3,FALSE)*(MAX(1,N(D21))*2-1)+EI21+VLOOKUP(BE21,Этаж_обозначение,3,FALSE)+VLOOKUP(BE21,Этаж_обозначение,4,FALSE),VLOOKUP(BC21,Потребители_обозначение,3,FALSE)*(MAX(1,N(D21))*2-1)+EI21),EI21))</f>
        <v>15</v>
      </c>
      <c r="Q21" s="6">
        <f t="shared" si="1"/>
        <v>3.9099999999999997</v>
      </c>
      <c r="R21" t="str">
        <f t="shared" si="2"/>
        <v>ВВГнг(А)-LS (2х1,5)</v>
      </c>
      <c r="S21" t="str">
        <f>IF(BM21="","",IF(BN21="вводной узел","узел ","")&amp;"л."&amp;(INT((BM21-1)/Столбцов_на_лист)+1)&amp;" / "&amp;(MOD(BM21-1,Столбцов_на_лист)+1))</f>
        <v>л.1 / 7</v>
      </c>
      <c r="T21" s="119">
        <f t="shared" si="3"/>
        <v>0.2</v>
      </c>
      <c r="U21" s="7">
        <f>IF(OR(CG21=0,N(BV21)+N(IB21)=0),"",ROUNDUP(Запас_БП*(N(HY21)+N(HZ21)),0))</f>
        <v>121</v>
      </c>
      <c r="V21" s="119">
        <f t="shared" si="4"/>
        <v>24.9</v>
      </c>
      <c r="W21" s="7" t="str">
        <f>IFERROR(IF(OR(B21="",BP21=1,BV21=1,NOT(ISNUMBER(EN21)),N(DT21)=0),"",MAX(0,ROUNDDOWN((c_min*(Uн_лин*1000/SQRT(3))/(HT21*N(DT21))-_xlfn.XLOOKUP(A21,Щиты[Щит],Щиты[Zпетли на шинах, Ом]))*EN21/(2*ρкз_Cu),0))),"")</f>
        <v/>
      </c>
      <c r="Y21" t="str">
        <f>Линии[[#This Row],[_авто утечка]]</f>
        <v/>
      </c>
      <c r="Z21">
        <v>1</v>
      </c>
      <c r="AA21">
        <v>24</v>
      </c>
      <c r="AB21" t="str">
        <f>Линии[[#This Row],[_авто группа Кс]]</f>
        <v>Быт</v>
      </c>
      <c r="AK21" t="s">
        <v>536</v>
      </c>
      <c r="AN21" t="s">
        <v>11</v>
      </c>
      <c r="AO21">
        <v>2</v>
      </c>
      <c r="BA21" cm="1">
        <f t="array" ref="BA21">ROW()-ROW(Линии[#Headers])</f>
        <v>19</v>
      </c>
      <c r="BC21" s="6" t="str">
        <f t="shared" si="5"/>
        <v>LD</v>
      </c>
      <c r="BD21" t="str">
        <f t="shared" si="6"/>
        <v>1.04.1</v>
      </c>
      <c r="BE21" t="str">
        <f t="shared" si="7"/>
        <v>1</v>
      </c>
      <c r="BF21" t="str">
        <f t="shared" si="8"/>
        <v>04.1</v>
      </c>
      <c r="BG21" t="str">
        <f t="shared" si="9"/>
        <v>04</v>
      </c>
      <c r="BH21" t="str">
        <f>IF(X21&lt;&gt;"",X21,IF(AND(B21&lt;&gt;"",B21&lt;&gt;A21,ISNUMBER(_xlfn.XMATCH(B21,Щиты[Щит]))),B21,""))</f>
        <v/>
      </c>
      <c r="BI21" t="str" cm="1">
        <f t="array" ref="BI21">IF(B21="","",IF(BH21&lt;&gt;"","Щит "&amp;BH21,_xlfn.LET(_xlpm.nm,IFERROR(_xlfn.XLOOKUP(BC21,Коды_код,Коды_имя)&amp;"",""),_xlpm.md,IFERROR(N(_xlfn.XLOOKUP(BC21,Коды_код,Коды_режим)),1),_xlpm.ex,IF(Имя_режим="по экспликации",IFERROR(_xlfn.XLOOKUP(BE21&amp;"|"&amp;BG21,Экспликация[Этаж]&amp;"|"&amp;Экспликация[Помещение],Экспликация[Название])&amp;"",""),""),_xlpm.rm,IF(BG21="","",IF(_xlpm.ex&lt;&gt;"",". "&amp;_xlpm.ex&amp;IF(Имя_пом="нет"," ("&amp;BG21&amp;")"," (пом. "&amp;BG21&amp;")"),IF(Имя_пом="нет"," ",", пом. ")&amp;BG21)),IF(_xlpm.nm="","",IF(_xlpm.md=2,_xlpm.nm&amp;" шлейф "&amp;BE21,_xlpm.nm&amp;_xlpm.rm)))))</f>
        <v>Питание подсветок, пом. 04</v>
      </c>
      <c r="BJ21" t="str">
        <f t="shared" si="10"/>
        <v>LED-подсветка ниши, пом. 04</v>
      </c>
      <c r="BK21">
        <f>IFERROR(_xlfn.XMATCH(A21,Щиты[Щит]),0)</f>
        <v>2</v>
      </c>
      <c r="BL21">
        <f>_xlfn.LET(_xlpm.k,IFERROR(_xlfn.XLOOKUP(A21,Щиты[Щит],Щиты[Мест под вводной узел]),""),IF(_xlpm.k="",Столбцов_на_лист,N(_xlpm.k)))</f>
        <v>2</v>
      </c>
      <c r="BM21">
        <f t="shared" si="11"/>
        <v>7</v>
      </c>
      <c r="BN21" t="str">
        <f t="shared" si="12"/>
        <v>линии</v>
      </c>
      <c r="BO21" s="6">
        <f>IFERROR(N(_xlfn.XLOOKUP(BC21,Коды_код,Коды_квт)),0)</f>
        <v>0</v>
      </c>
      <c r="BP21">
        <f t="shared" si="13"/>
        <v>0</v>
      </c>
      <c r="BQ21" t="str">
        <f>IF(B21="","",IF(BH21&lt;&gt;"",IFERROR(_xlfn.XLOOKUP(BH21,Щиты[Щит],Щиты[Руст, кВт]),0),IF(BP21=1,IF(OR(N(_xlfn.XLOOKUP(A21,Щиты[Щит],Щиты[Вводов],1))&lt;=1,LOWER(TRIM(_xlfn.XLOOKUP(A21,Щиты[Щит],Щиты[АВР],"")&amp;""))="да"),IFERROR(_xlfn.XLOOKUP(A21,Щиты[Щит],Щиты[Руст, кВт]),0),SUMIFS(Линии[_Р для вводов],Линии[Щит],A21,Линии[Источник для режимов],GF21)),IF(BO21&gt;0,ROUND(BO21*MAX(1,N(D21)),3),""))))</f>
        <v/>
      </c>
      <c r="BR21">
        <f t="shared" si="14"/>
        <v>0.05</v>
      </c>
      <c r="BS21" s="6">
        <f>IF(B21="","",IF(BH21&lt;&gt;"",IFERROR(_xlfn.XLOOKUP(BH21,Щиты[Щит],Щиты[Руст, кВт]),0),N(BR21)))</f>
        <v>0.05</v>
      </c>
      <c r="BT21" t="str">
        <f>IF(B21="","",IFERROR(IF(VLOOKUP(BC21,Потребители_обозначение,8,FALSE)=0,"",VLOOKUP(BC21,Потребители_обозначение,8,FALSE)),""))</f>
        <v/>
      </c>
      <c r="BU21">
        <f t="shared" si="15"/>
        <v>24</v>
      </c>
      <c r="BV21">
        <f t="shared" si="16"/>
        <v>1</v>
      </c>
      <c r="BW21">
        <f>IF(B21="","",IF(BH21&lt;&gt;"",3,IFERROR(IF(N(VLOOKUP(BC21,Потребители_обозначение,9,FALSE))=0,1,VLOOKUP(BC21,Потребители_обозначение,9,FALSE)),1)))</f>
        <v>1</v>
      </c>
      <c r="BX21">
        <f t="shared" si="17"/>
        <v>1</v>
      </c>
      <c r="BY21" t="str">
        <f>IF(B21="","",_xlfn.LET(_xlpm.bc,IFERROR(IF(VLOOKUP(BC21,Потребители_обозначение,6,FALSE)=0,"",VLOOKUP(BC21,Потребители_обозначение,6,FALSE)&amp;""),""),IF(AND(GA21="да",OR(_xlpm.bc="",_xlpm.bc="мс")),Марка_пож,IF(AND(_xlpm.bc="",BH21&lt;&gt;""),"мс",_xlpm.bc))))</f>
        <v>мс</v>
      </c>
      <c r="BZ21" t="str">
        <f t="shared" si="18"/>
        <v>мс</v>
      </c>
      <c r="CA21">
        <f>IF(B21="","",_xlfn.LET(_xlpm.cc,IFERROR(N(VLOOKUP(BC21,Потребители_обозначение,7,FALSE)),0),IF(_xlpm.cc&gt;0,_xlpm.cc,IF(BZ21="","",IF(BV21=1,2,IF(N(BX21)=3,5,3))))))</f>
        <v>2</v>
      </c>
      <c r="CB21">
        <f t="shared" si="19"/>
        <v>2</v>
      </c>
      <c r="CC21">
        <f>IFERROR(N(VLOOKUP(BC21,Потребители_обозначение,10,FALSE)),0)</f>
        <v>0</v>
      </c>
      <c r="CD21">
        <f>IFERROR(VLOOKUP(BC21,Потребители_обозначение,5,FALSE),0)</f>
        <v>1</v>
      </c>
      <c r="CE21" s="6" cm="1">
        <f t="array" ref="CE21">IF(B21="","",IF(BH21&lt;&gt;"",IFERROR(_xlfn.XLOOKUP(BH21,Щиты[Щит],Щиты[cos φ]),0.95),IF(BP21=1,IFERROR(_xlfn.XLOOKUP(A21,Щиты[Щит],Щиты[cos φ]),0.95),IF(ISNUMBER(AD21),AD21,IFERROR(IF(CD21=2,_xlfn.IFS(BX21=3,VLOOKUP(BS21,Справочная_двигатели,8,FALSE),BX21=1,VLOOKUP(BS21,Справочная_двигатели,10,TRUE)),IF(AND(Методика="нормы 2026",FG21="Сил"),0.8,0.95)),0.95)))))</f>
        <v>0.95</v>
      </c>
      <c r="CF21">
        <f t="shared" si="20"/>
        <v>0</v>
      </c>
      <c r="CG21">
        <f t="shared" si="21"/>
        <v>1</v>
      </c>
      <c r="CH21">
        <f t="shared" si="22"/>
        <v>0</v>
      </c>
      <c r="CI21">
        <f>IF(B21="","",IF(BV21=1,IFERROR(BS21/((Uн_лин/SQRT(3))*MAX(0.5,N(CE21))),0),N(O21)))</f>
        <v>0.2279014220485365</v>
      </c>
      <c r="CJ21">
        <f t="shared" si="23"/>
        <v>0.18232113763882918</v>
      </c>
      <c r="CK21">
        <f t="shared" si="24"/>
        <v>0.04</v>
      </c>
      <c r="CL21">
        <f t="shared" si="25"/>
        <v>1</v>
      </c>
      <c r="CM21">
        <f t="shared" si="26"/>
        <v>10</v>
      </c>
      <c r="CN21">
        <f t="shared" si="27"/>
        <v>0</v>
      </c>
      <c r="CO21">
        <f>IF(BC21="",0,_xlfn.LET(_xlpm.v,IFERROR(_xlfn.XLOOKUP(B21,Коды_код,Коды_мА),IFERROR(_xlfn.XLOOKUP(BC21,Коды_код,Коды_мА),IFERROR(_xlfn.XLOOKUP(LEFT(BC21,2),Коды_код,Коды_мА),""))),IF(_xlpm.v="да",30,IF(ISNUMBER(_xlpm.v),_xlpm.v,0))))</f>
        <v>0</v>
      </c>
      <c r="CP21" t="str">
        <f t="shared" si="28"/>
        <v/>
      </c>
      <c r="CQ21" t="str">
        <f>_xlfn.LET(_xlpm.k,IFERROR(_xlfn.XLOOKUP(BC21,Коды_код,Коды_утечка)&amp;"",""),IF(_xlpm.k="","дифавтомат",_xlpm.k))</f>
        <v>дифавтомат</v>
      </c>
      <c r="CR21" t="str" cm="1">
        <f t="array" ref="CR21">IF(CG21=0,"",_xlfn.LET(_xlpm.sg,TRIM(_xlfn.TEXTSPLIT(DD21&amp;"",";")),_xlpm.f_,_xlfn._xlws.FILTER(_xlpm.sg,LEFT(_xlpm.sg,3)="УЗО",""),IFERROR(INDEX(_xlpm.f_,1)&amp;"","")))</f>
        <v/>
      </c>
      <c r="CS21" t="str">
        <f t="shared" si="29"/>
        <v/>
      </c>
      <c r="CT21" s="6" t="str" cm="1">
        <f t="array" ref="CT21">IF(CR21="","",_xlfn.LET(_xlpm.tk,_xlfn.TEXTSPLIT(UPPER(CR21)," ",,TRUE),_xlpm.a_,_xlfn._xlws.FILTER(_xlpm.tk,ISNUMBER(--LEFT(_xlpm.tk,1))*((ISNUMBER(SEARCH("А",_xlpm.tk))+ISNUMBER(SEARCH("A",_xlpm.tk)))&gt;0)*NOT(ISNUMBER(SEARCH("МА",_xlpm.tk)))*NOT(ISNUMBER(SEARCH("MA",_xlpm.tk))),""),IFERROR(--SUBSTITUTE(SUBSTITUTE(INDEX(_xlpm.a_,1),"А",""),"A",""),"")))</f>
        <v/>
      </c>
      <c r="CU21" t="str" cm="1">
        <f t="array" ref="CU21">IF(CR21="","",_xlfn.LET(_xlpm.tk,_xlfn.TEXTSPLIT(UPPER(CR21)," ",,TRUE),_xlpm.a_,_xlfn._xlws.FILTER(_xlpm.tk,ISNUMBER(--LEFT(_xlpm.tk,1))*((ISNUMBER(SEARCH("МА",_xlpm.tk))+ISNUMBER(SEARCH("MA",_xlpm.tk)))&gt;0),""),IFERROR(--SUBSTITUTE(SUBSTITUTE(INDEX(_xlpm.a_,1),"МА",""),"MA",""),30)))</f>
        <v/>
      </c>
      <c r="CV21" t="str">
        <f>IF(CS21="","",IFERROR(_xlfn.XLOOKUP(CS21,Линии[_n],Линии[_УЗО, мА]),30))</f>
        <v/>
      </c>
      <c r="CW21">
        <f>IF(CS21="",0,IF(ISNUMBER(SEARCH("4P",IFERROR(_xlfn.XLOOKUP(CS21,Линии[_n],Линии[_УЗО строки])&amp;"",""))),0,1))</f>
        <v>0</v>
      </c>
      <c r="CX21" t="str">
        <f>IF(AND(CS21&lt;&gt;"",CS21=BA21),SUMIFS(Линии[_ток на 230 В],Линии[_блок УЗО],BA21,Линии[Щит],A21),"")</f>
        <v/>
      </c>
      <c r="CY21" t="str">
        <f>IF(AND(CS21&lt;&gt;"",CS21=BA21),SUMIFS(Линии[_ток утечки линии, мА],Линии[_блок УЗО],BA21,Линии[Щит],A21),"")</f>
        <v/>
      </c>
      <c r="CZ21">
        <f t="shared" si="30"/>
        <v>0</v>
      </c>
      <c r="DA21">
        <f t="shared" si="31"/>
        <v>0</v>
      </c>
      <c r="DB21">
        <f>IF(B21="",0,IFERROR(--_xlfn.XLOOKUP(B21,Коды_код,Коды_минавт),IFERROR(--_xlfn.XLOOKUP(BC21,Коды_код,Коды_минавт),IFERROR(--_xlfn.XLOOKUP(LEFT(BC21,2),Коды_код,Коды_минавт),0))))</f>
        <v>10</v>
      </c>
      <c r="DC21" t="str">
        <f>IF(B21="","",IFERROR(_xlfn.XLOOKUP(BC21,Коды_код,Коды_апп)&amp;"",""))</f>
        <v/>
      </c>
      <c r="DD21" t="str">
        <f t="shared" si="32"/>
        <v>МК-5-1; БП 24V 75W</v>
      </c>
      <c r="DE21" t="str" cm="1">
        <f t="array" ref="DE21">IF(TRIM(DD21&amp;"")="","",IFERROR(TRIM(INDEX(_xlfn.TEXTSPLIT(DD21&amp;";;;",";"),1)),""))</f>
        <v>МК-5-1</v>
      </c>
      <c r="DF21" t="str" cm="1">
        <f t="array" ref="DF21">IF(TRIM(DD21&amp;"")="","",IFERROR(TRIM(INDEX(_xlfn.TEXTSPLIT(DD21&amp;";;;",";"),2)),""))</f>
        <v>БП 24V 75W</v>
      </c>
      <c r="DG21" t="str" cm="1">
        <f t="array" ref="DG21">IF(TRIM(DD21&amp;"")="","",IFERROR(TRIM(INDEX(_xlfn.TEXTSPLIT(DD21&amp;";;;",";"),3)),""))</f>
        <v/>
      </c>
      <c r="DH21">
        <f t="shared" si="33"/>
        <v>1</v>
      </c>
      <c r="DI21" t="str">
        <f>IF(B21="","",_xlfn.LET(_xlpm.t,LOWER(AZ21&amp;""),IF(ISNUMBER(SEARCH("dim",_xlpm.t)),"DIM",IF(ISNUMBER(SEARCH("dali",_xlpm.t)),"DALI",IF(OR(ISNUMBER(SEARCH("relay",_xlpm.t)),ISNUMBER(SEARCH("реле",_xlpm.t))),"Relay",IF(ISNUMBER(SEARCH("кнопк",_xlpm.t)),"",IFERROR(_xlfn.XLOOKUP(BC21,Коды_код,Коды_упр)&amp;"","")))))))</f>
        <v/>
      </c>
      <c r="DJ21" t="str">
        <f t="shared" si="34"/>
        <v/>
      </c>
      <c r="DK21">
        <f>IF(B21="","",_xlfn.LET(_xlpm.ig,IF(N(CX21)&gt;0,N(CX21),N(CI21)+IF(AJ21="вручную",0,N(CJ21))),_xlpm.n0,IFERROR(VLOOKUP(_xlpm.ig,Автомат_номиналы,2,TRUE),0),_xlpm.mn,MAX(DB21,IF(AJ21="вручную",0,N(CM21))),MAX(_xlpm.n0,_xlpm.mn,IF(DH21=1,Мин_автомат_БП,0))))</f>
        <v>10</v>
      </c>
      <c r="DL21">
        <f t="shared" si="35"/>
        <v>1</v>
      </c>
      <c r="DM21" t="str">
        <f t="shared" si="36"/>
        <v>1P</v>
      </c>
      <c r="DN21" t="str">
        <f>_xlfn.LET(_xlpm.cc,UPPER(TRIM(IFERROR(_xlfn.XLOOKUP(BC21,Коды_код,Коды_хар)&amp;"",""))),IF(OR(_xlpm.cc="B",_xlpm.cc="В"),"B",IF(_xlpm.cc="D","D","С")))</f>
        <v>С</v>
      </c>
      <c r="DO21" t="str">
        <f t="shared" si="37"/>
        <v>1P С10А</v>
      </c>
      <c r="DP21" t="str">
        <f t="shared" si="38"/>
        <v>1P С10А</v>
      </c>
      <c r="DQ21" t="str">
        <f t="shared" si="39"/>
        <v>1P С10А</v>
      </c>
      <c r="DR21" cm="1">
        <f t="array" ref="DR21">IF(DQ21="","",_xlfn.LET(_xlpm.t,SUBSTITUTE(SUBSTITUTE(SUBSTITUTE(UPPER(DQ21),"С","C"),"А","A"),"В","B"),_xlpm.tk,_xlfn.TEXTSPLIT(_xlpm.t," "),_xlpm.f,_xlfn._xlws.FILTER(_xlpm.tk,ISNUMBER(--MID(_xlpm.tk,2,1))*ISNUMBER(SEARCH(LEFT(_xlpm.tk,1)&amp;"#","B#C#D#"))*(LEN(_xlpm.tk)&gt;1),""),_xlpm.x,INDEX(_xlpm.f,1),IFERROR(--SUBSTITUTE(MID(_xlpm.x,2,9),"A",""),IFERROR(--SUBSTITUTE(INDEX(_xlfn._xlws.FILTER(_xlpm.tk,ISNUMBER(--SUBSTITUTE(_xlpm.tk,"A","")),""),1),"A",""),""))))</f>
        <v>10</v>
      </c>
      <c r="DS21" t="str">
        <f t="shared" si="40"/>
        <v>ok</v>
      </c>
      <c r="DT21">
        <f t="shared" si="41"/>
        <v>10</v>
      </c>
      <c r="DU21" t="str">
        <f t="shared" si="42"/>
        <v>1P С10А</v>
      </c>
      <c r="DV21">
        <f t="shared" si="43"/>
        <v>0</v>
      </c>
      <c r="DW21">
        <f t="shared" si="44"/>
        <v>0</v>
      </c>
      <c r="DX21">
        <f t="shared" si="45"/>
        <v>1</v>
      </c>
      <c r="DY21">
        <f t="shared" si="46"/>
        <v>0.41022255968736565</v>
      </c>
      <c r="DZ21">
        <f t="shared" si="47"/>
        <v>1</v>
      </c>
      <c r="EA21">
        <f>IF(ISNUMBER(AP21),AP21,К_прокл)</f>
        <v>1</v>
      </c>
      <c r="EB21">
        <f t="shared" si="48"/>
        <v>2</v>
      </c>
      <c r="EC21">
        <f>IFERROR(N(VLOOKUP(BZ21,Кабель_обозначение,3,FALSE)),1)</f>
        <v>1</v>
      </c>
      <c r="ED21">
        <f>IFERROR(N(_xlfn.XLOOKUP(A21,Щиты[Щит],Щиты[ΔU до шин, %])),0)</f>
        <v>0.58602884987279757</v>
      </c>
      <c r="EE21">
        <f>IFERROR(_xlfn.XLOOKUP(A21,Щиты[Щит],Щиты[Zпетли на шинах, Ом]),"")</f>
        <v>0.50164496021506877</v>
      </c>
      <c r="EF21">
        <f>IFERROR(N(_xlfn.XLOOKUP(A21,Щиты[Щит],Щиты[ΔU до шин (подбор), %])),0)</f>
        <v>0.58602884987279757</v>
      </c>
      <c r="EG21">
        <f>IFERROR(_xlfn.XLOOKUP(A21,Щиты[Щит],Щиты[Zпетли на шинах (подбор), Ом]),"")</f>
        <v>0.50164496021506877</v>
      </c>
      <c r="EH21" t="str">
        <f t="shared" si="49"/>
        <v/>
      </c>
      <c r="EI21">
        <f t="shared" si="50"/>
        <v>12</v>
      </c>
      <c r="EJ21">
        <f t="shared" si="51"/>
        <v>2</v>
      </c>
      <c r="EK21">
        <f t="shared" si="52"/>
        <v>0.31</v>
      </c>
      <c r="EL21" s="6">
        <f>IF(B21="","",IF(BV21=1,dU_LED,IF(IFERROR(_xlfn.XLOOKUP(BC21,Коды_код,Коды_уго),"")="Светильник",3,4)+IF(Методика="нормы 2026",MIN(0.5,MAX(0,N(P21)-100)*0.005),0)))</f>
        <v>5</v>
      </c>
      <c r="EM21" cm="1">
        <f t="array" ref="EM21">IF(OR(B21="",BZ21="",EC21&lt;&gt;1),"",_xlfn.LET(_xlpm.sz,Iдоп_S,_xlpm.t_,CHOOSE(EB21,Iдоп_1ж,Iдоп_2ж,Iдоп_3ж)*DZ21*EA21,_xlpm.dcx,BV21=1,_xlpm.inn,IF(_xlpm.dcx,N(O21),N(DT21)),_xlpm.smin,MAX(1.5,CC21),_xlpm.L_,N(P21)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21)/N(BU21)*100,999),IFERROR(N(EJ21)*(_xlpm.rho*_xlpm.L_/_xlpm.sz*N(CE21)+_xlpm.xx*_xlpm.L_*N(EK21)/1000)*N(O21)/((Uн_лин/SQRT(3))*1000)*100,999)),_xlpm.kz,IF(OR(_xlpm.dcx,DW21=1,NOT(ISNUMBER(EG21)),_xlpm.L_=0,_xlpm.inn=0),1,IFERROR(--(c_min*(Uн_лин*1000/SQRT(3))/(EG21+2*ρкз_Cu*_xlpm.L_/_xlpm.sz)&gt;=HT21*_xlpm.inn),0)),_xlpm.ok,IFERROR((_xlpm.sz&gt;=_xlpm.smin)*(_xlpm.t_&gt;=_xlpm.inn)*IF(_xlpm.L_&gt;0,(_xlpm.du_+IF(_xlpm.dcx,0,EF21)&lt;=EL21+0.00001),1)*_xlpm.kz,0),_xlpm.r_,_xlfn._xlws.FILTER(_xlpm.sz,_xlpm.ok,"не подобрано"),INDEX(_xlpm.r_,1)))</f>
        <v>1.5</v>
      </c>
      <c r="EN21">
        <f t="shared" si="53"/>
        <v>1.5</v>
      </c>
      <c r="EO21" cm="1">
        <f t="array" ref="EO21">IF(OR(B21="",BZ21="",EC21&lt;&gt;1),"",_xlfn.LET(_xlpm.sz,Iдоп_S,_xlpm.t_,CHOOSE(EB21,Iдоп_1ж,Iдоп_2ж,Iдоп_3ж)*DZ21*EA21,_xlpm.ok,IFERROR((_xlpm.sz&gt;=MAX(1.5,CC21))*(_xlpm.t_&gt;=N(DT21)),0),_xlpm.r_,_xlfn._xlws.FILTER(_xlpm.sz,_xlpm.ok,""),INDEX(_xlpm.r_,1)))</f>
        <v>1.5</v>
      </c>
      <c r="EP21" s="6" cm="1">
        <f t="array" ref="EP21">IFERROR(ROUNDUP(N(EJ21)*(_xlfn.XLOOKUP(EO21,INDEX(Кабель_сопротивление,0,1),INDEX(Кабель_сопротивление,0,3))*N(P21)/EO21*N(CE21)+_xlfn.XLOOKUP(EO21,INDEX(Кабель_сопротивление,0,1),INDEX(Кабель_сопротивление,0,2))*N(P21)*N(EK21)/1000)*N(O21)/((Uн_лин/SQRT(3))*1000)*100,2),"")</f>
        <v>0.39</v>
      </c>
      <c r="EQ21">
        <f>IFERROR(2*ρкз_Cu*N(P21)/EO21,"")</f>
        <v>0.52600000000000002</v>
      </c>
      <c r="ER21">
        <f>IFERROR(VLOOKUP(EN21,Кабель_сопротивление,3,FALSE),"")</f>
        <v>2.2499999999999999E-2</v>
      </c>
      <c r="ES21">
        <f>IFERROR(VLOOKUP(EN21,Кабель_сопротивление,2,FALSE),"")</f>
        <v>0.11</v>
      </c>
      <c r="ET21" t="str">
        <f t="shared" si="54"/>
        <v/>
      </c>
      <c r="EU21" t="str">
        <f t="shared" si="55"/>
        <v/>
      </c>
      <c r="EV21">
        <f t="shared" si="56"/>
        <v>0.9375</v>
      </c>
      <c r="EW21" s="6">
        <f>IFERROR(ROUNDUP(EV21/IF(BV21=1,BU21,(Uн_лин/SQRT(3))*1000)*100,2),"")</f>
        <v>3.9099999999999997</v>
      </c>
      <c r="EX21" t="str">
        <f>IFERROR(VLOOKUP(BZ21,Кабель_обозначение,2,FALSE),"")</f>
        <v>ВВГнг(А)-LS</v>
      </c>
      <c r="EY21" t="str">
        <f t="shared" si="57"/>
        <v>ВВГнг(А)-LS (2х1,5)</v>
      </c>
      <c r="EZ21" t="str">
        <f t="shared" si="58"/>
        <v>ВВГнг(А)-LS (2х1,5)
L=15-3,91%</v>
      </c>
      <c r="FA21">
        <f>IFERROR(2*ρкз_Cu*P21/EN21,"")</f>
        <v>0.52600000000000002</v>
      </c>
      <c r="FB21">
        <f t="shared" si="59"/>
        <v>0.17500000000000002</v>
      </c>
      <c r="FC21" s="6" t="str">
        <f>IFERROR(IF(OR(B21="",BV21=1,NOT(ISNUMBER(EN21)),N(P21)=0),"",_xlfn.XLOOKUP(A21,Щиты[Щит],Щиты[Zпетли на шинах, Ом])+FA21),"")</f>
        <v/>
      </c>
      <c r="FD21" s="6" t="str">
        <f>IF(ISNUMBER(FC21),c_min*(Uн_лин*1000/SQRT(3))/FC21,"")</f>
        <v/>
      </c>
      <c r="FE21" s="6">
        <f>IFERROR(IF(OR(B21="",NOT(ISNUMBER(EN21))),"",1.05*(Uн_лин*1000/SQRT(3))/(_xlfn.XLOOKUP(A21,Щиты[Щит],Щиты[Zmax на шинах, Ом])+FB21)/1000),"")</f>
        <v>0.72812352228106469</v>
      </c>
      <c r="FF21" s="6" t="str">
        <f>IF(B21="","",IF(ISNUMBER(AC21),"Сил",IF(IFERROR(_xlfn.XLOOKUP(BC21,Коды_код,Коды_группа)&amp;"","")="","Быт",_xlfn.XLOOKUP(BC21,Коды_код,Коды_группа)&amp;"")))</f>
        <v>Быт</v>
      </c>
      <c r="FG21" s="6" t="str">
        <f t="shared" si="60"/>
        <v>Быт</v>
      </c>
      <c r="FH21" s="6">
        <f>IF(FG21="Щит","щит",IF(FG21="","",IF(FG21="Быт",IFERROR(_xlfn.XLOOKUP(A21,Щиты[Щит],Щиты[Кс быт]),1),IF(FG21="Сил",IF(ISNUMBER(AC21),AC21,IF(Методика="нормы 2026",IFERROR(_xlfn.XLOOKUP(A21,Щиты[Щит],Щиты[Кс силовых (табл. 7.5)]),1),1)),IF(OR(FG21="Пост",FG21="Отоп"),1,IF(FG21="ВНГ",0.7,0))))))</f>
        <v>0.8</v>
      </c>
      <c r="FI21">
        <f>IF(FG21="","",IF(AND(BP21=1,TRIM(AE21&amp;"")=""),IF(COUNTIFS(Линии[Щит],A21,Линии[Секция (1/2/3)],"&gt;=2")&gt;0,MIN(3,MAX(1,IFERROR(--BD21,1))),1),IFERROR(MIN(3,MAX(1,INT(--AE21))),1)))</f>
        <v>1</v>
      </c>
      <c r="FJ21">
        <f t="shared" si="61"/>
        <v>0.05</v>
      </c>
      <c r="FK21">
        <f t="shared" si="62"/>
        <v>0.05</v>
      </c>
      <c r="FL21">
        <f t="shared" si="63"/>
        <v>0</v>
      </c>
      <c r="FM21">
        <f t="shared" si="64"/>
        <v>0</v>
      </c>
      <c r="FN21">
        <f t="shared" si="65"/>
        <v>0</v>
      </c>
      <c r="FO21">
        <f t="shared" si="66"/>
        <v>0</v>
      </c>
      <c r="FP21">
        <f t="shared" si="67"/>
        <v>0.05</v>
      </c>
      <c r="FQ21">
        <f t="shared" si="68"/>
        <v>0.05</v>
      </c>
      <c r="FR21">
        <f t="shared" si="69"/>
        <v>4.7500000000000001E-2</v>
      </c>
      <c r="FS21">
        <f>IF(CG21=1,IF(AND(CH21=1,CW21=1),0,IF(AND(CS21&lt;&gt;"",CS21=BA21,CW21=1),SUMIFS(Линии[_Р линии, кВт],Линии[_блок УЗО],BA21,Линии[Щит],A21),N(BS21)+IF(AJ21="вручную",0,N(CK21)))),0)</f>
        <v>0.09</v>
      </c>
      <c r="FT21" t="str">
        <f t="shared" si="70"/>
        <v/>
      </c>
      <c r="FU21" t="str">
        <f>IF(B21="","",IF(CG21=0,IF(BA21=1,"",FW20),IF(AND(CH21=1,CW21=1,CS21&lt;&gt;""),IFERROR(_xlfn.XLOOKUP(CS21,Линии[_n],Линии[_фаза итог]),"L1"),IF(OR(N(DL21)&gt;=3,N(BX21)&gt;=3),"L1,L2,L3",IFERROR(_xlfn.TEXTBEFORE(_xlfn.TEXTAFTER(_xlfn.XLOOKUP(A21,Щиты[Щит],Щиты[_фазы авто]),";"&amp;BA21&amp;":"),";"),"L1")))))</f>
        <v>L2</v>
      </c>
      <c r="FV21" t="str">
        <f t="shared" si="71"/>
        <v>L2</v>
      </c>
      <c r="FW21" t="str">
        <f t="shared" si="72"/>
        <v>L2</v>
      </c>
      <c r="FX21" cm="1">
        <f t="array" ref="FX21">IFERROR(IF(CD21=2,_xlfn.IFS(BX21=3,VLOOKUP(BS21,Справочная_двигатели,3,FALSE),BX21=1,VLOOKUP(BS21,Справочная_двигатели,5,TRUE)),0),0)</f>
        <v>0</v>
      </c>
      <c r="FY21">
        <f>IFERROR(IF(CD21=3,VLOOKUP(BS21,Справочная_ЛЭД,2,TRUE),0),0)</f>
        <v>0</v>
      </c>
      <c r="FZ21" s="6">
        <f t="shared" si="73"/>
        <v>0</v>
      </c>
      <c r="GA21" t="str">
        <f>IF(B21="","",IF(TRIM(AH21&amp;"")&lt;&gt;"",IF(LOWER(TRIM(AH21&amp;""))="да","да","нет"),IF(IFERROR(_xlfn.XLOOKUP(BC21,Коды_код,Коды_пожарная),"")="да","да","нет")))</f>
        <v>нет</v>
      </c>
      <c r="GB21" t="str">
        <f t="shared" si="74"/>
        <v/>
      </c>
      <c r="GC21" t="str">
        <f t="shared" si="75"/>
        <v>основная</v>
      </c>
      <c r="GD21">
        <f>IF(AND(BP21=1,TRIM(AE21&amp;"")=""),IF(COUNTIFS(Линии[Щит],A21,Линии[Секция (1/2/3)],"&gt;=2")&gt;0,MIN(3,MAX(1,IFERROR(--BD21,1))),1),IFERROR(MIN(3,MAX(1,INT(--AE21))),1))</f>
        <v>1</v>
      </c>
      <c r="GE21" t="str" cm="1">
        <f t="array" ref="GE21">IF(B21="","",_xlfn.LET(_xlpm.t,IFERROR(_xlfn.XLOOKUP(1,(Шины[Шина]=GC21)*(((Шины[Щит]=A21)+(Шины[Щит]=""))&gt;0),Шины[Тип]),"")&amp;"",IF(_xlpm.t&lt;&gt;"",_xlpm.t,IF(ISNUMBER(SEARCH("ИБП",GC21)),"ИБП",IF(ISNUMBER(SEARCH("ДГУ",GC21)),"ДГУ","Ввод "&amp;GD21)))))</f>
        <v>Ввод 1</v>
      </c>
      <c r="GF21" t="str">
        <f t="shared" si="76"/>
        <v>Ввод 1</v>
      </c>
      <c r="GG21" t="str">
        <f>IF(BP21=0,"",IF(TRIM(AG21&amp;"")&lt;&gt;"",TRIM(AG21&amp;""),IF(OR(GE21="ИБП",GE21="ДГУ"),"I особая",_xlfn.XLOOKUP(A21,Щиты[Щит],Щиты[Категория шины «Ввод»],"III"))))</f>
        <v/>
      </c>
      <c r="GH21" t="str">
        <f>IF(A21="","",_xlfn.XLOOKUP(A21,Щиты[Щит],Щиты[Путь],""))</f>
        <v>|ВРУ|ЩБП|</v>
      </c>
      <c r="GI21" t="str">
        <f>IF(B21="","",IF(AI21&lt;&gt;"",AI21,IF(IFERROR(_xlfn.XLOOKUP(BC21,Коды_код,Коды_вид)&amp;"","")="","Прочее",_xlfn.XLOOKUP(BC21,Коды_код,Коды_вид)&amp;"")))</f>
        <v>Рабочее освещение</v>
      </c>
      <c r="GJ21">
        <f>IF(BM21="","",INT((BM21-1)/Столбцов_на_лист)+1)</f>
        <v>1</v>
      </c>
      <c r="GK21" t="str">
        <f t="shared" si="77"/>
        <v>ВВГнг(А)-LS (2х1,5) L=15-3,91%</v>
      </c>
      <c r="GL21">
        <f t="shared" si="78"/>
        <v>0.05</v>
      </c>
      <c r="GM21">
        <f t="shared" si="79"/>
        <v>2.09</v>
      </c>
      <c r="GN21">
        <f t="shared" si="80"/>
        <v>1</v>
      </c>
      <c r="GO21">
        <f t="shared" si="81"/>
        <v>0</v>
      </c>
      <c r="GP21">
        <f t="shared" si="82"/>
        <v>1</v>
      </c>
      <c r="GQ21">
        <f>IF(BM21="","",IF(AND(CG21=1,GP21=1),COUNTIFS(A$3:A21,A21,CG$3:CG21,1,GP$3:GP21,1),IF(OR(OR(BA21=1,A21&lt;&gt;A20),AJ21="вручную",GP21=0),"",IF(BA21=1,"",GR20))))</f>
        <v>2</v>
      </c>
      <c r="GR21">
        <f t="shared" si="83"/>
        <v>2</v>
      </c>
      <c r="GS21">
        <f>IF(B21="","",IFERROR(LOOKUP(INDEX(CHOOSE(EB21,Iдоп_1ж,Iдоп_2ж,Iдоп_3ж),MATCH(EN21,Iдоп_S,0))*DZ21*EA21,{6,10,16,20,25,32,40,50,63,80,100,125,160,200,250,315,400,500,630}),""))</f>
        <v>16</v>
      </c>
      <c r="GT21" t="str">
        <f t="shared" si="84"/>
        <v>QF2</v>
      </c>
      <c r="GU21" t="str">
        <f t="shared" si="85"/>
        <v>QF2</v>
      </c>
      <c r="GV21" t="str">
        <f t="shared" si="86"/>
        <v>МК-5-1 → БП 24V 75W</v>
      </c>
      <c r="GW21">
        <f t="shared" si="87"/>
        <v>1</v>
      </c>
      <c r="GX21" t="str">
        <f>IF(OR(B21="",DJ21=""),"",IFERROR(_xlfn.XLOOKUP(DJ21,Модули_умолч[Управление],Модули_умолч[Модель])&amp;"",""))</f>
        <v/>
      </c>
      <c r="GY21">
        <f>IF(DJ21="",1,IFERROR(MAX(0,N(_xlfn.XLOOKUP(DJ21,Модули_умолч[Управление],Модули_умолч[Каналов на линию]))),1))</f>
        <v>1</v>
      </c>
      <c r="GZ21" t="str">
        <f t="shared" si="88"/>
        <v>-</v>
      </c>
      <c r="HA21" t="str">
        <f t="shared" si="89"/>
        <v/>
      </c>
      <c r="HB21" t="str">
        <f t="shared" si="90"/>
        <v/>
      </c>
      <c r="HC21">
        <f>IF(HB21="",0,IFERROR(N(VLOOKUP(HB21,Модули_спр,3,FALSE)),0))</f>
        <v>0</v>
      </c>
      <c r="HD21" t="str">
        <f t="shared" si="91"/>
        <v/>
      </c>
      <c r="HE21" t="str">
        <f t="shared" si="92"/>
        <v>-</v>
      </c>
      <c r="HF21" t="str">
        <f>IF(OR(HE21="",HE21="-"),"",IFERROR(VLOOKUP(HE21,Модули_спр,2,FALSE),"R"))</f>
        <v/>
      </c>
      <c r="HG21" t="str">
        <f>IF(HF21="","",HF21&amp;"."&amp;COUNTIFS(A$3:A21,A21,HF$3:HF21,HF21))</f>
        <v/>
      </c>
      <c r="HH21" t="str">
        <f t="shared" si="93"/>
        <v/>
      </c>
      <c r="HI21" t="str">
        <f t="shared" si="94"/>
        <v/>
      </c>
      <c r="HJ21" t="str">
        <f t="shared" si="95"/>
        <v/>
      </c>
      <c r="HK21" t="str">
        <f t="shared" si="96"/>
        <v/>
      </c>
      <c r="HL21">
        <f t="shared" si="97"/>
        <v>1</v>
      </c>
      <c r="HM21" t="str">
        <f>IF(HL21=1,"XT"&amp;COUNTIFS(A$3:A21,A21,HL$3:HL21,1),"")</f>
        <v>XT5</v>
      </c>
      <c r="HN21" t="str">
        <f t="shared" si="98"/>
        <v>XT5</v>
      </c>
      <c r="HO21" t="str">
        <f t="shared" si="99"/>
        <v>QF2</v>
      </c>
      <c r="HP21" t="str">
        <f t="shared" si="100"/>
        <v/>
      </c>
      <c r="HQ21" t="str">
        <f t="shared" si="101"/>
        <v>ok</v>
      </c>
      <c r="HR21" t="str">
        <f>IF(OR(HJ21="",HH21=""),"",IF(HJ21+MAX(0,GY21-1)&gt;IFERROR(VLOOKUP(HI21,Модули_спр,3,FALSE),99),"ЛИШНИЙ КАНАЛ",IF(AND(AL21&lt;&gt;"=",GY21&gt;0,COUNTIFS(Линии[_модуль гр.],HH21,Линии[Канал (итог)],HJ21,Линии[Канал],"&lt;&gt;=",Линии[Щит],A21)&gt;1),"ДУБЛЬ КАНАЛА","")))</f>
        <v/>
      </c>
      <c r="HS21" s="6" t="str">
        <f t="shared" si="102"/>
        <v/>
      </c>
      <c r="HT21">
        <f t="shared" si="103"/>
        <v>10</v>
      </c>
      <c r="HU21" t="str">
        <f t="shared" si="104"/>
        <v/>
      </c>
      <c r="HV21">
        <f t="shared" si="105"/>
        <v>9.1160568819414603E-2</v>
      </c>
      <c r="HW21">
        <f t="shared" si="106"/>
        <v>7.292845505553168E-2</v>
      </c>
      <c r="HX21">
        <f t="shared" si="107"/>
        <v>24.9375</v>
      </c>
      <c r="HY21">
        <f t="shared" si="108"/>
        <v>51.953125000000007</v>
      </c>
      <c r="HZ21">
        <f t="shared" si="109"/>
        <v>41.083333333333336</v>
      </c>
      <c r="IA21">
        <f t="shared" si="110"/>
        <v>24.65</v>
      </c>
      <c r="IB21">
        <f t="shared" si="111"/>
        <v>1</v>
      </c>
      <c r="IC21" t="str">
        <f t="shared" si="112"/>
        <v>БП 24V 75W</v>
      </c>
      <c r="ID21" cm="1">
        <f t="array" ref="ID21">IF(IC21="","",_xlfn.LET(_xlpm.tk,_xlfn.TEXTSPLIT(SUBSTITUTE(SUBSTITUTE(IC21,";"," "),"→"," ")," ",,TRUE),_xlpm.w_,_xlfn._xlws.FILTER(_xlpm.tk,ISNUMBER(--LEFT(_xlpm.tk,1))*((ISNUMBER(SEARCH("W",_xlpm.tk))+ISNUMBER(SEARCH("Вт",_xlpm.tk)))&gt;0),""),IFERROR(--SUBSTITUTE(SUBSTITUTE(UPPER(INDEX(_xlpm.w_,1)),"W",""),"ВТ",""),"")))</f>
        <v>75</v>
      </c>
      <c r="IE21" cm="1">
        <f t="array" ref="IE21">IF(IC21="","",_xlfn.LET(_xlpm.tk,_xlfn.TEXTSPLIT(SUBSTITUTE(SUBSTITUTE(IC21,";"," "),"→"," ")," ",,TRUE),_xlpm.v_,_xlfn._xlws.FILTER(_xlpm.tk,ISNUMBER(--LEFT(_xlpm.tk,1))*((ISNUMBER(SEARCH("V",_xlpm.tk))+(RIGHT(UPPER(_xlpm.tk))="В"))&gt;0),""),IFERROR(--SUBSTITUTE(SUBSTITUTE(UPPER(INDEX(_xlpm.v_,1)),"V",""),"В",""),"")))</f>
        <v>24</v>
      </c>
      <c r="IF21" s="6" t="str">
        <f>IF(OR(BV21=0,HI21="",HJ21=""),"",IFERROR(N(_xlfn.XLOOKUP(HI21,Каталог!$C$4:$C$500,Каталог!$Q$4:$Q$500)),""))</f>
        <v/>
      </c>
      <c r="IG21" s="6" t="str">
        <f>IF(N(IF21)=0,"",SUMIFS(Линии[Iр, А],Линии[Щит],A21,Линии[_модуль гр.],HH21,Линии[Канал (итог)],HJ21))</f>
        <v/>
      </c>
      <c r="IH21" t="str">
        <f>IF(AND(B21="",HO21=""),"",_xlfn.TEXTJOIN("; ",TRUE,IF(AND(B21&lt;&gt;"",FV21=""),"нет фазы",""),IF(AND(B21&lt;&gt;"",N(GL21)=0,FG21&lt;&gt;"Нет"),"нет мощности",""),IF(AND(HN21&lt;&gt;"",COUNTIFS(Линии[Щит],A21,Линии[Клемма (итог)],HN21)&gt;1),"дубль клеммы "&amp;HN21,""),IF(AND(HQ21&lt;&gt;"",HQ21&lt;&gt;"ok"),HQ21,""),IF(HR21&lt;&gt;"",HR21,""),IF(AND(N(CB21)&gt;=4,N(BX21)=1),CB21&amp;" жил на 1 фазе",""),IF(AND(BC21="R",CG21=1,IF(CS21&lt;&gt;"",N(CV21)&gt;30,OR(N(DA21)=0,N(DA21)&gt;30))),"розетка без дифзащиты до 30 мА",""),IF(AND(CG21=1,N(DA21)&gt;0,ISNUMBER(T21)),IF(T21&gt;N(DA21)/3,"ток утечки "&amp;FIXED(T21,1)&amp;" мА &gt; 1/3 уставки ("&amp;DA21&amp;" мА)",""),""),IF(AND(CH21=1,CS21=""),"«узо»: нет строки с УЗО выше (УЗО 2P 40А 30мА в «Аппаратах»)",""),IF(AND(CS21&lt;&gt;"",CS21=BA21),IF(CT21="","впишите номинал УЗО (УЗО 2P 40А 30мА)",IF(N(CT21)&lt;N(DT21),"УЗО "&amp;CT21&amp;" А &lt; автомата "&amp;DT21&amp;" А перед ним",IF(N(CT21)&lt;N(CX21),"УЗО "&amp;CT21&amp;" А &lt; тока блока "&amp;FIXED(CX21,1)&amp;" А",""))),""),IF(AND(CS21&lt;&gt;"",CS21=BA21,ISNUMBER(CY21)),IF(CY21&gt;N(CV21)/3,"ток утечки блока УЗО "&amp;FIXED(CY21,1)&amp;" мА &gt; 1/3 уставки ("&amp;CV21&amp;" мА)",""),""),IF(AND(CG21=1,N(BV21)+N(IB21)&gt;0,IC21=""),"линии до 50 В без БП: впишите в «Аппараты» (БП 24V 480W)",""),IF(AND(CG21=1,ISNUMBER(ID21),ISNUMBER(U21)),IF(U21&gt;ID21,"БП "&amp;ID21&amp;" Вт &lt; нужно "&amp;U21&amp;" Вт (×"&amp;Запас_БП&amp;")",""),""),IF(AND(CG21=1,ISNUMBER(IE21),N(BV21)=1),IF(IE21&lt;&gt;N(BU21),"БП на "&amp;IE21&amp;" В, линия "&amp;BU21&amp;" В",""),""),IF(AND(N(IF21)&gt;0,N(IG21)&gt;N(IF21)),HH21&amp;" канал "&amp;HJ21&amp;": "&amp;FIXED(IG21,1)&amp;" А &gt; "&amp;IF21&amp;" А",""),IFERROR(IF(AND(ISNUMBER(Q21),Q21&gt;EL21),"потери "&amp;FIXED(Q21,1)&amp;" % &gt; "&amp;EL21&amp;" %",""),""),IFERROR(IF(LEFT(HU21,4)="мало","Iкз мало — отключение &gt; 0,4 с",""),""),IF(AND(B21&lt;&gt;"",BM21=""),"не на схеме",""),IF(AND(CG21=0,B21&lt;&gt;"",FV21&lt;&gt;"",IF(BA21=1,"",FW20)&lt;&gt;"",FV21&lt;&gt;IF(BA21=1,"",FW20)),"фаза не как у автомата группы ("&amp;IF(BA21=1,"",FW20)&amp;")","")))</f>
        <v>БП 75 Вт &lt; нужно 121 Вт (×1,3)</v>
      </c>
      <c r="II21" s="6">
        <f>IF(OR(CG21=0,DQ21=""),"",_xlfn.LET(_xlpm.t,IFERROR(_xlfn.XLOOKUP(DQ21,Каталог!$U$4:$U$500,Каталог!$G$4:$G$500),""),_xlpm.k,SEARCH("кА",_xlpm.t),IFERROR(--TRIM(RIGHT(SUBSTITUTE(MID(_xlpm.t,MAX(1,_xlpm.k-4),_xlpm.k-MAX(1,_xlpm.k-4))," ",REPT(" ",9)),5)),"")))</f>
        <v>6</v>
      </c>
      <c r="IJ21" t="str">
        <f>IF(OR(II21="",CG21=0),"",IF(_xlfn.XLOOKUP(A21,Щиты[Щит],Щиты[Iкз max на шинах, кА],"")="","",IF(II21&lt;_xlfn.XLOOKUP(A21,Щиты[Щит],Щиты[Iкз max на шинах, кА]),"Icu "&amp;II21&amp;" кА &lt; Iкз max","ok")))</f>
        <v>ok</v>
      </c>
      <c r="IK21" t="str">
        <f t="shared" si="113"/>
        <v/>
      </c>
      <c r="IL21" t="str">
        <f t="shared" si="114"/>
        <v>QF2|МК-5-1|БП 24V 75W|XT5</v>
      </c>
      <c r="IM21" t="str">
        <f t="shared" si="115"/>
        <v>QF2|МК-5-1|БП 24V 75W|XT5|кабель ВВГнг(А)-LS (2х1,5) → LED-подсветка ниши, пом. 04</v>
      </c>
      <c r="IN21" t="str" cm="1">
        <f t="array" ref="IN21">IF(IM21="","",_xlfn.LET(_xlpm.nd,_xlfn.TEXTSPLIT(IM21,"|"),IF(COLUMNS(_xlpm.nd)&gt;1,A21&amp;"¦"&amp;INDEX(_xlpm.nd,1)&amp;"¦"&amp;INDEX(_xlpm.nd,2),"")))</f>
        <v>ЩБП¦QF2¦МК-5-1</v>
      </c>
      <c r="IO21" t="str">
        <f t="shared" si="116"/>
        <v>LD.1.04.1¦LED-подсветка ниши, пом. 04</v>
      </c>
      <c r="IP21" t="str" cm="1">
        <f t="array" ref="IP21">IF(IM21="","",_xlfn.LET(_xlpm.nd,_xlfn.TEXTSPLIT(IM21,"|"),IF(COLUMNS(_xlpm.nd)&gt;2,A21&amp;"¦"&amp;INDEX(_xlpm.nd,2)&amp;"¦"&amp;INDEX(_xlpm.nd,3),"")))</f>
        <v>ЩБП¦МК-5-1¦БП 24V 75W</v>
      </c>
      <c r="IQ21" t="str">
        <f t="shared" si="117"/>
        <v>LD.1.04.1¦LED-подсветка ниши, пом. 04</v>
      </c>
      <c r="IR21" t="str" cm="1">
        <f t="array" ref="IR21">IF(IM21="","",_xlfn.LET(_xlpm.nd,_xlfn.TEXTSPLIT(IM21,"|"),IF(COLUMNS(_xlpm.nd)&gt;3,A21&amp;"¦"&amp;INDEX(_xlpm.nd,3)&amp;"¦"&amp;INDEX(_xlpm.nd,4),"")))</f>
        <v>ЩБП¦БП 24V 75W¦XT5</v>
      </c>
      <c r="IS21" t="str">
        <f t="shared" si="118"/>
        <v>LD.1.04.1¦LED-подсветка ниши, пом. 04</v>
      </c>
      <c r="IT21" t="str" cm="1">
        <f t="array" ref="IT21">IF(IM21="","",_xlfn.LET(_xlpm.nd,_xlfn.TEXTSPLIT(IM21,"|"),IF(COLUMNS(_xlpm.nd)&gt;4,A21&amp;"¦"&amp;INDEX(_xlpm.nd,4)&amp;"¦"&amp;INDEX(_xlpm.nd,5),"")))</f>
        <v>ЩБП¦XT5¦кабель ВВГнг(А)-LS (2х1,5) → LED-подсветка ниши, пом. 04</v>
      </c>
      <c r="IU21" t="str">
        <f t="shared" si="119"/>
        <v>LD.1.04.1¦LED-подсветка ниши, пом. 04</v>
      </c>
      <c r="IV21" t="str" cm="1">
        <f t="array" ref="IV21">IF(IM21="","",_xlfn.LET(_xlpm.nd,_xlfn.TEXTSPLIT(IM21,"|"),IF(COLUMNS(_xlpm.nd)&gt;5,A21&amp;"¦"&amp;INDEX(_xlpm.nd,5)&amp;"¦"&amp;INDEX(_xlpm.nd,6),"")))</f>
        <v/>
      </c>
      <c r="IW21" t="str">
        <f t="shared" si="120"/>
        <v/>
      </c>
      <c r="IX21" t="str" cm="1">
        <f t="array" ref="IX21">IF(IM21="","",_xlfn.LET(_xlpm.nd,_xlfn.TEXTSPLIT(IM21,"|"),IF(COLUMNS(_xlpm.nd)&gt;6,A21&amp;"¦"&amp;INDEX(_xlpm.nd,6)&amp;"¦"&amp;INDEX(_xlpm.nd,7),"")))</f>
        <v/>
      </c>
      <c r="IY21" t="str">
        <f t="shared" si="121"/>
        <v/>
      </c>
      <c r="IZ21" t="str">
        <f t="shared" si="122"/>
        <v/>
      </c>
      <c r="JA21" t="str">
        <f t="shared" si="123"/>
        <v>QF2 → МК-5-1 → БП 24V 75W → XT5</v>
      </c>
      <c r="JB21">
        <f t="shared" si="124"/>
        <v>0</v>
      </c>
      <c r="JC21">
        <f t="shared" si="125"/>
        <v>0</v>
      </c>
      <c r="JD21" t="str">
        <f t="shared" si="126"/>
        <v/>
      </c>
      <c r="JE21" t="str">
        <f t="shared" si="127"/>
        <v>MK</v>
      </c>
      <c r="JF21" t="str">
        <f t="shared" si="128"/>
        <v>PS</v>
      </c>
      <c r="JG21" t="str">
        <f t="shared" si="129"/>
        <v/>
      </c>
      <c r="JH21" t="str">
        <f>IF(B21="","",IFERROR(_xlfn.XLOOKUP(B21,Коды_код,Коды_уго),IFERROR(_xlfn.XLOOKUP(BC21,Коды_код,Коды_уго),IFERROR(_xlfn.XLOOKUP(LEFT(BC21,2),Коды_код,Коды_уго),""))))</f>
        <v>Светильник</v>
      </c>
      <c r="JI21" t="str">
        <f>IF(B21="","",IF(OR(JH21="",JH21=0),"BOX",IFERROR(IF(VLOOKUP(JH21,УГО_блоки,3,FALSE)&amp;""&lt;&gt;"",VLOOKUP(JH21,УГО_блоки,3,FALSE),VLOOKUP(JH21,УГО_блоки,2,FALSE)),JH21)))</f>
        <v>LAMP</v>
      </c>
      <c r="JJ21">
        <f t="shared" si="130"/>
        <v>1</v>
      </c>
      <c r="JK21" t="str">
        <f>IF(DQ21="","",IF(COUNTIF(DQ$3:DQ21,DQ21)=1,MAX(JK$2:JK20)+1,""))</f>
        <v/>
      </c>
      <c r="JL21" t="str">
        <f>IF(DE21="","",IF(COUNTIF(DE$3:DE21,DE21)+COUNTIF(DF$2:DF20,DE21)+COUNTIF(DG$2:DG20,DE21)=1,MAX(JL$2:JN20)+1,""))</f>
        <v/>
      </c>
      <c r="JM21">
        <f>IF(DF21="","",IF(COUNTIF(DE$3:DE21,DF21)+COUNTIF(DF$3:DF21,DF21)+COUNTIF(DG$2:DG20,DF21)=1,MAX(JL$2:JN20,JL21)+1,""))</f>
        <v>3</v>
      </c>
      <c r="JN21" t="str">
        <f>IF(DG21="","",IF(COUNTIF(DE$3:DE21,DG21)+COUNTIF(DF$3:DF21,DG21)+COUNTIF(DG$3:DG21,DG21)=1,MAX(JL$2:JN20,JL21,JM21)+1,""))</f>
        <v/>
      </c>
      <c r="JO21" t="str">
        <f t="shared" si="131"/>
        <v>2х1,5</v>
      </c>
      <c r="JP21">
        <f>IF(JO21="","",IF(COUNTIF(JO$3:JO21,JO21)=1,MAX(JP$2:JP20)+1,""))</f>
        <v>11</v>
      </c>
      <c r="JQ21" t="str">
        <f>IF(HG21="","",COUNTIF(HG$3:HG21,"?*"))</f>
        <v/>
      </c>
      <c r="JR21" t="str">
        <f>IF(OR(HG21="",HI21=""),"",IF(COUNTIFS(HG$3:HG21,"?*",HI$3:HI21,HI21)=1,MAX(JR$2:JR20)+1,""))</f>
        <v/>
      </c>
      <c r="JS21">
        <f t="shared" si="132"/>
        <v>1</v>
      </c>
      <c r="JT21">
        <f>IF(B21="","",COUNTIF(B$3:B21,"?*"))</f>
        <v>19</v>
      </c>
      <c r="JU21">
        <f>IF(HL21&lt;&gt;1,0,_xlfn.LET(_xlpm.k,MAX(IFERROR(--_xlfn.XLOOKUP(B21,Коды_код,Коды_3L),0),IFERROR(--_xlfn.XLOOKUP(BC21,Коды_код,Коды_3L),0),IFERROR(--_xlfn.XLOOKUP(LEFT(BC21,2),Коды_код,Коды_3L),0)),IF(_xlpm.k&gt;0,_xlpm.k,IF(IFERROR(--LEFT(SUBSTITUTE(JO21,"x","х"),FIND("х",SUBSTITUTE(JO21,"x","х"))-1),3)&gt;3,Каталог!$S$9,1))))</f>
        <v>1</v>
      </c>
      <c r="JV21">
        <f t="shared" si="133"/>
        <v>0</v>
      </c>
      <c r="JW21" t="str">
        <f t="shared" si="134"/>
        <v>авто</v>
      </c>
      <c r="JX21" t="str">
        <f t="shared" si="135"/>
        <v/>
      </c>
      <c r="JY21">
        <f t="shared" si="136"/>
        <v>0</v>
      </c>
      <c r="JZ21">
        <f t="shared" si="137"/>
        <v>1</v>
      </c>
    </row>
    <row r="22" spans="1:286" x14ac:dyDescent="0.3">
      <c r="A22" t="s">
        <v>945</v>
      </c>
      <c r="B22" t="s">
        <v>1202</v>
      </c>
      <c r="C22" t="s">
        <v>1246</v>
      </c>
      <c r="E22">
        <v>0.04</v>
      </c>
      <c r="F22" t="s">
        <v>1198</v>
      </c>
      <c r="G22" t="str">
        <f>Линии[[#This Row],[_авто автомат]]</f>
        <v>↑ 1P С10А</v>
      </c>
      <c r="H22" t="str">
        <f>Линии[[#This Row],[_авто управление]]</f>
        <v/>
      </c>
      <c r="I22" t="str">
        <f>Линии[[#This Row],[_авто аппараты]]</f>
        <v/>
      </c>
      <c r="J22">
        <f>Линии[[#This Row],[_авто сечение]]</f>
        <v>1.5</v>
      </c>
      <c r="K22">
        <v>10</v>
      </c>
      <c r="L22" t="str">
        <f>Линии[[#This Row],[_авто фаза]]</f>
        <v>L2</v>
      </c>
      <c r="M22" t="str">
        <f>Линии[[#This Row],[_авто клемма]]</f>
        <v>XT6</v>
      </c>
      <c r="N22" t="str">
        <f t="shared" si="0"/>
        <v/>
      </c>
      <c r="O22" s="6" cm="1">
        <f t="array" ref="O22">IF(B22="","",IF(BH22&lt;&gt;"",IFERROR(_xlfn.XLOOKUP(BH22,Щиты[Щит],Щиты[Iр, А]),""),IF(BP22=1,IF(OR(N(_xlfn.XLOOKUP(A22,Щиты[Щит],Щиты[Вводов],1))&lt;=1,LOWER(TRIM(_xlfn.XLOOKUP(A22,Щиты[Щит],Щиты[АВР],"")&amp;""))="да"),IFERROR(_xlfn.XLOOKUP(A22,Щиты[Щит],Щиты[Iр, А]),""),IFERROR(N(BS22)*_xlfn.XLOOKUP(A22,Щиты[Щит],Щиты[Кс итог])/(SQRT(3)*Uн_лин*_xlfn.XLOOKUP(A22,Щиты[Щит],Щиты[cos φ])),"")),IF(BV22=1,IFERROR(BS22*1000/BU22,""),IFERROR(_xlfn.IFS(BX22=1,BS22/((Uн_лин/SQRT(3))*CE22),BX22=3,BS22/(SQRT(3)*Uн_лин*CE22)),"")))))</f>
        <v>1.6666666666666667</v>
      </c>
      <c r="P22" s="7">
        <f>IF(B22="","",IFERROR(IF(VLOOKUP(BC22,Потребители_обозначение,4,FALSE)=1,VLOOKUP(BC22,Потребители_обозначение,3,FALSE)*(MAX(1,N(D22))*2-1)+EI22+VLOOKUP(BE22,Этаж_обозначение,3,FALSE)+VLOOKUP(BE22,Этаж_обозначение,4,FALSE),VLOOKUP(BC22,Потребители_обозначение,3,FALSE)*(MAX(1,N(D22))*2-1)+EI22),EI22))</f>
        <v>13</v>
      </c>
      <c r="Q22" s="6">
        <f t="shared" si="1"/>
        <v>2.71</v>
      </c>
      <c r="R22" t="str">
        <f t="shared" si="2"/>
        <v>ВВГнг(А)-LS (2х1,5)</v>
      </c>
      <c r="S22" t="str">
        <f>IF(BM22="","",IF(BN22="вводной узел","узел ","")&amp;"л."&amp;(INT((BM22-1)/Столбцов_на_лист)+1)&amp;" / "&amp;(MOD(BM22-1,Столбцов_на_лист)+1))</f>
        <v>л.1 / 8</v>
      </c>
      <c r="T22" s="119" t="str">
        <f t="shared" si="3"/>
        <v/>
      </c>
      <c r="U22" s="7" t="str">
        <f>IF(OR(CG22=0,N(BV22)+N(IB22)=0),"",ROUNDUP(Запас_БП*(N(HY22)+N(HZ22)),0))</f>
        <v/>
      </c>
      <c r="V22" s="119" t="str">
        <f t="shared" si="4"/>
        <v/>
      </c>
      <c r="W22" s="7" t="str">
        <f>IFERROR(IF(OR(B22="",BP22=1,BV22=1,NOT(ISNUMBER(EN22)),N(DT22)=0),"",MAX(0,ROUNDDOWN((c_min*(Uн_лин*1000/SQRT(3))/(HT22*N(DT22))-_xlfn.XLOOKUP(A22,Щиты[Щит],Щиты[Zпетли на шинах, Ом]))*EN22/(2*ρкз_Cu),0))),"")</f>
        <v/>
      </c>
      <c r="Y22" t="str">
        <f>Линии[[#This Row],[_авто утечка]]</f>
        <v/>
      </c>
      <c r="Z22">
        <v>1</v>
      </c>
      <c r="AA22">
        <v>24</v>
      </c>
      <c r="AB22" t="str">
        <f>Линии[[#This Row],[_авто группа Кс]]</f>
        <v>Быт</v>
      </c>
      <c r="AK22" t="str">
        <f>Линии[[#This Row],[_авто модуль]]</f>
        <v/>
      </c>
      <c r="AN22" t="s">
        <v>11</v>
      </c>
      <c r="AO22">
        <v>2</v>
      </c>
      <c r="BA22" cm="1">
        <f t="array" ref="BA22">ROW()-ROW(Линии[#Headers])</f>
        <v>20</v>
      </c>
      <c r="BC22" s="6" t="str">
        <f t="shared" si="5"/>
        <v>LD</v>
      </c>
      <c r="BD22" t="str">
        <f t="shared" si="6"/>
        <v>1.04.2</v>
      </c>
      <c r="BE22" t="str">
        <f t="shared" si="7"/>
        <v>1</v>
      </c>
      <c r="BF22" t="str">
        <f t="shared" si="8"/>
        <v>04.2</v>
      </c>
      <c r="BG22" t="str">
        <f t="shared" si="9"/>
        <v>04</v>
      </c>
      <c r="BH22" t="str">
        <f>IF(X22&lt;&gt;"",X22,IF(AND(B22&lt;&gt;"",B22&lt;&gt;A22,ISNUMBER(_xlfn.XMATCH(B22,Щиты[Щит]))),B22,""))</f>
        <v/>
      </c>
      <c r="BI22" t="str" cm="1">
        <f t="array" ref="BI22">IF(B22="","",IF(BH22&lt;&gt;"","Щит "&amp;BH22,_xlfn.LET(_xlpm.nm,IFERROR(_xlfn.XLOOKUP(BC22,Коды_код,Коды_имя)&amp;"",""),_xlpm.md,IFERROR(N(_xlfn.XLOOKUP(BC22,Коды_код,Коды_режим)),1),_xlpm.ex,IF(Имя_режим="по экспликации",IFERROR(_xlfn.XLOOKUP(BE22&amp;"|"&amp;BG22,Экспликация[Этаж]&amp;"|"&amp;Экспликация[Помещение],Экспликация[Название])&amp;"",""),""),_xlpm.rm,IF(BG22="","",IF(_xlpm.ex&lt;&gt;"",". "&amp;_xlpm.ex&amp;IF(Имя_пом="нет"," ("&amp;BG22&amp;")"," (пом. "&amp;BG22&amp;")"),IF(Имя_пом="нет"," ",", пом. ")&amp;BG22)),IF(_xlpm.nm="","",IF(_xlpm.md=2,_xlpm.nm&amp;" шлейф "&amp;BE22,_xlpm.nm&amp;_xlpm.rm)))))</f>
        <v>Питание подсветок, пом. 04</v>
      </c>
      <c r="BJ22" t="str">
        <f t="shared" si="10"/>
        <v>LED-подсветка ниши, пом. 04</v>
      </c>
      <c r="BK22">
        <f>IFERROR(_xlfn.XMATCH(A22,Щиты[Щит]),0)</f>
        <v>2</v>
      </c>
      <c r="BL22">
        <f>_xlfn.LET(_xlpm.k,IFERROR(_xlfn.XLOOKUP(A22,Щиты[Щит],Щиты[Мест под вводной узел]),""),IF(_xlpm.k="",Столбцов_на_лист,N(_xlpm.k)))</f>
        <v>2</v>
      </c>
      <c r="BM22">
        <f t="shared" si="11"/>
        <v>8</v>
      </c>
      <c r="BN22" t="str">
        <f t="shared" si="12"/>
        <v>линии</v>
      </c>
      <c r="BO22" s="6">
        <f>IFERROR(N(_xlfn.XLOOKUP(BC22,Коды_код,Коды_квт)),0)</f>
        <v>0</v>
      </c>
      <c r="BP22">
        <f t="shared" si="13"/>
        <v>0</v>
      </c>
      <c r="BQ22" t="str">
        <f>IF(B22="","",IF(BH22&lt;&gt;"",IFERROR(_xlfn.XLOOKUP(BH22,Щиты[Щит],Щиты[Руст, кВт]),0),IF(BP22=1,IF(OR(N(_xlfn.XLOOKUP(A22,Щиты[Щит],Щиты[Вводов],1))&lt;=1,LOWER(TRIM(_xlfn.XLOOKUP(A22,Щиты[Щит],Щиты[АВР],"")&amp;""))="да"),IFERROR(_xlfn.XLOOKUP(A22,Щиты[Щит],Щиты[Руст, кВт]),0),SUMIFS(Линии[_Р для вводов],Линии[Щит],A22,Линии[Источник для режимов],GF22)),IF(BO22&gt;0,ROUND(BO22*MAX(1,N(D22)),3),""))))</f>
        <v/>
      </c>
      <c r="BR22">
        <f t="shared" si="14"/>
        <v>0.04</v>
      </c>
      <c r="BS22" s="6">
        <f>IF(B22="","",IF(BH22&lt;&gt;"",IFERROR(_xlfn.XLOOKUP(BH22,Щиты[Щит],Щиты[Руст, кВт]),0),N(BR22)))</f>
        <v>0.04</v>
      </c>
      <c r="BT22" t="str">
        <f>IF(B22="","",IFERROR(IF(VLOOKUP(BC22,Потребители_обозначение,8,FALSE)=0,"",VLOOKUP(BC22,Потребители_обозначение,8,FALSE)),""))</f>
        <v/>
      </c>
      <c r="BU22">
        <f t="shared" si="15"/>
        <v>24</v>
      </c>
      <c r="BV22">
        <f t="shared" si="16"/>
        <v>1</v>
      </c>
      <c r="BW22">
        <f>IF(B22="","",IF(BH22&lt;&gt;"",3,IFERROR(IF(N(VLOOKUP(BC22,Потребители_обозначение,9,FALSE))=0,1,VLOOKUP(BC22,Потребители_обозначение,9,FALSE)),1)))</f>
        <v>1</v>
      </c>
      <c r="BX22">
        <f t="shared" si="17"/>
        <v>1</v>
      </c>
      <c r="BY22" t="str">
        <f>IF(B22="","",_xlfn.LET(_xlpm.bc,IFERROR(IF(VLOOKUP(BC22,Потребители_обозначение,6,FALSE)=0,"",VLOOKUP(BC22,Потребители_обозначение,6,FALSE)&amp;""),""),IF(AND(GA22="да",OR(_xlpm.bc="",_xlpm.bc="мс")),Марка_пож,IF(AND(_xlpm.bc="",BH22&lt;&gt;""),"мс",_xlpm.bc))))</f>
        <v>мс</v>
      </c>
      <c r="BZ22" t="str">
        <f t="shared" si="18"/>
        <v>мс</v>
      </c>
      <c r="CA22">
        <f>IF(B22="","",_xlfn.LET(_xlpm.cc,IFERROR(N(VLOOKUP(BC22,Потребители_обозначение,7,FALSE)),0),IF(_xlpm.cc&gt;0,_xlpm.cc,IF(BZ22="","",IF(BV22=1,2,IF(N(BX22)=3,5,3))))))</f>
        <v>2</v>
      </c>
      <c r="CB22">
        <f t="shared" si="19"/>
        <v>2</v>
      </c>
      <c r="CC22">
        <f>IFERROR(N(VLOOKUP(BC22,Потребители_обозначение,10,FALSE)),0)</f>
        <v>0</v>
      </c>
      <c r="CD22">
        <f>IFERROR(VLOOKUP(BC22,Потребители_обозначение,5,FALSE),0)</f>
        <v>1</v>
      </c>
      <c r="CE22" s="6" cm="1">
        <f t="array" ref="CE22">IF(B22="","",IF(BH22&lt;&gt;"",IFERROR(_xlfn.XLOOKUP(BH22,Щиты[Щит],Щиты[cos φ]),0.95),IF(BP22=1,IFERROR(_xlfn.XLOOKUP(A22,Щиты[Щит],Щиты[cos φ]),0.95),IF(ISNUMBER(AD22),AD22,IFERROR(IF(CD22=2,_xlfn.IFS(BX22=3,VLOOKUP(BS22,Справочная_двигатели,8,FALSE),BX22=1,VLOOKUP(BS22,Справочная_двигатели,10,TRUE)),IF(AND(Методика="нормы 2026",FG22="Сил"),0.8,0.95)),0.95)))))</f>
        <v>0.95</v>
      </c>
      <c r="CF22">
        <f t="shared" si="20"/>
        <v>1</v>
      </c>
      <c r="CG22">
        <f t="shared" si="21"/>
        <v>0</v>
      </c>
      <c r="CH22">
        <f t="shared" si="22"/>
        <v>0</v>
      </c>
      <c r="CI22">
        <f>IF(B22="","",IF(BV22=1,IFERROR(BS22/((Uн_лин/SQRT(3))*MAX(0.5,N(CE22))),0),N(O22)))</f>
        <v>0.18232113763882918</v>
      </c>
      <c r="CJ22">
        <f t="shared" si="23"/>
        <v>0</v>
      </c>
      <c r="CK22">
        <f t="shared" si="24"/>
        <v>0</v>
      </c>
      <c r="CL22">
        <f t="shared" si="25"/>
        <v>0</v>
      </c>
      <c r="CM22">
        <f t="shared" si="26"/>
        <v>0</v>
      </c>
      <c r="CN22">
        <f t="shared" si="27"/>
        <v>0</v>
      </c>
      <c r="CO22">
        <f>IF(BC22="",0,_xlfn.LET(_xlpm.v,IFERROR(_xlfn.XLOOKUP(B22,Коды_код,Коды_мА),IFERROR(_xlfn.XLOOKUP(BC22,Коды_код,Коды_мА),IFERROR(_xlfn.XLOOKUP(LEFT(BC22,2),Коды_код,Коды_мА),""))),IF(_xlpm.v="да",30,IF(ISNUMBER(_xlpm.v),_xlpm.v,0))))</f>
        <v>0</v>
      </c>
      <c r="CP22" t="str">
        <f t="shared" si="28"/>
        <v/>
      </c>
      <c r="CQ22" t="str">
        <f>_xlfn.LET(_xlpm.k,IFERROR(_xlfn.XLOOKUP(BC22,Коды_код,Коды_утечка)&amp;"",""),IF(_xlpm.k="","дифавтомат",_xlpm.k))</f>
        <v>дифавтомат</v>
      </c>
      <c r="CR22" t="str" cm="1">
        <f t="array" ref="CR22">IF(CG22=0,"",_xlfn.LET(_xlpm.sg,TRIM(_xlfn.TEXTSPLIT(DD22&amp;"",";")),_xlpm.f_,_xlfn._xlws.FILTER(_xlpm.sg,LEFT(_xlpm.sg,3)="УЗО",""),IFERROR(INDEX(_xlpm.f_,1)&amp;"","")))</f>
        <v/>
      </c>
      <c r="CS22" t="str">
        <f t="shared" si="29"/>
        <v/>
      </c>
      <c r="CT22" s="6" t="str" cm="1">
        <f t="array" ref="CT22">IF(CR22="","",_xlfn.LET(_xlpm.tk,_xlfn.TEXTSPLIT(UPPER(CR22)," ",,TRUE),_xlpm.a_,_xlfn._xlws.FILTER(_xlpm.tk,ISNUMBER(--LEFT(_xlpm.tk,1))*((ISNUMBER(SEARCH("А",_xlpm.tk))+ISNUMBER(SEARCH("A",_xlpm.tk)))&gt;0)*NOT(ISNUMBER(SEARCH("МА",_xlpm.tk)))*NOT(ISNUMBER(SEARCH("MA",_xlpm.tk))),""),IFERROR(--SUBSTITUTE(SUBSTITUTE(INDEX(_xlpm.a_,1),"А",""),"A",""),"")))</f>
        <v/>
      </c>
      <c r="CU22" t="str" cm="1">
        <f t="array" ref="CU22">IF(CR22="","",_xlfn.LET(_xlpm.tk,_xlfn.TEXTSPLIT(UPPER(CR22)," ",,TRUE),_xlpm.a_,_xlfn._xlws.FILTER(_xlpm.tk,ISNUMBER(--LEFT(_xlpm.tk,1))*((ISNUMBER(SEARCH("МА",_xlpm.tk))+ISNUMBER(SEARCH("MA",_xlpm.tk)))&gt;0),""),IFERROR(--SUBSTITUTE(SUBSTITUTE(INDEX(_xlpm.a_,1),"МА",""),"MA",""),30)))</f>
        <v/>
      </c>
      <c r="CV22" t="str">
        <f>IF(CS22="","",IFERROR(_xlfn.XLOOKUP(CS22,Линии[_n],Линии[_УЗО, мА]),30))</f>
        <v/>
      </c>
      <c r="CW22">
        <f>IF(CS22="",0,IF(ISNUMBER(SEARCH("4P",IFERROR(_xlfn.XLOOKUP(CS22,Линии[_n],Линии[_УЗО строки])&amp;"",""))),0,1))</f>
        <v>0</v>
      </c>
      <c r="CX22" t="str">
        <f>IF(AND(CS22&lt;&gt;"",CS22=BA22),SUMIFS(Линии[_ток на 230 В],Линии[_блок УЗО],BA22,Линии[Щит],A22),"")</f>
        <v/>
      </c>
      <c r="CY22" t="str">
        <f>IF(AND(CS22&lt;&gt;"",CS22=BA22),SUMIFS(Линии[_ток утечки линии, мА],Линии[_блок УЗО],BA22,Линии[Щит],A22),"")</f>
        <v/>
      </c>
      <c r="CZ22">
        <f t="shared" si="30"/>
        <v>0</v>
      </c>
      <c r="DA22" t="str">
        <f t="shared" si="31"/>
        <v/>
      </c>
      <c r="DB22">
        <f>IF(B22="",0,IFERROR(--_xlfn.XLOOKUP(B22,Коды_код,Коды_минавт),IFERROR(--_xlfn.XLOOKUP(BC22,Коды_код,Коды_минавт),IFERROR(--_xlfn.XLOOKUP(LEFT(BC22,2),Коды_код,Коды_минавт),0))))</f>
        <v>10</v>
      </c>
      <c r="DC22" t="str">
        <f>IF(B22="","",IFERROR(_xlfn.XLOOKUP(BC22,Коды_код,Коды_апп)&amp;"",""))</f>
        <v/>
      </c>
      <c r="DD22" t="str">
        <f t="shared" si="32"/>
        <v/>
      </c>
      <c r="DE22" t="str" cm="1">
        <f t="array" ref="DE22">IF(TRIM(DD22&amp;"")="","",IFERROR(TRIM(INDEX(_xlfn.TEXTSPLIT(DD22&amp;";;;",";"),1)),""))</f>
        <v/>
      </c>
      <c r="DF22" t="str" cm="1">
        <f t="array" ref="DF22">IF(TRIM(DD22&amp;"")="","",IFERROR(TRIM(INDEX(_xlfn.TEXTSPLIT(DD22&amp;";;;",";"),2)),""))</f>
        <v/>
      </c>
      <c r="DG22" t="str" cm="1">
        <f t="array" ref="DG22">IF(TRIM(DD22&amp;"")="","",IFERROR(TRIM(INDEX(_xlfn.TEXTSPLIT(DD22&amp;";;;",";"),3)),""))</f>
        <v/>
      </c>
      <c r="DH22">
        <f t="shared" si="33"/>
        <v>0</v>
      </c>
      <c r="DI22" t="str">
        <f>IF(B22="","",_xlfn.LET(_xlpm.t,LOWER(AZ22&amp;""),IF(ISNUMBER(SEARCH("dim",_xlpm.t)),"DIM",IF(ISNUMBER(SEARCH("dali",_xlpm.t)),"DALI",IF(OR(ISNUMBER(SEARCH("relay",_xlpm.t)),ISNUMBER(SEARCH("реле",_xlpm.t))),"Relay",IF(ISNUMBER(SEARCH("кнопк",_xlpm.t)),"",IFERROR(_xlfn.XLOOKUP(BC22,Коды_код,Коды_упр)&amp;"","")))))))</f>
        <v/>
      </c>
      <c r="DJ22" t="str">
        <f t="shared" si="34"/>
        <v/>
      </c>
      <c r="DK22">
        <f>IF(B22="","",_xlfn.LET(_xlpm.ig,IF(N(CX22)&gt;0,N(CX22),N(CI22)+IF(AJ22="вручную",0,N(CJ22))),_xlpm.n0,IFERROR(VLOOKUP(_xlpm.ig,Автомат_номиналы,2,TRUE),0),_xlpm.mn,MAX(DB22,IF(AJ22="вручную",0,N(CM22))),MAX(_xlpm.n0,_xlpm.mn,IF(DH22=1,Мин_автомат_БП,0))))</f>
        <v>10</v>
      </c>
      <c r="DL22">
        <f t="shared" si="35"/>
        <v>1</v>
      </c>
      <c r="DM22" t="str">
        <f t="shared" si="36"/>
        <v>1P</v>
      </c>
      <c r="DN22" t="str">
        <f>_xlfn.LET(_xlpm.cc,UPPER(TRIM(IFERROR(_xlfn.XLOOKUP(BC22,Коды_код,Коды_хар)&amp;"",""))),IF(OR(_xlpm.cc="B",_xlpm.cc="В"),"B",IF(_xlpm.cc="D","D","С")))</f>
        <v>С</v>
      </c>
      <c r="DO22" t="str">
        <f t="shared" si="37"/>
        <v>↑ 1P С10А</v>
      </c>
      <c r="DP22" t="str">
        <f t="shared" si="38"/>
        <v>↑ 1P С10А</v>
      </c>
      <c r="DQ22" t="str">
        <f t="shared" si="39"/>
        <v/>
      </c>
      <c r="DR22" t="str" cm="1">
        <f t="array" ref="DR22">IF(DQ22="","",_xlfn.LET(_xlpm.t,SUBSTITUTE(SUBSTITUTE(SUBSTITUTE(UPPER(DQ22),"С","C"),"А","A"),"В","B"),_xlpm.tk,_xlfn.TEXTSPLIT(_xlpm.t," "),_xlpm.f,_xlfn._xlws.FILTER(_xlpm.tk,ISNUMBER(--MID(_xlpm.tk,2,1))*ISNUMBER(SEARCH(LEFT(_xlpm.tk,1)&amp;"#","B#C#D#"))*(LEN(_xlpm.tk)&gt;1),""),_xlpm.x,INDEX(_xlpm.f,1),IFERROR(--SUBSTITUTE(MID(_xlpm.x,2,9),"A",""),IFERROR(--SUBSTITUTE(INDEX(_xlfn._xlws.FILTER(_xlpm.tk,ISNUMBER(--SUBSTITUTE(_xlpm.tk,"A","")),""),1),"A",""),""))))</f>
        <v/>
      </c>
      <c r="DS22" t="str">
        <f t="shared" si="40"/>
        <v>ok</v>
      </c>
      <c r="DT22">
        <f t="shared" si="41"/>
        <v>10</v>
      </c>
      <c r="DU22" t="str">
        <f t="shared" si="42"/>
        <v>1P С10А</v>
      </c>
      <c r="DV22">
        <f t="shared" si="43"/>
        <v>0</v>
      </c>
      <c r="DW22">
        <f t="shared" si="44"/>
        <v>0</v>
      </c>
      <c r="DX22">
        <f t="shared" si="45"/>
        <v>1</v>
      </c>
      <c r="DY22" t="str">
        <f t="shared" si="46"/>
        <v/>
      </c>
      <c r="DZ22">
        <f t="shared" si="47"/>
        <v>1</v>
      </c>
      <c r="EA22">
        <f>IF(ISNUMBER(AP22),AP22,К_прокл)</f>
        <v>1</v>
      </c>
      <c r="EB22">
        <f t="shared" si="48"/>
        <v>2</v>
      </c>
      <c r="EC22">
        <f>IFERROR(N(VLOOKUP(BZ22,Кабель_обозначение,3,FALSE)),1)</f>
        <v>1</v>
      </c>
      <c r="ED22">
        <f>IFERROR(N(_xlfn.XLOOKUP(A22,Щиты[Щит],Щиты[ΔU до шин, %])),0)</f>
        <v>0.58602884987279757</v>
      </c>
      <c r="EE22">
        <f>IFERROR(_xlfn.XLOOKUP(A22,Щиты[Щит],Щиты[Zпетли на шинах, Ом]),"")</f>
        <v>0.50164496021506877</v>
      </c>
      <c r="EF22">
        <f>IFERROR(N(_xlfn.XLOOKUP(A22,Щиты[Щит],Щиты[ΔU до шин (подбор), %])),0)</f>
        <v>0.58602884987279757</v>
      </c>
      <c r="EG22">
        <f>IFERROR(_xlfn.XLOOKUP(A22,Щиты[Щит],Щиты[Zпетли на шинах (подбор), Ом]),"")</f>
        <v>0.50164496021506877</v>
      </c>
      <c r="EH22" t="str">
        <f t="shared" si="49"/>
        <v/>
      </c>
      <c r="EI22">
        <f t="shared" si="50"/>
        <v>10</v>
      </c>
      <c r="EJ22">
        <f t="shared" si="51"/>
        <v>2</v>
      </c>
      <c r="EK22">
        <f t="shared" si="52"/>
        <v>0.31</v>
      </c>
      <c r="EL22" s="6">
        <f>IF(B22="","",IF(BV22=1,dU_LED,IF(IFERROR(_xlfn.XLOOKUP(BC22,Коды_код,Коды_уго),"")="Светильник",3,4)+IF(Методика="нормы 2026",MIN(0.5,MAX(0,N(P22)-100)*0.005),0)))</f>
        <v>5</v>
      </c>
      <c r="EM22" cm="1">
        <f t="array" ref="EM22">IF(OR(B22="",BZ22="",EC22&lt;&gt;1),"",_xlfn.LET(_xlpm.sz,Iдоп_S,_xlpm.t_,CHOOSE(EB22,Iдоп_1ж,Iдоп_2ж,Iдоп_3ж)*DZ22*EA22,_xlpm.dcx,BV22=1,_xlpm.inn,IF(_xlpm.dcx,N(O22),N(DT22)),_xlpm.smin,MAX(1.5,CC22),_xlpm.L_,N(P22)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22)/N(BU22)*100,999),IFERROR(N(EJ22)*(_xlpm.rho*_xlpm.L_/_xlpm.sz*N(CE22)+_xlpm.xx*_xlpm.L_*N(EK22)/1000)*N(O22)/((Uн_лин/SQRT(3))*1000)*100,999)),_xlpm.kz,IF(OR(_xlpm.dcx,DW22=1,NOT(ISNUMBER(EG22)),_xlpm.L_=0,_xlpm.inn=0),1,IFERROR(--(c_min*(Uн_лин*1000/SQRT(3))/(EG22+2*ρкз_Cu*_xlpm.L_/_xlpm.sz)&gt;=HT22*_xlpm.inn),0)),_xlpm.ok,IFERROR((_xlpm.sz&gt;=_xlpm.smin)*(_xlpm.t_&gt;=_xlpm.inn)*IF(_xlpm.L_&gt;0,(_xlpm.du_+IF(_xlpm.dcx,0,EF22)&lt;=EL22+0.00001),1)*_xlpm.kz,0),_xlpm.r_,_xlfn._xlws.FILTER(_xlpm.sz,_xlpm.ok,"не подобрано"),INDEX(_xlpm.r_,1)))</f>
        <v>1.5</v>
      </c>
      <c r="EN22">
        <f t="shared" si="53"/>
        <v>1.5</v>
      </c>
      <c r="EO22" cm="1">
        <f t="array" ref="EO22">IF(OR(B22="",BZ22="",EC22&lt;&gt;1),"",_xlfn.LET(_xlpm.sz,Iдоп_S,_xlpm.t_,CHOOSE(EB22,Iдоп_1ж,Iдоп_2ж,Iдоп_3ж)*DZ22*EA22,_xlpm.ok,IFERROR((_xlpm.sz&gt;=MAX(1.5,CC22))*(_xlpm.t_&gt;=N(DT22)),0),_xlpm.r_,_xlfn._xlws.FILTER(_xlpm.sz,_xlpm.ok,""),INDEX(_xlpm.r_,1)))</f>
        <v>1.5</v>
      </c>
      <c r="EP22" s="6" cm="1">
        <f t="array" ref="EP22">IFERROR(ROUNDUP(N(EJ22)*(_xlfn.XLOOKUP(EO22,INDEX(Кабель_сопротивление,0,1),INDEX(Кабель_сопротивление,0,3))*N(P22)/EO22*N(CE22)+_xlfn.XLOOKUP(EO22,INDEX(Кабель_сопротивление,0,1),INDEX(Кабель_сопротивление,0,2))*N(P22)*N(EK22)/1000)*N(O22)/((Uн_лин/SQRT(3))*1000)*100,2),"")</f>
        <v>0.27</v>
      </c>
      <c r="EQ22">
        <f>IFERROR(2*ρкз_Cu*N(P22)/EO22,"")</f>
        <v>0.45586666666666664</v>
      </c>
      <c r="ER22">
        <f>IFERROR(VLOOKUP(EN22,Кабель_сопротивление,3,FALSE),"")</f>
        <v>2.2499999999999999E-2</v>
      </c>
      <c r="ES22">
        <f>IFERROR(VLOOKUP(EN22,Кабель_сопротивление,2,FALSE),"")</f>
        <v>0.11</v>
      </c>
      <c r="ET22" t="str">
        <f t="shared" si="54"/>
        <v/>
      </c>
      <c r="EU22" t="str">
        <f t="shared" si="55"/>
        <v/>
      </c>
      <c r="EV22">
        <f t="shared" si="56"/>
        <v>0.64999999999999991</v>
      </c>
      <c r="EW22" s="6">
        <f>IFERROR(ROUNDUP(EV22/IF(BV22=1,BU22,(Uн_лин/SQRT(3))*1000)*100,2),"")</f>
        <v>2.71</v>
      </c>
      <c r="EX22" t="str">
        <f>IFERROR(VLOOKUP(BZ22,Кабель_обозначение,2,FALSE),"")</f>
        <v>ВВГнг(А)-LS</v>
      </c>
      <c r="EY22" t="str">
        <f t="shared" si="57"/>
        <v>ВВГнг(А)-LS (2х1,5)</v>
      </c>
      <c r="EZ22" t="str">
        <f t="shared" si="58"/>
        <v>ВВГнг(А)-LS (2х1,5)
L=13-2,71%</v>
      </c>
      <c r="FA22">
        <f>IFERROR(2*ρкз_Cu*P22/EN22,"")</f>
        <v>0.45586666666666664</v>
      </c>
      <c r="FB22">
        <f t="shared" si="59"/>
        <v>0.1516666666666667</v>
      </c>
      <c r="FC22" s="6" t="str">
        <f>IFERROR(IF(OR(B22="",BV22=1,NOT(ISNUMBER(EN22)),N(P22)=0),"",_xlfn.XLOOKUP(A22,Щиты[Щит],Щиты[Zпетли на шинах, Ом])+FA22),"")</f>
        <v/>
      </c>
      <c r="FD22" s="6" t="str">
        <f>IF(ISNUMBER(FC22),c_min*(Uн_лин*1000/SQRT(3))/FC22,"")</f>
        <v/>
      </c>
      <c r="FE22" s="6">
        <f>IFERROR(IF(OR(B22="",NOT(ISNUMBER(EN22))),"",1.05*(Uн_лин*1000/SQRT(3))/(_xlfn.XLOOKUP(A22,Щиты[Щит],Щиты[Zmax на шинах, Ом])+FB22)/1000),"")</f>
        <v>0.78298216430902223</v>
      </c>
      <c r="FF22" s="6" t="str">
        <f>IF(B22="","",IF(ISNUMBER(AC22),"Сил",IF(IFERROR(_xlfn.XLOOKUP(BC22,Коды_код,Коды_группа)&amp;"","")="","Быт",_xlfn.XLOOKUP(BC22,Коды_код,Коды_группа)&amp;"")))</f>
        <v>Быт</v>
      </c>
      <c r="FG22" s="6" t="str">
        <f t="shared" si="60"/>
        <v>Быт</v>
      </c>
      <c r="FH22" s="6">
        <f>IF(FG22="Щит","щит",IF(FG22="","",IF(FG22="Быт",IFERROR(_xlfn.XLOOKUP(A22,Щиты[Щит],Щиты[Кс быт]),1),IF(FG22="Сил",IF(ISNUMBER(AC22),AC22,IF(Методика="нормы 2026",IFERROR(_xlfn.XLOOKUP(A22,Щиты[Щит],Щиты[Кс силовых (табл. 7.5)]),1),1)),IF(OR(FG22="Пост",FG22="Отоп"),1,IF(FG22="ВНГ",0.7,0))))))</f>
        <v>0.8</v>
      </c>
      <c r="FI22">
        <f>IF(FG22="","",IF(AND(BP22=1,TRIM(AE22&amp;"")=""),IF(COUNTIFS(Линии[Щит],A22,Линии[Секция (1/2/3)],"&gt;=2")&gt;0,MIN(3,MAX(1,IFERROR(--BD22,1))),1),IFERROR(MIN(3,MAX(1,INT(--AE22))),1)))</f>
        <v>1</v>
      </c>
      <c r="FJ22">
        <f t="shared" si="61"/>
        <v>0.04</v>
      </c>
      <c r="FK22">
        <f t="shared" si="62"/>
        <v>0.04</v>
      </c>
      <c r="FL22">
        <f t="shared" si="63"/>
        <v>0</v>
      </c>
      <c r="FM22">
        <f t="shared" si="64"/>
        <v>0</v>
      </c>
      <c r="FN22">
        <f t="shared" si="65"/>
        <v>0</v>
      </c>
      <c r="FO22">
        <f t="shared" si="66"/>
        <v>0</v>
      </c>
      <c r="FP22">
        <f t="shared" si="67"/>
        <v>0.04</v>
      </c>
      <c r="FQ22">
        <f t="shared" si="68"/>
        <v>0.04</v>
      </c>
      <c r="FR22">
        <f t="shared" si="69"/>
        <v>3.7999999999999999E-2</v>
      </c>
      <c r="FS22">
        <f>IF(CG22=1,IF(AND(CH22=1,CW22=1),0,IF(AND(CS22&lt;&gt;"",CS22=BA22,CW22=1),SUMIFS(Линии[_Р линии, кВт],Линии[_блок УЗО],BA22,Линии[Щит],A22),N(BS22)+IF(AJ22="вручную",0,N(CK22)))),0)</f>
        <v>0</v>
      </c>
      <c r="FT22" t="str">
        <f t="shared" si="70"/>
        <v/>
      </c>
      <c r="FU22" t="str">
        <f>IF(B22="","",IF(CG22=0,IF(BA22=1,"",FW21),IF(AND(CH22=1,CW22=1,CS22&lt;&gt;""),IFERROR(_xlfn.XLOOKUP(CS22,Линии[_n],Линии[_фаза итог]),"L1"),IF(OR(N(DL22)&gt;=3,N(BX22)&gt;=3),"L1,L2,L3",IFERROR(_xlfn.TEXTBEFORE(_xlfn.TEXTAFTER(_xlfn.XLOOKUP(A22,Щиты[Щит],Щиты[_фазы авто]),";"&amp;BA22&amp;":"),";"),"L1")))))</f>
        <v>L2</v>
      </c>
      <c r="FV22" t="str">
        <f t="shared" si="71"/>
        <v>L2</v>
      </c>
      <c r="FW22" t="str">
        <f t="shared" si="72"/>
        <v>L2</v>
      </c>
      <c r="FX22" cm="1">
        <f t="array" ref="FX22">IFERROR(IF(CD22=2,_xlfn.IFS(BX22=3,VLOOKUP(BS22,Справочная_двигатели,3,FALSE),BX22=1,VLOOKUP(BS22,Справочная_двигатели,5,TRUE)),0),0)</f>
        <v>0</v>
      </c>
      <c r="FY22">
        <f>IFERROR(IF(CD22=3,VLOOKUP(BS22,Справочная_ЛЭД,2,TRUE),0),0)</f>
        <v>0</v>
      </c>
      <c r="FZ22" s="6">
        <f t="shared" si="73"/>
        <v>0</v>
      </c>
      <c r="GA22" t="str">
        <f>IF(B22="","",IF(TRIM(AH22&amp;"")&lt;&gt;"",IF(LOWER(TRIM(AH22&amp;""))="да","да","нет"),IF(IFERROR(_xlfn.XLOOKUP(BC22,Коды_код,Коды_пожарная),"")="да","да","нет")))</f>
        <v>нет</v>
      </c>
      <c r="GB22" t="str">
        <f t="shared" si="74"/>
        <v/>
      </c>
      <c r="GC22" t="str">
        <f t="shared" si="75"/>
        <v>основная</v>
      </c>
      <c r="GD22">
        <f>IF(AND(BP22=1,TRIM(AE22&amp;"")=""),IF(COUNTIFS(Линии[Щит],A22,Линии[Секция (1/2/3)],"&gt;=2")&gt;0,MIN(3,MAX(1,IFERROR(--BD22,1))),1),IFERROR(MIN(3,MAX(1,INT(--AE22))),1))</f>
        <v>1</v>
      </c>
      <c r="GE22" t="str" cm="1">
        <f t="array" ref="GE22">IF(B22="","",_xlfn.LET(_xlpm.t,IFERROR(_xlfn.XLOOKUP(1,(Шины[Шина]=GC22)*(((Шины[Щит]=A22)+(Шины[Щит]=""))&gt;0),Шины[Тип]),"")&amp;"",IF(_xlpm.t&lt;&gt;"",_xlpm.t,IF(ISNUMBER(SEARCH("ИБП",GC22)),"ИБП",IF(ISNUMBER(SEARCH("ДГУ",GC22)),"ДГУ","Ввод "&amp;GD22)))))</f>
        <v>Ввод 1</v>
      </c>
      <c r="GF22" t="str">
        <f t="shared" si="76"/>
        <v>Ввод 1</v>
      </c>
      <c r="GG22" t="str">
        <f>IF(BP22=0,"",IF(TRIM(AG22&amp;"")&lt;&gt;"",TRIM(AG22&amp;""),IF(OR(GE22="ИБП",GE22="ДГУ"),"I особая",_xlfn.XLOOKUP(A22,Щиты[Щит],Щиты[Категория шины «Ввод»],"III"))))</f>
        <v/>
      </c>
      <c r="GH22" t="str">
        <f>IF(A22="","",_xlfn.XLOOKUP(A22,Щиты[Щит],Щиты[Путь],""))</f>
        <v>|ВРУ|ЩБП|</v>
      </c>
      <c r="GI22" t="str">
        <f>IF(B22="","",IF(AI22&lt;&gt;"",AI22,IF(IFERROR(_xlfn.XLOOKUP(BC22,Коды_код,Коды_вид)&amp;"","")="","Прочее",_xlfn.XLOOKUP(BC22,Коды_код,Коды_вид)&amp;"")))</f>
        <v>Рабочее освещение</v>
      </c>
      <c r="GJ22">
        <f>IF(BM22="","",INT((BM22-1)/Столбцов_на_лист)+1)</f>
        <v>1</v>
      </c>
      <c r="GK22" t="str">
        <f t="shared" si="77"/>
        <v>ВВГнг(А)-LS (2х1,5) L=13-2,71%</v>
      </c>
      <c r="GL22">
        <f t="shared" si="78"/>
        <v>0.04</v>
      </c>
      <c r="GM22">
        <f t="shared" si="79"/>
        <v>1.67</v>
      </c>
      <c r="GN22">
        <f t="shared" si="80"/>
        <v>1</v>
      </c>
      <c r="GO22">
        <f t="shared" si="81"/>
        <v>0</v>
      </c>
      <c r="GP22">
        <f t="shared" si="82"/>
        <v>1</v>
      </c>
      <c r="GQ22">
        <f>IF(BM22="","",IF(AND(CG22=1,GP22=1),COUNTIFS(A$3:A22,A22,CG$3:CG22,1,GP$3:GP22,1),IF(OR(OR(BA22=1,A22&lt;&gt;A21),AJ22="вручную",GP22=0),"",IF(BA22=1,"",GR21))))</f>
        <v>2</v>
      </c>
      <c r="GR22">
        <f t="shared" si="83"/>
        <v>2</v>
      </c>
      <c r="GS22">
        <f>IF(B22="","",IFERROR(LOOKUP(INDEX(CHOOSE(EB22,Iдоп_1ж,Iдоп_2ж,Iдоп_3ж),MATCH(EN22,Iдоп_S,0))*DZ22*EA22,{6,10,16,20,25,32,40,50,63,80,100,125,160,200,250,315,400,500,630}),""))</f>
        <v>16</v>
      </c>
      <c r="GT22" t="str">
        <f t="shared" si="84"/>
        <v/>
      </c>
      <c r="GU22" t="str">
        <f t="shared" si="85"/>
        <v>QF2</v>
      </c>
      <c r="GV22" t="str">
        <f t="shared" si="86"/>
        <v>МК-5-1 → БП 24V 75W</v>
      </c>
      <c r="GW22">
        <f t="shared" si="87"/>
        <v>1</v>
      </c>
      <c r="GX22" t="str">
        <f>IF(OR(B22="",DJ22=""),"",IFERROR(_xlfn.XLOOKUP(DJ22,Модули_умолч[Управление],Модули_умолч[Модель])&amp;"",""))</f>
        <v/>
      </c>
      <c r="GY22">
        <f>IF(DJ22="",1,IFERROR(MAX(0,N(_xlfn.XLOOKUP(DJ22,Модули_умолч[Управление],Модули_умолч[Каналов на линию]))),1))</f>
        <v>1</v>
      </c>
      <c r="GZ22" t="str">
        <f t="shared" si="88"/>
        <v/>
      </c>
      <c r="HA22" t="str">
        <f t="shared" si="89"/>
        <v/>
      </c>
      <c r="HB22" t="str">
        <f t="shared" si="90"/>
        <v/>
      </c>
      <c r="HC22">
        <f>IF(HB22="",0,IFERROR(N(VLOOKUP(HB22,Модули_спр,3,FALSE)),0))</f>
        <v>0</v>
      </c>
      <c r="HD22" t="str">
        <f t="shared" si="91"/>
        <v/>
      </c>
      <c r="HE22" t="str">
        <f t="shared" si="92"/>
        <v/>
      </c>
      <c r="HF22" t="str">
        <f>IF(OR(HE22="",HE22="-"),"",IFERROR(VLOOKUP(HE22,Модули_спр,2,FALSE),"R"))</f>
        <v/>
      </c>
      <c r="HG22" t="str">
        <f>IF(HF22="","",HF22&amp;"."&amp;COUNTIFS(A$3:A22,A22,HF$3:HF22,HF22))</f>
        <v/>
      </c>
      <c r="HH22" t="str">
        <f t="shared" si="93"/>
        <v/>
      </c>
      <c r="HI22" t="str">
        <f t="shared" si="94"/>
        <v/>
      </c>
      <c r="HJ22" t="str">
        <f t="shared" si="95"/>
        <v/>
      </c>
      <c r="HK22" t="str">
        <f t="shared" si="96"/>
        <v/>
      </c>
      <c r="HL22">
        <f t="shared" si="97"/>
        <v>1</v>
      </c>
      <c r="HM22" t="str">
        <f>IF(HL22=1,"XT"&amp;COUNTIFS(A$3:A22,A22,HL$3:HL22,1),"")</f>
        <v>XT6</v>
      </c>
      <c r="HN22" t="str">
        <f t="shared" si="98"/>
        <v>XT6</v>
      </c>
      <c r="HO22" t="str">
        <f t="shared" si="99"/>
        <v>QF2</v>
      </c>
      <c r="HP22" t="str">
        <f t="shared" si="100"/>
        <v/>
      </c>
      <c r="HQ22" t="str">
        <f t="shared" si="101"/>
        <v>ok</v>
      </c>
      <c r="HR22" t="str">
        <f>IF(OR(HJ22="",HH22=""),"",IF(HJ22+MAX(0,GY22-1)&gt;IFERROR(VLOOKUP(HI22,Модули_спр,3,FALSE),99),"ЛИШНИЙ КАНАЛ",IF(AND(AL22&lt;&gt;"=",GY22&gt;0,COUNTIFS(Линии[_модуль гр.],HH22,Линии[Канал (итог)],HJ22,Линии[Канал],"&lt;&gt;=",Линии[Щит],A22)&gt;1),"ДУБЛЬ КАНАЛА","")))</f>
        <v/>
      </c>
      <c r="HS22" s="6" t="str">
        <f t="shared" si="102"/>
        <v/>
      </c>
      <c r="HT22">
        <f t="shared" si="103"/>
        <v>10</v>
      </c>
      <c r="HU22" t="str">
        <f t="shared" si="104"/>
        <v/>
      </c>
      <c r="HV22">
        <f t="shared" si="105"/>
        <v>7.292845505553168E-2</v>
      </c>
      <c r="HW22">
        <f t="shared" si="106"/>
        <v>0</v>
      </c>
      <c r="HX22">
        <f t="shared" si="107"/>
        <v>24.65</v>
      </c>
      <c r="HY22">
        <f t="shared" si="108"/>
        <v>41.083333333333336</v>
      </c>
      <c r="HZ22">
        <f t="shared" si="109"/>
        <v>0</v>
      </c>
      <c r="IA22">
        <f t="shared" si="110"/>
        <v>0</v>
      </c>
      <c r="IB22">
        <f t="shared" si="111"/>
        <v>0</v>
      </c>
      <c r="IC22" t="str">
        <f t="shared" si="112"/>
        <v/>
      </c>
      <c r="ID22" t="str" cm="1">
        <f t="array" ref="ID22">IF(IC22="","",_xlfn.LET(_xlpm.tk,_xlfn.TEXTSPLIT(SUBSTITUTE(SUBSTITUTE(IC22,";"," "),"→"," ")," ",,TRUE),_xlpm.w_,_xlfn._xlws.FILTER(_xlpm.tk,ISNUMBER(--LEFT(_xlpm.tk,1))*((ISNUMBER(SEARCH("W",_xlpm.tk))+ISNUMBER(SEARCH("Вт",_xlpm.tk)))&gt;0),""),IFERROR(--SUBSTITUTE(SUBSTITUTE(UPPER(INDEX(_xlpm.w_,1)),"W",""),"ВТ",""),"")))</f>
        <v/>
      </c>
      <c r="IE22" t="str" cm="1">
        <f t="array" ref="IE22">IF(IC22="","",_xlfn.LET(_xlpm.tk,_xlfn.TEXTSPLIT(SUBSTITUTE(SUBSTITUTE(IC22,";"," "),"→"," ")," ",,TRUE),_xlpm.v_,_xlfn._xlws.FILTER(_xlpm.tk,ISNUMBER(--LEFT(_xlpm.tk,1))*((ISNUMBER(SEARCH("V",_xlpm.tk))+(RIGHT(UPPER(_xlpm.tk))="В"))&gt;0),""),IFERROR(--SUBSTITUTE(SUBSTITUTE(UPPER(INDEX(_xlpm.v_,1)),"V",""),"В",""),"")))</f>
        <v/>
      </c>
      <c r="IF22" s="6" t="str">
        <f>IF(OR(BV22=0,HI22="",HJ22=""),"",IFERROR(N(_xlfn.XLOOKUP(HI22,Каталог!$C$4:$C$500,Каталог!$Q$4:$Q$500)),""))</f>
        <v/>
      </c>
      <c r="IG22" s="6" t="str">
        <f>IF(N(IF22)=0,"",SUMIFS(Линии[Iр, А],Линии[Щит],A22,Линии[_модуль гр.],HH22,Линии[Канал (итог)],HJ22))</f>
        <v/>
      </c>
      <c r="IH22" t="str">
        <f>IF(AND(B22="",HO22=""),"",_xlfn.TEXTJOIN("; ",TRUE,IF(AND(B22&lt;&gt;"",FV22=""),"нет фазы",""),IF(AND(B22&lt;&gt;"",N(GL22)=0,FG22&lt;&gt;"Нет"),"нет мощности",""),IF(AND(HN22&lt;&gt;"",COUNTIFS(Линии[Щит],A22,Линии[Клемма (итог)],HN22)&gt;1),"дубль клеммы "&amp;HN22,""),IF(AND(HQ22&lt;&gt;"",HQ22&lt;&gt;"ok"),HQ22,""),IF(HR22&lt;&gt;"",HR22,""),IF(AND(N(CB22)&gt;=4,N(BX22)=1),CB22&amp;" жил на 1 фазе",""),IF(AND(BC22="R",CG22=1,IF(CS22&lt;&gt;"",N(CV22)&gt;30,OR(N(DA22)=0,N(DA22)&gt;30))),"розетка без дифзащиты до 30 мА",""),IF(AND(CG22=1,N(DA22)&gt;0,ISNUMBER(T22)),IF(T22&gt;N(DA22)/3,"ток утечки "&amp;FIXED(T22,1)&amp;" мА &gt; 1/3 уставки ("&amp;DA22&amp;" мА)",""),""),IF(AND(CH22=1,CS22=""),"«узо»: нет строки с УЗО выше (УЗО 2P 40А 30мА в «Аппаратах»)",""),IF(AND(CS22&lt;&gt;"",CS22=BA22),IF(CT22="","впишите номинал УЗО (УЗО 2P 40А 30мА)",IF(N(CT22)&lt;N(DT22),"УЗО "&amp;CT22&amp;" А &lt; автомата "&amp;DT22&amp;" А перед ним",IF(N(CT22)&lt;N(CX22),"УЗО "&amp;CT22&amp;" А &lt; тока блока "&amp;FIXED(CX22,1)&amp;" А",""))),""),IF(AND(CS22&lt;&gt;"",CS22=BA22,ISNUMBER(CY22)),IF(CY22&gt;N(CV22)/3,"ток утечки блока УЗО "&amp;FIXED(CY22,1)&amp;" мА &gt; 1/3 уставки ("&amp;CV22&amp;" мА)",""),""),IF(AND(CG22=1,N(BV22)+N(IB22)&gt;0,IC22=""),"линии до 50 В без БП: впишите в «Аппараты» (БП 24V 480W)",""),IF(AND(CG22=1,ISNUMBER(ID22),ISNUMBER(U22)),IF(U22&gt;ID22,"БП "&amp;ID22&amp;" Вт &lt; нужно "&amp;U22&amp;" Вт (×"&amp;Запас_БП&amp;")",""),""),IF(AND(CG22=1,ISNUMBER(IE22),N(BV22)=1),IF(IE22&lt;&gt;N(BU22),"БП на "&amp;IE22&amp;" В, линия "&amp;BU22&amp;" В",""),""),IF(AND(N(IF22)&gt;0,N(IG22)&gt;N(IF22)),HH22&amp;" канал "&amp;HJ22&amp;": "&amp;FIXED(IG22,1)&amp;" А &gt; "&amp;IF22&amp;" А",""),IFERROR(IF(AND(ISNUMBER(Q22),Q22&gt;EL22),"потери "&amp;FIXED(Q22,1)&amp;" % &gt; "&amp;EL22&amp;" %",""),""),IFERROR(IF(LEFT(HU22,4)="мало","Iкз мало — отключение &gt; 0,4 с",""),""),IF(AND(B22&lt;&gt;"",BM22=""),"не на схеме",""),IF(AND(CG22=0,B22&lt;&gt;"",FV22&lt;&gt;"",IF(BA22=1,"",FW21)&lt;&gt;"",FV22&lt;&gt;IF(BA22=1,"",FW21)),"фаза не как у автомата группы ("&amp;IF(BA22=1,"",FW21)&amp;")","")))</f>
        <v/>
      </c>
      <c r="II22" s="6" t="str">
        <f>IF(OR(CG22=0,DQ22=""),"",_xlfn.LET(_xlpm.t,IFERROR(_xlfn.XLOOKUP(DQ22,Каталог!$U$4:$U$500,Каталог!$G$4:$G$500),""),_xlpm.k,SEARCH("кА",_xlpm.t),IFERROR(--TRIM(RIGHT(SUBSTITUTE(MID(_xlpm.t,MAX(1,_xlpm.k-4),_xlpm.k-MAX(1,_xlpm.k-4))," ",REPT(" ",9)),5)),"")))</f>
        <v/>
      </c>
      <c r="IJ22" t="str">
        <f>IF(OR(II22="",CG22=0),"",IF(_xlfn.XLOOKUP(A22,Щиты[Щит],Щиты[Iкз max на шинах, кА],"")="","",IF(II22&lt;_xlfn.XLOOKUP(A22,Щиты[Щит],Щиты[Iкз max на шинах, кА]),"Icu "&amp;II22&amp;" кА &lt; Iкз max","ok")))</f>
        <v/>
      </c>
      <c r="IK22" t="str">
        <f t="shared" si="113"/>
        <v/>
      </c>
      <c r="IL22" t="str">
        <f t="shared" si="114"/>
        <v>QF2|МК-5-1|БП 24V 75W|XT6</v>
      </c>
      <c r="IM22" t="str">
        <f t="shared" si="115"/>
        <v>QF2|МК-5-1|БП 24V 75W|XT6|кабель ВВГнг(А)-LS (2х1,5) → LED-подсветка ниши, пом. 04</v>
      </c>
      <c r="IN22" t="str" cm="1">
        <f t="array" ref="IN22">IF(IM22="","",_xlfn.LET(_xlpm.nd,_xlfn.TEXTSPLIT(IM22,"|"),IF(COLUMNS(_xlpm.nd)&gt;1,A22&amp;"¦"&amp;INDEX(_xlpm.nd,1)&amp;"¦"&amp;INDEX(_xlpm.nd,2),"")))</f>
        <v>ЩБП¦QF2¦МК-5-1</v>
      </c>
      <c r="IO22" t="str">
        <f t="shared" si="116"/>
        <v>LD.1.04.2¦LED-подсветка ниши, пом. 04</v>
      </c>
      <c r="IP22" t="str" cm="1">
        <f t="array" ref="IP22">IF(IM22="","",_xlfn.LET(_xlpm.nd,_xlfn.TEXTSPLIT(IM22,"|"),IF(COLUMNS(_xlpm.nd)&gt;2,A22&amp;"¦"&amp;INDEX(_xlpm.nd,2)&amp;"¦"&amp;INDEX(_xlpm.nd,3),"")))</f>
        <v>ЩБП¦МК-5-1¦БП 24V 75W</v>
      </c>
      <c r="IQ22" t="str">
        <f t="shared" si="117"/>
        <v>LD.1.04.2¦LED-подсветка ниши, пом. 04</v>
      </c>
      <c r="IR22" t="str" cm="1">
        <f t="array" ref="IR22">IF(IM22="","",_xlfn.LET(_xlpm.nd,_xlfn.TEXTSPLIT(IM22,"|"),IF(COLUMNS(_xlpm.nd)&gt;3,A22&amp;"¦"&amp;INDEX(_xlpm.nd,3)&amp;"¦"&amp;INDEX(_xlpm.nd,4),"")))</f>
        <v>ЩБП¦БП 24V 75W¦XT6</v>
      </c>
      <c r="IS22" t="str">
        <f t="shared" si="118"/>
        <v>LD.1.04.2¦LED-подсветка ниши, пом. 04</v>
      </c>
      <c r="IT22" t="str" cm="1">
        <f t="array" ref="IT22">IF(IM22="","",_xlfn.LET(_xlpm.nd,_xlfn.TEXTSPLIT(IM22,"|"),IF(COLUMNS(_xlpm.nd)&gt;4,A22&amp;"¦"&amp;INDEX(_xlpm.nd,4)&amp;"¦"&amp;INDEX(_xlpm.nd,5),"")))</f>
        <v>ЩБП¦XT6¦кабель ВВГнг(А)-LS (2х1,5) → LED-подсветка ниши, пом. 04</v>
      </c>
      <c r="IU22" t="str">
        <f t="shared" si="119"/>
        <v>LD.1.04.2¦LED-подсветка ниши, пом. 04</v>
      </c>
      <c r="IV22" t="str" cm="1">
        <f t="array" ref="IV22">IF(IM22="","",_xlfn.LET(_xlpm.nd,_xlfn.TEXTSPLIT(IM22,"|"),IF(COLUMNS(_xlpm.nd)&gt;5,A22&amp;"¦"&amp;INDEX(_xlpm.nd,5)&amp;"¦"&amp;INDEX(_xlpm.nd,6),"")))</f>
        <v/>
      </c>
      <c r="IW22" t="str">
        <f t="shared" si="120"/>
        <v/>
      </c>
      <c r="IX22" t="str" cm="1">
        <f t="array" ref="IX22">IF(IM22="","",_xlfn.LET(_xlpm.nd,_xlfn.TEXTSPLIT(IM22,"|"),IF(COLUMNS(_xlpm.nd)&gt;6,A22&amp;"¦"&amp;INDEX(_xlpm.nd,6)&amp;"¦"&amp;INDEX(_xlpm.nd,7),"")))</f>
        <v/>
      </c>
      <c r="IY22" t="str">
        <f t="shared" si="121"/>
        <v/>
      </c>
      <c r="IZ22" t="str">
        <f t="shared" si="122"/>
        <v/>
      </c>
      <c r="JA22" t="str">
        <f t="shared" si="123"/>
        <v>QF2 → МК-5-1 → БП 24V 75W → XT6</v>
      </c>
      <c r="JB22">
        <f t="shared" si="124"/>
        <v>0</v>
      </c>
      <c r="JC22">
        <f t="shared" si="125"/>
        <v>0</v>
      </c>
      <c r="JD22" t="str">
        <f t="shared" si="126"/>
        <v/>
      </c>
      <c r="JE22" t="str">
        <f t="shared" si="127"/>
        <v/>
      </c>
      <c r="JF22" t="str">
        <f t="shared" si="128"/>
        <v/>
      </c>
      <c r="JG22" t="str">
        <f t="shared" si="129"/>
        <v/>
      </c>
      <c r="JH22" t="str">
        <f>IF(B22="","",IFERROR(_xlfn.XLOOKUP(B22,Коды_код,Коды_уго),IFERROR(_xlfn.XLOOKUP(BC22,Коды_код,Коды_уго),IFERROR(_xlfn.XLOOKUP(LEFT(BC22,2),Коды_код,Коды_уго),""))))</f>
        <v>Светильник</v>
      </c>
      <c r="JI22" t="str">
        <f>IF(B22="","",IF(OR(JH22="",JH22=0),"BOX",IFERROR(IF(VLOOKUP(JH22,УГО_блоки,3,FALSE)&amp;""&lt;&gt;"",VLOOKUP(JH22,УГО_блоки,3,FALSE),VLOOKUP(JH22,УГО_блоки,2,FALSE)),JH22)))</f>
        <v>LAMP</v>
      </c>
      <c r="JJ22">
        <f t="shared" si="130"/>
        <v>1</v>
      </c>
      <c r="JK22" t="str">
        <f>IF(DQ22="","",IF(COUNTIF(DQ$3:DQ22,DQ22)=1,MAX(JK$2:JK21)+1,""))</f>
        <v/>
      </c>
      <c r="JL22" t="str">
        <f>IF(DE22="","",IF(COUNTIF(DE$3:DE22,DE22)+COUNTIF(DF$2:DF21,DE22)+COUNTIF(DG$2:DG21,DE22)=1,MAX(JL$2:JN21)+1,""))</f>
        <v/>
      </c>
      <c r="JM22" t="str">
        <f>IF(DF22="","",IF(COUNTIF(DE$3:DE22,DF22)+COUNTIF(DF$3:DF22,DF22)+COUNTIF(DG$2:DG21,DF22)=1,MAX(JL$2:JN21,JL22)+1,""))</f>
        <v/>
      </c>
      <c r="JN22" t="str">
        <f>IF(DG22="","",IF(COUNTIF(DE$3:DE22,DG22)+COUNTIF(DF$3:DF22,DG22)+COUNTIF(DG$3:DG22,DG22)=1,MAX(JL$2:JN21,JL22,JM22)+1,""))</f>
        <v/>
      </c>
      <c r="JO22" t="str">
        <f t="shared" si="131"/>
        <v>2х1,5</v>
      </c>
      <c r="JP22" t="str">
        <f>IF(JO22="","",IF(COUNTIF(JO$3:JO22,JO22)=1,MAX(JP$2:JP21)+1,""))</f>
        <v/>
      </c>
      <c r="JQ22" t="str">
        <f>IF(HG22="","",COUNTIF(HG$3:HG22,"?*"))</f>
        <v/>
      </c>
      <c r="JR22" t="str">
        <f>IF(OR(HG22="",HI22=""),"",IF(COUNTIFS(HG$3:HG22,"?*",HI$3:HI22,HI22)=1,MAX(JR$2:JR21)+1,""))</f>
        <v/>
      </c>
      <c r="JS22">
        <f t="shared" si="132"/>
        <v>0</v>
      </c>
      <c r="JT22">
        <f>IF(B22="","",COUNTIF(B$3:B22,"?*"))</f>
        <v>20</v>
      </c>
      <c r="JU22">
        <f>IF(HL22&lt;&gt;1,0,_xlfn.LET(_xlpm.k,MAX(IFERROR(--_xlfn.XLOOKUP(B22,Коды_код,Коды_3L),0),IFERROR(--_xlfn.XLOOKUP(BC22,Коды_код,Коды_3L),0),IFERROR(--_xlfn.XLOOKUP(LEFT(BC22,2),Коды_код,Коды_3L),0)),IF(_xlpm.k&gt;0,_xlpm.k,IF(IFERROR(--LEFT(SUBSTITUTE(JO22,"x","х"),FIND("х",SUBSTITUTE(JO22,"x","х"))-1),3)&gt;3,Каталог!$S$9,1))))</f>
        <v>1</v>
      </c>
      <c r="JV22">
        <f t="shared" si="133"/>
        <v>0</v>
      </c>
      <c r="JW22" t="str">
        <f t="shared" si="134"/>
        <v/>
      </c>
      <c r="JX22" t="str">
        <f t="shared" si="135"/>
        <v/>
      </c>
      <c r="JY22" t="str">
        <f t="shared" si="136"/>
        <v/>
      </c>
      <c r="JZ22">
        <f t="shared" si="137"/>
        <v>1</v>
      </c>
    </row>
    <row r="23" spans="1:286" x14ac:dyDescent="0.3">
      <c r="A23" t="s">
        <v>946</v>
      </c>
      <c r="B23" t="s">
        <v>1185</v>
      </c>
      <c r="C23" t="str">
        <f>Линии[[#This Row],[_авто наименование]]</f>
        <v>Ввод питающей линии</v>
      </c>
      <c r="E23">
        <f>Линии[[#This Row],[_авто Р]]</f>
        <v>0.5</v>
      </c>
      <c r="G23" t="str">
        <f>Линии[[#This Row],[_авто автомат]]</f>
        <v>3P С6А</v>
      </c>
      <c r="H23" t="str">
        <f>Линии[[#This Row],[_авто управление]]</f>
        <v/>
      </c>
      <c r="I23" t="str">
        <f>Линии[[#This Row],[_авто аппараты]]</f>
        <v/>
      </c>
      <c r="J23">
        <v>6</v>
      </c>
      <c r="K23" t="str">
        <f>Линии[[#This Row],[_авто длина по плану]]</f>
        <v/>
      </c>
      <c r="L23" t="str">
        <f>Линии[[#This Row],[_авто фаза]]</f>
        <v>L1,L2,L3</v>
      </c>
      <c r="M23" t="str">
        <f>Линии[[#This Row],[_авто клемма]]</f>
        <v/>
      </c>
      <c r="N23" t="str">
        <f t="shared" si="0"/>
        <v/>
      </c>
      <c r="O23" s="6" cm="1">
        <f t="array" ref="O23">IF(B23="","",IF(BH23&lt;&gt;"",IFERROR(_xlfn.XLOOKUP(BH23,Щиты[Щит],Щиты[Iр, А]),""),IF(BP23=1,IF(OR(N(_xlfn.XLOOKUP(A23,Щиты[Щит],Щиты[Вводов],1))&lt;=1,LOWER(TRIM(_xlfn.XLOOKUP(A23,Щиты[Щит],Щиты[АВР],"")&amp;""))="да"),IFERROR(_xlfn.XLOOKUP(A23,Щиты[Щит],Щиты[Iр, А]),""),IFERROR(N(BS23)*_xlfn.XLOOKUP(A23,Щиты[Щит],Щиты[Кс итог])/(SQRT(3)*Uн_лин*_xlfn.XLOOKUP(A23,Щиты[Щит],Щиты[cos φ])),"")),IF(BV23=1,IFERROR(BS23*1000/BU23,""),IFERROR(_xlfn.IFS(BX23=1,BS23/((Uн_лин/SQRT(3))*CE23),BX23=3,BS23/(SQRT(3)*Uн_лин*CE23)),"")))))</f>
        <v>1.2033195084162727</v>
      </c>
      <c r="P23" s="7" t="str">
        <f>IF(B23="","",IFERROR(IF(VLOOKUP(BC23,Потребители_обозначение,4,FALSE)=1,VLOOKUP(BC23,Потребители_обозначение,3,FALSE)*(MAX(1,N(D23))*2-1)+EI23+VLOOKUP(BE23,Этаж_обозначение,3,FALSE)+VLOOKUP(BE23,Этаж_обозначение,4,FALSE),VLOOKUP(BC23,Потребители_обозначение,3,FALSE)*(MAX(1,N(D23))*2-1)+EI23),EI23))</f>
        <v/>
      </c>
      <c r="Q23" s="6" t="str">
        <f t="shared" si="1"/>
        <v/>
      </c>
      <c r="R23" t="str">
        <f t="shared" si="2"/>
        <v>ВВГнг(А)-LS (5х6)</v>
      </c>
      <c r="S23" t="str">
        <f>IF(BM23="","",IF(BN23="вводной узел","узел ","")&amp;"л."&amp;(INT((BM23-1)/Столбцов_на_лист)+1)&amp;" / "&amp;(MOD(BM23-1,Столбцов_на_лист)+1))</f>
        <v>узел л.1 / 1</v>
      </c>
      <c r="T23" s="119" t="str">
        <f t="shared" si="3"/>
        <v/>
      </c>
      <c r="U23" s="7" t="str">
        <f>IF(OR(CG23=0,N(BV23)+N(IB23)=0),"",ROUNDUP(Запас_БП*(N(HY23)+N(HZ23)),0))</f>
        <v/>
      </c>
      <c r="V23" s="119" t="str">
        <f t="shared" si="4"/>
        <v/>
      </c>
      <c r="W23" s="7" t="str">
        <f>IFERROR(IF(OR(B23="",BP23=1,BV23=1,NOT(ISNUMBER(EN23)),N(DT23)=0),"",MAX(0,ROUNDDOWN((c_min*(Uн_лин*1000/SQRT(3))/(HT23*N(DT23))-_xlfn.XLOOKUP(A23,Щиты[Щит],Щиты[Zпетли на шинах, Ом]))*EN23/(2*ρкз_Cu),0))),"")</f>
        <v/>
      </c>
      <c r="Y23" t="str">
        <f>Линии[[#This Row],[_авто утечка]]</f>
        <v/>
      </c>
      <c r="Z23">
        <v>3</v>
      </c>
      <c r="AA23">
        <v>400</v>
      </c>
      <c r="AB23" t="s">
        <v>556</v>
      </c>
      <c r="AJ23" t="s">
        <v>1186</v>
      </c>
      <c r="AK23" t="str">
        <f>Линии[[#This Row],[_авто модуль]]</f>
        <v/>
      </c>
      <c r="AM23">
        <v>1</v>
      </c>
      <c r="AN23" t="s">
        <v>11</v>
      </c>
      <c r="AO23">
        <v>5</v>
      </c>
      <c r="BA23" cm="1">
        <f t="array" ref="BA23">ROW()-ROW(Линии[#Headers])</f>
        <v>21</v>
      </c>
      <c r="BC23" s="6" t="str">
        <f t="shared" si="5"/>
        <v>Ввод</v>
      </c>
      <c r="BD23" t="str">
        <f t="shared" si="6"/>
        <v>1</v>
      </c>
      <c r="BE23" t="str">
        <f t="shared" si="7"/>
        <v>1</v>
      </c>
      <c r="BF23" t="str">
        <f t="shared" si="8"/>
        <v/>
      </c>
      <c r="BG23" t="str">
        <f t="shared" si="9"/>
        <v/>
      </c>
      <c r="BH23" t="str">
        <f>IF(X23&lt;&gt;"",X23,IF(AND(B23&lt;&gt;"",B23&lt;&gt;A23,ISNUMBER(_xlfn.XMATCH(B23,Щиты[Щит]))),B23,""))</f>
        <v/>
      </c>
      <c r="BI23" t="str" cm="1">
        <f t="array" ref="BI23">IF(B23="","",IF(BH23&lt;&gt;"","Щит "&amp;BH23,_xlfn.LET(_xlpm.nm,IFERROR(_xlfn.XLOOKUP(BC23,Коды_код,Коды_имя)&amp;"",""),_xlpm.md,IFERROR(N(_xlfn.XLOOKUP(BC23,Коды_код,Коды_режим)),1),_xlpm.ex,IF(Имя_режим="по экспликации",IFERROR(_xlfn.XLOOKUP(BE23&amp;"|"&amp;BG23,Экспликация[Этаж]&amp;"|"&amp;Экспликация[Помещение],Экспликация[Название])&amp;"",""),""),_xlpm.rm,IF(BG23="","",IF(_xlpm.ex&lt;&gt;"",". "&amp;_xlpm.ex&amp;IF(Имя_пом="нет"," ("&amp;BG23&amp;")"," (пом. "&amp;BG23&amp;")"),IF(Имя_пом="нет"," ",", пом. ")&amp;BG23)),IF(_xlpm.nm="","",IF(_xlpm.md=2,_xlpm.nm&amp;" шлейф "&amp;BE23,_xlpm.nm&amp;_xlpm.rm)))))</f>
        <v>Ввод питающей линии</v>
      </c>
      <c r="BJ23" t="str">
        <f t="shared" si="10"/>
        <v>Ввод питающей линии</v>
      </c>
      <c r="BK23">
        <f>IFERROR(_xlfn.XMATCH(A23,Щиты[Щит]),0)</f>
        <v>3</v>
      </c>
      <c r="BL23">
        <f>_xlfn.LET(_xlpm.k,IFERROR(_xlfn.XLOOKUP(A23,Щиты[Щит],Щиты[Мест под вводной узел]),""),IF(_xlpm.k="",Столбцов_на_лист,N(_xlpm.k)))</f>
        <v>2</v>
      </c>
      <c r="BM23">
        <f t="shared" si="11"/>
        <v>1</v>
      </c>
      <c r="BN23" t="str">
        <f t="shared" si="12"/>
        <v>вводной узел</v>
      </c>
      <c r="BO23" s="6">
        <f>IFERROR(N(_xlfn.XLOOKUP(BC23,Коды_код,Коды_квт)),0)</f>
        <v>0</v>
      </c>
      <c r="BP23">
        <f t="shared" si="13"/>
        <v>1</v>
      </c>
      <c r="BQ23">
        <f>IF(B23="","",IF(BH23&lt;&gt;"",IFERROR(_xlfn.XLOOKUP(BH23,Щиты[Щит],Щиты[Руст, кВт]),0),IF(BP23=1,IF(OR(N(_xlfn.XLOOKUP(A23,Щиты[Щит],Щиты[Вводов],1))&lt;=1,LOWER(TRIM(_xlfn.XLOOKUP(A23,Щиты[Щит],Щиты[АВР],"")&amp;""))="да"),IFERROR(_xlfn.XLOOKUP(A23,Щиты[Щит],Щиты[Руст, кВт]),0),SUMIFS(Линии[_Р для вводов],Линии[Щит],A23,Линии[Источник для режимов],GF23)),IF(BO23&gt;0,ROUND(BO23*MAX(1,N(D23)),3),""))))</f>
        <v>0.5</v>
      </c>
      <c r="BR23">
        <f t="shared" si="14"/>
        <v>0.5</v>
      </c>
      <c r="BS23" s="6">
        <f>IF(B23="","",IF(BH23&lt;&gt;"",IFERROR(_xlfn.XLOOKUP(BH23,Щиты[Щит],Щиты[Руст, кВт]),0),N(BR23)))</f>
        <v>0.5</v>
      </c>
      <c r="BT23" t="str">
        <f>IF(B23="","",IFERROR(IF(VLOOKUP(BC23,Потребители_обозначение,8,FALSE)=0,"",VLOOKUP(BC23,Потребители_обозначение,8,FALSE)),""))</f>
        <v/>
      </c>
      <c r="BU23">
        <f t="shared" si="15"/>
        <v>400</v>
      </c>
      <c r="BV23">
        <f t="shared" si="16"/>
        <v>0</v>
      </c>
      <c r="BW23">
        <f>IF(B23="","",IF(BH23&lt;&gt;"",3,IFERROR(IF(N(VLOOKUP(BC23,Потребители_обозначение,9,FALSE))=0,1,VLOOKUP(BC23,Потребители_обозначение,9,FALSE)),1)))</f>
        <v>1</v>
      </c>
      <c r="BX23">
        <f t="shared" si="17"/>
        <v>3</v>
      </c>
      <c r="BY23" t="str">
        <f>IF(B23="","",_xlfn.LET(_xlpm.bc,IFERROR(IF(VLOOKUP(BC23,Потребители_обозначение,6,FALSE)=0,"",VLOOKUP(BC23,Потребители_обозначение,6,FALSE)&amp;""),""),IF(AND(GA23="да",OR(_xlpm.bc="",_xlpm.bc="мс")),Марка_пож,IF(AND(_xlpm.bc="",BH23&lt;&gt;""),"мс",_xlpm.bc))))</f>
        <v/>
      </c>
      <c r="BZ23" t="str">
        <f t="shared" si="18"/>
        <v>мс</v>
      </c>
      <c r="CA23">
        <f>IF(B23="","",_xlfn.LET(_xlpm.cc,IFERROR(N(VLOOKUP(BC23,Потребители_обозначение,7,FALSE)),0),IF(_xlpm.cc&gt;0,_xlpm.cc,IF(BZ23="","",IF(BV23=1,2,IF(N(BX23)=3,5,3))))))</f>
        <v>5</v>
      </c>
      <c r="CB23">
        <f t="shared" si="19"/>
        <v>5</v>
      </c>
      <c r="CC23">
        <f>IFERROR(N(VLOOKUP(BC23,Потребители_обозначение,10,FALSE)),0)</f>
        <v>0</v>
      </c>
      <c r="CD23">
        <f>IFERROR(VLOOKUP(BC23,Потребители_обозначение,5,FALSE),0)</f>
        <v>1</v>
      </c>
      <c r="CE23" s="6" cm="1">
        <f t="array" ref="CE23">IF(B23="","",IF(BH23&lt;&gt;"",IFERROR(_xlfn.XLOOKUP(BH23,Щиты[Щит],Щиты[cos φ]),0.95),IF(BP23=1,IFERROR(_xlfn.XLOOKUP(A23,Щиты[Щит],Щиты[cos φ]),0.95),IF(ISNUMBER(AD23),AD23,IFERROR(IF(CD23=2,_xlfn.IFS(BX23=3,VLOOKUP(BS23,Справочная_двигатели,8,FALSE),BX23=1,VLOOKUP(BS23,Справочная_двигатели,10,TRUE)),IF(AND(Методика="нормы 2026",FG23="Сил"),0.8,0.95)),0.95)))))</f>
        <v>0.95</v>
      </c>
      <c r="CF23">
        <f t="shared" si="20"/>
        <v>0</v>
      </c>
      <c r="CG23">
        <f t="shared" si="21"/>
        <v>1</v>
      </c>
      <c r="CH23">
        <f t="shared" si="22"/>
        <v>0</v>
      </c>
      <c r="CI23">
        <f>IF(B23="","",IF(BV23=1,IFERROR(BS23/((Uн_лин/SQRT(3))*MAX(0.5,N(CE23))),0),N(O23)))</f>
        <v>1.2033195084162727</v>
      </c>
      <c r="CJ23">
        <f t="shared" si="23"/>
        <v>0</v>
      </c>
      <c r="CK23">
        <f t="shared" si="24"/>
        <v>0</v>
      </c>
      <c r="CL23">
        <f t="shared" si="25"/>
        <v>0</v>
      </c>
      <c r="CM23">
        <f t="shared" si="26"/>
        <v>0</v>
      </c>
      <c r="CN23">
        <f t="shared" si="27"/>
        <v>0</v>
      </c>
      <c r="CO23">
        <f>IF(BC23="",0,_xlfn.LET(_xlpm.v,IFERROR(_xlfn.XLOOKUP(B23,Коды_код,Коды_мА),IFERROR(_xlfn.XLOOKUP(BC23,Коды_код,Коды_мА),IFERROR(_xlfn.XLOOKUP(LEFT(BC23,2),Коды_код,Коды_мА),""))),IF(_xlpm.v="да",30,IF(ISNUMBER(_xlpm.v),_xlpm.v,0))))</f>
        <v>0</v>
      </c>
      <c r="CP23" t="str">
        <f t="shared" si="28"/>
        <v/>
      </c>
      <c r="CQ23" t="str">
        <f>_xlfn.LET(_xlpm.k,IFERROR(_xlfn.XLOOKUP(BC23,Коды_код,Коды_утечка)&amp;"",""),IF(_xlpm.k="","дифавтомат",_xlpm.k))</f>
        <v>дифавтомат</v>
      </c>
      <c r="CR23" t="str" cm="1">
        <f t="array" ref="CR23">IF(CG23=0,"",_xlfn.LET(_xlpm.sg,TRIM(_xlfn.TEXTSPLIT(DD23&amp;"",";")),_xlpm.f_,_xlfn._xlws.FILTER(_xlpm.sg,LEFT(_xlpm.sg,3)="УЗО",""),IFERROR(INDEX(_xlpm.f_,1)&amp;"","")))</f>
        <v/>
      </c>
      <c r="CS23" t="str">
        <f t="shared" si="29"/>
        <v/>
      </c>
      <c r="CT23" s="6" t="str" cm="1">
        <f t="array" ref="CT23">IF(CR23="","",_xlfn.LET(_xlpm.tk,_xlfn.TEXTSPLIT(UPPER(CR23)," ",,TRUE),_xlpm.a_,_xlfn._xlws.FILTER(_xlpm.tk,ISNUMBER(--LEFT(_xlpm.tk,1))*((ISNUMBER(SEARCH("А",_xlpm.tk))+ISNUMBER(SEARCH("A",_xlpm.tk)))&gt;0)*NOT(ISNUMBER(SEARCH("МА",_xlpm.tk)))*NOT(ISNUMBER(SEARCH("MA",_xlpm.tk))),""),IFERROR(--SUBSTITUTE(SUBSTITUTE(INDEX(_xlpm.a_,1),"А",""),"A",""),"")))</f>
        <v/>
      </c>
      <c r="CU23" t="str" cm="1">
        <f t="array" ref="CU23">IF(CR23="","",_xlfn.LET(_xlpm.tk,_xlfn.TEXTSPLIT(UPPER(CR23)," ",,TRUE),_xlpm.a_,_xlfn._xlws.FILTER(_xlpm.tk,ISNUMBER(--LEFT(_xlpm.tk,1))*((ISNUMBER(SEARCH("МА",_xlpm.tk))+ISNUMBER(SEARCH("MA",_xlpm.tk)))&gt;0),""),IFERROR(--SUBSTITUTE(SUBSTITUTE(INDEX(_xlpm.a_,1),"МА",""),"MA",""),30)))</f>
        <v/>
      </c>
      <c r="CV23" t="str">
        <f>IF(CS23="","",IFERROR(_xlfn.XLOOKUP(CS23,Линии[_n],Линии[_УЗО, мА]),30))</f>
        <v/>
      </c>
      <c r="CW23">
        <f>IF(CS23="",0,IF(ISNUMBER(SEARCH("4P",IFERROR(_xlfn.XLOOKUP(CS23,Линии[_n],Линии[_УЗО строки])&amp;"",""))),0,1))</f>
        <v>0</v>
      </c>
      <c r="CX23" t="str">
        <f>IF(AND(CS23&lt;&gt;"",CS23=BA23),SUMIFS(Линии[_ток на 230 В],Линии[_блок УЗО],BA23,Линии[Щит],A23),"")</f>
        <v/>
      </c>
      <c r="CY23" t="str">
        <f>IF(AND(CS23&lt;&gt;"",CS23=BA23),SUMIFS(Линии[_ток утечки линии, мА],Линии[_блок УЗО],BA23,Линии[Щит],A23),"")</f>
        <v/>
      </c>
      <c r="CZ23">
        <f t="shared" si="30"/>
        <v>0</v>
      </c>
      <c r="DA23">
        <f t="shared" si="31"/>
        <v>0</v>
      </c>
      <c r="DB23">
        <f>IF(B23="",0,IFERROR(--_xlfn.XLOOKUP(B23,Коды_код,Коды_минавт),IFERROR(--_xlfn.XLOOKUP(BC23,Коды_код,Коды_минавт),IFERROR(--_xlfn.XLOOKUP(LEFT(BC23,2),Коды_код,Коды_минавт),0))))</f>
        <v>0</v>
      </c>
      <c r="DC23" t="str">
        <f>IF(B23="","",IFERROR(_xlfn.XLOOKUP(BC23,Коды_код,Коды_апп)&amp;"",""))</f>
        <v/>
      </c>
      <c r="DD23" t="str">
        <f t="shared" si="32"/>
        <v/>
      </c>
      <c r="DE23" t="str" cm="1">
        <f t="array" ref="DE23">IF(TRIM(DD23&amp;"")="","",IFERROR(TRIM(INDEX(_xlfn.TEXTSPLIT(DD23&amp;";;;",";"),1)),""))</f>
        <v/>
      </c>
      <c r="DF23" t="str" cm="1">
        <f t="array" ref="DF23">IF(TRIM(DD23&amp;"")="","",IFERROR(TRIM(INDEX(_xlfn.TEXTSPLIT(DD23&amp;";;;",";"),2)),""))</f>
        <v/>
      </c>
      <c r="DG23" t="str" cm="1">
        <f t="array" ref="DG23">IF(TRIM(DD23&amp;"")="","",IFERROR(TRIM(INDEX(_xlfn.TEXTSPLIT(DD23&amp;";;;",";"),3)),""))</f>
        <v/>
      </c>
      <c r="DH23">
        <f t="shared" si="33"/>
        <v>0</v>
      </c>
      <c r="DI23" t="str">
        <f>IF(B23="","",_xlfn.LET(_xlpm.t,LOWER(AZ23&amp;""),IF(ISNUMBER(SEARCH("dim",_xlpm.t)),"DIM",IF(ISNUMBER(SEARCH("dali",_xlpm.t)),"DALI",IF(OR(ISNUMBER(SEARCH("relay",_xlpm.t)),ISNUMBER(SEARCH("реле",_xlpm.t))),"Relay",IF(ISNUMBER(SEARCH("кнопк",_xlpm.t)),"",IFERROR(_xlfn.XLOOKUP(BC23,Коды_код,Коды_упр)&amp;"","")))))))</f>
        <v/>
      </c>
      <c r="DJ23" t="str">
        <f t="shared" si="34"/>
        <v/>
      </c>
      <c r="DK23">
        <f>IF(B23="","",_xlfn.LET(_xlpm.ig,IF(N(CX23)&gt;0,N(CX23),N(CI23)+IF(AJ23="вручную",0,N(CJ23))),_xlpm.n0,IFERROR(VLOOKUP(_xlpm.ig,Автомат_номиналы,2,TRUE),0),_xlpm.mn,MAX(DB23,IF(AJ23="вручную",0,N(CM23))),MAX(_xlpm.n0,_xlpm.mn,IF(DH23=1,Мин_автомат_БП,0))))</f>
        <v>6</v>
      </c>
      <c r="DL23">
        <f t="shared" si="35"/>
        <v>3</v>
      </c>
      <c r="DM23" t="str">
        <f t="shared" si="36"/>
        <v>3P</v>
      </c>
      <c r="DN23" t="str">
        <f>_xlfn.LET(_xlpm.cc,UPPER(TRIM(IFERROR(_xlfn.XLOOKUP(BC23,Коды_код,Коды_хар)&amp;"",""))),IF(OR(_xlpm.cc="B",_xlpm.cc="В"),"B",IF(_xlpm.cc="D","D","С")))</f>
        <v>С</v>
      </c>
      <c r="DO23" t="str">
        <f t="shared" si="37"/>
        <v>3P С6А</v>
      </c>
      <c r="DP23" t="str">
        <f t="shared" si="38"/>
        <v>3P С6А</v>
      </c>
      <c r="DQ23" t="str">
        <f t="shared" si="39"/>
        <v>3P С6А</v>
      </c>
      <c r="DR23" cm="1">
        <f t="array" ref="DR23">IF(DQ23="","",_xlfn.LET(_xlpm.t,SUBSTITUTE(SUBSTITUTE(SUBSTITUTE(UPPER(DQ23),"С","C"),"А","A"),"В","B"),_xlpm.tk,_xlfn.TEXTSPLIT(_xlpm.t," "),_xlpm.f,_xlfn._xlws.FILTER(_xlpm.tk,ISNUMBER(--MID(_xlpm.tk,2,1))*ISNUMBER(SEARCH(LEFT(_xlpm.tk,1)&amp;"#","B#C#D#"))*(LEN(_xlpm.tk)&gt;1),""),_xlpm.x,INDEX(_xlpm.f,1),IFERROR(--SUBSTITUTE(MID(_xlpm.x,2,9),"A",""),IFERROR(--SUBSTITUTE(INDEX(_xlfn._xlws.FILTER(_xlpm.tk,ISNUMBER(--SUBSTITUTE(_xlpm.tk,"A","")),""),1),"A",""),""))))</f>
        <v>6</v>
      </c>
      <c r="DS23" t="str">
        <f t="shared" si="40"/>
        <v>узел</v>
      </c>
      <c r="DT23">
        <f t="shared" si="41"/>
        <v>6</v>
      </c>
      <c r="DU23" t="str">
        <f t="shared" si="42"/>
        <v>3P С6А</v>
      </c>
      <c r="DV23">
        <f t="shared" si="43"/>
        <v>0</v>
      </c>
      <c r="DW23">
        <f t="shared" si="44"/>
        <v>0</v>
      </c>
      <c r="DX23">
        <f t="shared" si="45"/>
        <v>0</v>
      </c>
      <c r="DY23">
        <f t="shared" si="46"/>
        <v>1.2033195084162727</v>
      </c>
      <c r="DZ23">
        <f t="shared" si="47"/>
        <v>0.92</v>
      </c>
      <c r="EA23">
        <f>IF(ISNUMBER(AP23),AP23,К_прокл)</f>
        <v>1</v>
      </c>
      <c r="EB23">
        <f t="shared" si="48"/>
        <v>3</v>
      </c>
      <c r="EC23">
        <f>IFERROR(N(VLOOKUP(BZ23,Кабель_обозначение,3,FALSE)),1)</f>
        <v>1</v>
      </c>
      <c r="ED23">
        <f>IFERROR(N(_xlfn.XLOOKUP(A23,Щиты[Щит],Щиты[ΔU до шин, %])),0)</f>
        <v>0.4860288498727976</v>
      </c>
      <c r="EE23">
        <f>IFERROR(_xlfn.XLOOKUP(A23,Щиты[Щит],Щиты[Zпетли на шинах, Ом]),"")</f>
        <v>0.67697829354840211</v>
      </c>
      <c r="EF23">
        <f>IFERROR(N(_xlfn.XLOOKUP(A23,Щиты[Щит],Щиты[ΔU до шин (подбор), %])),0)</f>
        <v>0.4860288498727976</v>
      </c>
      <c r="EG23">
        <f>IFERROR(_xlfn.XLOOKUP(A23,Щиты[Щит],Щиты[Zпетли на шинах (подбор), Ом]),"")</f>
        <v>0.67697829354840211</v>
      </c>
      <c r="EH23" t="str">
        <f t="shared" si="49"/>
        <v/>
      </c>
      <c r="EI23" t="str">
        <f t="shared" si="50"/>
        <v/>
      </c>
      <c r="EJ23">
        <f t="shared" si="51"/>
        <v>1</v>
      </c>
      <c r="EK23">
        <f t="shared" si="52"/>
        <v>0.31</v>
      </c>
      <c r="EL23" s="6">
        <f>IF(B23="","",IF(BV23=1,dU_LED,IF(IFERROR(_xlfn.XLOOKUP(BC23,Коды_код,Коды_уго),"")="Светильник",3,4)+IF(Методика="нормы 2026",MIN(0.5,MAX(0,N(P23)-100)*0.005),0)))</f>
        <v>4</v>
      </c>
      <c r="EM23" cm="1">
        <f t="array" ref="EM23">IF(OR(B23="",BZ23="",EC23&lt;&gt;1),"",_xlfn.LET(_xlpm.sz,Iдоп_S,_xlpm.t_,CHOOSE(EB23,Iдоп_1ж,Iдоп_2ж,Iдоп_3ж)*DZ23*EA23,_xlpm.dcx,BV23=1,_xlpm.inn,IF(_xlpm.dcx,N(O23),N(DT23)),_xlpm.smin,MAX(1.5,CC23),_xlpm.L_,N(P23)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23)/N(BU23)*100,999),IFERROR(N(EJ23)*(_xlpm.rho*_xlpm.L_/_xlpm.sz*N(CE23)+_xlpm.xx*_xlpm.L_*N(EK23)/1000)*N(O23)/((Uн_лин/SQRT(3))*1000)*100,999)),_xlpm.kz,IF(OR(_xlpm.dcx,DW23=1,NOT(ISNUMBER(EG23)),_xlpm.L_=0,_xlpm.inn=0),1,IFERROR(--(c_min*(Uн_лин*1000/SQRT(3))/(EG23+2*ρкз_Cu*_xlpm.L_/_xlpm.sz)&gt;=HT23*_xlpm.inn),0)),_xlpm.ok,IFERROR((_xlpm.sz&gt;=_xlpm.smin)*(_xlpm.t_&gt;=_xlpm.inn)*IF(_xlpm.L_&gt;0,(_xlpm.du_+IF(_xlpm.dcx,0,EF23)&lt;=EL23+0.00001),1)*_xlpm.kz,0),_xlpm.r_,_xlfn._xlws.FILTER(_xlpm.sz,_xlpm.ok,"не подобрано"),INDEX(_xlpm.r_,1)))</f>
        <v>1.5</v>
      </c>
      <c r="EN23">
        <f t="shared" si="53"/>
        <v>6</v>
      </c>
      <c r="EO23" cm="1">
        <f t="array" ref="EO23">IF(OR(B23="",BZ23="",EC23&lt;&gt;1),"",_xlfn.LET(_xlpm.sz,Iдоп_S,_xlpm.t_,CHOOSE(EB23,Iдоп_1ж,Iдоп_2ж,Iдоп_3ж)*DZ23*EA23,_xlpm.ok,IFERROR((_xlpm.sz&gt;=MAX(1.5,CC23))*(_xlpm.t_&gt;=N(DT23)),0),_xlpm.r_,_xlfn._xlws.FILTER(_xlpm.sz,_xlpm.ok,""),INDEX(_xlpm.r_,1)))</f>
        <v>1.5</v>
      </c>
      <c r="EP23" s="6" cm="1">
        <f t="array" ref="EP23">IFERROR(ROUNDUP(N(EJ23)*(_xlfn.XLOOKUP(EO23,INDEX(Кабель_сопротивление,0,1),INDEX(Кабель_сопротивление,0,3))*N(P23)/EO23*N(CE23)+_xlfn.XLOOKUP(EO23,INDEX(Кабель_сопротивление,0,1),INDEX(Кабель_сопротивление,0,2))*N(P23)*N(EK23)/1000)*N(O23)/((Uн_лин/SQRT(3))*1000)*100,2),"")</f>
        <v>0</v>
      </c>
      <c r="EQ23">
        <f>IFERROR(2*ρкз_Cu*N(P23)/EO23,"")</f>
        <v>0</v>
      </c>
      <c r="ER23">
        <f>IFERROR(VLOOKUP(EN23,Кабель_сопротивление,3,FALSE),"")</f>
        <v>2.2499999999999999E-2</v>
      </c>
      <c r="ES23">
        <f>IFERROR(VLOOKUP(EN23,Кабель_сопротивление,2,FALSE),"")</f>
        <v>0.09</v>
      </c>
      <c r="ET23" t="str">
        <f t="shared" si="54"/>
        <v/>
      </c>
      <c r="EU23" t="str">
        <f t="shared" si="55"/>
        <v/>
      </c>
      <c r="EV23" t="str">
        <f t="shared" si="56"/>
        <v/>
      </c>
      <c r="EW23" s="6" t="str">
        <f>IFERROR(ROUNDUP(EV23/IF(BV23=1,BU23,(Uн_лин/SQRT(3))*1000)*100,2),"")</f>
        <v/>
      </c>
      <c r="EX23" t="str">
        <f>IFERROR(VLOOKUP(BZ23,Кабель_обозначение,2,FALSE),"")</f>
        <v>ВВГнг(А)-LS</v>
      </c>
      <c r="EY23" t="str">
        <f t="shared" si="57"/>
        <v>ВВГнг(А)-LS (5х6)</v>
      </c>
      <c r="EZ23" t="str">
        <f t="shared" si="58"/>
        <v>ВВГнг(А)-LS (5х6)</v>
      </c>
      <c r="FA23" t="str">
        <f>IFERROR(2*ρкз_Cu*P23/EN23,"")</f>
        <v/>
      </c>
      <c r="FB23">
        <f t="shared" si="59"/>
        <v>0</v>
      </c>
      <c r="FC23" s="6" t="str">
        <f>IFERROR(IF(OR(B23="",BV23=1,NOT(ISNUMBER(EN23)),N(P23)=0),"",_xlfn.XLOOKUP(A23,Щиты[Щит],Щиты[Zпетли на шинах, Ом])+FA23),"")</f>
        <v/>
      </c>
      <c r="FD23" s="6" t="str">
        <f>IF(ISNUMBER(FC23),c_min*(Uн_лин*1000/SQRT(3))/FC23,"")</f>
        <v/>
      </c>
      <c r="FE23" s="6">
        <f>IFERROR(IF(OR(B23="",NOT(ISNUMBER(EN23))),"",1.05*(Uн_лин*1000/SQRT(3))/(_xlfn.XLOOKUP(A23,Щиты[Щит],Щиты[Zmax на шинах, Ом])+FB23)/1000),"")</f>
        <v>1.1207393569042776</v>
      </c>
      <c r="FF23" s="6" t="str">
        <f>IF(B23="","",IF(ISNUMBER(AC23),"Сил",IF(IFERROR(_xlfn.XLOOKUP(BC23,Коды_код,Коды_группа)&amp;"","")="","Быт",_xlfn.XLOOKUP(BC23,Коды_код,Коды_группа)&amp;"")))</f>
        <v>Нет</v>
      </c>
      <c r="FG23" s="6" t="str">
        <f t="shared" si="60"/>
        <v>Нет</v>
      </c>
      <c r="FH23" s="6">
        <f>IF(FG23="Щит","щит",IF(FG23="","",IF(FG23="Быт",IFERROR(_xlfn.XLOOKUP(A23,Щиты[Щит],Щиты[Кс быт]),1),IF(FG23="Сил",IF(ISNUMBER(AC23),AC23,IF(Методика="нормы 2026",IFERROR(_xlfn.XLOOKUP(A23,Щиты[Щит],Щиты[Кс силовых (табл. 7.5)]),1),1)),IF(OR(FG23="Пост",FG23="Отоп"),1,IF(FG23="ВНГ",0.7,0))))))</f>
        <v>0</v>
      </c>
      <c r="FI23">
        <f>IF(FG23="","",IF(AND(BP23=1,TRIM(AE23&amp;"")=""),IF(COUNTIFS(Линии[Щит],A23,Линии[Секция (1/2/3)],"&gt;=2")&gt;0,MIN(3,MAX(1,IFERROR(--BD23,1))),1),IFERROR(MIN(3,MAX(1,INT(--AE23))),1)))</f>
        <v>1</v>
      </c>
      <c r="FJ23">
        <f t="shared" si="61"/>
        <v>0</v>
      </c>
      <c r="FK23">
        <f t="shared" si="62"/>
        <v>0</v>
      </c>
      <c r="FL23">
        <f t="shared" si="63"/>
        <v>0</v>
      </c>
      <c r="FM23">
        <f t="shared" si="64"/>
        <v>0</v>
      </c>
      <c r="FN23">
        <f t="shared" si="65"/>
        <v>0</v>
      </c>
      <c r="FO23">
        <f t="shared" si="66"/>
        <v>0</v>
      </c>
      <c r="FP23">
        <f t="shared" si="67"/>
        <v>0</v>
      </c>
      <c r="FQ23">
        <f t="shared" si="68"/>
        <v>0</v>
      </c>
      <c r="FR23">
        <f t="shared" si="69"/>
        <v>0</v>
      </c>
      <c r="FS23">
        <f>IF(CG23=1,IF(AND(CH23=1,CW23=1),0,IF(AND(CS23&lt;&gt;"",CS23=BA23,CW23=1),SUMIFS(Линии[_Р линии, кВт],Линии[_блок УЗО],BA23,Линии[Щит],A23),N(BS23)+IF(AJ23="вручную",0,N(CK23)))),0)</f>
        <v>0.5</v>
      </c>
      <c r="FT23" t="str">
        <f t="shared" si="70"/>
        <v/>
      </c>
      <c r="FU23" t="str">
        <f>IF(B23="","",IF(CG23=0,IF(BA23=1,"",FW22),IF(AND(CH23=1,CW23=1,CS23&lt;&gt;""),IFERROR(_xlfn.XLOOKUP(CS23,Линии[_n],Линии[_фаза итог]),"L1"),IF(OR(N(DL23)&gt;=3,N(BX23)&gt;=3),"L1,L2,L3",IFERROR(_xlfn.TEXTBEFORE(_xlfn.TEXTAFTER(_xlfn.XLOOKUP(A23,Щиты[Щит],Щиты[_фазы авто]),";"&amp;BA23&amp;":"),";"),"L1")))))</f>
        <v>L1,L2,L3</v>
      </c>
      <c r="FV23" t="str">
        <f t="shared" si="71"/>
        <v>L1,L2,L3</v>
      </c>
      <c r="FW23" t="str">
        <f t="shared" si="72"/>
        <v>L1,L2,L3</v>
      </c>
      <c r="FX23" cm="1">
        <f t="array" ref="FX23">IFERROR(IF(CD23=2,_xlfn.IFS(BX23=3,VLOOKUP(BS23,Справочная_двигатели,3,FALSE),BX23=1,VLOOKUP(BS23,Справочная_двигатели,5,TRUE)),0),0)</f>
        <v>0</v>
      </c>
      <c r="FY23">
        <f>IFERROR(IF(CD23=3,VLOOKUP(BS23,Справочная_ЛЭД,2,TRUE),0),0)</f>
        <v>0</v>
      </c>
      <c r="FZ23" s="6">
        <f t="shared" si="73"/>
        <v>0</v>
      </c>
      <c r="GA23" t="str">
        <f>IF(B23="","",IF(TRIM(AH23&amp;"")&lt;&gt;"",IF(LOWER(TRIM(AH23&amp;""))="да","да","нет"),IF(IFERROR(_xlfn.XLOOKUP(BC23,Коды_код,Коды_пожарная),"")="да","да","нет")))</f>
        <v>нет</v>
      </c>
      <c r="GB23" t="str">
        <f t="shared" si="74"/>
        <v/>
      </c>
      <c r="GC23" t="str">
        <f t="shared" si="75"/>
        <v>основная</v>
      </c>
      <c r="GD23">
        <f>IF(AND(BP23=1,TRIM(AE23&amp;"")=""),IF(COUNTIFS(Линии[Щит],A23,Линии[Секция (1/2/3)],"&gt;=2")&gt;0,MIN(3,MAX(1,IFERROR(--BD23,1))),1),IFERROR(MIN(3,MAX(1,INT(--AE23))),1))</f>
        <v>1</v>
      </c>
      <c r="GE23" t="str" cm="1">
        <f t="array" ref="GE23">IF(B23="","",_xlfn.LET(_xlpm.t,IFERROR(_xlfn.XLOOKUP(1,(Шины[Шина]=GC23)*(((Шины[Щит]=A23)+(Шины[Щит]=""))&gt;0),Шины[Тип]),"")&amp;"",IF(_xlpm.t&lt;&gt;"",_xlpm.t,IF(ISNUMBER(SEARCH("ИБП",GC23)),"ИБП",IF(ISNUMBER(SEARCH("ДГУ",GC23)),"ДГУ","Ввод "&amp;GD23)))))</f>
        <v>Ввод 1</v>
      </c>
      <c r="GF23" t="str">
        <f t="shared" si="76"/>
        <v>Ввод 1</v>
      </c>
      <c r="GG23" t="str">
        <f>IF(BP23=0,"",IF(TRIM(AG23&amp;"")&lt;&gt;"",TRIM(AG23&amp;""),IF(OR(GE23="ИБП",GE23="ДГУ"),"I особая",_xlfn.XLOOKUP(A23,Щиты[Щит],Щиты[Категория шины «Ввод»],"III"))))</f>
        <v>II</v>
      </c>
      <c r="GH23" t="str">
        <f>IF(A23="","",_xlfn.XLOOKUP(A23,Щиты[Щит],Щиты[Путь],""))</f>
        <v>|ВРУ|ЩГП|</v>
      </c>
      <c r="GI23" t="str">
        <f>IF(B23="","",IF(AI23&lt;&gt;"",AI23,IF(IFERROR(_xlfn.XLOOKUP(BC23,Коды_код,Коды_вид)&amp;"","")="","Прочее",_xlfn.XLOOKUP(BC23,Коды_код,Коды_вид)&amp;"")))</f>
        <v>Прочее</v>
      </c>
      <c r="GJ23">
        <f>IF(BM23="","",INT((BM23-1)/Столбцов_на_лист)+1)</f>
        <v>1</v>
      </c>
      <c r="GK23" t="str">
        <f t="shared" si="77"/>
        <v>ВВГнг(А)-LS (5х6)</v>
      </c>
      <c r="GL23">
        <f t="shared" si="78"/>
        <v>0.5</v>
      </c>
      <c r="GM23">
        <f t="shared" si="79"/>
        <v>1.21</v>
      </c>
      <c r="GN23">
        <f t="shared" si="80"/>
        <v>3</v>
      </c>
      <c r="GO23">
        <f t="shared" si="81"/>
        <v>0</v>
      </c>
      <c r="GP23">
        <f t="shared" si="82"/>
        <v>0</v>
      </c>
      <c r="GQ23" t="str">
        <f>IF(BM23="","",IF(AND(CG23=1,GP23=1),COUNTIFS(A$3:A23,A23,CG$3:CG23,1,GP$3:GP23,1),IF(OR(OR(BA23=1,A23&lt;&gt;A22),AJ23="вручную",GP23=0),"",IF(BA23=1,"",GR22))))</f>
        <v/>
      </c>
      <c r="GR23" t="str">
        <f t="shared" si="83"/>
        <v/>
      </c>
      <c r="GS23">
        <f>IF(B23="","",IFERROR(LOOKUP(INDEX(CHOOSE(EB23,Iдоп_1ж,Iдоп_2ж,Iдоп_3ж),MATCH(EN23,Iдоп_S,0))*DZ23*EA23,{6,10,16,20,25,32,40,50,63,80,100,125,160,200,250,315,400,500,630}),""))</f>
        <v>32</v>
      </c>
      <c r="GT23" t="str">
        <f t="shared" si="84"/>
        <v/>
      </c>
      <c r="GU23" t="str">
        <f t="shared" si="85"/>
        <v/>
      </c>
      <c r="GV23" t="str">
        <f t="shared" si="86"/>
        <v/>
      </c>
      <c r="GW23">
        <f t="shared" si="87"/>
        <v>0</v>
      </c>
      <c r="GX23" t="str">
        <f>IF(OR(B23="",DJ23=""),"",IFERROR(_xlfn.XLOOKUP(DJ23,Модули_умолч[Управление],Модули_умолч[Модель])&amp;"",""))</f>
        <v/>
      </c>
      <c r="GY23">
        <f>IF(DJ23="",1,IFERROR(MAX(0,N(_xlfn.XLOOKUP(DJ23,Модули_умолч[Управление],Модули_умолч[Каналов на линию]))),1))</f>
        <v>1</v>
      </c>
      <c r="GZ23" t="str">
        <f t="shared" si="88"/>
        <v/>
      </c>
      <c r="HA23" t="str">
        <f t="shared" si="89"/>
        <v/>
      </c>
      <c r="HB23" t="str">
        <f t="shared" si="90"/>
        <v/>
      </c>
      <c r="HC23">
        <f>IF(HB23="",0,IFERROR(N(VLOOKUP(HB23,Модули_спр,3,FALSE)),0))</f>
        <v>0</v>
      </c>
      <c r="HD23" t="str">
        <f t="shared" si="91"/>
        <v/>
      </c>
      <c r="HE23" t="str">
        <f t="shared" si="92"/>
        <v/>
      </c>
      <c r="HF23" t="str">
        <f>IF(OR(HE23="",HE23="-"),"",IFERROR(VLOOKUP(HE23,Модули_спр,2,FALSE),"R"))</f>
        <v/>
      </c>
      <c r="HG23" t="str">
        <f>IF(HF23="","",HF23&amp;"."&amp;COUNTIFS(A$3:A23,A23,HF$3:HF23,HF23))</f>
        <v/>
      </c>
      <c r="HH23" t="str">
        <f t="shared" si="93"/>
        <v/>
      </c>
      <c r="HI23" t="str">
        <f t="shared" si="94"/>
        <v/>
      </c>
      <c r="HJ23" t="str">
        <f t="shared" si="95"/>
        <v/>
      </c>
      <c r="HK23" t="str">
        <f t="shared" si="96"/>
        <v/>
      </c>
      <c r="HL23">
        <f t="shared" si="97"/>
        <v>0</v>
      </c>
      <c r="HM23" t="str">
        <f>IF(HL23=1,"XT"&amp;COUNTIFS(A$3:A23,A23,HL$3:HL23,1),"")</f>
        <v/>
      </c>
      <c r="HN23" t="str">
        <f t="shared" si="98"/>
        <v/>
      </c>
      <c r="HO23" t="str">
        <f t="shared" si="99"/>
        <v/>
      </c>
      <c r="HP23" t="str">
        <f t="shared" si="100"/>
        <v/>
      </c>
      <c r="HQ23" t="str">
        <f t="shared" si="101"/>
        <v>ok</v>
      </c>
      <c r="HR23" t="str">
        <f>IF(OR(HJ23="",HH23=""),"",IF(HJ23+MAX(0,GY23-1)&gt;IFERROR(VLOOKUP(HI23,Модули_спр,3,FALSE),99),"ЛИШНИЙ КАНАЛ",IF(AND(AL23&lt;&gt;"=",GY23&gt;0,COUNTIFS(Линии[_модуль гр.],HH23,Линии[Канал (итог)],HJ23,Линии[Канал],"&lt;&gt;=",Линии[Щит],A23)&gt;1),"ДУБЛЬ КАНАЛА","")))</f>
        <v/>
      </c>
      <c r="HS23" s="6" t="str">
        <f t="shared" si="102"/>
        <v/>
      </c>
      <c r="HT23">
        <f t="shared" si="103"/>
        <v>10</v>
      </c>
      <c r="HU23" t="str">
        <f t="shared" si="104"/>
        <v/>
      </c>
      <c r="HV23">
        <f t="shared" si="105"/>
        <v>0</v>
      </c>
      <c r="HW23">
        <f t="shared" si="106"/>
        <v>0</v>
      </c>
      <c r="HX23">
        <f t="shared" si="107"/>
        <v>0</v>
      </c>
      <c r="HY23">
        <f t="shared" si="108"/>
        <v>0</v>
      </c>
      <c r="HZ23">
        <f t="shared" si="109"/>
        <v>0</v>
      </c>
      <c r="IA23">
        <f t="shared" si="110"/>
        <v>0</v>
      </c>
      <c r="IB23">
        <f t="shared" si="111"/>
        <v>0</v>
      </c>
      <c r="IC23" t="str">
        <f t="shared" si="112"/>
        <v/>
      </c>
      <c r="ID23" t="str" cm="1">
        <f t="array" ref="ID23">IF(IC23="","",_xlfn.LET(_xlpm.tk,_xlfn.TEXTSPLIT(SUBSTITUTE(SUBSTITUTE(IC23,";"," "),"→"," ")," ",,TRUE),_xlpm.w_,_xlfn._xlws.FILTER(_xlpm.tk,ISNUMBER(--LEFT(_xlpm.tk,1))*((ISNUMBER(SEARCH("W",_xlpm.tk))+ISNUMBER(SEARCH("Вт",_xlpm.tk)))&gt;0),""),IFERROR(--SUBSTITUTE(SUBSTITUTE(UPPER(INDEX(_xlpm.w_,1)),"W",""),"ВТ",""),"")))</f>
        <v/>
      </c>
      <c r="IE23" t="str" cm="1">
        <f t="array" ref="IE23">IF(IC23="","",_xlfn.LET(_xlpm.tk,_xlfn.TEXTSPLIT(SUBSTITUTE(SUBSTITUTE(IC23,";"," "),"→"," ")," ",,TRUE),_xlpm.v_,_xlfn._xlws.FILTER(_xlpm.tk,ISNUMBER(--LEFT(_xlpm.tk,1))*((ISNUMBER(SEARCH("V",_xlpm.tk))+(RIGHT(UPPER(_xlpm.tk))="В"))&gt;0),""),IFERROR(--SUBSTITUTE(SUBSTITUTE(UPPER(INDEX(_xlpm.v_,1)),"V",""),"В",""),"")))</f>
        <v/>
      </c>
      <c r="IF23" s="6" t="str">
        <f>IF(OR(BV23=0,HI23="",HJ23=""),"",IFERROR(N(_xlfn.XLOOKUP(HI23,Каталог!$C$4:$C$500,Каталог!$Q$4:$Q$500)),""))</f>
        <v/>
      </c>
      <c r="IG23" s="6" t="str">
        <f>IF(N(IF23)=0,"",SUMIFS(Линии[Iр, А],Линии[Щит],A23,Линии[_модуль гр.],HH23,Линии[Канал (итог)],HJ23))</f>
        <v/>
      </c>
      <c r="IH23" t="str">
        <f>IF(AND(B23="",HO23=""),"",_xlfn.TEXTJOIN("; ",TRUE,IF(AND(B23&lt;&gt;"",FV23=""),"нет фазы",""),IF(AND(B23&lt;&gt;"",N(GL23)=0,FG23&lt;&gt;"Нет"),"нет мощности",""),IF(AND(HN23&lt;&gt;"",COUNTIFS(Линии[Щит],A23,Линии[Клемма (итог)],HN23)&gt;1),"дубль клеммы "&amp;HN23,""),IF(AND(HQ23&lt;&gt;"",HQ23&lt;&gt;"ok"),HQ23,""),IF(HR23&lt;&gt;"",HR23,""),IF(AND(N(CB23)&gt;=4,N(BX23)=1),CB23&amp;" жил на 1 фазе",""),IF(AND(BC23="R",CG23=1,IF(CS23&lt;&gt;"",N(CV23)&gt;30,OR(N(DA23)=0,N(DA23)&gt;30))),"розетка без дифзащиты до 30 мА",""),IF(AND(CG23=1,N(DA23)&gt;0,ISNUMBER(T23)),IF(T23&gt;N(DA23)/3,"ток утечки "&amp;FIXED(T23,1)&amp;" мА &gt; 1/3 уставки ("&amp;DA23&amp;" мА)",""),""),IF(AND(CH23=1,CS23=""),"«узо»: нет строки с УЗО выше (УЗО 2P 40А 30мА в «Аппаратах»)",""),IF(AND(CS23&lt;&gt;"",CS23=BA23),IF(CT23="","впишите номинал УЗО (УЗО 2P 40А 30мА)",IF(N(CT23)&lt;N(DT23),"УЗО "&amp;CT23&amp;" А &lt; автомата "&amp;DT23&amp;" А перед ним",IF(N(CT23)&lt;N(CX23),"УЗО "&amp;CT23&amp;" А &lt; тока блока "&amp;FIXED(CX23,1)&amp;" А",""))),""),IF(AND(CS23&lt;&gt;"",CS23=BA23,ISNUMBER(CY23)),IF(CY23&gt;N(CV23)/3,"ток утечки блока УЗО "&amp;FIXED(CY23,1)&amp;" мА &gt; 1/3 уставки ("&amp;CV23&amp;" мА)",""),""),IF(AND(CG23=1,N(BV23)+N(IB23)&gt;0,IC23=""),"линии до 50 В без БП: впишите в «Аппараты» (БП 24V 480W)",""),IF(AND(CG23=1,ISNUMBER(ID23),ISNUMBER(U23)),IF(U23&gt;ID23,"БП "&amp;ID23&amp;" Вт &lt; нужно "&amp;U23&amp;" Вт (×"&amp;Запас_БП&amp;")",""),""),IF(AND(CG23=1,ISNUMBER(IE23),N(BV23)=1),IF(IE23&lt;&gt;N(BU23),"БП на "&amp;IE23&amp;" В, линия "&amp;BU23&amp;" В",""),""),IF(AND(N(IF23)&gt;0,N(IG23)&gt;N(IF23)),HH23&amp;" канал "&amp;HJ23&amp;": "&amp;FIXED(IG23,1)&amp;" А &gt; "&amp;IF23&amp;" А",""),IFERROR(IF(AND(ISNUMBER(Q23),Q23&gt;EL23),"потери "&amp;FIXED(Q23,1)&amp;" % &gt; "&amp;EL23&amp;" %",""),""),IFERROR(IF(LEFT(HU23,4)="мало","Iкз мало — отключение &gt; 0,4 с",""),""),IF(AND(B23&lt;&gt;"",BM23=""),"не на схеме",""),IF(AND(CG23=0,B23&lt;&gt;"",FV23&lt;&gt;"",IF(BA23=1,"",FW22)&lt;&gt;"",FV23&lt;&gt;IF(BA23=1,"",FW22)),"фаза не как у автомата группы ("&amp;IF(BA23=1,"",FW22)&amp;")","")))</f>
        <v/>
      </c>
      <c r="II23" s="6" t="str">
        <f>IF(OR(CG23=0,DQ23=""),"",_xlfn.LET(_xlpm.t,IFERROR(_xlfn.XLOOKUP(DQ23,Каталог!$U$4:$U$500,Каталог!$G$4:$G$500),""),_xlpm.k,SEARCH("кА",_xlpm.t),IFERROR(--TRIM(RIGHT(SUBSTITUTE(MID(_xlpm.t,MAX(1,_xlpm.k-4),_xlpm.k-MAX(1,_xlpm.k-4))," ",REPT(" ",9)),5)),"")))</f>
        <v/>
      </c>
      <c r="IJ23" t="str">
        <f>IF(OR(II23="",CG23=0),"",IF(_xlfn.XLOOKUP(A23,Щиты[Щит],Щиты[Iкз max на шинах, кА],"")="","",IF(II23&lt;_xlfn.XLOOKUP(A23,Щиты[Щит],Щиты[Iкз max на шинах, кА]),"Icu "&amp;II23&amp;" кА &lt; Iкз max","ok")))</f>
        <v/>
      </c>
      <c r="IK23" t="str">
        <f t="shared" si="113"/>
        <v/>
      </c>
      <c r="IL23" t="str">
        <f t="shared" si="114"/>
        <v/>
      </c>
      <c r="IM23" t="str">
        <f t="shared" si="115"/>
        <v/>
      </c>
      <c r="IN23" t="str" cm="1">
        <f t="array" ref="IN23">IF(IM23="","",_xlfn.LET(_xlpm.nd,_xlfn.TEXTSPLIT(IM23,"|"),IF(COLUMNS(_xlpm.nd)&gt;1,A23&amp;"¦"&amp;INDEX(_xlpm.nd,1)&amp;"¦"&amp;INDEX(_xlpm.nd,2),"")))</f>
        <v/>
      </c>
      <c r="IO23" t="str">
        <f t="shared" si="116"/>
        <v/>
      </c>
      <c r="IP23" t="str" cm="1">
        <f t="array" ref="IP23">IF(IM23="","",_xlfn.LET(_xlpm.nd,_xlfn.TEXTSPLIT(IM23,"|"),IF(COLUMNS(_xlpm.nd)&gt;2,A23&amp;"¦"&amp;INDEX(_xlpm.nd,2)&amp;"¦"&amp;INDEX(_xlpm.nd,3),"")))</f>
        <v/>
      </c>
      <c r="IQ23" t="str">
        <f t="shared" si="117"/>
        <v/>
      </c>
      <c r="IR23" t="str" cm="1">
        <f t="array" ref="IR23">IF(IM23="","",_xlfn.LET(_xlpm.nd,_xlfn.TEXTSPLIT(IM23,"|"),IF(COLUMNS(_xlpm.nd)&gt;3,A23&amp;"¦"&amp;INDEX(_xlpm.nd,3)&amp;"¦"&amp;INDEX(_xlpm.nd,4),"")))</f>
        <v/>
      </c>
      <c r="IS23" t="str">
        <f t="shared" si="118"/>
        <v/>
      </c>
      <c r="IT23" t="str" cm="1">
        <f t="array" ref="IT23">IF(IM23="","",_xlfn.LET(_xlpm.nd,_xlfn.TEXTSPLIT(IM23,"|"),IF(COLUMNS(_xlpm.nd)&gt;4,A23&amp;"¦"&amp;INDEX(_xlpm.nd,4)&amp;"¦"&amp;INDEX(_xlpm.nd,5),"")))</f>
        <v/>
      </c>
      <c r="IU23" t="str">
        <f t="shared" si="119"/>
        <v/>
      </c>
      <c r="IV23" t="str" cm="1">
        <f t="array" ref="IV23">IF(IM23="","",_xlfn.LET(_xlpm.nd,_xlfn.TEXTSPLIT(IM23,"|"),IF(COLUMNS(_xlpm.nd)&gt;5,A23&amp;"¦"&amp;INDEX(_xlpm.nd,5)&amp;"¦"&amp;INDEX(_xlpm.nd,6),"")))</f>
        <v/>
      </c>
      <c r="IW23" t="str">
        <f t="shared" si="120"/>
        <v/>
      </c>
      <c r="IX23" t="str" cm="1">
        <f t="array" ref="IX23">IF(IM23="","",_xlfn.LET(_xlpm.nd,_xlfn.TEXTSPLIT(IM23,"|"),IF(COLUMNS(_xlpm.nd)&gt;6,A23&amp;"¦"&amp;INDEX(_xlpm.nd,6)&amp;"¦"&amp;INDEX(_xlpm.nd,7),"")))</f>
        <v/>
      </c>
      <c r="IY23" t="str">
        <f t="shared" si="121"/>
        <v/>
      </c>
      <c r="IZ23" t="str">
        <f t="shared" si="122"/>
        <v/>
      </c>
      <c r="JA23" t="str">
        <f t="shared" si="123"/>
        <v/>
      </c>
      <c r="JB23">
        <f t="shared" si="124"/>
        <v>0</v>
      </c>
      <c r="JC23">
        <f t="shared" si="125"/>
        <v>0</v>
      </c>
      <c r="JD23" t="str">
        <f t="shared" si="126"/>
        <v/>
      </c>
      <c r="JE23" t="str">
        <f t="shared" si="127"/>
        <v/>
      </c>
      <c r="JF23" t="str">
        <f t="shared" si="128"/>
        <v/>
      </c>
      <c r="JG23" t="str">
        <f t="shared" si="129"/>
        <v/>
      </c>
      <c r="JH23">
        <f>IF(B23="","",IFERROR(_xlfn.XLOOKUP(B23,Коды_код,Коды_уго),IFERROR(_xlfn.XLOOKUP(BC23,Коды_код,Коды_уго),IFERROR(_xlfn.XLOOKUP(LEFT(BC23,2),Коды_код,Коды_уго),""))))</f>
        <v>0</v>
      </c>
      <c r="JI23" t="str">
        <f>IF(B23="","",IF(OR(JH23="",JH23=0),"BOX",IFERROR(IF(VLOOKUP(JH23,УГО_блоки,3,FALSE)&amp;""&lt;&gt;"",VLOOKUP(JH23,УГО_блоки,3,FALSE),VLOOKUP(JH23,УГО_блоки,2,FALSE)),JH23)))</f>
        <v>BOX</v>
      </c>
      <c r="JJ23">
        <f t="shared" si="130"/>
        <v>1</v>
      </c>
      <c r="JK23" t="str">
        <f>IF(DQ23="","",IF(COUNTIF(DQ$3:DQ23,DQ23)=1,MAX(JK$2:JK22)+1,""))</f>
        <v/>
      </c>
      <c r="JL23" t="str">
        <f>IF(DE23="","",IF(COUNTIF(DE$3:DE23,DE23)+COUNTIF(DF$2:DF22,DE23)+COUNTIF(DG$2:DG22,DE23)=1,MAX(JL$2:JN22)+1,""))</f>
        <v/>
      </c>
      <c r="JM23" t="str">
        <f>IF(DF23="","",IF(COUNTIF(DE$3:DE23,DF23)+COUNTIF(DF$3:DF23,DF23)+COUNTIF(DG$2:DG22,DF23)=1,MAX(JL$2:JN22,JL23)+1,""))</f>
        <v/>
      </c>
      <c r="JN23" t="str">
        <f>IF(DG23="","",IF(COUNTIF(DE$3:DE23,DG23)+COUNTIF(DF$3:DF23,DG23)+COUNTIF(DG$3:DG23,DG23)=1,MAX(JL$2:JN22,JL23,JM23)+1,""))</f>
        <v/>
      </c>
      <c r="JO23" t="str">
        <f t="shared" si="131"/>
        <v/>
      </c>
      <c r="JP23" t="str">
        <f>IF(JO23="","",IF(COUNTIF(JO$3:JO23,JO23)=1,MAX(JP$2:JP22)+1,""))</f>
        <v/>
      </c>
      <c r="JQ23" t="str">
        <f>IF(HG23="","",COUNTIF(HG$3:HG23,"?*"))</f>
        <v/>
      </c>
      <c r="JR23" t="str">
        <f>IF(OR(HG23="",HI23=""),"",IF(COUNTIFS(HG$3:HG23,"?*",HI$3:HI23,HI23)=1,MAX(JR$2:JR22)+1,""))</f>
        <v/>
      </c>
      <c r="JS23">
        <f t="shared" si="132"/>
        <v>0</v>
      </c>
      <c r="JT23">
        <f>IF(B23="","",COUNTIF(B$3:B23,"?*"))</f>
        <v>21</v>
      </c>
      <c r="JU23">
        <f>IF(HL23&lt;&gt;1,0,_xlfn.LET(_xlpm.k,MAX(IFERROR(--_xlfn.XLOOKUP(B23,Коды_код,Коды_3L),0),IFERROR(--_xlfn.XLOOKUP(BC23,Коды_код,Коды_3L),0),IFERROR(--_xlfn.XLOOKUP(LEFT(BC23,2),Коды_код,Коды_3L),0)),IF(_xlpm.k&gt;0,_xlpm.k,IF(IFERROR(--LEFT(SUBSTITUTE(JO23,"x","х"),FIND("х",SUBSTITUTE(JO23,"x","х"))-1),3)&gt;3,Каталог!$S$9,1))))</f>
        <v>0</v>
      </c>
      <c r="JV23">
        <f t="shared" si="133"/>
        <v>0</v>
      </c>
      <c r="JW23" t="str">
        <f t="shared" si="134"/>
        <v>авто</v>
      </c>
      <c r="JX23" t="str">
        <f t="shared" si="135"/>
        <v/>
      </c>
      <c r="JY23">
        <f t="shared" si="136"/>
        <v>0</v>
      </c>
      <c r="JZ23">
        <f t="shared" si="137"/>
        <v>1</v>
      </c>
    </row>
    <row r="24" spans="1:286" x14ac:dyDescent="0.3">
      <c r="A24" t="s">
        <v>946</v>
      </c>
      <c r="B24" t="s">
        <v>1203</v>
      </c>
      <c r="C24" t="str">
        <f>Линии[[#This Row],[_авто наименование]]</f>
        <v>Реле АПС, пом. 01</v>
      </c>
      <c r="E24">
        <v>0.2</v>
      </c>
      <c r="G24" t="str">
        <f>Линии[[#This Row],[_авто автомат]]</f>
        <v>1P С6А</v>
      </c>
      <c r="H24" t="str">
        <f>Линии[[#This Row],[_авто управление]]</f>
        <v/>
      </c>
      <c r="I24" t="str">
        <f>Линии[[#This Row],[_авто аппараты]]</f>
        <v/>
      </c>
      <c r="J24">
        <f>Линии[[#This Row],[_авто сечение]]</f>
        <v>1.5</v>
      </c>
      <c r="K24">
        <v>8</v>
      </c>
      <c r="L24" t="str">
        <f>Линии[[#This Row],[_авто фаза]]</f>
        <v>L2</v>
      </c>
      <c r="M24" t="str">
        <f>Линии[[#This Row],[_авто клемма]]</f>
        <v>XT1</v>
      </c>
      <c r="N24" t="str">
        <f t="shared" si="0"/>
        <v/>
      </c>
      <c r="O24" s="6" cm="1">
        <f t="array" ref="O24">IF(B24="","",IF(BH24&lt;&gt;"",IFERROR(_xlfn.XLOOKUP(BH24,Щиты[Щит],Щиты[Iр, А]),""),IF(BP24=1,IF(OR(N(_xlfn.XLOOKUP(A24,Щиты[Щит],Щиты[Вводов],1))&lt;=1,LOWER(TRIM(_xlfn.XLOOKUP(A24,Щиты[Щит],Щиты[АВР],"")&amp;""))="да"),IFERROR(_xlfn.XLOOKUP(A24,Щиты[Щит],Щиты[Iр, А]),""),IFERROR(N(BS24)*_xlfn.XLOOKUP(A24,Щиты[Щит],Щиты[Кс итог])/(SQRT(3)*Uн_лин*_xlfn.XLOOKUP(A24,Щиты[Щит],Щиты[cos φ])),"")),IF(BV24=1,IFERROR(BS24*1000/BU24,""),IFERROR(_xlfn.IFS(BX24=1,BS24/((Uн_лин/SQRT(3))*CE24),BX24=3,BS24/(SQRT(3)*Uн_лин*CE24)),"")))))</f>
        <v>0.911605688194146</v>
      </c>
      <c r="P24" s="7">
        <f>IF(B24="","",IFERROR(IF(VLOOKUP(BC24,Потребители_обозначение,4,FALSE)=1,VLOOKUP(BC24,Потребители_обозначение,3,FALSE)*(MAX(1,N(D24))*2-1)+EI24+VLOOKUP(BE24,Этаж_обозначение,3,FALSE)+VLOOKUP(BE24,Этаж_обозначение,4,FALSE),VLOOKUP(BC24,Потребители_обозначение,3,FALSE)*(MAX(1,N(D24))*2-1)+EI24),EI24))</f>
        <v>9</v>
      </c>
      <c r="Q24" s="6">
        <f t="shared" si="1"/>
        <v>0.59602884987279758</v>
      </c>
      <c r="R24" t="str">
        <f t="shared" si="2"/>
        <v>ВВГнг(А)-LS (3х1,5)</v>
      </c>
      <c r="S24" t="str">
        <f>IF(BM24="","",IF(BN24="вводной узел","узел ","")&amp;"л."&amp;(INT((BM24-1)/Столбцов_на_лист)+1)&amp;" / "&amp;(MOD(BM24-1,Столбцов_на_лист)+1))</f>
        <v>л.1 / 3</v>
      </c>
      <c r="T24" s="119">
        <f t="shared" si="3"/>
        <v>0.5</v>
      </c>
      <c r="U24" s="7" t="str">
        <f>IF(OR(CG24=0,N(BV24)+N(IB24)=0),"",ROUNDUP(Запас_БП*(N(HY24)+N(HZ24)),0))</f>
        <v/>
      </c>
      <c r="V24" s="119" t="str">
        <f t="shared" si="4"/>
        <v/>
      </c>
      <c r="W24" s="7">
        <f>IFERROR(IF(OR(B24="",BP24=1,BV24=1,NOT(ISNUMBER(EN24)),N(DT24)=0),"",MAX(0,ROUNDDOWN((c_min*(Uн_лин*1000/SQRT(3))/(HT24*N(DT24))-_xlfn.XLOOKUP(A24,Щиты[Щит],Щиты[Zпетли на шинах, Ом]))*EN24/(2*ρкз_Cu),0))),"")</f>
        <v>84</v>
      </c>
      <c r="Y24" t="str">
        <f>Линии[[#This Row],[_авто утечка]]</f>
        <v/>
      </c>
      <c r="Z24">
        <v>1</v>
      </c>
      <c r="AA24">
        <v>230</v>
      </c>
      <c r="AB24" t="str">
        <f>Линии[[#This Row],[_авто группа Кс]]</f>
        <v>Пост</v>
      </c>
      <c r="AF24" t="s">
        <v>796</v>
      </c>
      <c r="AG24" t="s">
        <v>799</v>
      </c>
      <c r="AK24" t="str">
        <f>Линии[[#This Row],[_авто модуль]]</f>
        <v/>
      </c>
      <c r="AN24" t="s">
        <v>11</v>
      </c>
      <c r="AO24">
        <v>3</v>
      </c>
      <c r="BA24" cm="1">
        <f t="array" ref="BA24">ROW()-ROW(Линии[#Headers])</f>
        <v>22</v>
      </c>
      <c r="BC24" s="6" t="str">
        <f t="shared" si="5"/>
        <v>АПС</v>
      </c>
      <c r="BD24" t="str">
        <f t="shared" si="6"/>
        <v>0.01.1</v>
      </c>
      <c r="BE24" t="str">
        <f t="shared" si="7"/>
        <v>0</v>
      </c>
      <c r="BF24" t="str">
        <f t="shared" si="8"/>
        <v>01.1</v>
      </c>
      <c r="BG24" t="str">
        <f t="shared" si="9"/>
        <v>01</v>
      </c>
      <c r="BH24" t="str">
        <f>IF(X24&lt;&gt;"",X24,IF(AND(B24&lt;&gt;"",B24&lt;&gt;A24,ISNUMBER(_xlfn.XMATCH(B24,Щиты[Щит]))),B24,""))</f>
        <v/>
      </c>
      <c r="BI24" t="str" cm="1">
        <f t="array" ref="BI24">IF(B24="","",IF(BH24&lt;&gt;"","Щит "&amp;BH24,_xlfn.LET(_xlpm.nm,IFERROR(_xlfn.XLOOKUP(BC24,Коды_код,Коды_имя)&amp;"",""),_xlpm.md,IFERROR(N(_xlfn.XLOOKUP(BC24,Коды_код,Коды_режим)),1),_xlpm.ex,IF(Имя_режим="по экспликации",IFERROR(_xlfn.XLOOKUP(BE24&amp;"|"&amp;BG24,Экспликация[Этаж]&amp;"|"&amp;Экспликация[Помещение],Экспликация[Название])&amp;"",""),""),_xlpm.rm,IF(BG24="","",IF(_xlpm.ex&lt;&gt;"",". "&amp;_xlpm.ex&amp;IF(Имя_пом="нет"," ("&amp;BG24&amp;")"," (пом. "&amp;BG24&amp;")"),IF(Имя_пом="нет"," ",", пом. ")&amp;BG24)),IF(_xlpm.nm="","",IF(_xlpm.md=2,_xlpm.nm&amp;" шлейф "&amp;BE24,_xlpm.nm&amp;_xlpm.rm)))))</f>
        <v>Реле АПС, пом. 01</v>
      </c>
      <c r="BJ24" t="str">
        <f t="shared" si="10"/>
        <v>Реле АПС, пом. 01</v>
      </c>
      <c r="BK24">
        <f>IFERROR(_xlfn.XMATCH(A24,Щиты[Щит]),0)</f>
        <v>3</v>
      </c>
      <c r="BL24">
        <f>_xlfn.LET(_xlpm.k,IFERROR(_xlfn.XLOOKUP(A24,Щиты[Щит],Щиты[Мест под вводной узел]),""),IF(_xlpm.k="",Столбцов_на_лист,N(_xlpm.k)))</f>
        <v>2</v>
      </c>
      <c r="BM24">
        <f t="shared" si="11"/>
        <v>3</v>
      </c>
      <c r="BN24" t="str">
        <f t="shared" si="12"/>
        <v>линии</v>
      </c>
      <c r="BO24" s="6">
        <f>IFERROR(N(_xlfn.XLOOKUP(BC24,Коды_код,Коды_квт)),0)</f>
        <v>0</v>
      </c>
      <c r="BP24">
        <f t="shared" si="13"/>
        <v>0</v>
      </c>
      <c r="BQ24" t="str">
        <f>IF(B24="","",IF(BH24&lt;&gt;"",IFERROR(_xlfn.XLOOKUP(BH24,Щиты[Щит],Щиты[Руст, кВт]),0),IF(BP24=1,IF(OR(N(_xlfn.XLOOKUP(A24,Щиты[Щит],Щиты[Вводов],1))&lt;=1,LOWER(TRIM(_xlfn.XLOOKUP(A24,Щиты[Щит],Щиты[АВР],"")&amp;""))="да"),IFERROR(_xlfn.XLOOKUP(A24,Щиты[Щит],Щиты[Руст, кВт]),0),SUMIFS(Линии[_Р для вводов],Линии[Щит],A24,Линии[Источник для режимов],GF24)),IF(BO24&gt;0,ROUND(BO24*MAX(1,N(D24)),3),""))))</f>
        <v/>
      </c>
      <c r="BR24">
        <f t="shared" si="14"/>
        <v>0.2</v>
      </c>
      <c r="BS24" s="6">
        <f>IF(B24="","",IF(BH24&lt;&gt;"",IFERROR(_xlfn.XLOOKUP(BH24,Щиты[Щит],Щиты[Руст, кВт]),0),N(BR24)))</f>
        <v>0.2</v>
      </c>
      <c r="BT24" t="str">
        <f>IF(B24="","",IFERROR(IF(VLOOKUP(BC24,Потребители_обозначение,8,FALSE)=0,"",VLOOKUP(BC24,Потребители_обозначение,8,FALSE)),""))</f>
        <v/>
      </c>
      <c r="BU24">
        <f t="shared" si="15"/>
        <v>230</v>
      </c>
      <c r="BV24">
        <f t="shared" si="16"/>
        <v>0</v>
      </c>
      <c r="BW24">
        <f>IF(B24="","",IF(BH24&lt;&gt;"",3,IFERROR(IF(N(VLOOKUP(BC24,Потребители_обозначение,9,FALSE))=0,1,VLOOKUP(BC24,Потребители_обозначение,9,FALSE)),1)))</f>
        <v>1</v>
      </c>
      <c r="BX24">
        <f t="shared" si="17"/>
        <v>1</v>
      </c>
      <c r="BY24" t="str">
        <f>IF(B24="","",_xlfn.LET(_xlpm.bc,IFERROR(IF(VLOOKUP(BC24,Потребители_обозначение,6,FALSE)=0,"",VLOOKUP(BC24,Потребители_обозначение,6,FALSE)&amp;""),""),IF(AND(GA24="да",OR(_xlpm.bc="",_xlpm.bc="мс")),Марка_пож,IF(AND(_xlpm.bc="",BH24&lt;&gt;""),"мс",_xlpm.bc))))</f>
        <v>мс</v>
      </c>
      <c r="BZ24" t="str">
        <f t="shared" si="18"/>
        <v>мс</v>
      </c>
      <c r="CA24">
        <f>IF(B24="","",_xlfn.LET(_xlpm.cc,IFERROR(N(VLOOKUP(BC24,Потребители_обозначение,7,FALSE)),0),IF(_xlpm.cc&gt;0,_xlpm.cc,IF(BZ24="","",IF(BV24=1,2,IF(N(BX24)=3,5,3))))))</f>
        <v>3</v>
      </c>
      <c r="CB24">
        <f t="shared" si="19"/>
        <v>3</v>
      </c>
      <c r="CC24">
        <f>IFERROR(N(VLOOKUP(BC24,Потребители_обозначение,10,FALSE)),0)</f>
        <v>0</v>
      </c>
      <c r="CD24">
        <f>IFERROR(VLOOKUP(BC24,Потребители_обозначение,5,FALSE),0)</f>
        <v>1</v>
      </c>
      <c r="CE24" s="6" cm="1">
        <f t="array" ref="CE24">IF(B24="","",IF(BH24&lt;&gt;"",IFERROR(_xlfn.XLOOKUP(BH24,Щиты[Щит],Щиты[cos φ]),0.95),IF(BP24=1,IFERROR(_xlfn.XLOOKUP(A24,Щиты[Щит],Щиты[cos φ]),0.95),IF(ISNUMBER(AD24),AD24,IFERROR(IF(CD24=2,_xlfn.IFS(BX24=3,VLOOKUP(BS24,Справочная_двигатели,8,FALSE),BX24=1,VLOOKUP(BS24,Справочная_двигатели,10,TRUE)),IF(AND(Методика="нормы 2026",FG24="Сил"),0.8,0.95)),0.95)))))</f>
        <v>0.95</v>
      </c>
      <c r="CF24">
        <f t="shared" si="20"/>
        <v>0</v>
      </c>
      <c r="CG24">
        <f t="shared" si="21"/>
        <v>1</v>
      </c>
      <c r="CH24">
        <f t="shared" si="22"/>
        <v>0</v>
      </c>
      <c r="CI24">
        <f>IF(B24="","",IF(BV24=1,IFERROR(BS24/((Uн_лин/SQRT(3))*MAX(0.5,N(CE24))),0),N(O24)))</f>
        <v>0.911605688194146</v>
      </c>
      <c r="CJ24">
        <f t="shared" si="23"/>
        <v>0</v>
      </c>
      <c r="CK24">
        <f t="shared" si="24"/>
        <v>0</v>
      </c>
      <c r="CL24">
        <f t="shared" si="25"/>
        <v>0</v>
      </c>
      <c r="CM24">
        <f t="shared" si="26"/>
        <v>0</v>
      </c>
      <c r="CN24">
        <f t="shared" si="27"/>
        <v>0</v>
      </c>
      <c r="CO24">
        <f>IF(BC24="",0,_xlfn.LET(_xlpm.v,IFERROR(_xlfn.XLOOKUP(B24,Коды_код,Коды_мА),IFERROR(_xlfn.XLOOKUP(BC24,Коды_код,Коды_мА),IFERROR(_xlfn.XLOOKUP(LEFT(BC24,2),Коды_код,Коды_мА),""))),IF(_xlpm.v="да",30,IF(ISNUMBER(_xlpm.v),_xlpm.v,0))))</f>
        <v>0</v>
      </c>
      <c r="CP24" t="str">
        <f t="shared" si="28"/>
        <v/>
      </c>
      <c r="CQ24" t="str">
        <f>_xlfn.LET(_xlpm.k,IFERROR(_xlfn.XLOOKUP(BC24,Коды_код,Коды_утечка)&amp;"",""),IF(_xlpm.k="","дифавтомат",_xlpm.k))</f>
        <v>дифавтомат</v>
      </c>
      <c r="CR24" t="str" cm="1">
        <f t="array" ref="CR24">IF(CG24=0,"",_xlfn.LET(_xlpm.sg,TRIM(_xlfn.TEXTSPLIT(DD24&amp;"",";")),_xlpm.f_,_xlfn._xlws.FILTER(_xlpm.sg,LEFT(_xlpm.sg,3)="УЗО",""),IFERROR(INDEX(_xlpm.f_,1)&amp;"","")))</f>
        <v/>
      </c>
      <c r="CS24" t="str">
        <f t="shared" si="29"/>
        <v/>
      </c>
      <c r="CT24" s="6" t="str" cm="1">
        <f t="array" ref="CT24">IF(CR24="","",_xlfn.LET(_xlpm.tk,_xlfn.TEXTSPLIT(UPPER(CR24)," ",,TRUE),_xlpm.a_,_xlfn._xlws.FILTER(_xlpm.tk,ISNUMBER(--LEFT(_xlpm.tk,1))*((ISNUMBER(SEARCH("А",_xlpm.tk))+ISNUMBER(SEARCH("A",_xlpm.tk)))&gt;0)*NOT(ISNUMBER(SEARCH("МА",_xlpm.tk)))*NOT(ISNUMBER(SEARCH("MA",_xlpm.tk))),""),IFERROR(--SUBSTITUTE(SUBSTITUTE(INDEX(_xlpm.a_,1),"А",""),"A",""),"")))</f>
        <v/>
      </c>
      <c r="CU24" t="str" cm="1">
        <f t="array" ref="CU24">IF(CR24="","",_xlfn.LET(_xlpm.tk,_xlfn.TEXTSPLIT(UPPER(CR24)," ",,TRUE),_xlpm.a_,_xlfn._xlws.FILTER(_xlpm.tk,ISNUMBER(--LEFT(_xlpm.tk,1))*((ISNUMBER(SEARCH("МА",_xlpm.tk))+ISNUMBER(SEARCH("MA",_xlpm.tk)))&gt;0),""),IFERROR(--SUBSTITUTE(SUBSTITUTE(INDEX(_xlpm.a_,1),"МА",""),"MA",""),30)))</f>
        <v/>
      </c>
      <c r="CV24" t="str">
        <f>IF(CS24="","",IFERROR(_xlfn.XLOOKUP(CS24,Линии[_n],Линии[_УЗО, мА]),30))</f>
        <v/>
      </c>
      <c r="CW24">
        <f>IF(CS24="",0,IF(ISNUMBER(SEARCH("4P",IFERROR(_xlfn.XLOOKUP(CS24,Линии[_n],Линии[_УЗО строки])&amp;"",""))),0,1))</f>
        <v>0</v>
      </c>
      <c r="CX24" t="str">
        <f>IF(AND(CS24&lt;&gt;"",CS24=BA24),SUMIFS(Линии[_ток на 230 В],Линии[_блок УЗО],BA24,Линии[Щит],A24),"")</f>
        <v/>
      </c>
      <c r="CY24" t="str">
        <f>IF(AND(CS24&lt;&gt;"",CS24=BA24),SUMIFS(Линии[_ток утечки линии, мА],Линии[_блок УЗО],BA24,Линии[Щит],A24),"")</f>
        <v/>
      </c>
      <c r="CZ24">
        <f t="shared" si="30"/>
        <v>0</v>
      </c>
      <c r="DA24">
        <f t="shared" si="31"/>
        <v>0</v>
      </c>
      <c r="DB24">
        <f>IF(B24="",0,IFERROR(--_xlfn.XLOOKUP(B24,Коды_код,Коды_минавт),IFERROR(--_xlfn.XLOOKUP(BC24,Коды_код,Коды_минавт),IFERROR(--_xlfn.XLOOKUP(LEFT(BC24,2),Коды_код,Коды_минавт),0))))</f>
        <v>0</v>
      </c>
      <c r="DC24" t="str">
        <f>IF(B24="","",IFERROR(_xlfn.XLOOKUP(BC24,Коды_код,Коды_апп)&amp;"",""))</f>
        <v/>
      </c>
      <c r="DD24" t="str">
        <f t="shared" si="32"/>
        <v/>
      </c>
      <c r="DE24" t="str" cm="1">
        <f t="array" ref="DE24">IF(TRIM(DD24&amp;"")="","",IFERROR(TRIM(INDEX(_xlfn.TEXTSPLIT(DD24&amp;";;;",";"),1)),""))</f>
        <v/>
      </c>
      <c r="DF24" t="str" cm="1">
        <f t="array" ref="DF24">IF(TRIM(DD24&amp;"")="","",IFERROR(TRIM(INDEX(_xlfn.TEXTSPLIT(DD24&amp;";;;",";"),2)),""))</f>
        <v/>
      </c>
      <c r="DG24" t="str" cm="1">
        <f t="array" ref="DG24">IF(TRIM(DD24&amp;"")="","",IFERROR(TRIM(INDEX(_xlfn.TEXTSPLIT(DD24&amp;";;;",";"),3)),""))</f>
        <v/>
      </c>
      <c r="DH24">
        <f t="shared" si="33"/>
        <v>0</v>
      </c>
      <c r="DI24" t="str">
        <f>IF(B24="","",_xlfn.LET(_xlpm.t,LOWER(AZ24&amp;""),IF(ISNUMBER(SEARCH("dim",_xlpm.t)),"DIM",IF(ISNUMBER(SEARCH("dali",_xlpm.t)),"DALI",IF(OR(ISNUMBER(SEARCH("relay",_xlpm.t)),ISNUMBER(SEARCH("реле",_xlpm.t))),"Relay",IF(ISNUMBER(SEARCH("кнопк",_xlpm.t)),"",IFERROR(_xlfn.XLOOKUP(BC24,Коды_код,Коды_упр)&amp;"","")))))))</f>
        <v/>
      </c>
      <c r="DJ24" t="str">
        <f t="shared" si="34"/>
        <v/>
      </c>
      <c r="DK24">
        <f>IF(B24="","",_xlfn.LET(_xlpm.ig,IF(N(CX24)&gt;0,N(CX24),N(CI24)+IF(AJ24="вручную",0,N(CJ24))),_xlpm.n0,IFERROR(VLOOKUP(_xlpm.ig,Автомат_номиналы,2,TRUE),0),_xlpm.mn,MAX(DB24,IF(AJ24="вручную",0,N(CM24))),MAX(_xlpm.n0,_xlpm.mn,IF(DH24=1,Мин_автомат_БП,0))))</f>
        <v>6</v>
      </c>
      <c r="DL24">
        <f t="shared" si="35"/>
        <v>1</v>
      </c>
      <c r="DM24" t="str">
        <f t="shared" si="36"/>
        <v>1P</v>
      </c>
      <c r="DN24" t="str">
        <f>_xlfn.LET(_xlpm.cc,UPPER(TRIM(IFERROR(_xlfn.XLOOKUP(BC24,Коды_код,Коды_хар)&amp;"",""))),IF(OR(_xlpm.cc="B",_xlpm.cc="В"),"B",IF(_xlpm.cc="D","D","С")))</f>
        <v>С</v>
      </c>
      <c r="DO24" t="str">
        <f t="shared" si="37"/>
        <v>1P С6А</v>
      </c>
      <c r="DP24" t="str">
        <f t="shared" si="38"/>
        <v>1P С6А</v>
      </c>
      <c r="DQ24" t="str">
        <f t="shared" si="39"/>
        <v>1P С6А</v>
      </c>
      <c r="DR24" cm="1">
        <f t="array" ref="DR24">IF(DQ24="","",_xlfn.LET(_xlpm.t,SUBSTITUTE(SUBSTITUTE(SUBSTITUTE(UPPER(DQ24),"С","C"),"А","A"),"В","B"),_xlpm.tk,_xlfn.TEXTSPLIT(_xlpm.t," "),_xlpm.f,_xlfn._xlws.FILTER(_xlpm.tk,ISNUMBER(--MID(_xlpm.tk,2,1))*ISNUMBER(SEARCH(LEFT(_xlpm.tk,1)&amp;"#","B#C#D#"))*(LEN(_xlpm.tk)&gt;1),""),_xlpm.x,INDEX(_xlpm.f,1),IFERROR(--SUBSTITUTE(MID(_xlpm.x,2,9),"A",""),IFERROR(--SUBSTITUTE(INDEX(_xlfn._xlws.FILTER(_xlpm.tk,ISNUMBER(--SUBSTITUTE(_xlpm.tk,"A","")),""),1),"A",""),""))))</f>
        <v>6</v>
      </c>
      <c r="DS24" t="str">
        <f t="shared" si="40"/>
        <v>ok</v>
      </c>
      <c r="DT24">
        <f t="shared" si="41"/>
        <v>6</v>
      </c>
      <c r="DU24" t="str">
        <f t="shared" si="42"/>
        <v>1P С6А</v>
      </c>
      <c r="DV24">
        <f t="shared" si="43"/>
        <v>0</v>
      </c>
      <c r="DW24">
        <f t="shared" si="44"/>
        <v>0</v>
      </c>
      <c r="DX24">
        <f t="shared" si="45"/>
        <v>0</v>
      </c>
      <c r="DY24">
        <f t="shared" si="46"/>
        <v>0.911605688194146</v>
      </c>
      <c r="DZ24">
        <f t="shared" si="47"/>
        <v>1</v>
      </c>
      <c r="EA24">
        <f>IF(ISNUMBER(AP24),AP24,К_прокл)</f>
        <v>1</v>
      </c>
      <c r="EB24">
        <f t="shared" si="48"/>
        <v>2</v>
      </c>
      <c r="EC24">
        <f>IFERROR(N(VLOOKUP(BZ24,Кабель_обозначение,3,FALSE)),1)</f>
        <v>1</v>
      </c>
      <c r="ED24">
        <f>IFERROR(N(_xlfn.XLOOKUP(A24,Щиты[Щит],Щиты[ΔU до шин, %])),0)</f>
        <v>0.4860288498727976</v>
      </c>
      <c r="EE24">
        <f>IFERROR(_xlfn.XLOOKUP(A24,Щиты[Щит],Щиты[Zпетли на шинах, Ом]),"")</f>
        <v>0.67697829354840211</v>
      </c>
      <c r="EF24">
        <f>IFERROR(N(_xlfn.XLOOKUP(A24,Щиты[Щит],Щиты[ΔU до шин (подбор), %])),0)</f>
        <v>0.4860288498727976</v>
      </c>
      <c r="EG24">
        <f>IFERROR(_xlfn.XLOOKUP(A24,Щиты[Щит],Щиты[Zпетли на шинах (подбор), Ом]),"")</f>
        <v>0.67697829354840211</v>
      </c>
      <c r="EH24" t="str">
        <f t="shared" si="49"/>
        <v/>
      </c>
      <c r="EI24">
        <f t="shared" si="50"/>
        <v>8</v>
      </c>
      <c r="EJ24">
        <f t="shared" si="51"/>
        <v>2</v>
      </c>
      <c r="EK24">
        <f t="shared" si="52"/>
        <v>0.31</v>
      </c>
      <c r="EL24" s="6">
        <f>IF(B24="","",IF(BV24=1,dU_LED,IF(IFERROR(_xlfn.XLOOKUP(BC24,Коды_код,Коды_уго),"")="Светильник",3,4)+IF(Методика="нормы 2026",MIN(0.5,MAX(0,N(P24)-100)*0.005),0)))</f>
        <v>4</v>
      </c>
      <c r="EM24" cm="1">
        <f t="array" ref="EM24">IF(OR(B24="",BZ24="",EC24&lt;&gt;1),"",_xlfn.LET(_xlpm.sz,Iдоп_S,_xlpm.t_,CHOOSE(EB24,Iдоп_1ж,Iдоп_2ж,Iдоп_3ж)*DZ24*EA24,_xlpm.dcx,BV24=1,_xlpm.inn,IF(_xlpm.dcx,N(O24),N(DT24)),_xlpm.smin,MAX(1.5,CC24),_xlpm.L_,N(P24)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24)/N(BU24)*100,999),IFERROR(N(EJ24)*(_xlpm.rho*_xlpm.L_/_xlpm.sz*N(CE24)+_xlpm.xx*_xlpm.L_*N(EK24)/1000)*N(O24)/((Uн_лин/SQRT(3))*1000)*100,999)),_xlpm.kz,IF(OR(_xlpm.dcx,DW24=1,NOT(ISNUMBER(EG24)),_xlpm.L_=0,_xlpm.inn=0),1,IFERROR(--(c_min*(Uн_лин*1000/SQRT(3))/(EG24+2*ρкз_Cu*_xlpm.L_/_xlpm.sz)&gt;=HT24*_xlpm.inn),0)),_xlpm.ok,IFERROR((_xlpm.sz&gt;=_xlpm.smin)*(_xlpm.t_&gt;=_xlpm.inn)*IF(_xlpm.L_&gt;0,(_xlpm.du_+IF(_xlpm.dcx,0,EF24)&lt;=EL24+0.00001),1)*_xlpm.kz,0),_xlpm.r_,_xlfn._xlws.FILTER(_xlpm.sz,_xlpm.ok,"не подобрано"),INDEX(_xlpm.r_,1)))</f>
        <v>1.5</v>
      </c>
      <c r="EN24">
        <f t="shared" si="53"/>
        <v>1.5</v>
      </c>
      <c r="EO24" cm="1">
        <f t="array" ref="EO24">IF(OR(B24="",BZ24="",EC24&lt;&gt;1),"",_xlfn.LET(_xlpm.sz,Iдоп_S,_xlpm.t_,CHOOSE(EB24,Iдоп_1ж,Iдоп_2ж,Iдоп_3ж)*DZ24*EA24,_xlpm.ok,IFERROR((_xlpm.sz&gt;=MAX(1.5,CC24))*(_xlpm.t_&gt;=N(DT24)),0),_xlpm.r_,_xlfn._xlws.FILTER(_xlpm.sz,_xlpm.ok,""),INDEX(_xlpm.r_,1)))</f>
        <v>1.5</v>
      </c>
      <c r="EP24" s="6" cm="1">
        <f t="array" ref="EP24">IFERROR(ROUNDUP(N(EJ24)*(_xlfn.XLOOKUP(EO24,INDEX(Кабель_сопротивление,0,1),INDEX(Кабель_сопротивление,0,3))*N(P24)/EO24*N(CE24)+_xlfn.XLOOKUP(EO24,INDEX(Кабель_сопротивление,0,1),INDEX(Кабель_сопротивление,0,2))*N(P24)*N(EK24)/1000)*N(O24)/((Uн_лин/SQRT(3))*1000)*100,2),"")</f>
        <v>0.11</v>
      </c>
      <c r="EQ24">
        <f>IFERROR(2*ρкз_Cu*N(P24)/EO24,"")</f>
        <v>0.31559999999999999</v>
      </c>
      <c r="ER24">
        <f>IFERROR(VLOOKUP(EN24,Кабель_сопротивление,3,FALSE),"")</f>
        <v>2.2499999999999999E-2</v>
      </c>
      <c r="ES24">
        <f>IFERROR(VLOOKUP(EN24,Кабель_сопротивление,2,FALSE),"")</f>
        <v>0.11</v>
      </c>
      <c r="ET24" t="str">
        <f t="shared" si="54"/>
        <v/>
      </c>
      <c r="EU24" t="str">
        <f t="shared" si="55"/>
        <v/>
      </c>
      <c r="EV24">
        <f t="shared" si="56"/>
        <v>0.23438640259321197</v>
      </c>
      <c r="EW24" s="6">
        <f>IFERROR(ROUNDUP(EV24/IF(BV24=1,BU24,(Uн_лин/SQRT(3))*1000)*100,2),"")</f>
        <v>0.11</v>
      </c>
      <c r="EX24" t="str">
        <f>IFERROR(VLOOKUP(BZ24,Кабель_обозначение,2,FALSE),"")</f>
        <v>ВВГнг(А)-LS</v>
      </c>
      <c r="EY24" t="str">
        <f t="shared" si="57"/>
        <v>ВВГнг(А)-LS (3х1,5)</v>
      </c>
      <c r="EZ24" t="str">
        <f t="shared" si="58"/>
        <v>ВВГнг(А)-LS (3х1,5)
L=9-0,11%</v>
      </c>
      <c r="FA24">
        <f>IFERROR(2*ρкз_Cu*P24/EN24,"")</f>
        <v>0.31559999999999999</v>
      </c>
      <c r="FB24">
        <f t="shared" si="59"/>
        <v>0.10500000000000002</v>
      </c>
      <c r="FC24" s="6">
        <f>IFERROR(IF(OR(B24="",BV24=1,NOT(ISNUMBER(EN24)),N(P24)=0),"",_xlfn.XLOOKUP(A24,Щиты[Щит],Щиты[Zпетли на шинах, Ом])+FA24),"")</f>
        <v>0.9925782935484021</v>
      </c>
      <c r="FD24" s="6">
        <f>IF(ISNUMBER(FC24),c_min*(Uн_лин*1000/SQRT(3))/FC24,"")</f>
        <v>221.03354840426934</v>
      </c>
      <c r="FE24" s="6">
        <f>IFERROR(IF(OR(B24="",NOT(ISNUMBER(EN24))),"",1.05*(Uн_лин*1000/SQRT(3))/(_xlfn.XLOOKUP(A24,Щиты[Щит],Щиты[Zmax на шинах, Ом])+FB24)/1000),"")</f>
        <v>0.75455705900548042</v>
      </c>
      <c r="FF24" s="6" t="str">
        <f>IF(B24="","",IF(ISNUMBER(AC24),"Сил",IF(IFERROR(_xlfn.XLOOKUP(BC24,Коды_код,Коды_группа)&amp;"","")="","Быт",_xlfn.XLOOKUP(BC24,Коды_код,Коды_группа)&amp;"")))</f>
        <v>Пост</v>
      </c>
      <c r="FG24" s="6" t="str">
        <f t="shared" si="60"/>
        <v>Пост</v>
      </c>
      <c r="FH24" s="6">
        <f>IF(FG24="Щит","щит",IF(FG24="","",IF(FG24="Быт",IFERROR(_xlfn.XLOOKUP(A24,Щиты[Щит],Щиты[Кс быт]),1),IF(FG24="Сил",IF(ISNUMBER(AC24),AC24,IF(Методика="нормы 2026",IFERROR(_xlfn.XLOOKUP(A24,Щиты[Щит],Щиты[Кс силовых (табл. 7.5)]),1),1)),IF(OR(FG24="Пост",FG24="Отоп"),1,IF(FG24="ВНГ",0.7,0))))))</f>
        <v>1</v>
      </c>
      <c r="FI24">
        <f>IF(FG24="","",IF(AND(BP24=1,TRIM(AE24&amp;"")=""),IF(COUNTIFS(Линии[Щит],A24,Линии[Секция (1/2/3)],"&gt;=2")&gt;0,MIN(3,MAX(1,IFERROR(--BD24,1))),1),IFERROR(MIN(3,MAX(1,INT(--AE24))),1)))</f>
        <v>1</v>
      </c>
      <c r="FJ24">
        <f t="shared" si="61"/>
        <v>0.2</v>
      </c>
      <c r="FK24">
        <f t="shared" si="62"/>
        <v>0</v>
      </c>
      <c r="FL24">
        <f t="shared" si="63"/>
        <v>0</v>
      </c>
      <c r="FM24">
        <f t="shared" si="64"/>
        <v>0.2</v>
      </c>
      <c r="FN24">
        <f t="shared" si="65"/>
        <v>0</v>
      </c>
      <c r="FO24">
        <f t="shared" si="66"/>
        <v>0</v>
      </c>
      <c r="FP24">
        <f t="shared" si="67"/>
        <v>0.2</v>
      </c>
      <c r="FQ24">
        <f t="shared" si="68"/>
        <v>0.2</v>
      </c>
      <c r="FR24">
        <f t="shared" si="69"/>
        <v>0.19</v>
      </c>
      <c r="FS24">
        <f>IF(CG24=1,IF(AND(CH24=1,CW24=1),0,IF(AND(CS24&lt;&gt;"",CS24=BA24,CW24=1),SUMIFS(Линии[_Р линии, кВт],Линии[_блок УЗО],BA24,Линии[Щит],A24),N(BS24)+IF(AJ24="вручную",0,N(CK24)))),0)</f>
        <v>0.2</v>
      </c>
      <c r="FT24" t="str">
        <f t="shared" si="70"/>
        <v/>
      </c>
      <c r="FU24" t="str">
        <f>IF(B24="","",IF(CG24=0,IF(BA24=1,"",FW23),IF(AND(CH24=1,CW24=1,CS24&lt;&gt;""),IFERROR(_xlfn.XLOOKUP(CS24,Линии[_n],Линии[_фаза итог]),"L1"),IF(OR(N(DL24)&gt;=3,N(BX24)&gt;=3),"L1,L2,L3",IFERROR(_xlfn.TEXTBEFORE(_xlfn.TEXTAFTER(_xlfn.XLOOKUP(A24,Щиты[Щит],Щиты[_фазы авто]),";"&amp;BA24&amp;":"),";"),"L1")))))</f>
        <v>L2</v>
      </c>
      <c r="FV24" t="str">
        <f t="shared" si="71"/>
        <v>L2</v>
      </c>
      <c r="FW24" t="str">
        <f t="shared" si="72"/>
        <v>L2</v>
      </c>
      <c r="FX24" cm="1">
        <f t="array" ref="FX24">IFERROR(IF(CD24=2,_xlfn.IFS(BX24=3,VLOOKUP(BS24,Справочная_двигатели,3,FALSE),BX24=1,VLOOKUP(BS24,Справочная_двигатели,5,TRUE)),0),0)</f>
        <v>0</v>
      </c>
      <c r="FY24">
        <f>IFERROR(IF(CD24=3,VLOOKUP(BS24,Справочная_ЛЭД,2,TRUE),0),0)</f>
        <v>0</v>
      </c>
      <c r="FZ24" s="6">
        <f t="shared" si="73"/>
        <v>0</v>
      </c>
      <c r="GA24" t="str">
        <f>IF(B24="","",IF(TRIM(AH24&amp;"")&lt;&gt;"",IF(LOWER(TRIM(AH24&amp;""))="да","да","нет"),IF(IFERROR(_xlfn.XLOOKUP(BC24,Коды_код,Коды_пожарная),"")="да","да","нет")))</f>
        <v>нет</v>
      </c>
      <c r="GB24" t="str">
        <f t="shared" si="74"/>
        <v>ИБП</v>
      </c>
      <c r="GC24" t="str">
        <f t="shared" si="75"/>
        <v>ИБП</v>
      </c>
      <c r="GD24">
        <f>IF(AND(BP24=1,TRIM(AE24&amp;"")=""),IF(COUNTIFS(Линии[Щит],A24,Линии[Секция (1/2/3)],"&gt;=2")&gt;0,MIN(3,MAX(1,IFERROR(--BD24,1))),1),IFERROR(MIN(3,MAX(1,INT(--AE24))),1))</f>
        <v>1</v>
      </c>
      <c r="GE24" t="str" cm="1">
        <f t="array" ref="GE24">IF(B24="","",_xlfn.LET(_xlpm.t,IFERROR(_xlfn.XLOOKUP(1,(Шины[Шина]=GC24)*(((Шины[Щит]=A24)+(Шины[Щит]=""))&gt;0),Шины[Тип]),"")&amp;"",IF(_xlpm.t&lt;&gt;"",_xlpm.t,IF(ISNUMBER(SEARCH("ИБП",GC24)),"ИБП",IF(ISNUMBER(SEARCH("ДГУ",GC24)),"ДГУ","Ввод "&amp;GD24)))))</f>
        <v>ИБП</v>
      </c>
      <c r="GF24" t="str">
        <f t="shared" si="76"/>
        <v>ИБП</v>
      </c>
      <c r="GG24" t="str">
        <f>IF(BP24=0,"",IF(TRIM(AG24&amp;"")&lt;&gt;"",TRIM(AG24&amp;""),IF(OR(GE24="ИБП",GE24="ДГУ"),"I особая",_xlfn.XLOOKUP(A24,Щиты[Щит],Щиты[Категория шины «Ввод»],"III"))))</f>
        <v/>
      </c>
      <c r="GH24" t="str">
        <f>IF(A24="","",_xlfn.XLOOKUP(A24,Щиты[Щит],Щиты[Путь],""))</f>
        <v>|ВРУ|ЩГП|</v>
      </c>
      <c r="GI24" t="str">
        <f>IF(B24="","",IF(AI24&lt;&gt;"",AI24,IF(IFERROR(_xlfn.XLOOKUP(BC24,Коды_код,Коды_вид)&amp;"","")="","Прочее",_xlfn.XLOOKUP(BC24,Коды_код,Коды_вид)&amp;"")))</f>
        <v>Системы безопасности и связи</v>
      </c>
      <c r="GJ24">
        <f>IF(BM24="","",INT((BM24-1)/Столбцов_на_лист)+1)</f>
        <v>1</v>
      </c>
      <c r="GK24" t="str">
        <f t="shared" si="77"/>
        <v>ВВГнг(А)-LS (3х1,5) L=9-0,11%</v>
      </c>
      <c r="GL24">
        <f t="shared" si="78"/>
        <v>0.2</v>
      </c>
      <c r="GM24">
        <f t="shared" si="79"/>
        <v>0.92</v>
      </c>
      <c r="GN24">
        <f t="shared" si="80"/>
        <v>1</v>
      </c>
      <c r="GO24">
        <f t="shared" si="81"/>
        <v>0</v>
      </c>
      <c r="GP24">
        <f t="shared" si="82"/>
        <v>1</v>
      </c>
      <c r="GQ24">
        <f>IF(BM24="","",IF(AND(CG24=1,GP24=1),COUNTIFS(A$3:A24,A24,CG$3:CG24,1,GP$3:GP24,1),IF(OR(OR(BA24=1,A24&lt;&gt;A23),AJ24="вручную",GP24=0),"",IF(BA24=1,"",GR23))))</f>
        <v>1</v>
      </c>
      <c r="GR24">
        <f t="shared" si="83"/>
        <v>1</v>
      </c>
      <c r="GS24">
        <f>IF(B24="","",IFERROR(LOOKUP(INDEX(CHOOSE(EB24,Iдоп_1ж,Iдоп_2ж,Iдоп_3ж),MATCH(EN24,Iдоп_S,0))*DZ24*EA24,{6,10,16,20,25,32,40,50,63,80,100,125,160,200,250,315,400,500,630}),""))</f>
        <v>16</v>
      </c>
      <c r="GT24" t="str">
        <f t="shared" si="84"/>
        <v>QF1</v>
      </c>
      <c r="GU24" t="str">
        <f t="shared" si="85"/>
        <v>QF1</v>
      </c>
      <c r="GV24" t="str">
        <f t="shared" si="86"/>
        <v/>
      </c>
      <c r="GW24">
        <f t="shared" si="87"/>
        <v>0</v>
      </c>
      <c r="GX24" t="str">
        <f>IF(OR(B24="",DJ24=""),"",IFERROR(_xlfn.XLOOKUP(DJ24,Модули_умолч[Управление],Модули_умолч[Модель])&amp;"",""))</f>
        <v/>
      </c>
      <c r="GY24">
        <f>IF(DJ24="",1,IFERROR(MAX(0,N(_xlfn.XLOOKUP(DJ24,Модули_умолч[Управление],Модули_умолч[Каналов на линию]))),1))</f>
        <v>1</v>
      </c>
      <c r="GZ24" t="str">
        <f t="shared" si="88"/>
        <v/>
      </c>
      <c r="HA24" t="str">
        <f t="shared" si="89"/>
        <v/>
      </c>
      <c r="HB24" t="str">
        <f t="shared" si="90"/>
        <v/>
      </c>
      <c r="HC24">
        <f>IF(HB24="",0,IFERROR(N(VLOOKUP(HB24,Модули_спр,3,FALSE)),0))</f>
        <v>0</v>
      </c>
      <c r="HD24" t="str">
        <f t="shared" si="91"/>
        <v/>
      </c>
      <c r="HE24" t="str">
        <f t="shared" si="92"/>
        <v/>
      </c>
      <c r="HF24" t="str">
        <f>IF(OR(HE24="",HE24="-"),"",IFERROR(VLOOKUP(HE24,Модули_спр,2,FALSE),"R"))</f>
        <v/>
      </c>
      <c r="HG24" t="str">
        <f>IF(HF24="","",HF24&amp;"."&amp;COUNTIFS(A$3:A24,A24,HF$3:HF24,HF24))</f>
        <v/>
      </c>
      <c r="HH24" t="str">
        <f t="shared" si="93"/>
        <v/>
      </c>
      <c r="HI24" t="str">
        <f t="shared" si="94"/>
        <v/>
      </c>
      <c r="HJ24" t="str">
        <f t="shared" si="95"/>
        <v/>
      </c>
      <c r="HK24" t="str">
        <f t="shared" si="96"/>
        <v/>
      </c>
      <c r="HL24">
        <f t="shared" si="97"/>
        <v>1</v>
      </c>
      <c r="HM24" t="str">
        <f>IF(HL24=1,"XT"&amp;COUNTIFS(A$3:A24,A24,HL$3:HL24,1),"")</f>
        <v>XT1</v>
      </c>
      <c r="HN24" t="str">
        <f t="shared" si="98"/>
        <v>XT1</v>
      </c>
      <c r="HO24" t="str">
        <f t="shared" si="99"/>
        <v>QF1</v>
      </c>
      <c r="HP24" t="str">
        <f t="shared" si="100"/>
        <v/>
      </c>
      <c r="HQ24" t="str">
        <f t="shared" si="101"/>
        <v>ok</v>
      </c>
      <c r="HR24" t="str">
        <f>IF(OR(HJ24="",HH24=""),"",IF(HJ24+MAX(0,GY24-1)&gt;IFERROR(VLOOKUP(HI24,Модули_спр,3,FALSE),99),"ЛИШНИЙ КАНАЛ",IF(AND(AL24&lt;&gt;"=",GY24&gt;0,COUNTIFS(Линии[_модуль гр.],HH24,Линии[Канал (итог)],HJ24,Линии[Канал],"&lt;&gt;=",Линии[Щит],A24)&gt;1),"ДУБЛЬ КАНАЛА","")))</f>
        <v/>
      </c>
      <c r="HS24" s="6">
        <f t="shared" si="102"/>
        <v>36.838924734044888</v>
      </c>
      <c r="HT24">
        <f t="shared" si="103"/>
        <v>10</v>
      </c>
      <c r="HU24" t="str">
        <f t="shared" si="104"/>
        <v>ok</v>
      </c>
      <c r="HV24">
        <f t="shared" si="105"/>
        <v>0.45464227527765844</v>
      </c>
      <c r="HW24">
        <f t="shared" si="106"/>
        <v>0</v>
      </c>
      <c r="HX24">
        <f t="shared" si="107"/>
        <v>0</v>
      </c>
      <c r="HY24">
        <f t="shared" si="108"/>
        <v>0</v>
      </c>
      <c r="HZ24">
        <f t="shared" si="109"/>
        <v>0</v>
      </c>
      <c r="IA24">
        <f t="shared" si="110"/>
        <v>0</v>
      </c>
      <c r="IB24">
        <f t="shared" si="111"/>
        <v>0</v>
      </c>
      <c r="IC24" t="str">
        <f t="shared" si="112"/>
        <v/>
      </c>
      <c r="ID24" t="str" cm="1">
        <f t="array" ref="ID24">IF(IC24="","",_xlfn.LET(_xlpm.tk,_xlfn.TEXTSPLIT(SUBSTITUTE(SUBSTITUTE(IC24,";"," "),"→"," ")," ",,TRUE),_xlpm.w_,_xlfn._xlws.FILTER(_xlpm.tk,ISNUMBER(--LEFT(_xlpm.tk,1))*((ISNUMBER(SEARCH("W",_xlpm.tk))+ISNUMBER(SEARCH("Вт",_xlpm.tk)))&gt;0),""),IFERROR(--SUBSTITUTE(SUBSTITUTE(UPPER(INDEX(_xlpm.w_,1)),"W",""),"ВТ",""),"")))</f>
        <v/>
      </c>
      <c r="IE24" t="str" cm="1">
        <f t="array" ref="IE24">IF(IC24="","",_xlfn.LET(_xlpm.tk,_xlfn.TEXTSPLIT(SUBSTITUTE(SUBSTITUTE(IC24,";"," "),"→"," ")," ",,TRUE),_xlpm.v_,_xlfn._xlws.FILTER(_xlpm.tk,ISNUMBER(--LEFT(_xlpm.tk,1))*((ISNUMBER(SEARCH("V",_xlpm.tk))+(RIGHT(UPPER(_xlpm.tk))="В"))&gt;0),""),IFERROR(--SUBSTITUTE(SUBSTITUTE(UPPER(INDEX(_xlpm.v_,1)),"V",""),"В",""),"")))</f>
        <v/>
      </c>
      <c r="IF24" s="6" t="str">
        <f>IF(OR(BV24=0,HI24="",HJ24=""),"",IFERROR(N(_xlfn.XLOOKUP(HI24,Каталог!$C$4:$C$500,Каталог!$Q$4:$Q$500)),""))</f>
        <v/>
      </c>
      <c r="IG24" s="6" t="str">
        <f>IF(N(IF24)=0,"",SUMIFS(Линии[Iр, А],Линии[Щит],A24,Линии[_модуль гр.],HH24,Линии[Канал (итог)],HJ24))</f>
        <v/>
      </c>
      <c r="IH24" t="str">
        <f>IF(AND(B24="",HO24=""),"",_xlfn.TEXTJOIN("; ",TRUE,IF(AND(B24&lt;&gt;"",FV24=""),"нет фазы",""),IF(AND(B24&lt;&gt;"",N(GL24)=0,FG24&lt;&gt;"Нет"),"нет мощности",""),IF(AND(HN24&lt;&gt;"",COUNTIFS(Линии[Щит],A24,Линии[Клемма (итог)],HN24)&gt;1),"дубль клеммы "&amp;HN24,""),IF(AND(HQ24&lt;&gt;"",HQ24&lt;&gt;"ok"),HQ24,""),IF(HR24&lt;&gt;"",HR24,""),IF(AND(N(CB24)&gt;=4,N(BX24)=1),CB24&amp;" жил на 1 фазе",""),IF(AND(BC24="R",CG24=1,IF(CS24&lt;&gt;"",N(CV24)&gt;30,OR(N(DA24)=0,N(DA24)&gt;30))),"розетка без дифзащиты до 30 мА",""),IF(AND(CG24=1,N(DA24)&gt;0,ISNUMBER(T24)),IF(T24&gt;N(DA24)/3,"ток утечки "&amp;FIXED(T24,1)&amp;" мА &gt; 1/3 уставки ("&amp;DA24&amp;" мА)",""),""),IF(AND(CH24=1,CS24=""),"«узо»: нет строки с УЗО выше (УЗО 2P 40А 30мА в «Аппаратах»)",""),IF(AND(CS24&lt;&gt;"",CS24=BA24),IF(CT24="","впишите номинал УЗО (УЗО 2P 40А 30мА)",IF(N(CT24)&lt;N(DT24),"УЗО "&amp;CT24&amp;" А &lt; автомата "&amp;DT24&amp;" А перед ним",IF(N(CT24)&lt;N(CX24),"УЗО "&amp;CT24&amp;" А &lt; тока блока "&amp;FIXED(CX24,1)&amp;" А",""))),""),IF(AND(CS24&lt;&gt;"",CS24=BA24,ISNUMBER(CY24)),IF(CY24&gt;N(CV24)/3,"ток утечки блока УЗО "&amp;FIXED(CY24,1)&amp;" мА &gt; 1/3 уставки ("&amp;CV24&amp;" мА)",""),""),IF(AND(CG24=1,N(BV24)+N(IB24)&gt;0,IC24=""),"линии до 50 В без БП: впишите в «Аппараты» (БП 24V 480W)",""),IF(AND(CG24=1,ISNUMBER(ID24),ISNUMBER(U24)),IF(U24&gt;ID24,"БП "&amp;ID24&amp;" Вт &lt; нужно "&amp;U24&amp;" Вт (×"&amp;Запас_БП&amp;")",""),""),IF(AND(CG24=1,ISNUMBER(IE24),N(BV24)=1),IF(IE24&lt;&gt;N(BU24),"БП на "&amp;IE24&amp;" В, линия "&amp;BU24&amp;" В",""),""),IF(AND(N(IF24)&gt;0,N(IG24)&gt;N(IF24)),HH24&amp;" канал "&amp;HJ24&amp;": "&amp;FIXED(IG24,1)&amp;" А &gt; "&amp;IF24&amp;" А",""),IFERROR(IF(AND(ISNUMBER(Q24),Q24&gt;EL24),"потери "&amp;FIXED(Q24,1)&amp;" % &gt; "&amp;EL24&amp;" %",""),""),IFERROR(IF(LEFT(HU24,4)="мало","Iкз мало — отключение &gt; 0,4 с",""),""),IF(AND(B24&lt;&gt;"",BM24=""),"не на схеме",""),IF(AND(CG24=0,B24&lt;&gt;"",FV24&lt;&gt;"",IF(BA24=1,"",FW23)&lt;&gt;"",FV24&lt;&gt;IF(BA24=1,"",FW23)),"фаза не как у автомата группы ("&amp;IF(BA24=1,"",FW23)&amp;")","")))</f>
        <v/>
      </c>
      <c r="II24" s="6" t="str">
        <f>IF(OR(CG24=0,DQ24=""),"",_xlfn.LET(_xlpm.t,IFERROR(_xlfn.XLOOKUP(DQ24,Каталог!$U$4:$U$500,Каталог!$G$4:$G$500),""),_xlpm.k,SEARCH("кА",_xlpm.t),IFERROR(--TRIM(RIGHT(SUBSTITUTE(MID(_xlpm.t,MAX(1,_xlpm.k-4),_xlpm.k-MAX(1,_xlpm.k-4))," ",REPT(" ",9)),5)),"")))</f>
        <v/>
      </c>
      <c r="IJ24" t="str">
        <f>IF(OR(II24="",CG24=0),"",IF(_xlfn.XLOOKUP(A24,Щиты[Щит],Щиты[Iкз max на шинах, кА],"")="","",IF(II24&lt;_xlfn.XLOOKUP(A24,Щиты[Щит],Щиты[Iкз max на шинах, кА]),"Icu "&amp;II24&amp;" кА &lt; Iкз max","ok")))</f>
        <v/>
      </c>
      <c r="IK24" t="str">
        <f t="shared" si="113"/>
        <v/>
      </c>
      <c r="IL24" t="str">
        <f t="shared" si="114"/>
        <v>QF1|XT1</v>
      </c>
      <c r="IM24" t="str">
        <f t="shared" si="115"/>
        <v>QF1|XT1|кабель ВВГнг(А)-LS (3х1,5) → Реле АПС, пом. 01</v>
      </c>
      <c r="IN24" t="str" cm="1">
        <f t="array" ref="IN24">IF(IM24="","",_xlfn.LET(_xlpm.nd,_xlfn.TEXTSPLIT(IM24,"|"),IF(COLUMNS(_xlpm.nd)&gt;1,A24&amp;"¦"&amp;INDEX(_xlpm.nd,1)&amp;"¦"&amp;INDEX(_xlpm.nd,2),"")))</f>
        <v>ЩГП¦QF1¦XT1</v>
      </c>
      <c r="IO24" t="str">
        <f t="shared" si="116"/>
        <v>АПС.0.01.1¦Реле АПС, пом. 01</v>
      </c>
      <c r="IP24" t="str" cm="1">
        <f t="array" ref="IP24">IF(IM24="","",_xlfn.LET(_xlpm.nd,_xlfn.TEXTSPLIT(IM24,"|"),IF(COLUMNS(_xlpm.nd)&gt;2,A24&amp;"¦"&amp;INDEX(_xlpm.nd,2)&amp;"¦"&amp;INDEX(_xlpm.nd,3),"")))</f>
        <v>ЩГП¦XT1¦кабель ВВГнг(А)-LS (3х1,5) → Реле АПС, пом. 01</v>
      </c>
      <c r="IQ24" t="str">
        <f t="shared" si="117"/>
        <v>АПС.0.01.1¦Реле АПС, пом. 01</v>
      </c>
      <c r="IR24" t="str" cm="1">
        <f t="array" ref="IR24">IF(IM24="","",_xlfn.LET(_xlpm.nd,_xlfn.TEXTSPLIT(IM24,"|"),IF(COLUMNS(_xlpm.nd)&gt;3,A24&amp;"¦"&amp;INDEX(_xlpm.nd,3)&amp;"¦"&amp;INDEX(_xlpm.nd,4),"")))</f>
        <v/>
      </c>
      <c r="IS24" t="str">
        <f t="shared" si="118"/>
        <v/>
      </c>
      <c r="IT24" t="str" cm="1">
        <f t="array" ref="IT24">IF(IM24="","",_xlfn.LET(_xlpm.nd,_xlfn.TEXTSPLIT(IM24,"|"),IF(COLUMNS(_xlpm.nd)&gt;4,A24&amp;"¦"&amp;INDEX(_xlpm.nd,4)&amp;"¦"&amp;INDEX(_xlpm.nd,5),"")))</f>
        <v/>
      </c>
      <c r="IU24" t="str">
        <f t="shared" si="119"/>
        <v/>
      </c>
      <c r="IV24" t="str" cm="1">
        <f t="array" ref="IV24">IF(IM24="","",_xlfn.LET(_xlpm.nd,_xlfn.TEXTSPLIT(IM24,"|"),IF(COLUMNS(_xlpm.nd)&gt;5,A24&amp;"¦"&amp;INDEX(_xlpm.nd,5)&amp;"¦"&amp;INDEX(_xlpm.nd,6),"")))</f>
        <v/>
      </c>
      <c r="IW24" t="str">
        <f t="shared" si="120"/>
        <v/>
      </c>
      <c r="IX24" t="str" cm="1">
        <f t="array" ref="IX24">IF(IM24="","",_xlfn.LET(_xlpm.nd,_xlfn.TEXTSPLIT(IM24,"|"),IF(COLUMNS(_xlpm.nd)&gt;6,A24&amp;"¦"&amp;INDEX(_xlpm.nd,6)&amp;"¦"&amp;INDEX(_xlpm.nd,7),"")))</f>
        <v/>
      </c>
      <c r="IY24" t="str">
        <f t="shared" si="121"/>
        <v/>
      </c>
      <c r="IZ24" t="str">
        <f t="shared" si="122"/>
        <v/>
      </c>
      <c r="JA24" t="str">
        <f t="shared" si="123"/>
        <v>QF1 → XT1</v>
      </c>
      <c r="JB24">
        <f t="shared" si="124"/>
        <v>1</v>
      </c>
      <c r="JC24">
        <f t="shared" si="125"/>
        <v>0</v>
      </c>
      <c r="JD24" t="str">
        <f t="shared" si="126"/>
        <v/>
      </c>
      <c r="JE24" t="str">
        <f t="shared" si="127"/>
        <v/>
      </c>
      <c r="JF24" t="str">
        <f t="shared" si="128"/>
        <v/>
      </c>
      <c r="JG24" t="str">
        <f t="shared" si="129"/>
        <v/>
      </c>
      <c r="JH24">
        <f>IF(B24="","",IFERROR(_xlfn.XLOOKUP(B24,Коды_код,Коды_уго),IFERROR(_xlfn.XLOOKUP(BC24,Коды_код,Коды_уго),IFERROR(_xlfn.XLOOKUP(LEFT(BC24,2),Коды_код,Коды_уго),""))))</f>
        <v>0</v>
      </c>
      <c r="JI24" t="str">
        <f>IF(B24="","",IF(OR(JH24="",JH24=0),"BOX",IFERROR(IF(VLOOKUP(JH24,УГО_блоки,3,FALSE)&amp;""&lt;&gt;"",VLOOKUP(JH24,УГО_блоки,3,FALSE),VLOOKUP(JH24,УГО_блоки,2,FALSE)),JH24)))</f>
        <v>BOX</v>
      </c>
      <c r="JJ24">
        <f t="shared" si="130"/>
        <v>1</v>
      </c>
      <c r="JK24" t="str">
        <f>IF(DQ24="","",IF(COUNTIF(DQ$3:DQ24,DQ24)=1,MAX(JK$2:JK23)+1,""))</f>
        <v/>
      </c>
      <c r="JL24" t="str">
        <f>IF(DE24="","",IF(COUNTIF(DE$3:DE24,DE24)+COUNTIF(DF$2:DF23,DE24)+COUNTIF(DG$2:DG23,DE24)=1,MAX(JL$2:JN23)+1,""))</f>
        <v/>
      </c>
      <c r="JM24" t="str">
        <f>IF(DF24="","",IF(COUNTIF(DE$3:DE24,DF24)+COUNTIF(DF$3:DF24,DF24)+COUNTIF(DG$2:DG23,DF24)=1,MAX(JL$2:JN23,JL24)+1,""))</f>
        <v/>
      </c>
      <c r="JN24" t="str">
        <f>IF(DG24="","",IF(COUNTIF(DE$3:DE24,DG24)+COUNTIF(DF$3:DF24,DG24)+COUNTIF(DG$3:DG24,DG24)=1,MAX(JL$2:JN23,JL24,JM24)+1,""))</f>
        <v/>
      </c>
      <c r="JO24" t="str">
        <f t="shared" si="131"/>
        <v>3х1,5</v>
      </c>
      <c r="JP24" t="str">
        <f>IF(JO24="","",IF(COUNTIF(JO$3:JO24,JO24)=1,MAX(JP$2:JP23)+1,""))</f>
        <v/>
      </c>
      <c r="JQ24" t="str">
        <f>IF(HG24="","",COUNTIF(HG$3:HG24,"?*"))</f>
        <v/>
      </c>
      <c r="JR24" t="str">
        <f>IF(OR(HG24="",HI24=""),"",IF(COUNTIFS(HG$3:HG24,"?*",HI$3:HI24,HI24)=1,MAX(JR$2:JR23)+1,""))</f>
        <v/>
      </c>
      <c r="JS24">
        <f t="shared" si="132"/>
        <v>0</v>
      </c>
      <c r="JT24">
        <f>IF(B24="","",COUNTIF(B$3:B24,"?*"))</f>
        <v>22</v>
      </c>
      <c r="JU24">
        <f>IF(HL24&lt;&gt;1,0,_xlfn.LET(_xlpm.k,MAX(IFERROR(--_xlfn.XLOOKUP(B24,Коды_код,Коды_3L),0),IFERROR(--_xlfn.XLOOKUP(BC24,Коды_код,Коды_3L),0),IFERROR(--_xlfn.XLOOKUP(LEFT(BC24,2),Коды_код,Коды_3L),0)),IF(_xlpm.k&gt;0,_xlpm.k,IF(IFERROR(--LEFT(SUBSTITUTE(JO24,"x","х"),FIND("х",SUBSTITUTE(JO24,"x","х"))-1),3)&gt;3,Каталог!$S$9,1))))</f>
        <v>1</v>
      </c>
      <c r="JV24">
        <f t="shared" si="133"/>
        <v>0</v>
      </c>
      <c r="JW24" t="str">
        <f t="shared" si="134"/>
        <v>авто</v>
      </c>
      <c r="JX24" t="str">
        <f t="shared" si="135"/>
        <v/>
      </c>
      <c r="JY24">
        <f t="shared" si="136"/>
        <v>0</v>
      </c>
      <c r="JZ24">
        <f t="shared" si="137"/>
        <v>1</v>
      </c>
    </row>
    <row r="25" spans="1:286" x14ac:dyDescent="0.3">
      <c r="A25" t="s">
        <v>946</v>
      </c>
      <c r="B25" t="s">
        <v>1204</v>
      </c>
      <c r="C25" t="s">
        <v>1247</v>
      </c>
      <c r="E25">
        <v>0.3</v>
      </c>
      <c r="G25" t="str">
        <f>Линии[[#This Row],[_авто автомат]]</f>
        <v>1P С10А</v>
      </c>
      <c r="H25" t="str">
        <f>Линии[[#This Row],[_авто управление]]</f>
        <v/>
      </c>
      <c r="I25" t="str">
        <f>Линии[[#This Row],[_авто аппараты]]</f>
        <v/>
      </c>
      <c r="J25">
        <f>Линии[[#This Row],[_авто сечение]]</f>
        <v>1.5</v>
      </c>
      <c r="K25">
        <v>20</v>
      </c>
      <c r="L25" t="str">
        <f>Линии[[#This Row],[_авто фаза]]</f>
        <v>L1</v>
      </c>
      <c r="M25" t="str">
        <f>Линии[[#This Row],[_авто клемма]]</f>
        <v>XT2</v>
      </c>
      <c r="N25" t="str">
        <f t="shared" si="0"/>
        <v/>
      </c>
      <c r="O25" s="6" cm="1">
        <f t="array" ref="O25">IF(B25="","",IF(BH25&lt;&gt;"",IFERROR(_xlfn.XLOOKUP(BH25,Щиты[Щит],Щиты[Iр, А]),""),IF(BP25=1,IF(OR(N(_xlfn.XLOOKUP(A25,Щиты[Щит],Щиты[Вводов],1))&lt;=1,LOWER(TRIM(_xlfn.XLOOKUP(A25,Щиты[Щит],Щиты[АВР],"")&amp;""))="да"),IFERROR(_xlfn.XLOOKUP(A25,Щиты[Щит],Щиты[Iр, А]),""),IFERROR(N(BS25)*_xlfn.XLOOKUP(A25,Щиты[Щит],Щиты[Кс итог])/(SQRT(3)*Uн_лин*_xlfn.XLOOKUP(A25,Щиты[Щит],Щиты[cos φ])),"")),IF(BV25=1,IFERROR(BS25*1000/BU25,""),IFERROR(_xlfn.IFS(BX25=1,BS25/((Uн_лин/SQRT(3))*CE25),BX25=3,BS25/(SQRT(3)*Uн_лин*CE25)),"")))))</f>
        <v>1.3674085322912188</v>
      </c>
      <c r="P25" s="7">
        <f>IF(B25="","",IFERROR(IF(VLOOKUP(BC25,Потребители_обозначение,4,FALSE)=1,VLOOKUP(BC25,Потребители_обозначение,3,FALSE)*(MAX(1,N(D25))*2-1)+EI25+VLOOKUP(BE25,Этаж_обозначение,3,FALSE)+VLOOKUP(BE25,Этаж_обозначение,4,FALSE),VLOOKUP(BC25,Потребители_обозначение,3,FALSE)*(MAX(1,N(D25))*2-1)+EI25),EI25))</f>
        <v>21</v>
      </c>
      <c r="Q25" s="6">
        <f t="shared" si="1"/>
        <v>0.84602884987279758</v>
      </c>
      <c r="R25" t="str">
        <f t="shared" si="2"/>
        <v>ВВГнг(А)-LS (3х1,5)</v>
      </c>
      <c r="S25" t="str">
        <f>IF(BM25="","",IF(BN25="вводной узел","узел ","")&amp;"л."&amp;(INT((BM25-1)/Столбцов_на_лист)+1)&amp;" / "&amp;(MOD(BM25-1,Столбцов_на_лист)+1))</f>
        <v>л.1 / 4</v>
      </c>
      <c r="T25" s="119">
        <f t="shared" si="3"/>
        <v>0.8</v>
      </c>
      <c r="U25" s="7" t="str">
        <f>IF(OR(CG25=0,N(BV25)+N(IB25)=0),"",ROUNDUP(Запас_БП*(N(HY25)+N(HZ25)),0))</f>
        <v/>
      </c>
      <c r="V25" s="119" t="str">
        <f t="shared" si="4"/>
        <v/>
      </c>
      <c r="W25" s="7">
        <f>IFERROR(IF(OR(B25="",BP25=1,BV25=1,NOT(ISNUMBER(EN25)),N(DT25)=0),"",MAX(0,ROUNDDOWN((c_min*(Uн_лин*1000/SQRT(3))/(HT25*N(DT25))-_xlfn.XLOOKUP(A25,Щиты[Щит],Щиты[Zпетли на шинах, Ом]))*EN25/(2*ρкз_Cu),0))),"")</f>
        <v>43</v>
      </c>
      <c r="Y25" t="str">
        <f>Линии[[#This Row],[_авто утечка]]</f>
        <v/>
      </c>
      <c r="Z25">
        <v>1</v>
      </c>
      <c r="AA25">
        <v>230</v>
      </c>
      <c r="AB25" t="str">
        <f>Линии[[#This Row],[_авто группа Кс]]</f>
        <v>Быт</v>
      </c>
      <c r="AF25" t="s">
        <v>796</v>
      </c>
      <c r="AG25" t="s">
        <v>800</v>
      </c>
      <c r="AK25" t="str">
        <f>Линии[[#This Row],[_авто модуль]]</f>
        <v/>
      </c>
      <c r="AN25" t="s">
        <v>11</v>
      </c>
      <c r="AO25">
        <v>3</v>
      </c>
      <c r="BA25" cm="1">
        <f t="array" ref="BA25">ROW()-ROW(Линии[#Headers])</f>
        <v>23</v>
      </c>
      <c r="BC25" s="6" t="str">
        <f t="shared" si="5"/>
        <v>L</v>
      </c>
      <c r="BD25" t="str">
        <f t="shared" si="6"/>
        <v>0.02.1</v>
      </c>
      <c r="BE25" t="str">
        <f t="shared" si="7"/>
        <v>0</v>
      </c>
      <c r="BF25" t="str">
        <f t="shared" si="8"/>
        <v>02.1</v>
      </c>
      <c r="BG25" t="str">
        <f t="shared" si="9"/>
        <v>02</v>
      </c>
      <c r="BH25" t="str">
        <f>IF(X25&lt;&gt;"",X25,IF(AND(B25&lt;&gt;"",B25&lt;&gt;A25,ISNUMBER(_xlfn.XMATCH(B25,Щиты[Щит]))),B25,""))</f>
        <v/>
      </c>
      <c r="BI25" t="str" cm="1">
        <f t="array" ref="BI25">IF(B25="","",IF(BH25&lt;&gt;"","Щит "&amp;BH25,_xlfn.LET(_xlpm.nm,IFERROR(_xlfn.XLOOKUP(BC25,Коды_код,Коды_имя)&amp;"",""),_xlpm.md,IFERROR(N(_xlfn.XLOOKUP(BC25,Коды_код,Коды_режим)),1),_xlpm.ex,IF(Имя_режим="по экспликации",IFERROR(_xlfn.XLOOKUP(BE25&amp;"|"&amp;BG25,Экспликация[Этаж]&amp;"|"&amp;Экспликация[Помещение],Экспликация[Название])&amp;"",""),""),_xlpm.rm,IF(BG25="","",IF(_xlpm.ex&lt;&gt;"",". "&amp;_xlpm.ex&amp;IF(Имя_пом="нет"," ("&amp;BG25&amp;")"," (пом. "&amp;BG25&amp;")"),IF(Имя_пом="нет"," ",", пом. ")&amp;BG25)),IF(_xlpm.nm="","",IF(_xlpm.md=2,_xlpm.nm&amp;" шлейф "&amp;BE25,_xlpm.nm&amp;_xlpm.rm)))))</f>
        <v>Группа освещения, пом. 02</v>
      </c>
      <c r="BJ25" t="str">
        <f t="shared" si="10"/>
        <v>Аварийное освещение (шина ИБП)</v>
      </c>
      <c r="BK25">
        <f>IFERROR(_xlfn.XMATCH(A25,Щиты[Щит]),0)</f>
        <v>3</v>
      </c>
      <c r="BL25">
        <f>_xlfn.LET(_xlpm.k,IFERROR(_xlfn.XLOOKUP(A25,Щиты[Щит],Щиты[Мест под вводной узел]),""),IF(_xlpm.k="",Столбцов_на_лист,N(_xlpm.k)))</f>
        <v>2</v>
      </c>
      <c r="BM25">
        <f t="shared" si="11"/>
        <v>4</v>
      </c>
      <c r="BN25" t="str">
        <f t="shared" si="12"/>
        <v>линии</v>
      </c>
      <c r="BO25" s="6">
        <f>IFERROR(N(_xlfn.XLOOKUP(BC25,Коды_код,Коды_квт)),0)</f>
        <v>0</v>
      </c>
      <c r="BP25">
        <f t="shared" si="13"/>
        <v>0</v>
      </c>
      <c r="BQ25" t="str">
        <f>IF(B25="","",IF(BH25&lt;&gt;"",IFERROR(_xlfn.XLOOKUP(BH25,Щиты[Щит],Щиты[Руст, кВт]),0),IF(BP25=1,IF(OR(N(_xlfn.XLOOKUP(A25,Щиты[Щит],Щиты[Вводов],1))&lt;=1,LOWER(TRIM(_xlfn.XLOOKUP(A25,Щиты[Щит],Щиты[АВР],"")&amp;""))="да"),IFERROR(_xlfn.XLOOKUP(A25,Щиты[Щит],Щиты[Руст, кВт]),0),SUMIFS(Линии[_Р для вводов],Линии[Щит],A25,Линии[Источник для режимов],GF25)),IF(BO25&gt;0,ROUND(BO25*MAX(1,N(D25)),3),""))))</f>
        <v/>
      </c>
      <c r="BR25">
        <f t="shared" si="14"/>
        <v>0.3</v>
      </c>
      <c r="BS25" s="6">
        <f>IF(B25="","",IF(BH25&lt;&gt;"",IFERROR(_xlfn.XLOOKUP(BH25,Щиты[Щит],Щиты[Руст, кВт]),0),N(BR25)))</f>
        <v>0.3</v>
      </c>
      <c r="BT25">
        <f>IF(B25="","",IFERROR(IF(VLOOKUP(BC25,Потребители_обозначение,8,FALSE)=0,"",VLOOKUP(BC25,Потребители_обозначение,8,FALSE)),""))</f>
        <v>230</v>
      </c>
      <c r="BU25">
        <f t="shared" si="15"/>
        <v>230</v>
      </c>
      <c r="BV25">
        <f t="shared" si="16"/>
        <v>0</v>
      </c>
      <c r="BW25">
        <f>IF(B25="","",IF(BH25&lt;&gt;"",3,IFERROR(IF(N(VLOOKUP(BC25,Потребители_обозначение,9,FALSE))=0,1,VLOOKUP(BC25,Потребители_обозначение,9,FALSE)),1)))</f>
        <v>1</v>
      </c>
      <c r="BX25">
        <f t="shared" si="17"/>
        <v>1</v>
      </c>
      <c r="BY25" t="str">
        <f>IF(B25="","",_xlfn.LET(_xlpm.bc,IFERROR(IF(VLOOKUP(BC25,Потребители_обозначение,6,FALSE)=0,"",VLOOKUP(BC25,Потребители_обозначение,6,FALSE)&amp;""),""),IF(AND(GA25="да",OR(_xlpm.bc="",_xlpm.bc="мс")),Марка_пож,IF(AND(_xlpm.bc="",BH25&lt;&gt;""),"мс",_xlpm.bc))))</f>
        <v>мс</v>
      </c>
      <c r="BZ25" t="str">
        <f t="shared" si="18"/>
        <v>мс</v>
      </c>
      <c r="CA25">
        <f>IF(B25="","",_xlfn.LET(_xlpm.cc,IFERROR(N(VLOOKUP(BC25,Потребители_обозначение,7,FALSE)),0),IF(_xlpm.cc&gt;0,_xlpm.cc,IF(BZ25="","",IF(BV25=1,2,IF(N(BX25)=3,5,3))))))</f>
        <v>3</v>
      </c>
      <c r="CB25">
        <f t="shared" si="19"/>
        <v>3</v>
      </c>
      <c r="CC25">
        <f>IFERROR(N(VLOOKUP(BC25,Потребители_обозначение,10,FALSE)),0)</f>
        <v>1.5</v>
      </c>
      <c r="CD25">
        <f>IFERROR(VLOOKUP(BC25,Потребители_обозначение,5,FALSE),0)</f>
        <v>1</v>
      </c>
      <c r="CE25" s="6" cm="1">
        <f t="array" ref="CE25">IF(B25="","",IF(BH25&lt;&gt;"",IFERROR(_xlfn.XLOOKUP(BH25,Щиты[Щит],Щиты[cos φ]),0.95),IF(BP25=1,IFERROR(_xlfn.XLOOKUP(A25,Щиты[Щит],Щиты[cos φ]),0.95),IF(ISNUMBER(AD25),AD25,IFERROR(IF(CD25=2,_xlfn.IFS(BX25=3,VLOOKUP(BS25,Справочная_двигатели,8,FALSE),BX25=1,VLOOKUP(BS25,Справочная_двигатели,10,TRUE)),IF(AND(Методика="нормы 2026",FG25="Сил"),0.8,0.95)),0.95)))))</f>
        <v>0.95</v>
      </c>
      <c r="CF25">
        <f t="shared" si="20"/>
        <v>0</v>
      </c>
      <c r="CG25">
        <f t="shared" si="21"/>
        <v>1</v>
      </c>
      <c r="CH25">
        <f t="shared" si="22"/>
        <v>0</v>
      </c>
      <c r="CI25">
        <f>IF(B25="","",IF(BV25=1,IFERROR(BS25/((Uн_лин/SQRT(3))*MAX(0.5,N(CE25))),0),N(O25)))</f>
        <v>1.3674085322912188</v>
      </c>
      <c r="CJ25">
        <f t="shared" si="23"/>
        <v>0</v>
      </c>
      <c r="CK25">
        <f t="shared" si="24"/>
        <v>0</v>
      </c>
      <c r="CL25">
        <f t="shared" si="25"/>
        <v>0</v>
      </c>
      <c r="CM25">
        <f t="shared" si="26"/>
        <v>0</v>
      </c>
      <c r="CN25">
        <f t="shared" si="27"/>
        <v>0</v>
      </c>
      <c r="CO25">
        <f>IF(BC25="",0,_xlfn.LET(_xlpm.v,IFERROR(_xlfn.XLOOKUP(B25,Коды_код,Коды_мА),IFERROR(_xlfn.XLOOKUP(BC25,Коды_код,Коды_мА),IFERROR(_xlfn.XLOOKUP(LEFT(BC25,2),Коды_код,Коды_мА),""))),IF(_xlpm.v="да",30,IF(ISNUMBER(_xlpm.v),_xlpm.v,0))))</f>
        <v>0</v>
      </c>
      <c r="CP25" t="str">
        <f t="shared" si="28"/>
        <v/>
      </c>
      <c r="CQ25" t="str">
        <f>_xlfn.LET(_xlpm.k,IFERROR(_xlfn.XLOOKUP(BC25,Коды_код,Коды_утечка)&amp;"",""),IF(_xlpm.k="","дифавтомат",_xlpm.k))</f>
        <v>дифавтомат</v>
      </c>
      <c r="CR25" t="str" cm="1">
        <f t="array" ref="CR25">IF(CG25=0,"",_xlfn.LET(_xlpm.sg,TRIM(_xlfn.TEXTSPLIT(DD25&amp;"",";")),_xlpm.f_,_xlfn._xlws.FILTER(_xlpm.sg,LEFT(_xlpm.sg,3)="УЗО",""),IFERROR(INDEX(_xlpm.f_,1)&amp;"","")))</f>
        <v/>
      </c>
      <c r="CS25" t="str">
        <f t="shared" si="29"/>
        <v/>
      </c>
      <c r="CT25" s="6" t="str" cm="1">
        <f t="array" ref="CT25">IF(CR25="","",_xlfn.LET(_xlpm.tk,_xlfn.TEXTSPLIT(UPPER(CR25)," ",,TRUE),_xlpm.a_,_xlfn._xlws.FILTER(_xlpm.tk,ISNUMBER(--LEFT(_xlpm.tk,1))*((ISNUMBER(SEARCH("А",_xlpm.tk))+ISNUMBER(SEARCH("A",_xlpm.tk)))&gt;0)*NOT(ISNUMBER(SEARCH("МА",_xlpm.tk)))*NOT(ISNUMBER(SEARCH("MA",_xlpm.tk))),""),IFERROR(--SUBSTITUTE(SUBSTITUTE(INDEX(_xlpm.a_,1),"А",""),"A",""),"")))</f>
        <v/>
      </c>
      <c r="CU25" t="str" cm="1">
        <f t="array" ref="CU25">IF(CR25="","",_xlfn.LET(_xlpm.tk,_xlfn.TEXTSPLIT(UPPER(CR25)," ",,TRUE),_xlpm.a_,_xlfn._xlws.FILTER(_xlpm.tk,ISNUMBER(--LEFT(_xlpm.tk,1))*((ISNUMBER(SEARCH("МА",_xlpm.tk))+ISNUMBER(SEARCH("MA",_xlpm.tk)))&gt;0),""),IFERROR(--SUBSTITUTE(SUBSTITUTE(INDEX(_xlpm.a_,1),"МА",""),"MA",""),30)))</f>
        <v/>
      </c>
      <c r="CV25" t="str">
        <f>IF(CS25="","",IFERROR(_xlfn.XLOOKUP(CS25,Линии[_n],Линии[_УЗО, мА]),30))</f>
        <v/>
      </c>
      <c r="CW25">
        <f>IF(CS25="",0,IF(ISNUMBER(SEARCH("4P",IFERROR(_xlfn.XLOOKUP(CS25,Линии[_n],Линии[_УЗО строки])&amp;"",""))),0,1))</f>
        <v>0</v>
      </c>
      <c r="CX25" t="str">
        <f>IF(AND(CS25&lt;&gt;"",CS25=BA25),SUMIFS(Линии[_ток на 230 В],Линии[_блок УЗО],BA25,Линии[Щит],A25),"")</f>
        <v/>
      </c>
      <c r="CY25" t="str">
        <f>IF(AND(CS25&lt;&gt;"",CS25=BA25),SUMIFS(Линии[_ток утечки линии, мА],Линии[_блок УЗО],BA25,Линии[Щит],A25),"")</f>
        <v/>
      </c>
      <c r="CZ25">
        <f t="shared" si="30"/>
        <v>0</v>
      </c>
      <c r="DA25">
        <f t="shared" si="31"/>
        <v>0</v>
      </c>
      <c r="DB25">
        <f>IF(B25="",0,IFERROR(--_xlfn.XLOOKUP(B25,Коды_код,Коды_минавт),IFERROR(--_xlfn.XLOOKUP(BC25,Коды_код,Коды_минавт),IFERROR(--_xlfn.XLOOKUP(LEFT(BC25,2),Коды_код,Коды_минавт),0))))</f>
        <v>10</v>
      </c>
      <c r="DC25" t="str">
        <f>IF(B25="","",IFERROR(_xlfn.XLOOKUP(BC25,Коды_код,Коды_апп)&amp;"",""))</f>
        <v/>
      </c>
      <c r="DD25" t="str">
        <f t="shared" si="32"/>
        <v/>
      </c>
      <c r="DE25" t="str" cm="1">
        <f t="array" ref="DE25">IF(TRIM(DD25&amp;"")="","",IFERROR(TRIM(INDEX(_xlfn.TEXTSPLIT(DD25&amp;";;;",";"),1)),""))</f>
        <v/>
      </c>
      <c r="DF25" t="str" cm="1">
        <f t="array" ref="DF25">IF(TRIM(DD25&amp;"")="","",IFERROR(TRIM(INDEX(_xlfn.TEXTSPLIT(DD25&amp;";;;",";"),2)),""))</f>
        <v/>
      </c>
      <c r="DG25" t="str" cm="1">
        <f t="array" ref="DG25">IF(TRIM(DD25&amp;"")="","",IFERROR(TRIM(INDEX(_xlfn.TEXTSPLIT(DD25&amp;";;;",";"),3)),""))</f>
        <v/>
      </c>
      <c r="DH25">
        <f t="shared" si="33"/>
        <v>0</v>
      </c>
      <c r="DI25" t="str">
        <f>IF(B25="","",_xlfn.LET(_xlpm.t,LOWER(AZ25&amp;""),IF(ISNUMBER(SEARCH("dim",_xlpm.t)),"DIM",IF(ISNUMBER(SEARCH("dali",_xlpm.t)),"DALI",IF(OR(ISNUMBER(SEARCH("relay",_xlpm.t)),ISNUMBER(SEARCH("реле",_xlpm.t))),"Relay",IF(ISNUMBER(SEARCH("кнопк",_xlpm.t)),"",IFERROR(_xlfn.XLOOKUP(BC25,Коды_код,Коды_упр)&amp;"","")))))))</f>
        <v/>
      </c>
      <c r="DJ25" t="str">
        <f t="shared" si="34"/>
        <v/>
      </c>
      <c r="DK25">
        <f>IF(B25="","",_xlfn.LET(_xlpm.ig,IF(N(CX25)&gt;0,N(CX25),N(CI25)+IF(AJ25="вручную",0,N(CJ25))),_xlpm.n0,IFERROR(VLOOKUP(_xlpm.ig,Автомат_номиналы,2,TRUE),0),_xlpm.mn,MAX(DB25,IF(AJ25="вручную",0,N(CM25))),MAX(_xlpm.n0,_xlpm.mn,IF(DH25=1,Мин_автомат_БП,0))))</f>
        <v>10</v>
      </c>
      <c r="DL25">
        <f t="shared" si="35"/>
        <v>1</v>
      </c>
      <c r="DM25" t="str">
        <f t="shared" si="36"/>
        <v>1P</v>
      </c>
      <c r="DN25" t="str">
        <f>_xlfn.LET(_xlpm.cc,UPPER(TRIM(IFERROR(_xlfn.XLOOKUP(BC25,Коды_код,Коды_хар)&amp;"",""))),IF(OR(_xlpm.cc="B",_xlpm.cc="В"),"B",IF(_xlpm.cc="D","D","С")))</f>
        <v>С</v>
      </c>
      <c r="DO25" t="str">
        <f t="shared" si="37"/>
        <v>1P С10А</v>
      </c>
      <c r="DP25" t="str">
        <f t="shared" si="38"/>
        <v>1P С10А</v>
      </c>
      <c r="DQ25" t="str">
        <f t="shared" si="39"/>
        <v>1P С10А</v>
      </c>
      <c r="DR25" cm="1">
        <f t="array" ref="DR25">IF(DQ25="","",_xlfn.LET(_xlpm.t,SUBSTITUTE(SUBSTITUTE(SUBSTITUTE(UPPER(DQ25),"С","C"),"А","A"),"В","B"),_xlpm.tk,_xlfn.TEXTSPLIT(_xlpm.t," "),_xlpm.f,_xlfn._xlws.FILTER(_xlpm.tk,ISNUMBER(--MID(_xlpm.tk,2,1))*ISNUMBER(SEARCH(LEFT(_xlpm.tk,1)&amp;"#","B#C#D#"))*(LEN(_xlpm.tk)&gt;1),""),_xlpm.x,INDEX(_xlpm.f,1),IFERROR(--SUBSTITUTE(MID(_xlpm.x,2,9),"A",""),IFERROR(--SUBSTITUTE(INDEX(_xlfn._xlws.FILTER(_xlpm.tk,ISNUMBER(--SUBSTITUTE(_xlpm.tk,"A","")),""),1),"A",""),""))))</f>
        <v>10</v>
      </c>
      <c r="DS25" t="str">
        <f t="shared" si="40"/>
        <v>ok</v>
      </c>
      <c r="DT25">
        <f t="shared" si="41"/>
        <v>10</v>
      </c>
      <c r="DU25" t="str">
        <f t="shared" si="42"/>
        <v>1P С10А</v>
      </c>
      <c r="DV25">
        <f t="shared" si="43"/>
        <v>0</v>
      </c>
      <c r="DW25">
        <f t="shared" si="44"/>
        <v>0</v>
      </c>
      <c r="DX25">
        <f t="shared" si="45"/>
        <v>0</v>
      </c>
      <c r="DY25">
        <f t="shared" si="46"/>
        <v>1.3674085322912188</v>
      </c>
      <c r="DZ25">
        <f t="shared" si="47"/>
        <v>1</v>
      </c>
      <c r="EA25">
        <f>IF(ISNUMBER(AP25),AP25,К_прокл)</f>
        <v>1</v>
      </c>
      <c r="EB25">
        <f t="shared" si="48"/>
        <v>2</v>
      </c>
      <c r="EC25">
        <f>IFERROR(N(VLOOKUP(BZ25,Кабель_обозначение,3,FALSE)),1)</f>
        <v>1</v>
      </c>
      <c r="ED25">
        <f>IFERROR(N(_xlfn.XLOOKUP(A25,Щиты[Щит],Щиты[ΔU до шин, %])),0)</f>
        <v>0.4860288498727976</v>
      </c>
      <c r="EE25">
        <f>IFERROR(_xlfn.XLOOKUP(A25,Щиты[Щит],Щиты[Zпетли на шинах, Ом]),"")</f>
        <v>0.67697829354840211</v>
      </c>
      <c r="EF25">
        <f>IFERROR(N(_xlfn.XLOOKUP(A25,Щиты[Щит],Щиты[ΔU до шин (подбор), %])),0)</f>
        <v>0.4860288498727976</v>
      </c>
      <c r="EG25">
        <f>IFERROR(_xlfn.XLOOKUP(A25,Щиты[Щит],Щиты[Zпетли на шинах (подбор), Ом]),"")</f>
        <v>0.67697829354840211</v>
      </c>
      <c r="EH25" t="str">
        <f t="shared" si="49"/>
        <v/>
      </c>
      <c r="EI25">
        <f t="shared" si="50"/>
        <v>20</v>
      </c>
      <c r="EJ25">
        <f t="shared" si="51"/>
        <v>2</v>
      </c>
      <c r="EK25">
        <f t="shared" si="52"/>
        <v>0.31</v>
      </c>
      <c r="EL25" s="6">
        <f>IF(B25="","",IF(BV25=1,dU_LED,IF(IFERROR(_xlfn.XLOOKUP(BC25,Коды_код,Коды_уго),"")="Светильник",3,4)+IF(Методика="нормы 2026",MIN(0.5,MAX(0,N(P25)-100)*0.005),0)))</f>
        <v>3</v>
      </c>
      <c r="EM25" cm="1">
        <f t="array" ref="EM25">IF(OR(B25="",BZ25="",EC25&lt;&gt;1),"",_xlfn.LET(_xlpm.sz,Iдоп_S,_xlpm.t_,CHOOSE(EB25,Iдоп_1ж,Iдоп_2ж,Iдоп_3ж)*DZ25*EA25,_xlpm.dcx,BV25=1,_xlpm.inn,IF(_xlpm.dcx,N(O25),N(DT25)),_xlpm.smin,MAX(1.5,CC25),_xlpm.L_,N(P25)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25)/N(BU25)*100,999),IFERROR(N(EJ25)*(_xlpm.rho*_xlpm.L_/_xlpm.sz*N(CE25)+_xlpm.xx*_xlpm.L_*N(EK25)/1000)*N(O25)/((Uн_лин/SQRT(3))*1000)*100,999)),_xlpm.kz,IF(OR(_xlpm.dcx,DW25=1,NOT(ISNUMBER(EG25)),_xlpm.L_=0,_xlpm.inn=0),1,IFERROR(--(c_min*(Uн_лин*1000/SQRT(3))/(EG25+2*ρкз_Cu*_xlpm.L_/_xlpm.sz)&gt;=HT25*_xlpm.inn),0)),_xlpm.ok,IFERROR((_xlpm.sz&gt;=_xlpm.smin)*(_xlpm.t_&gt;=_xlpm.inn)*IF(_xlpm.L_&gt;0,(_xlpm.du_+IF(_xlpm.dcx,0,EF25)&lt;=EL25+0.00001),1)*_xlpm.kz,0),_xlpm.r_,_xlfn._xlws.FILTER(_xlpm.sz,_xlpm.ok,"не подобрано"),INDEX(_xlpm.r_,1)))</f>
        <v>1.5</v>
      </c>
      <c r="EN25">
        <f t="shared" si="53"/>
        <v>1.5</v>
      </c>
      <c r="EO25" cm="1">
        <f t="array" ref="EO25">IF(OR(B25="",BZ25="",EC25&lt;&gt;1),"",_xlfn.LET(_xlpm.sz,Iдоп_S,_xlpm.t_,CHOOSE(EB25,Iдоп_1ж,Iдоп_2ж,Iдоп_3ж)*DZ25*EA25,_xlpm.ok,IFERROR((_xlpm.sz&gt;=MAX(1.5,CC25))*(_xlpm.t_&gt;=N(DT25)),0),_xlpm.r_,_xlfn._xlws.FILTER(_xlpm.sz,_xlpm.ok,""),INDEX(_xlpm.r_,1)))</f>
        <v>1.5</v>
      </c>
      <c r="EP25" s="6" cm="1">
        <f t="array" ref="EP25">IFERROR(ROUNDUP(N(EJ25)*(_xlfn.XLOOKUP(EO25,INDEX(Кабель_сопротивление,0,1),INDEX(Кабель_сопротивление,0,3))*N(P25)/EO25*N(CE25)+_xlfn.XLOOKUP(EO25,INDEX(Кабель_сопротивление,0,1),INDEX(Кабель_сопротивление,0,2))*N(P25)*N(EK25)/1000)*N(O25)/((Uн_лин/SQRT(3))*1000)*100,2),"")</f>
        <v>0.36</v>
      </c>
      <c r="EQ25">
        <f>IFERROR(2*ρкз_Cu*N(P25)/EO25,"")</f>
        <v>0.73640000000000005</v>
      </c>
      <c r="ER25">
        <f>IFERROR(VLOOKUP(EN25,Кабель_сопротивление,3,FALSE),"")</f>
        <v>2.2499999999999999E-2</v>
      </c>
      <c r="ES25">
        <f>IFERROR(VLOOKUP(EN25,Кабель_сопротивление,2,FALSE),"")</f>
        <v>0.11</v>
      </c>
      <c r="ET25" t="str">
        <f t="shared" si="54"/>
        <v/>
      </c>
      <c r="EU25" t="str">
        <f t="shared" si="55"/>
        <v/>
      </c>
      <c r="EV25">
        <f t="shared" si="56"/>
        <v>0.82035240907624185</v>
      </c>
      <c r="EW25" s="6">
        <f>IFERROR(ROUNDUP(EV25/IF(BV25=1,BU25,(Uн_лин/SQRT(3))*1000)*100,2),"")</f>
        <v>0.36</v>
      </c>
      <c r="EX25" t="str">
        <f>IFERROR(VLOOKUP(BZ25,Кабель_обозначение,2,FALSE),"")</f>
        <v>ВВГнг(А)-LS</v>
      </c>
      <c r="EY25" t="str">
        <f t="shared" si="57"/>
        <v>ВВГнг(А)-LS (3х1,5)</v>
      </c>
      <c r="EZ25" t="str">
        <f t="shared" si="58"/>
        <v>ВВГнг(А)-LS (3х1,5)
L=21-0,36%</v>
      </c>
      <c r="FA25">
        <f>IFERROR(2*ρкз_Cu*P25/EN25,"")</f>
        <v>0.73640000000000005</v>
      </c>
      <c r="FB25">
        <f t="shared" si="59"/>
        <v>0.24500000000000002</v>
      </c>
      <c r="FC25" s="6">
        <f>IFERROR(IF(OR(B25="",BV25=1,NOT(ISNUMBER(EN25)),N(P25)=0),"",_xlfn.XLOOKUP(A25,Щиты[Щит],Щиты[Zпетли на шинах, Ом])+FA25),"")</f>
        <v>1.4133782935484023</v>
      </c>
      <c r="FD25" s="6">
        <f>IF(ISNUMBER(FC25),c_min*(Uн_лин*1000/SQRT(3))/FC25,"")</f>
        <v>155.22603063420013</v>
      </c>
      <c r="FE25" s="6">
        <f>IFERROR(IF(OR(B25="",NOT(ISNUMBER(EN25))),"",1.05*(Uн_лин*1000/SQRT(3))/(_xlfn.XLOOKUP(A25,Щиты[Щит],Щиты[Zmax на шинах, Ом])+FB25)/1000),"")</f>
        <v>0.5255879630139334</v>
      </c>
      <c r="FF25" s="6" t="str">
        <f>IF(B25="","",IF(ISNUMBER(AC25),"Сил",IF(IFERROR(_xlfn.XLOOKUP(BC25,Коды_код,Коды_группа)&amp;"","")="","Быт",_xlfn.XLOOKUP(BC25,Коды_код,Коды_группа)&amp;"")))</f>
        <v>Быт</v>
      </c>
      <c r="FG25" s="6" t="str">
        <f t="shared" si="60"/>
        <v>Быт</v>
      </c>
      <c r="FH25" s="6">
        <f>IF(FG25="Щит","щит",IF(FG25="","",IF(FG25="Быт",IFERROR(_xlfn.XLOOKUP(A25,Щиты[Щит],Щиты[Кс быт]),1),IF(FG25="Сил",IF(ISNUMBER(AC25),AC25,IF(Методика="нормы 2026",IFERROR(_xlfn.XLOOKUP(A25,Щиты[Щит],Щиты[Кс силовых (табл. 7.5)]),1),1)),IF(OR(FG25="Пост",FG25="Отоп"),1,IF(FG25="ВНГ",0.7,0))))))</f>
        <v>0.8</v>
      </c>
      <c r="FI25">
        <f>IF(FG25="","",IF(AND(BP25=1,TRIM(AE25&amp;"")=""),IF(COUNTIFS(Линии[Щит],A25,Линии[Секция (1/2/3)],"&gt;=2")&gt;0,MIN(3,MAX(1,IFERROR(--BD25,1))),1),IFERROR(MIN(3,MAX(1,INT(--AE25))),1)))</f>
        <v>1</v>
      </c>
      <c r="FJ25">
        <f t="shared" si="61"/>
        <v>0.3</v>
      </c>
      <c r="FK25">
        <f t="shared" si="62"/>
        <v>0.3</v>
      </c>
      <c r="FL25">
        <f t="shared" si="63"/>
        <v>0</v>
      </c>
      <c r="FM25">
        <f t="shared" si="64"/>
        <v>0</v>
      </c>
      <c r="FN25">
        <f t="shared" si="65"/>
        <v>0</v>
      </c>
      <c r="FO25">
        <f t="shared" si="66"/>
        <v>0</v>
      </c>
      <c r="FP25">
        <f t="shared" si="67"/>
        <v>0.3</v>
      </c>
      <c r="FQ25">
        <f t="shared" si="68"/>
        <v>0.3</v>
      </c>
      <c r="FR25">
        <f t="shared" si="69"/>
        <v>0.28499999999999998</v>
      </c>
      <c r="FS25">
        <f>IF(CG25=1,IF(AND(CH25=1,CW25=1),0,IF(AND(CS25&lt;&gt;"",CS25=BA25,CW25=1),SUMIFS(Линии[_Р линии, кВт],Линии[_блок УЗО],BA25,Линии[Щит],A25),N(BS25)+IF(AJ25="вручную",0,N(CK25)))),0)</f>
        <v>0.3</v>
      </c>
      <c r="FT25" t="str">
        <f t="shared" si="70"/>
        <v/>
      </c>
      <c r="FU25" t="str">
        <f>IF(B25="","",IF(CG25=0,IF(BA25=1,"",FW24),IF(AND(CH25=1,CW25=1,CS25&lt;&gt;""),IFERROR(_xlfn.XLOOKUP(CS25,Линии[_n],Линии[_фаза итог]),"L1"),IF(OR(N(DL25)&gt;=3,N(BX25)&gt;=3),"L1,L2,L3",IFERROR(_xlfn.TEXTBEFORE(_xlfn.TEXTAFTER(_xlfn.XLOOKUP(A25,Щиты[Щит],Щиты[_фазы авто]),";"&amp;BA25&amp;":"),";"),"L1")))))</f>
        <v>L1</v>
      </c>
      <c r="FV25" t="str">
        <f t="shared" si="71"/>
        <v>L1</v>
      </c>
      <c r="FW25" t="str">
        <f t="shared" si="72"/>
        <v>L1</v>
      </c>
      <c r="FX25" cm="1">
        <f t="array" ref="FX25">IFERROR(IF(CD25=2,_xlfn.IFS(BX25=3,VLOOKUP(BS25,Справочная_двигатели,3,FALSE),BX25=1,VLOOKUP(BS25,Справочная_двигатели,5,TRUE)),0),0)</f>
        <v>0</v>
      </c>
      <c r="FY25">
        <f>IFERROR(IF(CD25=3,VLOOKUP(BS25,Справочная_ЛЭД,2,TRUE),0),0)</f>
        <v>0</v>
      </c>
      <c r="FZ25" s="6">
        <f t="shared" si="73"/>
        <v>0</v>
      </c>
      <c r="GA25" t="str">
        <f>IF(B25="","",IF(TRIM(AH25&amp;"")&lt;&gt;"",IF(LOWER(TRIM(AH25&amp;""))="да","да","нет"),IF(IFERROR(_xlfn.XLOOKUP(BC25,Коды_код,Коды_пожарная),"")="да","да","нет")))</f>
        <v>нет</v>
      </c>
      <c r="GB25" t="str">
        <f t="shared" si="74"/>
        <v>ИБП</v>
      </c>
      <c r="GC25" t="str">
        <f t="shared" si="75"/>
        <v>ИБП</v>
      </c>
      <c r="GD25">
        <f>IF(AND(BP25=1,TRIM(AE25&amp;"")=""),IF(COUNTIFS(Линии[Щит],A25,Линии[Секция (1/2/3)],"&gt;=2")&gt;0,MIN(3,MAX(1,IFERROR(--BD25,1))),1),IFERROR(MIN(3,MAX(1,INT(--AE25))),1))</f>
        <v>1</v>
      </c>
      <c r="GE25" t="str" cm="1">
        <f t="array" ref="GE25">IF(B25="","",_xlfn.LET(_xlpm.t,IFERROR(_xlfn.XLOOKUP(1,(Шины[Шина]=GC25)*(((Шины[Щит]=A25)+(Шины[Щит]=""))&gt;0),Шины[Тип]),"")&amp;"",IF(_xlpm.t&lt;&gt;"",_xlpm.t,IF(ISNUMBER(SEARCH("ИБП",GC25)),"ИБП",IF(ISNUMBER(SEARCH("ДГУ",GC25)),"ДГУ","Ввод "&amp;GD25)))))</f>
        <v>ИБП</v>
      </c>
      <c r="GF25" t="str">
        <f t="shared" si="76"/>
        <v>ИБП</v>
      </c>
      <c r="GG25" t="str">
        <f>IF(BP25=0,"",IF(TRIM(AG25&amp;"")&lt;&gt;"",TRIM(AG25&amp;""),IF(OR(GE25="ИБП",GE25="ДГУ"),"I особая",_xlfn.XLOOKUP(A25,Щиты[Щит],Щиты[Категория шины «Ввод»],"III"))))</f>
        <v/>
      </c>
      <c r="GH25" t="str">
        <f>IF(A25="","",_xlfn.XLOOKUP(A25,Щиты[Щит],Щиты[Путь],""))</f>
        <v>|ВРУ|ЩГП|</v>
      </c>
      <c r="GI25" t="str">
        <f>IF(B25="","",IF(AI25&lt;&gt;"",AI25,IF(IFERROR(_xlfn.XLOOKUP(BC25,Коды_код,Коды_вид)&amp;"","")="","Прочее",_xlfn.XLOOKUP(BC25,Коды_код,Коды_вид)&amp;"")))</f>
        <v>Рабочее освещение</v>
      </c>
      <c r="GJ25">
        <f>IF(BM25="","",INT((BM25-1)/Столбцов_на_лист)+1)</f>
        <v>1</v>
      </c>
      <c r="GK25" t="str">
        <f t="shared" si="77"/>
        <v>ВВГнг(А)-LS (3х1,5) L=21-0,36%</v>
      </c>
      <c r="GL25">
        <f t="shared" si="78"/>
        <v>0.3</v>
      </c>
      <c r="GM25">
        <f t="shared" si="79"/>
        <v>1.37</v>
      </c>
      <c r="GN25">
        <f t="shared" si="80"/>
        <v>1</v>
      </c>
      <c r="GO25">
        <f t="shared" si="81"/>
        <v>0</v>
      </c>
      <c r="GP25">
        <f t="shared" si="82"/>
        <v>1</v>
      </c>
      <c r="GQ25">
        <f>IF(BM25="","",IF(AND(CG25=1,GP25=1),COUNTIFS(A$3:A25,A25,CG$3:CG25,1,GP$3:GP25,1),IF(OR(OR(BA25=1,A25&lt;&gt;A24),AJ25="вручную",GP25=0),"",IF(BA25=1,"",GR24))))</f>
        <v>2</v>
      </c>
      <c r="GR25">
        <f t="shared" si="83"/>
        <v>2</v>
      </c>
      <c r="GS25">
        <f>IF(B25="","",IFERROR(LOOKUP(INDEX(CHOOSE(EB25,Iдоп_1ж,Iдоп_2ж,Iдоп_3ж),MATCH(EN25,Iдоп_S,0))*DZ25*EA25,{6,10,16,20,25,32,40,50,63,80,100,125,160,200,250,315,400,500,630}),""))</f>
        <v>16</v>
      </c>
      <c r="GT25" t="str">
        <f t="shared" si="84"/>
        <v>QF2</v>
      </c>
      <c r="GU25" t="str">
        <f t="shared" si="85"/>
        <v>QF2</v>
      </c>
      <c r="GV25" t="str">
        <f t="shared" si="86"/>
        <v/>
      </c>
      <c r="GW25">
        <f t="shared" si="87"/>
        <v>0</v>
      </c>
      <c r="GX25" t="str">
        <f>IF(OR(B25="",DJ25=""),"",IFERROR(_xlfn.XLOOKUP(DJ25,Модули_умолч[Управление],Модули_умолч[Модель])&amp;"",""))</f>
        <v/>
      </c>
      <c r="GY25">
        <f>IF(DJ25="",1,IFERROR(MAX(0,N(_xlfn.XLOOKUP(DJ25,Модули_умолч[Управление],Модули_умолч[Каналов на линию]))),1))</f>
        <v>1</v>
      </c>
      <c r="GZ25" t="str">
        <f t="shared" si="88"/>
        <v/>
      </c>
      <c r="HA25" t="str">
        <f t="shared" si="89"/>
        <v/>
      </c>
      <c r="HB25" t="str">
        <f t="shared" si="90"/>
        <v/>
      </c>
      <c r="HC25">
        <f>IF(HB25="",0,IFERROR(N(VLOOKUP(HB25,Модули_спр,3,FALSE)),0))</f>
        <v>0</v>
      </c>
      <c r="HD25" t="str">
        <f t="shared" si="91"/>
        <v/>
      </c>
      <c r="HE25" t="str">
        <f t="shared" si="92"/>
        <v/>
      </c>
      <c r="HF25" t="str">
        <f>IF(OR(HE25="",HE25="-"),"",IFERROR(VLOOKUP(HE25,Модули_спр,2,FALSE),"R"))</f>
        <v/>
      </c>
      <c r="HG25" t="str">
        <f>IF(HF25="","",HF25&amp;"."&amp;COUNTIFS(A$3:A25,A25,HF$3:HF25,HF25))</f>
        <v/>
      </c>
      <c r="HH25" t="str">
        <f t="shared" si="93"/>
        <v/>
      </c>
      <c r="HI25" t="str">
        <f t="shared" si="94"/>
        <v/>
      </c>
      <c r="HJ25" t="str">
        <f t="shared" si="95"/>
        <v/>
      </c>
      <c r="HK25" t="str">
        <f t="shared" si="96"/>
        <v/>
      </c>
      <c r="HL25">
        <f t="shared" si="97"/>
        <v>1</v>
      </c>
      <c r="HM25" t="str">
        <f>IF(HL25=1,"XT"&amp;COUNTIFS(A$3:A25,A25,HL$3:HL25,1),"")</f>
        <v>XT2</v>
      </c>
      <c r="HN25" t="str">
        <f t="shared" si="98"/>
        <v>XT2</v>
      </c>
      <c r="HO25" t="str">
        <f t="shared" si="99"/>
        <v>QF2</v>
      </c>
      <c r="HP25" t="str">
        <f t="shared" si="100"/>
        <v/>
      </c>
      <c r="HQ25" t="str">
        <f t="shared" si="101"/>
        <v>ok</v>
      </c>
      <c r="HR25" t="str">
        <f>IF(OR(HJ25="",HH25=""),"",IF(HJ25+MAX(0,GY25-1)&gt;IFERROR(VLOOKUP(HI25,Модули_спр,3,FALSE),99),"ЛИШНИЙ КАНАЛ",IF(AND(AL25&lt;&gt;"=",GY25&gt;0,COUNTIFS(Линии[_модуль гр.],HH25,Линии[Канал (итог)],HJ25,Линии[Канал],"&lt;&gt;=",Линии[Щит],A25)&gt;1),"ДУБЛЬ КАНАЛА","")))</f>
        <v/>
      </c>
      <c r="HS25" s="6">
        <f t="shared" si="102"/>
        <v>15.522603063420013</v>
      </c>
      <c r="HT25">
        <f t="shared" si="103"/>
        <v>10</v>
      </c>
      <c r="HU25" t="str">
        <f t="shared" si="104"/>
        <v>ok</v>
      </c>
      <c r="HV25">
        <f t="shared" si="105"/>
        <v>0.7569634129164875</v>
      </c>
      <c r="HW25">
        <f t="shared" si="106"/>
        <v>0</v>
      </c>
      <c r="HX25">
        <f t="shared" si="107"/>
        <v>0</v>
      </c>
      <c r="HY25">
        <f t="shared" si="108"/>
        <v>0</v>
      </c>
      <c r="HZ25">
        <f t="shared" si="109"/>
        <v>0</v>
      </c>
      <c r="IA25">
        <f t="shared" si="110"/>
        <v>0</v>
      </c>
      <c r="IB25">
        <f t="shared" si="111"/>
        <v>0</v>
      </c>
      <c r="IC25" t="str">
        <f t="shared" si="112"/>
        <v/>
      </c>
      <c r="ID25" t="str" cm="1">
        <f t="array" ref="ID25">IF(IC25="","",_xlfn.LET(_xlpm.tk,_xlfn.TEXTSPLIT(SUBSTITUTE(SUBSTITUTE(IC25,";"," "),"→"," ")," ",,TRUE),_xlpm.w_,_xlfn._xlws.FILTER(_xlpm.tk,ISNUMBER(--LEFT(_xlpm.tk,1))*((ISNUMBER(SEARCH("W",_xlpm.tk))+ISNUMBER(SEARCH("Вт",_xlpm.tk)))&gt;0),""),IFERROR(--SUBSTITUTE(SUBSTITUTE(UPPER(INDEX(_xlpm.w_,1)),"W",""),"ВТ",""),"")))</f>
        <v/>
      </c>
      <c r="IE25" t="str" cm="1">
        <f t="array" ref="IE25">IF(IC25="","",_xlfn.LET(_xlpm.tk,_xlfn.TEXTSPLIT(SUBSTITUTE(SUBSTITUTE(IC25,";"," "),"→"," ")," ",,TRUE),_xlpm.v_,_xlfn._xlws.FILTER(_xlpm.tk,ISNUMBER(--LEFT(_xlpm.tk,1))*((ISNUMBER(SEARCH("V",_xlpm.tk))+(RIGHT(UPPER(_xlpm.tk))="В"))&gt;0),""),IFERROR(--SUBSTITUTE(SUBSTITUTE(UPPER(INDEX(_xlpm.v_,1)),"V",""),"В",""),"")))</f>
        <v/>
      </c>
      <c r="IF25" s="6" t="str">
        <f>IF(OR(BV25=0,HI25="",HJ25=""),"",IFERROR(N(_xlfn.XLOOKUP(HI25,Каталог!$C$4:$C$500,Каталог!$Q$4:$Q$500)),""))</f>
        <v/>
      </c>
      <c r="IG25" s="6" t="str">
        <f>IF(N(IF25)=0,"",SUMIFS(Линии[Iр, А],Линии[Щит],A25,Линии[_модуль гр.],HH25,Линии[Канал (итог)],HJ25))</f>
        <v/>
      </c>
      <c r="IH25" t="str">
        <f>IF(AND(B25="",HO25=""),"",_xlfn.TEXTJOIN("; ",TRUE,IF(AND(B25&lt;&gt;"",FV25=""),"нет фазы",""),IF(AND(B25&lt;&gt;"",N(GL25)=0,FG25&lt;&gt;"Нет"),"нет мощности",""),IF(AND(HN25&lt;&gt;"",COUNTIFS(Линии[Щит],A25,Линии[Клемма (итог)],HN25)&gt;1),"дубль клеммы "&amp;HN25,""),IF(AND(HQ25&lt;&gt;"",HQ25&lt;&gt;"ok"),HQ25,""),IF(HR25&lt;&gt;"",HR25,""),IF(AND(N(CB25)&gt;=4,N(BX25)=1),CB25&amp;" жил на 1 фазе",""),IF(AND(BC25="R",CG25=1,IF(CS25&lt;&gt;"",N(CV25)&gt;30,OR(N(DA25)=0,N(DA25)&gt;30))),"розетка без дифзащиты до 30 мА",""),IF(AND(CG25=1,N(DA25)&gt;0,ISNUMBER(T25)),IF(T25&gt;N(DA25)/3,"ток утечки "&amp;FIXED(T25,1)&amp;" мА &gt; 1/3 уставки ("&amp;DA25&amp;" мА)",""),""),IF(AND(CH25=1,CS25=""),"«узо»: нет строки с УЗО выше (УЗО 2P 40А 30мА в «Аппаратах»)",""),IF(AND(CS25&lt;&gt;"",CS25=BA25),IF(CT25="","впишите номинал УЗО (УЗО 2P 40А 30мА)",IF(N(CT25)&lt;N(DT25),"УЗО "&amp;CT25&amp;" А &lt; автомата "&amp;DT25&amp;" А перед ним",IF(N(CT25)&lt;N(CX25),"УЗО "&amp;CT25&amp;" А &lt; тока блока "&amp;FIXED(CX25,1)&amp;" А",""))),""),IF(AND(CS25&lt;&gt;"",CS25=BA25,ISNUMBER(CY25)),IF(CY25&gt;N(CV25)/3,"ток утечки блока УЗО "&amp;FIXED(CY25,1)&amp;" мА &gt; 1/3 уставки ("&amp;CV25&amp;" мА)",""),""),IF(AND(CG25=1,N(BV25)+N(IB25)&gt;0,IC25=""),"линии до 50 В без БП: впишите в «Аппараты» (БП 24V 480W)",""),IF(AND(CG25=1,ISNUMBER(ID25),ISNUMBER(U25)),IF(U25&gt;ID25,"БП "&amp;ID25&amp;" Вт &lt; нужно "&amp;U25&amp;" Вт (×"&amp;Запас_БП&amp;")",""),""),IF(AND(CG25=1,ISNUMBER(IE25),N(BV25)=1),IF(IE25&lt;&gt;N(BU25),"БП на "&amp;IE25&amp;" В, линия "&amp;BU25&amp;" В",""),""),IF(AND(N(IF25)&gt;0,N(IG25)&gt;N(IF25)),HH25&amp;" канал "&amp;HJ25&amp;": "&amp;FIXED(IG25,1)&amp;" А &gt; "&amp;IF25&amp;" А",""),IFERROR(IF(AND(ISNUMBER(Q25),Q25&gt;EL25),"потери "&amp;FIXED(Q25,1)&amp;" % &gt; "&amp;EL25&amp;" %",""),""),IFERROR(IF(LEFT(HU25,4)="мало","Iкз мало — отключение &gt; 0,4 с",""),""),IF(AND(B25&lt;&gt;"",BM25=""),"не на схеме",""),IF(AND(CG25=0,B25&lt;&gt;"",FV25&lt;&gt;"",IF(BA25=1,"",FW24)&lt;&gt;"",FV25&lt;&gt;IF(BA25=1,"",FW24)),"фаза не как у автомата группы ("&amp;IF(BA25=1,"",FW24)&amp;")","")))</f>
        <v/>
      </c>
      <c r="II25" s="6">
        <f>IF(OR(CG25=0,DQ25=""),"",_xlfn.LET(_xlpm.t,IFERROR(_xlfn.XLOOKUP(DQ25,Каталог!$U$4:$U$500,Каталог!$G$4:$G$500),""),_xlpm.k,SEARCH("кА",_xlpm.t),IFERROR(--TRIM(RIGHT(SUBSTITUTE(MID(_xlpm.t,MAX(1,_xlpm.k-4),_xlpm.k-MAX(1,_xlpm.k-4))," ",REPT(" ",9)),5)),"")))</f>
        <v>6</v>
      </c>
      <c r="IJ25" t="str">
        <f>IF(OR(II25="",CG25=0),"",IF(_xlfn.XLOOKUP(A25,Щиты[Щит],Щиты[Iкз max на шинах, кА],"")="","",IF(II25&lt;_xlfn.XLOOKUP(A25,Щиты[Щит],Щиты[Iкз max на шинах, кА]),"Icu "&amp;II25&amp;" кА &lt; Iкз max","ok")))</f>
        <v>ok</v>
      </c>
      <c r="IK25" t="str">
        <f t="shared" si="113"/>
        <v/>
      </c>
      <c r="IL25" t="str">
        <f t="shared" si="114"/>
        <v>QF2|XT2</v>
      </c>
      <c r="IM25" t="str">
        <f t="shared" si="115"/>
        <v>QF2|XT2|кабель ВВГнг(А)-LS (3х1,5) → Аварийное освещение (шина ИБП)</v>
      </c>
      <c r="IN25" t="str" cm="1">
        <f t="array" ref="IN25">IF(IM25="","",_xlfn.LET(_xlpm.nd,_xlfn.TEXTSPLIT(IM25,"|"),IF(COLUMNS(_xlpm.nd)&gt;1,A25&amp;"¦"&amp;INDEX(_xlpm.nd,1)&amp;"¦"&amp;INDEX(_xlpm.nd,2),"")))</f>
        <v>ЩГП¦QF2¦XT2</v>
      </c>
      <c r="IO25" t="str">
        <f t="shared" si="116"/>
        <v>L.0.02.1¦Аварийное освещение (шина ИБП)</v>
      </c>
      <c r="IP25" t="str" cm="1">
        <f t="array" ref="IP25">IF(IM25="","",_xlfn.LET(_xlpm.nd,_xlfn.TEXTSPLIT(IM25,"|"),IF(COLUMNS(_xlpm.nd)&gt;2,A25&amp;"¦"&amp;INDEX(_xlpm.nd,2)&amp;"¦"&amp;INDEX(_xlpm.nd,3),"")))</f>
        <v>ЩГП¦XT2¦кабель ВВГнг(А)-LS (3х1,5) → Аварийное освещение (шина ИБП)</v>
      </c>
      <c r="IQ25" t="str">
        <f t="shared" si="117"/>
        <v>L.0.02.1¦Аварийное освещение (шина ИБП)</v>
      </c>
      <c r="IR25" t="str" cm="1">
        <f t="array" ref="IR25">IF(IM25="","",_xlfn.LET(_xlpm.nd,_xlfn.TEXTSPLIT(IM25,"|"),IF(COLUMNS(_xlpm.nd)&gt;3,A25&amp;"¦"&amp;INDEX(_xlpm.nd,3)&amp;"¦"&amp;INDEX(_xlpm.nd,4),"")))</f>
        <v/>
      </c>
      <c r="IS25" t="str">
        <f t="shared" si="118"/>
        <v/>
      </c>
      <c r="IT25" t="str" cm="1">
        <f t="array" ref="IT25">IF(IM25="","",_xlfn.LET(_xlpm.nd,_xlfn.TEXTSPLIT(IM25,"|"),IF(COLUMNS(_xlpm.nd)&gt;4,A25&amp;"¦"&amp;INDEX(_xlpm.nd,4)&amp;"¦"&amp;INDEX(_xlpm.nd,5),"")))</f>
        <v/>
      </c>
      <c r="IU25" t="str">
        <f t="shared" si="119"/>
        <v/>
      </c>
      <c r="IV25" t="str" cm="1">
        <f t="array" ref="IV25">IF(IM25="","",_xlfn.LET(_xlpm.nd,_xlfn.TEXTSPLIT(IM25,"|"),IF(COLUMNS(_xlpm.nd)&gt;5,A25&amp;"¦"&amp;INDEX(_xlpm.nd,5)&amp;"¦"&amp;INDEX(_xlpm.nd,6),"")))</f>
        <v/>
      </c>
      <c r="IW25" t="str">
        <f t="shared" si="120"/>
        <v/>
      </c>
      <c r="IX25" t="str" cm="1">
        <f t="array" ref="IX25">IF(IM25="","",_xlfn.LET(_xlpm.nd,_xlfn.TEXTSPLIT(IM25,"|"),IF(COLUMNS(_xlpm.nd)&gt;6,A25&amp;"¦"&amp;INDEX(_xlpm.nd,6)&amp;"¦"&amp;INDEX(_xlpm.nd,7),"")))</f>
        <v/>
      </c>
      <c r="IY25" t="str">
        <f t="shared" si="121"/>
        <v/>
      </c>
      <c r="IZ25" t="str">
        <f t="shared" si="122"/>
        <v/>
      </c>
      <c r="JA25" t="str">
        <f t="shared" si="123"/>
        <v>QF2 → XT2</v>
      </c>
      <c r="JB25">
        <f t="shared" si="124"/>
        <v>1</v>
      </c>
      <c r="JC25">
        <f t="shared" si="125"/>
        <v>0</v>
      </c>
      <c r="JD25" t="str">
        <f t="shared" si="126"/>
        <v/>
      </c>
      <c r="JE25" t="str">
        <f t="shared" si="127"/>
        <v/>
      </c>
      <c r="JF25" t="str">
        <f t="shared" si="128"/>
        <v/>
      </c>
      <c r="JG25" t="str">
        <f t="shared" si="129"/>
        <v/>
      </c>
      <c r="JH25" t="str">
        <f>IF(B25="","",IFERROR(_xlfn.XLOOKUP(B25,Коды_код,Коды_уго),IFERROR(_xlfn.XLOOKUP(BC25,Коды_код,Коды_уго),IFERROR(_xlfn.XLOOKUP(LEFT(BC25,2),Коды_код,Коды_уго),""))))</f>
        <v>Светильник</v>
      </c>
      <c r="JI25" t="str">
        <f>IF(B25="","",IF(OR(JH25="",JH25=0),"BOX",IFERROR(IF(VLOOKUP(JH25,УГО_блоки,3,FALSE)&amp;""&lt;&gt;"",VLOOKUP(JH25,УГО_блоки,3,FALSE),VLOOKUP(JH25,УГО_блоки,2,FALSE)),JH25)))</f>
        <v>LAMP</v>
      </c>
      <c r="JJ25">
        <f t="shared" si="130"/>
        <v>1</v>
      </c>
      <c r="JK25" t="str">
        <f>IF(DQ25="","",IF(COUNTIF(DQ$3:DQ25,DQ25)=1,MAX(JK$2:JK24)+1,""))</f>
        <v/>
      </c>
      <c r="JL25" t="str">
        <f>IF(DE25="","",IF(COUNTIF(DE$3:DE25,DE25)+COUNTIF(DF$2:DF24,DE25)+COUNTIF(DG$2:DG24,DE25)=1,MAX(JL$2:JN24)+1,""))</f>
        <v/>
      </c>
      <c r="JM25" t="str">
        <f>IF(DF25="","",IF(COUNTIF(DE$3:DE25,DF25)+COUNTIF(DF$3:DF25,DF25)+COUNTIF(DG$2:DG24,DF25)=1,MAX(JL$2:JN24,JL25)+1,""))</f>
        <v/>
      </c>
      <c r="JN25" t="str">
        <f>IF(DG25="","",IF(COUNTIF(DE$3:DE25,DG25)+COUNTIF(DF$3:DF25,DG25)+COUNTIF(DG$3:DG25,DG25)=1,MAX(JL$2:JN24,JL25,JM25)+1,""))</f>
        <v/>
      </c>
      <c r="JO25" t="str">
        <f t="shared" si="131"/>
        <v>3х1,5</v>
      </c>
      <c r="JP25" t="str">
        <f>IF(JO25="","",IF(COUNTIF(JO$3:JO25,JO25)=1,MAX(JP$2:JP24)+1,""))</f>
        <v/>
      </c>
      <c r="JQ25" t="str">
        <f>IF(HG25="","",COUNTIF(HG$3:HG25,"?*"))</f>
        <v/>
      </c>
      <c r="JR25" t="str">
        <f>IF(OR(HG25="",HI25=""),"",IF(COUNTIFS(HG$3:HG25,"?*",HI$3:HI25,HI25)=1,MAX(JR$2:JR24)+1,""))</f>
        <v/>
      </c>
      <c r="JS25">
        <f t="shared" si="132"/>
        <v>0</v>
      </c>
      <c r="JT25">
        <f>IF(B25="","",COUNTIF(B$3:B25,"?*"))</f>
        <v>23</v>
      </c>
      <c r="JU25">
        <f>IF(HL25&lt;&gt;1,0,_xlfn.LET(_xlpm.k,MAX(IFERROR(--_xlfn.XLOOKUP(B25,Коды_код,Коды_3L),0),IFERROR(--_xlfn.XLOOKUP(BC25,Коды_код,Коды_3L),0),IFERROR(--_xlfn.XLOOKUP(LEFT(BC25,2),Коды_код,Коды_3L),0)),IF(_xlpm.k&gt;0,_xlpm.k,IF(IFERROR(--LEFT(SUBSTITUTE(JO25,"x","х"),FIND("х",SUBSTITUTE(JO25,"x","х"))-1),3)&gt;3,Каталог!$S$9,1))))</f>
        <v>1</v>
      </c>
      <c r="JV25">
        <f t="shared" si="133"/>
        <v>0</v>
      </c>
      <c r="JW25" t="str">
        <f t="shared" si="134"/>
        <v>авто</v>
      </c>
      <c r="JX25" t="str">
        <f t="shared" si="135"/>
        <v/>
      </c>
      <c r="JY25">
        <f t="shared" si="136"/>
        <v>0</v>
      </c>
      <c r="JZ25">
        <f t="shared" si="137"/>
        <v>1</v>
      </c>
    </row>
    <row r="26" spans="1:286" x14ac:dyDescent="0.3">
      <c r="A26" t="s">
        <v>947</v>
      </c>
      <c r="B26" t="s">
        <v>1185</v>
      </c>
      <c r="C26" t="str">
        <f>Линии[[#This Row],[_авто наименование]]</f>
        <v>Ввод питающей линии</v>
      </c>
      <c r="E26">
        <f>Линии[[#This Row],[_авто Р]]</f>
        <v>19.22</v>
      </c>
      <c r="G26" t="str">
        <f>Линии[[#This Row],[_авто автомат]]</f>
        <v>3P С40А</v>
      </c>
      <c r="H26" t="str">
        <f>Линии[[#This Row],[_авто управление]]</f>
        <v/>
      </c>
      <c r="I26" t="str">
        <f>Линии[[#This Row],[_авто аппараты]]</f>
        <v/>
      </c>
      <c r="J26">
        <v>10</v>
      </c>
      <c r="K26" t="str">
        <f>Линии[[#This Row],[_авто длина по плану]]</f>
        <v/>
      </c>
      <c r="L26" t="str">
        <f>Линии[[#This Row],[_авто фаза]]</f>
        <v>L1,L2,L3</v>
      </c>
      <c r="M26" t="str">
        <f>Линии[[#This Row],[_авто клемма]]</f>
        <v/>
      </c>
      <c r="N26" t="str">
        <f t="shared" si="0"/>
        <v/>
      </c>
      <c r="O26" s="6" cm="1">
        <f t="array" ref="O26">IF(B26="","",IF(BH26&lt;&gt;"",IFERROR(_xlfn.XLOOKUP(BH26,Щиты[Щит],Щиты[Iр, А]),""),IF(BP26=1,IF(OR(N(_xlfn.XLOOKUP(A26,Щиты[Щит],Щиты[Вводов],1))&lt;=1,LOWER(TRIM(_xlfn.XLOOKUP(A26,Щиты[Щит],Щиты[АВР],"")&amp;""))="да"),IFERROR(_xlfn.XLOOKUP(A26,Щиты[Щит],Щиты[Iр, А]),""),IFERROR(N(BS26)*_xlfn.XLOOKUP(A26,Щиты[Щит],Щиты[Кс итог])/(SQRT(3)*Uн_лин*_xlfn.XLOOKUP(A26,Щиты[Щит],Щиты[cos φ])),"")),IF(BV26=1,IFERROR(BS26*1000/BU26,""),IFERROR(_xlfn.IFS(BX26=1,BS26/((Uн_лин/SQRT(3))*CE26),BX26=3,BS26/(SQRT(3)*Uн_лин*CE26)),"")))))</f>
        <v>29.932612698433285</v>
      </c>
      <c r="P26" s="7" t="str">
        <f>IF(B26="","",IFERROR(IF(VLOOKUP(BC26,Потребители_обозначение,4,FALSE)=1,VLOOKUP(BC26,Потребители_обозначение,3,FALSE)*(MAX(1,N(D26))*2-1)+EI26+VLOOKUP(BE26,Этаж_обозначение,3,FALSE)+VLOOKUP(BE26,Этаж_обозначение,4,FALSE),VLOOKUP(BC26,Потребители_обозначение,3,FALSE)*(MAX(1,N(D26))*2-1)+EI26),EI26))</f>
        <v/>
      </c>
      <c r="Q26" s="6" t="str">
        <f t="shared" si="1"/>
        <v/>
      </c>
      <c r="R26" t="str">
        <f t="shared" si="2"/>
        <v>ВВГнг(А)-LS (5х10)</v>
      </c>
      <c r="S26" t="str">
        <f>IF(BM26="","",IF(BN26="вводной узел","узел ","")&amp;"л."&amp;(INT((BM26-1)/Столбцов_на_лист)+1)&amp;" / "&amp;(MOD(BM26-1,Столбцов_на_лист)+1))</f>
        <v>узел л.1 / 1</v>
      </c>
      <c r="T26" s="119" t="str">
        <f t="shared" si="3"/>
        <v/>
      </c>
      <c r="U26" s="7" t="str">
        <f>IF(OR(CG26=0,N(BV26)+N(IB26)=0),"",ROUNDUP(Запас_БП*(N(HY26)+N(HZ26)),0))</f>
        <v/>
      </c>
      <c r="V26" s="119" t="str">
        <f t="shared" si="4"/>
        <v/>
      </c>
      <c r="W26" s="7" t="str">
        <f>IFERROR(IF(OR(B26="",BP26=1,BV26=1,NOT(ISNUMBER(EN26)),N(DT26)=0),"",MAX(0,ROUNDDOWN((c_min*(Uн_лин*1000/SQRT(3))/(HT26*N(DT26))-_xlfn.XLOOKUP(A26,Щиты[Щит],Щиты[Zпетли на шинах, Ом]))*EN26/(2*ρкз_Cu),0))),"")</f>
        <v/>
      </c>
      <c r="Y26" t="str">
        <f>Линии[[#This Row],[_авто утечка]]</f>
        <v/>
      </c>
      <c r="Z26">
        <v>3</v>
      </c>
      <c r="AA26">
        <v>400</v>
      </c>
      <c r="AB26" t="s">
        <v>556</v>
      </c>
      <c r="AJ26" t="s">
        <v>1186</v>
      </c>
      <c r="AK26" t="str">
        <f>Линии[[#This Row],[_авто модуль]]</f>
        <v/>
      </c>
      <c r="AM26">
        <v>1</v>
      </c>
      <c r="AN26" t="s">
        <v>11</v>
      </c>
      <c r="AO26">
        <v>5</v>
      </c>
      <c r="BA26" cm="1">
        <f t="array" ref="BA26">ROW()-ROW(Линии[#Headers])</f>
        <v>24</v>
      </c>
      <c r="BC26" s="6" t="str">
        <f t="shared" si="5"/>
        <v>Ввод</v>
      </c>
      <c r="BD26" t="str">
        <f t="shared" si="6"/>
        <v>1</v>
      </c>
      <c r="BE26" t="str">
        <f t="shared" si="7"/>
        <v>1</v>
      </c>
      <c r="BF26" t="str">
        <f t="shared" si="8"/>
        <v/>
      </c>
      <c r="BG26" t="str">
        <f t="shared" si="9"/>
        <v/>
      </c>
      <c r="BH26" t="str">
        <f>IF(X26&lt;&gt;"",X26,IF(AND(B26&lt;&gt;"",B26&lt;&gt;A26,ISNUMBER(_xlfn.XMATCH(B26,Щиты[Щит]))),B26,""))</f>
        <v/>
      </c>
      <c r="BI26" t="str" cm="1">
        <f t="array" ref="BI26">IF(B26="","",IF(BH26&lt;&gt;"","Щит "&amp;BH26,_xlfn.LET(_xlpm.nm,IFERROR(_xlfn.XLOOKUP(BC26,Коды_код,Коды_имя)&amp;"",""),_xlpm.md,IFERROR(N(_xlfn.XLOOKUP(BC26,Коды_код,Коды_режим)),1),_xlpm.ex,IF(Имя_режим="по экспликации",IFERROR(_xlfn.XLOOKUP(BE26&amp;"|"&amp;BG26,Экспликация[Этаж]&amp;"|"&amp;Экспликация[Помещение],Экспликация[Название])&amp;"",""),""),_xlpm.rm,IF(BG26="","",IF(_xlpm.ex&lt;&gt;"",". "&amp;_xlpm.ex&amp;IF(Имя_пом="нет"," ("&amp;BG26&amp;")"," (пом. "&amp;BG26&amp;")"),IF(Имя_пом="нет"," ",", пом. ")&amp;BG26)),IF(_xlpm.nm="","",IF(_xlpm.md=2,_xlpm.nm&amp;" шлейф "&amp;BE26,_xlpm.nm&amp;_xlpm.rm)))))</f>
        <v>Ввод питающей линии</v>
      </c>
      <c r="BJ26" t="str">
        <f t="shared" si="10"/>
        <v>Ввод питающей линии</v>
      </c>
      <c r="BK26">
        <f>IFERROR(_xlfn.XMATCH(A26,Щиты[Щит]),0)</f>
        <v>4</v>
      </c>
      <c r="BL26">
        <f>_xlfn.LET(_xlpm.k,IFERROR(_xlfn.XLOOKUP(A26,Щиты[Щит],Щиты[Мест под вводной узел]),""),IF(_xlpm.k="",Столбцов_на_лист,N(_xlpm.k)))</f>
        <v>3</v>
      </c>
      <c r="BM26">
        <f t="shared" si="11"/>
        <v>1</v>
      </c>
      <c r="BN26" t="str">
        <f t="shared" si="12"/>
        <v>вводной узел</v>
      </c>
      <c r="BO26" s="6">
        <f>IFERROR(N(_xlfn.XLOOKUP(BC26,Коды_код,Коды_квт)),0)</f>
        <v>0</v>
      </c>
      <c r="BP26">
        <f t="shared" si="13"/>
        <v>1</v>
      </c>
      <c r="BQ26">
        <f>IF(B26="","",IF(BH26&lt;&gt;"",IFERROR(_xlfn.XLOOKUP(BH26,Щиты[Щит],Щиты[Руст, кВт]),0),IF(BP26=1,IF(OR(N(_xlfn.XLOOKUP(A26,Щиты[Щит],Щиты[Вводов],1))&lt;=1,LOWER(TRIM(_xlfn.XLOOKUP(A26,Щиты[Щит],Щиты[АВР],"")&amp;""))="да"),IFERROR(_xlfn.XLOOKUP(A26,Щиты[Щит],Щиты[Руст, кВт]),0),SUMIFS(Линии[_Р для вводов],Линии[Щит],A26,Линии[Источник для режимов],GF26)),IF(BO26&gt;0,ROUND(BO26*MAX(1,N(D26)),3),""))))</f>
        <v>19.22</v>
      </c>
      <c r="BR26">
        <f t="shared" si="14"/>
        <v>19.22</v>
      </c>
      <c r="BS26" s="6">
        <f>IF(B26="","",IF(BH26&lt;&gt;"",IFERROR(_xlfn.XLOOKUP(BH26,Щиты[Щит],Щиты[Руст, кВт]),0),N(BR26)))</f>
        <v>19.22</v>
      </c>
      <c r="BT26" t="str">
        <f>IF(B26="","",IFERROR(IF(VLOOKUP(BC26,Потребители_обозначение,8,FALSE)=0,"",VLOOKUP(BC26,Потребители_обозначение,8,FALSE)),""))</f>
        <v/>
      </c>
      <c r="BU26">
        <f t="shared" si="15"/>
        <v>400</v>
      </c>
      <c r="BV26">
        <f t="shared" si="16"/>
        <v>0</v>
      </c>
      <c r="BW26">
        <f>IF(B26="","",IF(BH26&lt;&gt;"",3,IFERROR(IF(N(VLOOKUP(BC26,Потребители_обозначение,9,FALSE))=0,1,VLOOKUP(BC26,Потребители_обозначение,9,FALSE)),1)))</f>
        <v>1</v>
      </c>
      <c r="BX26">
        <f t="shared" si="17"/>
        <v>3</v>
      </c>
      <c r="BY26" t="str">
        <f>IF(B26="","",_xlfn.LET(_xlpm.bc,IFERROR(IF(VLOOKUP(BC26,Потребители_обозначение,6,FALSE)=0,"",VLOOKUP(BC26,Потребители_обозначение,6,FALSE)&amp;""),""),IF(AND(GA26="да",OR(_xlpm.bc="",_xlpm.bc="мс")),Марка_пож,IF(AND(_xlpm.bc="",BH26&lt;&gt;""),"мс",_xlpm.bc))))</f>
        <v/>
      </c>
      <c r="BZ26" t="str">
        <f t="shared" si="18"/>
        <v>мс</v>
      </c>
      <c r="CA26">
        <f>IF(B26="","",_xlfn.LET(_xlpm.cc,IFERROR(N(VLOOKUP(BC26,Потребители_обозначение,7,FALSE)),0),IF(_xlpm.cc&gt;0,_xlpm.cc,IF(BZ26="","",IF(BV26=1,2,IF(N(BX26)=3,5,3))))))</f>
        <v>5</v>
      </c>
      <c r="CB26">
        <f t="shared" si="19"/>
        <v>5</v>
      </c>
      <c r="CC26">
        <f>IFERROR(N(VLOOKUP(BC26,Потребители_обозначение,10,FALSE)),0)</f>
        <v>0</v>
      </c>
      <c r="CD26">
        <f>IFERROR(VLOOKUP(BC26,Потребители_обозначение,5,FALSE),0)</f>
        <v>1</v>
      </c>
      <c r="CE26" s="6" cm="1">
        <f t="array" ref="CE26">IF(B26="","",IF(BH26&lt;&gt;"",IFERROR(_xlfn.XLOOKUP(BH26,Щиты[Щит],Щиты[cos φ]),0.95),IF(BP26=1,IFERROR(_xlfn.XLOOKUP(A26,Щиты[Щит],Щиты[cos φ]),0.95),IF(ISNUMBER(AD26),AD26,IFERROR(IF(CD26=2,_xlfn.IFS(BX26=3,VLOOKUP(BS26,Справочная_двигатели,8,FALSE),BX26=1,VLOOKUP(BS26,Справочная_двигатели,10,TRUE)),IF(AND(Методика="нормы 2026",FG26="Сил"),0.8,0.95)),0.95)))))</f>
        <v>0.9265868886576486</v>
      </c>
      <c r="CF26">
        <f t="shared" si="20"/>
        <v>0</v>
      </c>
      <c r="CG26">
        <f t="shared" si="21"/>
        <v>1</v>
      </c>
      <c r="CH26">
        <f t="shared" si="22"/>
        <v>0</v>
      </c>
      <c r="CI26">
        <f>IF(B26="","",IF(BV26=1,IFERROR(BS26/((Uн_лин/SQRT(3))*MAX(0.5,N(CE26))),0),N(O26)))</f>
        <v>29.932612698433285</v>
      </c>
      <c r="CJ26">
        <f t="shared" si="23"/>
        <v>0</v>
      </c>
      <c r="CK26">
        <f t="shared" si="24"/>
        <v>0</v>
      </c>
      <c r="CL26">
        <f t="shared" si="25"/>
        <v>0</v>
      </c>
      <c r="CM26">
        <f t="shared" si="26"/>
        <v>0</v>
      </c>
      <c r="CN26">
        <f t="shared" si="27"/>
        <v>0</v>
      </c>
      <c r="CO26">
        <f>IF(BC26="",0,_xlfn.LET(_xlpm.v,IFERROR(_xlfn.XLOOKUP(B26,Коды_код,Коды_мА),IFERROR(_xlfn.XLOOKUP(BC26,Коды_код,Коды_мА),IFERROR(_xlfn.XLOOKUP(LEFT(BC26,2),Коды_код,Коды_мА),""))),IF(_xlpm.v="да",30,IF(ISNUMBER(_xlpm.v),_xlpm.v,0))))</f>
        <v>0</v>
      </c>
      <c r="CP26" t="str">
        <f t="shared" si="28"/>
        <v/>
      </c>
      <c r="CQ26" t="str">
        <f>_xlfn.LET(_xlpm.k,IFERROR(_xlfn.XLOOKUP(BC26,Коды_код,Коды_утечка)&amp;"",""),IF(_xlpm.k="","дифавтомат",_xlpm.k))</f>
        <v>дифавтомат</v>
      </c>
      <c r="CR26" t="str" cm="1">
        <f t="array" ref="CR26">IF(CG26=0,"",_xlfn.LET(_xlpm.sg,TRIM(_xlfn.TEXTSPLIT(DD26&amp;"",";")),_xlpm.f_,_xlfn._xlws.FILTER(_xlpm.sg,LEFT(_xlpm.sg,3)="УЗО",""),IFERROR(INDEX(_xlpm.f_,1)&amp;"","")))</f>
        <v/>
      </c>
      <c r="CS26" t="str">
        <f t="shared" si="29"/>
        <v/>
      </c>
      <c r="CT26" s="6" t="str" cm="1">
        <f t="array" ref="CT26">IF(CR26="","",_xlfn.LET(_xlpm.tk,_xlfn.TEXTSPLIT(UPPER(CR26)," ",,TRUE),_xlpm.a_,_xlfn._xlws.FILTER(_xlpm.tk,ISNUMBER(--LEFT(_xlpm.tk,1))*((ISNUMBER(SEARCH("А",_xlpm.tk))+ISNUMBER(SEARCH("A",_xlpm.tk)))&gt;0)*NOT(ISNUMBER(SEARCH("МА",_xlpm.tk)))*NOT(ISNUMBER(SEARCH("MA",_xlpm.tk))),""),IFERROR(--SUBSTITUTE(SUBSTITUTE(INDEX(_xlpm.a_,1),"А",""),"A",""),"")))</f>
        <v/>
      </c>
      <c r="CU26" t="str" cm="1">
        <f t="array" ref="CU26">IF(CR26="","",_xlfn.LET(_xlpm.tk,_xlfn.TEXTSPLIT(UPPER(CR26)," ",,TRUE),_xlpm.a_,_xlfn._xlws.FILTER(_xlpm.tk,ISNUMBER(--LEFT(_xlpm.tk,1))*((ISNUMBER(SEARCH("МА",_xlpm.tk))+ISNUMBER(SEARCH("MA",_xlpm.tk)))&gt;0),""),IFERROR(--SUBSTITUTE(SUBSTITUTE(INDEX(_xlpm.a_,1),"МА",""),"MA",""),30)))</f>
        <v/>
      </c>
      <c r="CV26" t="str">
        <f>IF(CS26="","",IFERROR(_xlfn.XLOOKUP(CS26,Линии[_n],Линии[_УЗО, мА]),30))</f>
        <v/>
      </c>
      <c r="CW26">
        <f>IF(CS26="",0,IF(ISNUMBER(SEARCH("4P",IFERROR(_xlfn.XLOOKUP(CS26,Линии[_n],Линии[_УЗО строки])&amp;"",""))),0,1))</f>
        <v>0</v>
      </c>
      <c r="CX26" t="str">
        <f>IF(AND(CS26&lt;&gt;"",CS26=BA26),SUMIFS(Линии[_ток на 230 В],Линии[_блок УЗО],BA26,Линии[Щит],A26),"")</f>
        <v/>
      </c>
      <c r="CY26" t="str">
        <f>IF(AND(CS26&lt;&gt;"",CS26=BA26),SUMIFS(Линии[_ток утечки линии, мА],Линии[_блок УЗО],BA26,Линии[Щит],A26),"")</f>
        <v/>
      </c>
      <c r="CZ26">
        <f t="shared" si="30"/>
        <v>0</v>
      </c>
      <c r="DA26">
        <f t="shared" si="31"/>
        <v>0</v>
      </c>
      <c r="DB26">
        <f>IF(B26="",0,IFERROR(--_xlfn.XLOOKUP(B26,Коды_код,Коды_минавт),IFERROR(--_xlfn.XLOOKUP(BC26,Коды_код,Коды_минавт),IFERROR(--_xlfn.XLOOKUP(LEFT(BC26,2),Коды_код,Коды_минавт),0))))</f>
        <v>0</v>
      </c>
      <c r="DC26" t="str">
        <f>IF(B26="","",IFERROR(_xlfn.XLOOKUP(BC26,Коды_код,Коды_апп)&amp;"",""))</f>
        <v/>
      </c>
      <c r="DD26" t="str">
        <f t="shared" si="32"/>
        <v/>
      </c>
      <c r="DE26" t="str" cm="1">
        <f t="array" ref="DE26">IF(TRIM(DD26&amp;"")="","",IFERROR(TRIM(INDEX(_xlfn.TEXTSPLIT(DD26&amp;";;;",";"),1)),""))</f>
        <v/>
      </c>
      <c r="DF26" t="str" cm="1">
        <f t="array" ref="DF26">IF(TRIM(DD26&amp;"")="","",IFERROR(TRIM(INDEX(_xlfn.TEXTSPLIT(DD26&amp;";;;",";"),2)),""))</f>
        <v/>
      </c>
      <c r="DG26" t="str" cm="1">
        <f t="array" ref="DG26">IF(TRIM(DD26&amp;"")="","",IFERROR(TRIM(INDEX(_xlfn.TEXTSPLIT(DD26&amp;";;;",";"),3)),""))</f>
        <v/>
      </c>
      <c r="DH26">
        <f t="shared" si="33"/>
        <v>0</v>
      </c>
      <c r="DI26" t="str">
        <f>IF(B26="","",_xlfn.LET(_xlpm.t,LOWER(AZ26&amp;""),IF(ISNUMBER(SEARCH("dim",_xlpm.t)),"DIM",IF(ISNUMBER(SEARCH("dali",_xlpm.t)),"DALI",IF(OR(ISNUMBER(SEARCH("relay",_xlpm.t)),ISNUMBER(SEARCH("реле",_xlpm.t))),"Relay",IF(ISNUMBER(SEARCH("кнопк",_xlpm.t)),"",IFERROR(_xlfn.XLOOKUP(BC26,Коды_код,Коды_упр)&amp;"","")))))))</f>
        <v/>
      </c>
      <c r="DJ26" t="str">
        <f t="shared" si="34"/>
        <v/>
      </c>
      <c r="DK26">
        <f>IF(B26="","",_xlfn.LET(_xlpm.ig,IF(N(CX26)&gt;0,N(CX26),N(CI26)+IF(AJ26="вручную",0,N(CJ26))),_xlpm.n0,IFERROR(VLOOKUP(_xlpm.ig,Автомат_номиналы,2,TRUE),0),_xlpm.mn,MAX(DB26,IF(AJ26="вручную",0,N(CM26))),MAX(_xlpm.n0,_xlpm.mn,IF(DH26=1,Мин_автомат_БП,0))))</f>
        <v>40</v>
      </c>
      <c r="DL26">
        <f t="shared" si="35"/>
        <v>3</v>
      </c>
      <c r="DM26" t="str">
        <f t="shared" si="36"/>
        <v>3P</v>
      </c>
      <c r="DN26" t="str">
        <f>_xlfn.LET(_xlpm.cc,UPPER(TRIM(IFERROR(_xlfn.XLOOKUP(BC26,Коды_код,Коды_хар)&amp;"",""))),IF(OR(_xlpm.cc="B",_xlpm.cc="В"),"B",IF(_xlpm.cc="D","D","С")))</f>
        <v>С</v>
      </c>
      <c r="DO26" t="str">
        <f t="shared" si="37"/>
        <v>3P С40А</v>
      </c>
      <c r="DP26" t="str">
        <f t="shared" si="38"/>
        <v>3P С40А</v>
      </c>
      <c r="DQ26" t="str">
        <f t="shared" si="39"/>
        <v>3P С40А</v>
      </c>
      <c r="DR26" cm="1">
        <f t="array" ref="DR26">IF(DQ26="","",_xlfn.LET(_xlpm.t,SUBSTITUTE(SUBSTITUTE(SUBSTITUTE(UPPER(DQ26),"С","C"),"А","A"),"В","B"),_xlpm.tk,_xlfn.TEXTSPLIT(_xlpm.t," "),_xlpm.f,_xlfn._xlws.FILTER(_xlpm.tk,ISNUMBER(--MID(_xlpm.tk,2,1))*ISNUMBER(SEARCH(LEFT(_xlpm.tk,1)&amp;"#","B#C#D#"))*(LEN(_xlpm.tk)&gt;1),""),_xlpm.x,INDEX(_xlpm.f,1),IFERROR(--SUBSTITUTE(MID(_xlpm.x,2,9),"A",""),IFERROR(--SUBSTITUTE(INDEX(_xlfn._xlws.FILTER(_xlpm.tk,ISNUMBER(--SUBSTITUTE(_xlpm.tk,"A","")),""),1),"A",""),""))))</f>
        <v>40</v>
      </c>
      <c r="DS26" t="str">
        <f t="shared" si="40"/>
        <v>узел</v>
      </c>
      <c r="DT26">
        <f t="shared" si="41"/>
        <v>40</v>
      </c>
      <c r="DU26" t="str">
        <f t="shared" si="42"/>
        <v>3P С40А</v>
      </c>
      <c r="DV26">
        <f t="shared" si="43"/>
        <v>0</v>
      </c>
      <c r="DW26">
        <f t="shared" si="44"/>
        <v>0</v>
      </c>
      <c r="DX26">
        <f t="shared" si="45"/>
        <v>0</v>
      </c>
      <c r="DY26">
        <f t="shared" si="46"/>
        <v>29.932612698433285</v>
      </c>
      <c r="DZ26">
        <f t="shared" si="47"/>
        <v>0.92</v>
      </c>
      <c r="EA26">
        <f>IF(ISNUMBER(AP26),AP26,К_прокл)</f>
        <v>1</v>
      </c>
      <c r="EB26">
        <f t="shared" si="48"/>
        <v>3</v>
      </c>
      <c r="EC26">
        <f>IFERROR(N(VLOOKUP(BZ26,Кабель_обозначение,3,FALSE)),1)</f>
        <v>1</v>
      </c>
      <c r="ED26">
        <f>IFERROR(N(_xlfn.XLOOKUP(A26,Щиты[Щит],Щиты[ΔU до шин, %])),0)</f>
        <v>1.0560288498727977</v>
      </c>
      <c r="EE26">
        <f>IFERROR(_xlfn.XLOOKUP(A26,Щиты[Щит],Щиты[Zпетли на шинах, Ом]),"")</f>
        <v>0.28247829354840204</v>
      </c>
      <c r="EF26">
        <f>IFERROR(N(_xlfn.XLOOKUP(A26,Щиты[Щит],Щиты[ΔU до шин (подбор), %])),0)</f>
        <v>1.0560288498727977</v>
      </c>
      <c r="EG26">
        <f>IFERROR(_xlfn.XLOOKUP(A26,Щиты[Щит],Щиты[Zпетли на шинах (подбор), Ом]),"")</f>
        <v>0.28247829354840204</v>
      </c>
      <c r="EH26" t="str">
        <f t="shared" si="49"/>
        <v/>
      </c>
      <c r="EI26" t="str">
        <f t="shared" si="50"/>
        <v/>
      </c>
      <c r="EJ26">
        <f t="shared" si="51"/>
        <v>1</v>
      </c>
      <c r="EK26">
        <f t="shared" si="52"/>
        <v>0.38</v>
      </c>
      <c r="EL26" s="6">
        <f>IF(B26="","",IF(BV26=1,dU_LED,IF(IFERROR(_xlfn.XLOOKUP(BC26,Коды_код,Коды_уго),"")="Светильник",3,4)+IF(Методика="нормы 2026",MIN(0.5,MAX(0,N(P26)-100)*0.005),0)))</f>
        <v>4</v>
      </c>
      <c r="EM26" cm="1">
        <f t="array" ref="EM26">IF(OR(B26="",BZ26="",EC26&lt;&gt;1),"",_xlfn.LET(_xlpm.sz,Iдоп_S,_xlpm.t_,CHOOSE(EB26,Iдоп_1ж,Iдоп_2ж,Iдоп_3ж)*DZ26*EA26,_xlpm.dcx,BV26=1,_xlpm.inn,IF(_xlpm.dcx,N(O26),N(DT26)),_xlpm.smin,MAX(1.5,CC26),_xlpm.L_,N(P26)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26)/N(BU26)*100,999),IFERROR(N(EJ26)*(_xlpm.rho*_xlpm.L_/_xlpm.sz*N(CE26)+_xlpm.xx*_xlpm.L_*N(EK26)/1000)*N(O26)/((Uн_лин/SQRT(3))*1000)*100,999)),_xlpm.kz,IF(OR(_xlpm.dcx,DW26=1,NOT(ISNUMBER(EG26)),_xlpm.L_=0,_xlpm.inn=0),1,IFERROR(--(c_min*(Uн_лин*1000/SQRT(3))/(EG26+2*ρкз_Cu*_xlpm.L_/_xlpm.sz)&gt;=HT26*_xlpm.inn),0)),_xlpm.ok,IFERROR((_xlpm.sz&gt;=_xlpm.smin)*(_xlpm.t_&gt;=_xlpm.inn)*IF(_xlpm.L_&gt;0,(_xlpm.du_+IF(_xlpm.dcx,0,EF26)&lt;=EL26+0.00001),1)*_xlpm.kz,0),_xlpm.r_,_xlfn._xlws.FILTER(_xlpm.sz,_xlpm.ok,"не подобрано"),INDEX(_xlpm.r_,1)))</f>
        <v>10</v>
      </c>
      <c r="EN26">
        <f t="shared" si="53"/>
        <v>10</v>
      </c>
      <c r="EO26" cm="1">
        <f t="array" ref="EO26">IF(OR(B26="",BZ26="",EC26&lt;&gt;1),"",_xlfn.LET(_xlpm.sz,Iдоп_S,_xlpm.t_,CHOOSE(EB26,Iдоп_1ж,Iдоп_2ж,Iдоп_3ж)*DZ26*EA26,_xlpm.ok,IFERROR((_xlpm.sz&gt;=MAX(1.5,CC26))*(_xlpm.t_&gt;=N(DT26)),0),_xlpm.r_,_xlfn._xlws.FILTER(_xlpm.sz,_xlpm.ok,""),INDEX(_xlpm.r_,1)))</f>
        <v>10</v>
      </c>
      <c r="EP26" s="6" cm="1">
        <f t="array" ref="EP26">IFERROR(ROUNDUP(N(EJ26)*(_xlfn.XLOOKUP(EO26,INDEX(Кабель_сопротивление,0,1),INDEX(Кабель_сопротивление,0,3))*N(P26)/EO26*N(CE26)+_xlfn.XLOOKUP(EO26,INDEX(Кабель_сопротивление,0,1),INDEX(Кабель_сопротивление,0,2))*N(P26)*N(EK26)/1000)*N(O26)/((Uн_лин/SQRT(3))*1000)*100,2),"")</f>
        <v>0</v>
      </c>
      <c r="EQ26">
        <f>IFERROR(2*ρкз_Cu*N(P26)/EO26,"")</f>
        <v>0</v>
      </c>
      <c r="ER26">
        <f>IFERROR(VLOOKUP(EN26,Кабель_сопротивление,3,FALSE),"")</f>
        <v>2.2499999999999999E-2</v>
      </c>
      <c r="ES26">
        <f>IFERROR(VLOOKUP(EN26,Кабель_сопротивление,2,FALSE),"")</f>
        <v>7.2999999999999995E-2</v>
      </c>
      <c r="ET26" t="str">
        <f t="shared" si="54"/>
        <v/>
      </c>
      <c r="EU26" t="str">
        <f t="shared" si="55"/>
        <v/>
      </c>
      <c r="EV26" t="str">
        <f t="shared" si="56"/>
        <v/>
      </c>
      <c r="EW26" s="6" t="str">
        <f>IFERROR(ROUNDUP(EV26/IF(BV26=1,BU26,(Uн_лин/SQRT(3))*1000)*100,2),"")</f>
        <v/>
      </c>
      <c r="EX26" t="str">
        <f>IFERROR(VLOOKUP(BZ26,Кабель_обозначение,2,FALSE),"")</f>
        <v>ВВГнг(А)-LS</v>
      </c>
      <c r="EY26" t="str">
        <f t="shared" si="57"/>
        <v>ВВГнг(А)-LS (5х10)</v>
      </c>
      <c r="EZ26" t="str">
        <f t="shared" si="58"/>
        <v>ВВГнг(А)-LS (5х10)</v>
      </c>
      <c r="FA26" t="str">
        <f>IFERROR(2*ρкз_Cu*P26/EN26,"")</f>
        <v/>
      </c>
      <c r="FB26">
        <f t="shared" si="59"/>
        <v>0</v>
      </c>
      <c r="FC26" s="6" t="str">
        <f>IFERROR(IF(OR(B26="",BV26=1,NOT(ISNUMBER(EN26)),N(P26)=0),"",_xlfn.XLOOKUP(A26,Щиты[Щит],Щиты[Zпетли на шинах, Ом])+FA26),"")</f>
        <v/>
      </c>
      <c r="FD26" s="6" t="str">
        <f>IF(ISNUMBER(FC26),c_min*(Uн_лин*1000/SQRT(3))/FC26,"")</f>
        <v/>
      </c>
      <c r="FE26" s="6">
        <f>IFERROR(IF(OR(B26="",NOT(ISNUMBER(EN26))),"",1.05*(Uн_лин*1000/SQRT(3))/(_xlfn.XLOOKUP(A26,Щиты[Щит],Щиты[Zmax на шинах, Ом])+FB26)/1000),"")</f>
        <v>2.8489846387843833</v>
      </c>
      <c r="FF26" s="6" t="str">
        <f>IF(B26="","",IF(ISNUMBER(AC26),"Сил",IF(IFERROR(_xlfn.XLOOKUP(BC26,Коды_код,Коды_группа)&amp;"","")="","Быт",_xlfn.XLOOKUP(BC26,Коды_код,Коды_группа)&amp;"")))</f>
        <v>Нет</v>
      </c>
      <c r="FG26" s="6" t="str">
        <f t="shared" si="60"/>
        <v>Нет</v>
      </c>
      <c r="FH26" s="6">
        <f>IF(FG26="Щит","щит",IF(FG26="","",IF(FG26="Быт",IFERROR(_xlfn.XLOOKUP(A26,Щиты[Щит],Щиты[Кс быт]),1),IF(FG26="Сил",IF(ISNUMBER(AC26),AC26,IF(Методика="нормы 2026",IFERROR(_xlfn.XLOOKUP(A26,Щиты[Щит],Щиты[Кс силовых (табл. 7.5)]),1),1)),IF(OR(FG26="Пост",FG26="Отоп"),1,IF(FG26="ВНГ",0.7,0))))))</f>
        <v>0</v>
      </c>
      <c r="FI26">
        <f>IF(FG26="","",IF(AND(BP26=1,TRIM(AE26&amp;"")=""),IF(COUNTIFS(Линии[Щит],A26,Линии[Секция (1/2/3)],"&gt;=2")&gt;0,MIN(3,MAX(1,IFERROR(--BD26,1))),1),IFERROR(MIN(3,MAX(1,INT(--AE26))),1)))</f>
        <v>1</v>
      </c>
      <c r="FJ26">
        <f t="shared" si="61"/>
        <v>0</v>
      </c>
      <c r="FK26">
        <f t="shared" si="62"/>
        <v>0</v>
      </c>
      <c r="FL26">
        <f t="shared" si="63"/>
        <v>0</v>
      </c>
      <c r="FM26">
        <f t="shared" si="64"/>
        <v>0</v>
      </c>
      <c r="FN26">
        <f t="shared" si="65"/>
        <v>0</v>
      </c>
      <c r="FO26">
        <f t="shared" si="66"/>
        <v>0</v>
      </c>
      <c r="FP26">
        <f t="shared" si="67"/>
        <v>0</v>
      </c>
      <c r="FQ26">
        <f t="shared" si="68"/>
        <v>0</v>
      </c>
      <c r="FR26">
        <f t="shared" si="69"/>
        <v>0</v>
      </c>
      <c r="FS26">
        <f>IF(CG26=1,IF(AND(CH26=1,CW26=1),0,IF(AND(CS26&lt;&gt;"",CS26=BA26,CW26=1),SUMIFS(Линии[_Р линии, кВт],Линии[_блок УЗО],BA26,Линии[Щит],A26),N(BS26)+IF(AJ26="вручную",0,N(CK26)))),0)</f>
        <v>19.22</v>
      </c>
      <c r="FT26" t="str">
        <f t="shared" si="70"/>
        <v/>
      </c>
      <c r="FU26" t="str">
        <f>IF(B26="","",IF(CG26=0,IF(BA26=1,"",FW25),IF(AND(CH26=1,CW26=1,CS26&lt;&gt;""),IFERROR(_xlfn.XLOOKUP(CS26,Линии[_n],Линии[_фаза итог]),"L1"),IF(OR(N(DL26)&gt;=3,N(BX26)&gt;=3),"L1,L2,L3",IFERROR(_xlfn.TEXTBEFORE(_xlfn.TEXTAFTER(_xlfn.XLOOKUP(A26,Щиты[Щит],Щиты[_фазы авто]),";"&amp;BA26&amp;":"),";"),"L1")))))</f>
        <v>L1,L2,L3</v>
      </c>
      <c r="FV26" t="str">
        <f t="shared" si="71"/>
        <v>L1,L2,L3</v>
      </c>
      <c r="FW26" t="str">
        <f t="shared" si="72"/>
        <v>L1,L2,L3</v>
      </c>
      <c r="FX26" cm="1">
        <f t="array" ref="FX26">IFERROR(IF(CD26=2,_xlfn.IFS(BX26=3,VLOOKUP(BS26,Справочная_двигатели,3,FALSE),BX26=1,VLOOKUP(BS26,Справочная_двигатели,5,TRUE)),0),0)</f>
        <v>0</v>
      </c>
      <c r="FY26">
        <f>IFERROR(IF(CD26=3,VLOOKUP(BS26,Справочная_ЛЭД,2,TRUE),0),0)</f>
        <v>0</v>
      </c>
      <c r="FZ26" s="6">
        <f t="shared" si="73"/>
        <v>0</v>
      </c>
      <c r="GA26" t="str">
        <f>IF(B26="","",IF(TRIM(AH26&amp;"")&lt;&gt;"",IF(LOWER(TRIM(AH26&amp;""))="да","да","нет"),IF(IFERROR(_xlfn.XLOOKUP(BC26,Коды_код,Коды_пожарная),"")="да","да","нет")))</f>
        <v>нет</v>
      </c>
      <c r="GB26" t="str">
        <f t="shared" si="74"/>
        <v/>
      </c>
      <c r="GC26" t="str">
        <f t="shared" si="75"/>
        <v>основная</v>
      </c>
      <c r="GD26">
        <f>IF(AND(BP26=1,TRIM(AE26&amp;"")=""),IF(COUNTIFS(Линии[Щит],A26,Линии[Секция (1/2/3)],"&gt;=2")&gt;0,MIN(3,MAX(1,IFERROR(--BD26,1))),1),IFERROR(MIN(3,MAX(1,INT(--AE26))),1))</f>
        <v>1</v>
      </c>
      <c r="GE26" t="str" cm="1">
        <f t="array" ref="GE26">IF(B26="","",_xlfn.LET(_xlpm.t,IFERROR(_xlfn.XLOOKUP(1,(Шины[Шина]=GC26)*(((Шины[Щит]=A26)+(Шины[Щит]=""))&gt;0),Шины[Тип]),"")&amp;"",IF(_xlpm.t&lt;&gt;"",_xlpm.t,IF(ISNUMBER(SEARCH("ИБП",GC26)),"ИБП",IF(ISNUMBER(SEARCH("ДГУ",GC26)),"ДГУ","Ввод "&amp;GD26)))))</f>
        <v>Ввод 1</v>
      </c>
      <c r="GF26" t="str">
        <f t="shared" si="76"/>
        <v>Ввод 1</v>
      </c>
      <c r="GG26" t="str">
        <f>IF(BP26=0,"",IF(TRIM(AG26&amp;"")&lt;&gt;"",TRIM(AG26&amp;""),IF(OR(GE26="ИБП",GE26="ДГУ"),"I особая",_xlfn.XLOOKUP(A26,Щиты[Щит],Щиты[Категория шины «Ввод»],"III"))))</f>
        <v>II</v>
      </c>
      <c r="GH26" t="str">
        <f>IF(A26="","",_xlfn.XLOOKUP(A26,Щиты[Щит],Щиты[Путь],""))</f>
        <v>|ВРУ|ЩР-1|</v>
      </c>
      <c r="GI26" t="str">
        <f>IF(B26="","",IF(AI26&lt;&gt;"",AI26,IF(IFERROR(_xlfn.XLOOKUP(BC26,Коды_код,Коды_вид)&amp;"","")="","Прочее",_xlfn.XLOOKUP(BC26,Коды_код,Коды_вид)&amp;"")))</f>
        <v>Прочее</v>
      </c>
      <c r="GJ26">
        <f>IF(BM26="","",INT((BM26-1)/Столбцов_на_лист)+1)</f>
        <v>1</v>
      </c>
      <c r="GK26" t="str">
        <f t="shared" si="77"/>
        <v>ВВГнг(А)-LS (5х10)</v>
      </c>
      <c r="GL26">
        <f t="shared" si="78"/>
        <v>19.22</v>
      </c>
      <c r="GM26">
        <f t="shared" si="79"/>
        <v>29.94</v>
      </c>
      <c r="GN26">
        <f t="shared" si="80"/>
        <v>3</v>
      </c>
      <c r="GO26">
        <f t="shared" si="81"/>
        <v>0</v>
      </c>
      <c r="GP26">
        <f t="shared" si="82"/>
        <v>0</v>
      </c>
      <c r="GQ26" t="str">
        <f>IF(BM26="","",IF(AND(CG26=1,GP26=1),COUNTIFS(A$3:A26,A26,CG$3:CG26,1,GP$3:GP26,1),IF(OR(OR(BA26=1,A26&lt;&gt;A25),AJ26="вручную",GP26=0),"",IF(BA26=1,"",GR25))))</f>
        <v/>
      </c>
      <c r="GR26" t="str">
        <f t="shared" si="83"/>
        <v/>
      </c>
      <c r="GS26">
        <f>IF(B26="","",IFERROR(LOOKUP(INDEX(CHOOSE(EB26,Iдоп_1ж,Iдоп_2ж,Iдоп_3ж),MATCH(EN26,Iдоп_S,0))*DZ26*EA26,{6,10,16,20,25,32,40,50,63,80,100,125,160,200,250,315,400,500,630}),""))</f>
        <v>50</v>
      </c>
      <c r="GT26" t="str">
        <f t="shared" si="84"/>
        <v/>
      </c>
      <c r="GU26" t="str">
        <f t="shared" si="85"/>
        <v/>
      </c>
      <c r="GV26" t="str">
        <f t="shared" si="86"/>
        <v/>
      </c>
      <c r="GW26">
        <f t="shared" si="87"/>
        <v>0</v>
      </c>
      <c r="GX26" t="str">
        <f>IF(OR(B26="",DJ26=""),"",IFERROR(_xlfn.XLOOKUP(DJ26,Модули_умолч[Управление],Модули_умолч[Модель])&amp;"",""))</f>
        <v/>
      </c>
      <c r="GY26">
        <f>IF(DJ26="",1,IFERROR(MAX(0,N(_xlfn.XLOOKUP(DJ26,Модули_умолч[Управление],Модули_умолч[Каналов на линию]))),1))</f>
        <v>1</v>
      </c>
      <c r="GZ26" t="str">
        <f t="shared" si="88"/>
        <v/>
      </c>
      <c r="HA26" t="str">
        <f t="shared" si="89"/>
        <v/>
      </c>
      <c r="HB26" t="str">
        <f t="shared" si="90"/>
        <v/>
      </c>
      <c r="HC26">
        <f>IF(HB26="",0,IFERROR(N(VLOOKUP(HB26,Модули_спр,3,FALSE)),0))</f>
        <v>0</v>
      </c>
      <c r="HD26" t="str">
        <f t="shared" si="91"/>
        <v/>
      </c>
      <c r="HE26" t="str">
        <f t="shared" si="92"/>
        <v/>
      </c>
      <c r="HF26" t="str">
        <f>IF(OR(HE26="",HE26="-"),"",IFERROR(VLOOKUP(HE26,Модули_спр,2,FALSE),"R"))</f>
        <v/>
      </c>
      <c r="HG26" t="str">
        <f>IF(HF26="","",HF26&amp;"."&amp;COUNTIFS(A$3:A26,A26,HF$3:HF26,HF26))</f>
        <v/>
      </c>
      <c r="HH26" t="str">
        <f t="shared" si="93"/>
        <v/>
      </c>
      <c r="HI26" t="str">
        <f t="shared" si="94"/>
        <v/>
      </c>
      <c r="HJ26" t="str">
        <f t="shared" si="95"/>
        <v/>
      </c>
      <c r="HK26" t="str">
        <f t="shared" si="96"/>
        <v/>
      </c>
      <c r="HL26">
        <f t="shared" si="97"/>
        <v>0</v>
      </c>
      <c r="HM26" t="str">
        <f>IF(HL26=1,"XT"&amp;COUNTIFS(A$3:A26,A26,HL$3:HL26,1),"")</f>
        <v/>
      </c>
      <c r="HN26" t="str">
        <f t="shared" si="98"/>
        <v/>
      </c>
      <c r="HO26" t="str">
        <f t="shared" si="99"/>
        <v/>
      </c>
      <c r="HP26" t="str">
        <f t="shared" si="100"/>
        <v/>
      </c>
      <c r="HQ26" t="str">
        <f t="shared" si="101"/>
        <v>ok</v>
      </c>
      <c r="HR26" t="str">
        <f>IF(OR(HJ26="",HH26=""),"",IF(HJ26+MAX(0,GY26-1)&gt;IFERROR(VLOOKUP(HI26,Модули_спр,3,FALSE),99),"ЛИШНИЙ КАНАЛ",IF(AND(AL26&lt;&gt;"=",GY26&gt;0,COUNTIFS(Линии[_модуль гр.],HH26,Линии[Канал (итог)],HJ26,Линии[Канал],"&lt;&gt;=",Линии[Щит],A26)&gt;1),"ДУБЛЬ КАНАЛА","")))</f>
        <v/>
      </c>
      <c r="HS26" s="6" t="str">
        <f t="shared" si="102"/>
        <v/>
      </c>
      <c r="HT26">
        <f t="shared" si="103"/>
        <v>10</v>
      </c>
      <c r="HU26" t="str">
        <f t="shared" si="104"/>
        <v/>
      </c>
      <c r="HV26">
        <f t="shared" si="105"/>
        <v>0</v>
      </c>
      <c r="HW26">
        <f t="shared" si="106"/>
        <v>0</v>
      </c>
      <c r="HX26">
        <f t="shared" si="107"/>
        <v>0</v>
      </c>
      <c r="HY26">
        <f t="shared" si="108"/>
        <v>0</v>
      </c>
      <c r="HZ26">
        <f t="shared" si="109"/>
        <v>0</v>
      </c>
      <c r="IA26">
        <f t="shared" si="110"/>
        <v>0</v>
      </c>
      <c r="IB26">
        <f t="shared" si="111"/>
        <v>0</v>
      </c>
      <c r="IC26" t="str">
        <f t="shared" si="112"/>
        <v/>
      </c>
      <c r="ID26" t="str" cm="1">
        <f t="array" ref="ID26">IF(IC26="","",_xlfn.LET(_xlpm.tk,_xlfn.TEXTSPLIT(SUBSTITUTE(SUBSTITUTE(IC26,";"," "),"→"," ")," ",,TRUE),_xlpm.w_,_xlfn._xlws.FILTER(_xlpm.tk,ISNUMBER(--LEFT(_xlpm.tk,1))*((ISNUMBER(SEARCH("W",_xlpm.tk))+ISNUMBER(SEARCH("Вт",_xlpm.tk)))&gt;0),""),IFERROR(--SUBSTITUTE(SUBSTITUTE(UPPER(INDEX(_xlpm.w_,1)),"W",""),"ВТ",""),"")))</f>
        <v/>
      </c>
      <c r="IE26" t="str" cm="1">
        <f t="array" ref="IE26">IF(IC26="","",_xlfn.LET(_xlpm.tk,_xlfn.TEXTSPLIT(SUBSTITUTE(SUBSTITUTE(IC26,";"," "),"→"," ")," ",,TRUE),_xlpm.v_,_xlfn._xlws.FILTER(_xlpm.tk,ISNUMBER(--LEFT(_xlpm.tk,1))*((ISNUMBER(SEARCH("V",_xlpm.tk))+(RIGHT(UPPER(_xlpm.tk))="В"))&gt;0),""),IFERROR(--SUBSTITUTE(SUBSTITUTE(UPPER(INDEX(_xlpm.v_,1)),"V",""),"В",""),"")))</f>
        <v/>
      </c>
      <c r="IF26" s="6" t="str">
        <f>IF(OR(BV26=0,HI26="",HJ26=""),"",IFERROR(N(_xlfn.XLOOKUP(HI26,Каталог!$C$4:$C$500,Каталог!$Q$4:$Q$500)),""))</f>
        <v/>
      </c>
      <c r="IG26" s="6" t="str">
        <f>IF(N(IF26)=0,"",SUMIFS(Линии[Iр, А],Линии[Щит],A26,Линии[_модуль гр.],HH26,Линии[Канал (итог)],HJ26))</f>
        <v/>
      </c>
      <c r="IH26" t="str">
        <f>IF(AND(B26="",HO26=""),"",_xlfn.TEXTJOIN("; ",TRUE,IF(AND(B26&lt;&gt;"",FV26=""),"нет фазы",""),IF(AND(B26&lt;&gt;"",N(GL26)=0,FG26&lt;&gt;"Нет"),"нет мощности",""),IF(AND(HN26&lt;&gt;"",COUNTIFS(Линии[Щит],A26,Линии[Клемма (итог)],HN26)&gt;1),"дубль клеммы "&amp;HN26,""),IF(AND(HQ26&lt;&gt;"",HQ26&lt;&gt;"ok"),HQ26,""),IF(HR26&lt;&gt;"",HR26,""),IF(AND(N(CB26)&gt;=4,N(BX26)=1),CB26&amp;" жил на 1 фазе",""),IF(AND(BC26="R",CG26=1,IF(CS26&lt;&gt;"",N(CV26)&gt;30,OR(N(DA26)=0,N(DA26)&gt;30))),"розетка без дифзащиты до 30 мА",""),IF(AND(CG26=1,N(DA26)&gt;0,ISNUMBER(T26)),IF(T26&gt;N(DA26)/3,"ток утечки "&amp;FIXED(T26,1)&amp;" мА &gt; 1/3 уставки ("&amp;DA26&amp;" мА)",""),""),IF(AND(CH26=1,CS26=""),"«узо»: нет строки с УЗО выше (УЗО 2P 40А 30мА в «Аппаратах»)",""),IF(AND(CS26&lt;&gt;"",CS26=BA26),IF(CT26="","впишите номинал УЗО (УЗО 2P 40А 30мА)",IF(N(CT26)&lt;N(DT26),"УЗО "&amp;CT26&amp;" А &lt; автомата "&amp;DT26&amp;" А перед ним",IF(N(CT26)&lt;N(CX26),"УЗО "&amp;CT26&amp;" А &lt; тока блока "&amp;FIXED(CX26,1)&amp;" А",""))),""),IF(AND(CS26&lt;&gt;"",CS26=BA26,ISNUMBER(CY26)),IF(CY26&gt;N(CV26)/3,"ток утечки блока УЗО "&amp;FIXED(CY26,1)&amp;" мА &gt; 1/3 уставки ("&amp;CV26&amp;" мА)",""),""),IF(AND(CG26=1,N(BV26)+N(IB26)&gt;0,IC26=""),"линии до 50 В без БП: впишите в «Аппараты» (БП 24V 480W)",""),IF(AND(CG26=1,ISNUMBER(ID26),ISNUMBER(U26)),IF(U26&gt;ID26,"БП "&amp;ID26&amp;" Вт &lt; нужно "&amp;U26&amp;" Вт (×"&amp;Запас_БП&amp;")",""),""),IF(AND(CG26=1,ISNUMBER(IE26),N(BV26)=1),IF(IE26&lt;&gt;N(BU26),"БП на "&amp;IE26&amp;" В, линия "&amp;BU26&amp;" В",""),""),IF(AND(N(IF26)&gt;0,N(IG26)&gt;N(IF26)),HH26&amp;" канал "&amp;HJ26&amp;": "&amp;FIXED(IG26,1)&amp;" А &gt; "&amp;IF26&amp;" А",""),IFERROR(IF(AND(ISNUMBER(Q26),Q26&gt;EL26),"потери "&amp;FIXED(Q26,1)&amp;" % &gt; "&amp;EL26&amp;" %",""),""),IFERROR(IF(LEFT(HU26,4)="мало","Iкз мало — отключение &gt; 0,4 с",""),""),IF(AND(B26&lt;&gt;"",BM26=""),"не на схеме",""),IF(AND(CG26=0,B26&lt;&gt;"",FV26&lt;&gt;"",IF(BA26=1,"",FW25)&lt;&gt;"",FV26&lt;&gt;IF(BA26=1,"",FW25)),"фаза не как у автомата группы ("&amp;IF(BA26=1,"",FW25)&amp;")","")))</f>
        <v/>
      </c>
      <c r="II26" s="6" t="str">
        <f>IF(OR(CG26=0,DQ26=""),"",_xlfn.LET(_xlpm.t,IFERROR(_xlfn.XLOOKUP(DQ26,Каталог!$U$4:$U$500,Каталог!$G$4:$G$500),""),_xlpm.k,SEARCH("кА",_xlpm.t),IFERROR(--TRIM(RIGHT(SUBSTITUTE(MID(_xlpm.t,MAX(1,_xlpm.k-4),_xlpm.k-MAX(1,_xlpm.k-4))," ",REPT(" ",9)),5)),"")))</f>
        <v/>
      </c>
      <c r="IJ26" t="str">
        <f>IF(OR(II26="",CG26=0),"",IF(_xlfn.XLOOKUP(A26,Щиты[Щит],Щиты[Iкз max на шинах, кА],"")="","",IF(II26&lt;_xlfn.XLOOKUP(A26,Щиты[Щит],Щиты[Iкз max на шинах, кА]),"Icu "&amp;II26&amp;" кА &lt; Iкз max","ok")))</f>
        <v/>
      </c>
      <c r="IK26" t="str">
        <f t="shared" si="113"/>
        <v/>
      </c>
      <c r="IL26" t="str">
        <f t="shared" si="114"/>
        <v/>
      </c>
      <c r="IM26" t="str">
        <f t="shared" si="115"/>
        <v/>
      </c>
      <c r="IN26" t="str" cm="1">
        <f t="array" ref="IN26">IF(IM26="","",_xlfn.LET(_xlpm.nd,_xlfn.TEXTSPLIT(IM26,"|"),IF(COLUMNS(_xlpm.nd)&gt;1,A26&amp;"¦"&amp;INDEX(_xlpm.nd,1)&amp;"¦"&amp;INDEX(_xlpm.nd,2),"")))</f>
        <v/>
      </c>
      <c r="IO26" t="str">
        <f t="shared" si="116"/>
        <v/>
      </c>
      <c r="IP26" t="str" cm="1">
        <f t="array" ref="IP26">IF(IM26="","",_xlfn.LET(_xlpm.nd,_xlfn.TEXTSPLIT(IM26,"|"),IF(COLUMNS(_xlpm.nd)&gt;2,A26&amp;"¦"&amp;INDEX(_xlpm.nd,2)&amp;"¦"&amp;INDEX(_xlpm.nd,3),"")))</f>
        <v/>
      </c>
      <c r="IQ26" t="str">
        <f t="shared" si="117"/>
        <v/>
      </c>
      <c r="IR26" t="str" cm="1">
        <f t="array" ref="IR26">IF(IM26="","",_xlfn.LET(_xlpm.nd,_xlfn.TEXTSPLIT(IM26,"|"),IF(COLUMNS(_xlpm.nd)&gt;3,A26&amp;"¦"&amp;INDEX(_xlpm.nd,3)&amp;"¦"&amp;INDEX(_xlpm.nd,4),"")))</f>
        <v/>
      </c>
      <c r="IS26" t="str">
        <f t="shared" si="118"/>
        <v/>
      </c>
      <c r="IT26" t="str" cm="1">
        <f t="array" ref="IT26">IF(IM26="","",_xlfn.LET(_xlpm.nd,_xlfn.TEXTSPLIT(IM26,"|"),IF(COLUMNS(_xlpm.nd)&gt;4,A26&amp;"¦"&amp;INDEX(_xlpm.nd,4)&amp;"¦"&amp;INDEX(_xlpm.nd,5),"")))</f>
        <v/>
      </c>
      <c r="IU26" t="str">
        <f t="shared" si="119"/>
        <v/>
      </c>
      <c r="IV26" t="str" cm="1">
        <f t="array" ref="IV26">IF(IM26="","",_xlfn.LET(_xlpm.nd,_xlfn.TEXTSPLIT(IM26,"|"),IF(COLUMNS(_xlpm.nd)&gt;5,A26&amp;"¦"&amp;INDEX(_xlpm.nd,5)&amp;"¦"&amp;INDEX(_xlpm.nd,6),"")))</f>
        <v/>
      </c>
      <c r="IW26" t="str">
        <f t="shared" si="120"/>
        <v/>
      </c>
      <c r="IX26" t="str" cm="1">
        <f t="array" ref="IX26">IF(IM26="","",_xlfn.LET(_xlpm.nd,_xlfn.TEXTSPLIT(IM26,"|"),IF(COLUMNS(_xlpm.nd)&gt;6,A26&amp;"¦"&amp;INDEX(_xlpm.nd,6)&amp;"¦"&amp;INDEX(_xlpm.nd,7),"")))</f>
        <v/>
      </c>
      <c r="IY26" t="str">
        <f t="shared" si="121"/>
        <v/>
      </c>
      <c r="IZ26" t="str">
        <f t="shared" si="122"/>
        <v/>
      </c>
      <c r="JA26" t="str">
        <f t="shared" si="123"/>
        <v/>
      </c>
      <c r="JB26">
        <f t="shared" si="124"/>
        <v>0</v>
      </c>
      <c r="JC26">
        <f t="shared" si="125"/>
        <v>0</v>
      </c>
      <c r="JD26" t="str">
        <f t="shared" si="126"/>
        <v/>
      </c>
      <c r="JE26" t="str">
        <f t="shared" si="127"/>
        <v/>
      </c>
      <c r="JF26" t="str">
        <f t="shared" si="128"/>
        <v/>
      </c>
      <c r="JG26" t="str">
        <f t="shared" si="129"/>
        <v/>
      </c>
      <c r="JH26">
        <f>IF(B26="","",IFERROR(_xlfn.XLOOKUP(B26,Коды_код,Коды_уго),IFERROR(_xlfn.XLOOKUP(BC26,Коды_код,Коды_уго),IFERROR(_xlfn.XLOOKUP(LEFT(BC26,2),Коды_код,Коды_уго),""))))</f>
        <v>0</v>
      </c>
      <c r="JI26" t="str">
        <f>IF(B26="","",IF(OR(JH26="",JH26=0),"BOX",IFERROR(IF(VLOOKUP(JH26,УГО_блоки,3,FALSE)&amp;""&lt;&gt;"",VLOOKUP(JH26,УГО_блоки,3,FALSE),VLOOKUP(JH26,УГО_блоки,2,FALSE)),JH26)))</f>
        <v>BOX</v>
      </c>
      <c r="JJ26">
        <f t="shared" si="130"/>
        <v>1</v>
      </c>
      <c r="JK26" t="str">
        <f>IF(DQ26="","",IF(COUNTIF(DQ$3:DQ26,DQ26)=1,MAX(JK$2:JK25)+1,""))</f>
        <v/>
      </c>
      <c r="JL26" t="str">
        <f>IF(DE26="","",IF(COUNTIF(DE$3:DE26,DE26)+COUNTIF(DF$2:DF25,DE26)+COUNTIF(DG$2:DG25,DE26)=1,MAX(JL$2:JN25)+1,""))</f>
        <v/>
      </c>
      <c r="JM26" t="str">
        <f>IF(DF26="","",IF(COUNTIF(DE$3:DE26,DF26)+COUNTIF(DF$3:DF26,DF26)+COUNTIF(DG$2:DG25,DF26)=1,MAX(JL$2:JN25,JL26)+1,""))</f>
        <v/>
      </c>
      <c r="JN26" t="str">
        <f>IF(DG26="","",IF(COUNTIF(DE$3:DE26,DG26)+COUNTIF(DF$3:DF26,DG26)+COUNTIF(DG$3:DG26,DG26)=1,MAX(JL$2:JN25,JL26,JM26)+1,""))</f>
        <v/>
      </c>
      <c r="JO26" t="str">
        <f t="shared" si="131"/>
        <v/>
      </c>
      <c r="JP26" t="str">
        <f>IF(JO26="","",IF(COUNTIF(JO$3:JO26,JO26)=1,MAX(JP$2:JP25)+1,""))</f>
        <v/>
      </c>
      <c r="JQ26" t="str">
        <f>IF(HG26="","",COUNTIF(HG$3:HG26,"?*"))</f>
        <v/>
      </c>
      <c r="JR26" t="str">
        <f>IF(OR(HG26="",HI26=""),"",IF(COUNTIFS(HG$3:HG26,"?*",HI$3:HI26,HI26)=1,MAX(JR$2:JR25)+1,""))</f>
        <v/>
      </c>
      <c r="JS26">
        <f t="shared" si="132"/>
        <v>0</v>
      </c>
      <c r="JT26">
        <f>IF(B26="","",COUNTIF(B$3:B26,"?*"))</f>
        <v>24</v>
      </c>
      <c r="JU26">
        <f>IF(HL26&lt;&gt;1,0,_xlfn.LET(_xlpm.k,MAX(IFERROR(--_xlfn.XLOOKUP(B26,Коды_код,Коды_3L),0),IFERROR(--_xlfn.XLOOKUP(BC26,Коды_код,Коды_3L),0),IFERROR(--_xlfn.XLOOKUP(LEFT(BC26,2),Коды_код,Коды_3L),0)),IF(_xlpm.k&gt;0,_xlpm.k,IF(IFERROR(--LEFT(SUBSTITUTE(JO26,"x","х"),FIND("х",SUBSTITUTE(JO26,"x","х"))-1),3)&gt;3,Каталог!$S$9,1))))</f>
        <v>0</v>
      </c>
      <c r="JV26">
        <f t="shared" si="133"/>
        <v>0</v>
      </c>
      <c r="JW26" t="str">
        <f t="shared" si="134"/>
        <v>авто</v>
      </c>
      <c r="JX26" t="str">
        <f t="shared" si="135"/>
        <v/>
      </c>
      <c r="JY26">
        <f t="shared" si="136"/>
        <v>0</v>
      </c>
      <c r="JZ26">
        <f t="shared" si="137"/>
        <v>1</v>
      </c>
    </row>
    <row r="27" spans="1:286" x14ac:dyDescent="0.3">
      <c r="A27" t="s">
        <v>947</v>
      </c>
      <c r="B27" t="s">
        <v>1205</v>
      </c>
      <c r="C27" t="str">
        <f>Линии[[#This Row],[_авто наименование]]</f>
        <v>Розеточная группа, пом. 01</v>
      </c>
      <c r="D27">
        <v>4</v>
      </c>
      <c r="E27">
        <v>1.8</v>
      </c>
      <c r="G27" t="str">
        <f>Линии[[#This Row],[_авто автомат]]</f>
        <v>2P С16А 30мА</v>
      </c>
      <c r="H27" t="str">
        <f>Линии[[#This Row],[_авто управление]]</f>
        <v/>
      </c>
      <c r="I27" t="str">
        <f>Линии[[#This Row],[_авто аппараты]]</f>
        <v/>
      </c>
      <c r="J27">
        <f>Линии[[#This Row],[_авто сечение]]</f>
        <v>2.5</v>
      </c>
      <c r="K27">
        <v>22</v>
      </c>
      <c r="L27" t="str">
        <f>Линии[[#This Row],[_авто фаза]]</f>
        <v>L1</v>
      </c>
      <c r="M27" t="str">
        <f>Линии[[#This Row],[_авто клемма]]</f>
        <v>XT1</v>
      </c>
      <c r="N27" t="str">
        <f t="shared" si="0"/>
        <v/>
      </c>
      <c r="O27" s="6" cm="1">
        <f t="array" ref="O27">IF(B27="","",IF(BH27&lt;&gt;"",IFERROR(_xlfn.XLOOKUP(BH27,Щиты[Щит],Щиты[Iр, А]),""),IF(BP27=1,IF(OR(N(_xlfn.XLOOKUP(A27,Щиты[Щит],Щиты[Вводов],1))&lt;=1,LOWER(TRIM(_xlfn.XLOOKUP(A27,Щиты[Щит],Щиты[АВР],"")&amp;""))="да"),IFERROR(_xlfn.XLOOKUP(A27,Щиты[Щит],Щиты[Iр, А]),""),IFERROR(N(BS27)*_xlfn.XLOOKUP(A27,Щиты[Щит],Щиты[Кс итог])/(SQRT(3)*Uн_лин*_xlfn.XLOOKUP(A27,Щиты[Щит],Щиты[cos φ])),"")),IF(BV27=1,IFERROR(BS27*1000/BU27,""),IFERROR(_xlfn.IFS(BX27=1,BS27/((Uн_лин/SQRT(3))*CE27),BX27=3,BS27/(SQRT(3)*Uн_лин*CE27)),"")))))</f>
        <v>8.2044511937473139</v>
      </c>
      <c r="P27" s="7">
        <f>IF(B27="","",IFERROR(IF(VLOOKUP(BC27,Потребители_обозначение,4,FALSE)=1,VLOOKUP(BC27,Потребители_обозначение,3,FALSE)*(MAX(1,N(D27))*2-1)+EI27+VLOOKUP(BE27,Этаж_обозначение,3,FALSE)+VLOOKUP(BE27,Этаж_обозначение,4,FALSE),VLOOKUP(BC27,Потребители_обозначение,3,FALSE)*(MAX(1,N(D27))*2-1)+EI27),EI27))</f>
        <v>36</v>
      </c>
      <c r="Q27" s="6">
        <f t="shared" si="1"/>
        <v>3.2560288498727976</v>
      </c>
      <c r="R27" t="str">
        <f t="shared" si="2"/>
        <v>ВВГнг(А)-LS (3х2,5)</v>
      </c>
      <c r="S27" t="str">
        <f>IF(BM27="","",IF(BN27="вводной узел","узел ","")&amp;"л."&amp;(INT((BM27-1)/Столбцов_на_лист)+1)&amp;" / "&amp;(MOD(BM27-1,Столбцов_на_лист)+1))</f>
        <v>л.1 / 4</v>
      </c>
      <c r="T27" s="119">
        <f t="shared" si="3"/>
        <v>3.6</v>
      </c>
      <c r="U27" s="7" t="str">
        <f>IF(OR(CG27=0,N(BV27)+N(IB27)=0),"",ROUNDUP(Запас_БП*(N(HY27)+N(HZ27)),0))</f>
        <v/>
      </c>
      <c r="V27" s="119" t="str">
        <f t="shared" si="4"/>
        <v/>
      </c>
      <c r="W27" s="7">
        <f>IFERROR(IF(OR(B27="",BP27=1,BV27=1,NOT(ISNUMBER(EN27)),N(DT27)=0),"",MAX(0,ROUNDDOWN((c_min*(Uн_лин*1000/SQRT(3))/(HT27*N(DT27))-_xlfn.XLOOKUP(A27,Щиты[Щит],Щиты[Zпетли на шинах, Ом]))*EN27/(2*ρкз_Cu),0))),"")</f>
        <v>51</v>
      </c>
      <c r="Y27">
        <f>Линии[[#This Row],[_авто утечка]]</f>
        <v>30</v>
      </c>
      <c r="Z27">
        <v>1</v>
      </c>
      <c r="AA27">
        <v>230</v>
      </c>
      <c r="AB27" t="str">
        <f>Линии[[#This Row],[_авто группа Кс]]</f>
        <v>Быт</v>
      </c>
      <c r="AK27" t="str">
        <f>Линии[[#This Row],[_авто модуль]]</f>
        <v/>
      </c>
      <c r="AN27" t="s">
        <v>11</v>
      </c>
      <c r="AO27">
        <v>3</v>
      </c>
      <c r="AT27">
        <v>2</v>
      </c>
      <c r="BA27" cm="1">
        <f t="array" ref="BA27">ROW()-ROW(Линии[#Headers])</f>
        <v>25</v>
      </c>
      <c r="BC27" s="6" t="str">
        <f t="shared" si="5"/>
        <v>R</v>
      </c>
      <c r="BD27" t="str">
        <f t="shared" si="6"/>
        <v>1.01.1</v>
      </c>
      <c r="BE27" t="str">
        <f t="shared" si="7"/>
        <v>1</v>
      </c>
      <c r="BF27" t="str">
        <f t="shared" si="8"/>
        <v>01.1</v>
      </c>
      <c r="BG27" t="str">
        <f t="shared" si="9"/>
        <v>01</v>
      </c>
      <c r="BH27" t="str">
        <f>IF(X27&lt;&gt;"",X27,IF(AND(B27&lt;&gt;"",B27&lt;&gt;A27,ISNUMBER(_xlfn.XMATCH(B27,Щиты[Щит]))),B27,""))</f>
        <v/>
      </c>
      <c r="BI27" t="str" cm="1">
        <f t="array" ref="BI27">IF(B27="","",IF(BH27&lt;&gt;"","Щит "&amp;BH27,_xlfn.LET(_xlpm.nm,IFERROR(_xlfn.XLOOKUP(BC27,Коды_код,Коды_имя)&amp;"",""),_xlpm.md,IFERROR(N(_xlfn.XLOOKUP(BC27,Коды_код,Коды_режим)),1),_xlpm.ex,IF(Имя_режим="по экспликации",IFERROR(_xlfn.XLOOKUP(BE27&amp;"|"&amp;BG27,Экспликация[Этаж]&amp;"|"&amp;Экспликация[Помещение],Экспликация[Название])&amp;"",""),""),_xlpm.rm,IF(BG27="","",IF(_xlpm.ex&lt;&gt;"",". "&amp;_xlpm.ex&amp;IF(Имя_пом="нет"," ("&amp;BG27&amp;")"," (пом. "&amp;BG27&amp;")"),IF(Имя_пом="нет"," ",", пом. ")&amp;BG27)),IF(_xlpm.nm="","",IF(_xlpm.md=2,_xlpm.nm&amp;" шлейф "&amp;BE27,_xlpm.nm&amp;_xlpm.rm)))))</f>
        <v>Розеточная группа, пом. 01</v>
      </c>
      <c r="BJ27" t="str">
        <f t="shared" si="10"/>
        <v>Розеточная группа, пом. 01</v>
      </c>
      <c r="BK27">
        <f>IFERROR(_xlfn.XMATCH(A27,Щиты[Щит]),0)</f>
        <v>4</v>
      </c>
      <c r="BL27">
        <f>_xlfn.LET(_xlpm.k,IFERROR(_xlfn.XLOOKUP(A27,Щиты[Щит],Щиты[Мест под вводной узел]),""),IF(_xlpm.k="",Столбцов_на_лист,N(_xlpm.k)))</f>
        <v>3</v>
      </c>
      <c r="BM27">
        <f t="shared" si="11"/>
        <v>4</v>
      </c>
      <c r="BN27" t="str">
        <f t="shared" si="12"/>
        <v>линии</v>
      </c>
      <c r="BO27" s="6">
        <f>IFERROR(N(_xlfn.XLOOKUP(BC27,Коды_код,Коды_квт)),0)</f>
        <v>0.06</v>
      </c>
      <c r="BP27">
        <f t="shared" si="13"/>
        <v>0</v>
      </c>
      <c r="BQ27">
        <f>IF(B27="","",IF(BH27&lt;&gt;"",IFERROR(_xlfn.XLOOKUP(BH27,Щиты[Щит],Щиты[Руст, кВт]),0),IF(BP27=1,IF(OR(N(_xlfn.XLOOKUP(A27,Щиты[Щит],Щиты[Вводов],1))&lt;=1,LOWER(TRIM(_xlfn.XLOOKUP(A27,Щиты[Щит],Щиты[АВР],"")&amp;""))="да"),IFERROR(_xlfn.XLOOKUP(A27,Щиты[Щит],Щиты[Руст, кВт]),0),SUMIFS(Линии[_Р для вводов],Линии[Щит],A27,Линии[Источник для режимов],GF27)),IF(BO27&gt;0,ROUND(BO27*MAX(1,N(D27)),3),""))))</f>
        <v>0.24</v>
      </c>
      <c r="BR27">
        <f t="shared" si="14"/>
        <v>1.8</v>
      </c>
      <c r="BS27" s="6">
        <f>IF(B27="","",IF(BH27&lt;&gt;"",IFERROR(_xlfn.XLOOKUP(BH27,Щиты[Щит],Щиты[Руст, кВт]),0),N(BR27)))</f>
        <v>1.8</v>
      </c>
      <c r="BT27">
        <f>IF(B27="","",IFERROR(IF(VLOOKUP(BC27,Потребители_обозначение,8,FALSE)=0,"",VLOOKUP(BC27,Потребители_обозначение,8,FALSE)),""))</f>
        <v>230</v>
      </c>
      <c r="BU27">
        <f t="shared" si="15"/>
        <v>230</v>
      </c>
      <c r="BV27">
        <f t="shared" si="16"/>
        <v>0</v>
      </c>
      <c r="BW27">
        <f>IF(B27="","",IF(BH27&lt;&gt;"",3,IFERROR(IF(N(VLOOKUP(BC27,Потребители_обозначение,9,FALSE))=0,1,VLOOKUP(BC27,Потребители_обозначение,9,FALSE)),1)))</f>
        <v>1</v>
      </c>
      <c r="BX27">
        <f t="shared" si="17"/>
        <v>1</v>
      </c>
      <c r="BY27" t="str">
        <f>IF(B27="","",_xlfn.LET(_xlpm.bc,IFERROR(IF(VLOOKUP(BC27,Потребители_обозначение,6,FALSE)=0,"",VLOOKUP(BC27,Потребители_обозначение,6,FALSE)&amp;""),""),IF(AND(GA27="да",OR(_xlpm.bc="",_xlpm.bc="мс")),Марка_пож,IF(AND(_xlpm.bc="",BH27&lt;&gt;""),"мс",_xlpm.bc))))</f>
        <v>мс</v>
      </c>
      <c r="BZ27" t="str">
        <f t="shared" si="18"/>
        <v>мс</v>
      </c>
      <c r="CA27">
        <f>IF(B27="","",_xlfn.LET(_xlpm.cc,IFERROR(N(VLOOKUP(BC27,Потребители_обозначение,7,FALSE)),0),IF(_xlpm.cc&gt;0,_xlpm.cc,IF(BZ27="","",IF(BV27=1,2,IF(N(BX27)=3,5,3))))))</f>
        <v>3</v>
      </c>
      <c r="CB27">
        <f t="shared" si="19"/>
        <v>3</v>
      </c>
      <c r="CC27">
        <f>IFERROR(N(VLOOKUP(BC27,Потребители_обозначение,10,FALSE)),0)</f>
        <v>2.5</v>
      </c>
      <c r="CD27">
        <f>IFERROR(VLOOKUP(BC27,Потребители_обозначение,5,FALSE),0)</f>
        <v>1</v>
      </c>
      <c r="CE27" s="6" cm="1">
        <f t="array" ref="CE27">IF(B27="","",IF(BH27&lt;&gt;"",IFERROR(_xlfn.XLOOKUP(BH27,Щиты[Щит],Щиты[cos φ]),0.95),IF(BP27=1,IFERROR(_xlfn.XLOOKUP(A27,Щиты[Щит],Щиты[cos φ]),0.95),IF(ISNUMBER(AD27),AD27,IFERROR(IF(CD27=2,_xlfn.IFS(BX27=3,VLOOKUP(BS27,Справочная_двигатели,8,FALSE),BX27=1,VLOOKUP(BS27,Справочная_двигатели,10,TRUE)),IF(AND(Методика="нормы 2026",FG27="Сил"),0.8,0.95)),0.95)))))</f>
        <v>0.95</v>
      </c>
      <c r="CF27">
        <f t="shared" si="20"/>
        <v>0</v>
      </c>
      <c r="CG27">
        <f t="shared" si="21"/>
        <v>1</v>
      </c>
      <c r="CH27">
        <f t="shared" si="22"/>
        <v>0</v>
      </c>
      <c r="CI27">
        <f>IF(B27="","",IF(BV27=1,IFERROR(BS27/((Uн_лин/SQRT(3))*MAX(0.5,N(CE27))),0),N(O27)))</f>
        <v>8.2044511937473139</v>
      </c>
      <c r="CJ27">
        <f t="shared" si="23"/>
        <v>0</v>
      </c>
      <c r="CK27">
        <f t="shared" si="24"/>
        <v>0</v>
      </c>
      <c r="CL27">
        <f t="shared" si="25"/>
        <v>0</v>
      </c>
      <c r="CM27">
        <f t="shared" si="26"/>
        <v>0</v>
      </c>
      <c r="CN27">
        <f t="shared" si="27"/>
        <v>0</v>
      </c>
      <c r="CO27">
        <f>IF(BC27="",0,_xlfn.LET(_xlpm.v,IFERROR(_xlfn.XLOOKUP(B27,Коды_код,Коды_мА),IFERROR(_xlfn.XLOOKUP(BC27,Коды_код,Коды_мА),IFERROR(_xlfn.XLOOKUP(LEFT(BC27,2),Коды_код,Коды_мА),""))),IF(_xlpm.v="да",30,IF(ISNUMBER(_xlpm.v),_xlpm.v,0))))</f>
        <v>30</v>
      </c>
      <c r="CP27">
        <f t="shared" si="28"/>
        <v>30</v>
      </c>
      <c r="CQ27" t="str">
        <f>_xlfn.LET(_xlpm.k,IFERROR(_xlfn.XLOOKUP(BC27,Коды_код,Коды_утечка)&amp;"",""),IF(_xlpm.k="","дифавтомат",_xlpm.k))</f>
        <v>дифавтомат</v>
      </c>
      <c r="CR27" t="str" cm="1">
        <f t="array" ref="CR27">IF(CG27=0,"",_xlfn.LET(_xlpm.sg,TRIM(_xlfn.TEXTSPLIT(DD27&amp;"",";")),_xlpm.f_,_xlfn._xlws.FILTER(_xlpm.sg,LEFT(_xlpm.sg,3)="УЗО",""),IFERROR(INDEX(_xlpm.f_,1)&amp;"","")))</f>
        <v/>
      </c>
      <c r="CS27" t="str">
        <f t="shared" si="29"/>
        <v/>
      </c>
      <c r="CT27" s="6" t="str" cm="1">
        <f t="array" ref="CT27">IF(CR27="","",_xlfn.LET(_xlpm.tk,_xlfn.TEXTSPLIT(UPPER(CR27)," ",,TRUE),_xlpm.a_,_xlfn._xlws.FILTER(_xlpm.tk,ISNUMBER(--LEFT(_xlpm.tk,1))*((ISNUMBER(SEARCH("А",_xlpm.tk))+ISNUMBER(SEARCH("A",_xlpm.tk)))&gt;0)*NOT(ISNUMBER(SEARCH("МА",_xlpm.tk)))*NOT(ISNUMBER(SEARCH("MA",_xlpm.tk))),""),IFERROR(--SUBSTITUTE(SUBSTITUTE(INDEX(_xlpm.a_,1),"А",""),"A",""),"")))</f>
        <v/>
      </c>
      <c r="CU27" t="str" cm="1">
        <f t="array" ref="CU27">IF(CR27="","",_xlfn.LET(_xlpm.tk,_xlfn.TEXTSPLIT(UPPER(CR27)," ",,TRUE),_xlpm.a_,_xlfn._xlws.FILTER(_xlpm.tk,ISNUMBER(--LEFT(_xlpm.tk,1))*((ISNUMBER(SEARCH("МА",_xlpm.tk))+ISNUMBER(SEARCH("MA",_xlpm.tk)))&gt;0),""),IFERROR(--SUBSTITUTE(SUBSTITUTE(INDEX(_xlpm.a_,1),"МА",""),"MA",""),30)))</f>
        <v/>
      </c>
      <c r="CV27" t="str">
        <f>IF(CS27="","",IFERROR(_xlfn.XLOOKUP(CS27,Линии[_n],Линии[_УЗО, мА]),30))</f>
        <v/>
      </c>
      <c r="CW27">
        <f>IF(CS27="",0,IF(ISNUMBER(SEARCH("4P",IFERROR(_xlfn.XLOOKUP(CS27,Линии[_n],Линии[_УЗО строки])&amp;"",""))),0,1))</f>
        <v>0</v>
      </c>
      <c r="CX27" t="str">
        <f>IF(AND(CS27&lt;&gt;"",CS27=BA27),SUMIFS(Линии[_ток на 230 В],Линии[_блок УЗО],BA27,Линии[Щит],A27),"")</f>
        <v/>
      </c>
      <c r="CY27" t="str">
        <f>IF(AND(CS27&lt;&gt;"",CS27=BA27),SUMIFS(Линии[_ток утечки линии, мА],Линии[_блок УЗО],BA27,Линии[Щит],A27),"")</f>
        <v/>
      </c>
      <c r="CZ27">
        <f t="shared" si="30"/>
        <v>30</v>
      </c>
      <c r="DA27">
        <f t="shared" si="31"/>
        <v>30</v>
      </c>
      <c r="DB27">
        <f>IF(B27="",0,IFERROR(--_xlfn.XLOOKUP(B27,Коды_код,Коды_минавт),IFERROR(--_xlfn.XLOOKUP(BC27,Коды_код,Коды_минавт),IFERROR(--_xlfn.XLOOKUP(LEFT(BC27,2),Коды_код,Коды_минавт),0))))</f>
        <v>16</v>
      </c>
      <c r="DC27" t="str">
        <f>IF(B27="","",IFERROR(_xlfn.XLOOKUP(BC27,Коды_код,Коды_апп)&amp;"",""))</f>
        <v/>
      </c>
      <c r="DD27" t="str">
        <f t="shared" si="32"/>
        <v/>
      </c>
      <c r="DE27" t="str" cm="1">
        <f t="array" ref="DE27">IF(TRIM(DD27&amp;"")="","",IFERROR(TRIM(INDEX(_xlfn.TEXTSPLIT(DD27&amp;";;;",";"),1)),""))</f>
        <v/>
      </c>
      <c r="DF27" t="str" cm="1">
        <f t="array" ref="DF27">IF(TRIM(DD27&amp;"")="","",IFERROR(TRIM(INDEX(_xlfn.TEXTSPLIT(DD27&amp;";;;",";"),2)),""))</f>
        <v/>
      </c>
      <c r="DG27" t="str" cm="1">
        <f t="array" ref="DG27">IF(TRIM(DD27&amp;"")="","",IFERROR(TRIM(INDEX(_xlfn.TEXTSPLIT(DD27&amp;";;;",";"),3)),""))</f>
        <v/>
      </c>
      <c r="DH27">
        <f t="shared" si="33"/>
        <v>0</v>
      </c>
      <c r="DI27" t="str">
        <f>IF(B27="","",_xlfn.LET(_xlpm.t,LOWER(AZ27&amp;""),IF(ISNUMBER(SEARCH("dim",_xlpm.t)),"DIM",IF(ISNUMBER(SEARCH("dali",_xlpm.t)),"DALI",IF(OR(ISNUMBER(SEARCH("relay",_xlpm.t)),ISNUMBER(SEARCH("реле",_xlpm.t))),"Relay",IF(ISNUMBER(SEARCH("кнопк",_xlpm.t)),"",IFERROR(_xlfn.XLOOKUP(BC27,Коды_код,Коды_упр)&amp;"","")))))))</f>
        <v/>
      </c>
      <c r="DJ27" t="str">
        <f t="shared" si="34"/>
        <v/>
      </c>
      <c r="DK27">
        <f>IF(B27="","",_xlfn.LET(_xlpm.ig,IF(N(CX27)&gt;0,N(CX27),N(CI27)+IF(AJ27="вручную",0,N(CJ27))),_xlpm.n0,IFERROR(VLOOKUP(_xlpm.ig,Автомат_номиналы,2,TRUE),0),_xlpm.mn,MAX(DB27,IF(AJ27="вручную",0,N(CM27))),MAX(_xlpm.n0,_xlpm.mn,IF(DH27=1,Мин_автомат_БП,0))))</f>
        <v>16</v>
      </c>
      <c r="DL27">
        <f t="shared" si="35"/>
        <v>1</v>
      </c>
      <c r="DM27" t="str">
        <f t="shared" si="36"/>
        <v>2P</v>
      </c>
      <c r="DN27" t="str">
        <f>_xlfn.LET(_xlpm.cc,UPPER(TRIM(IFERROR(_xlfn.XLOOKUP(BC27,Коды_код,Коды_хар)&amp;"",""))),IF(OR(_xlpm.cc="B",_xlpm.cc="В"),"B",IF(_xlpm.cc="D","D","С")))</f>
        <v>С</v>
      </c>
      <c r="DO27" t="str">
        <f t="shared" si="37"/>
        <v>2P С16А 30мА</v>
      </c>
      <c r="DP27" t="str">
        <f t="shared" si="38"/>
        <v>2P С16А 30мА</v>
      </c>
      <c r="DQ27" t="str">
        <f t="shared" si="39"/>
        <v>2P С16А 30мА</v>
      </c>
      <c r="DR27" cm="1">
        <f t="array" ref="DR27">IF(DQ27="","",_xlfn.LET(_xlpm.t,SUBSTITUTE(SUBSTITUTE(SUBSTITUTE(UPPER(DQ27),"С","C"),"А","A"),"В","B"),_xlpm.tk,_xlfn.TEXTSPLIT(_xlpm.t," "),_xlpm.f,_xlfn._xlws.FILTER(_xlpm.tk,ISNUMBER(--MID(_xlpm.tk,2,1))*ISNUMBER(SEARCH(LEFT(_xlpm.tk,1)&amp;"#","B#C#D#"))*(LEN(_xlpm.tk)&gt;1),""),_xlpm.x,INDEX(_xlpm.f,1),IFERROR(--SUBSTITUTE(MID(_xlpm.x,2,9),"A",""),IFERROR(--SUBSTITUTE(INDEX(_xlfn._xlws.FILTER(_xlpm.tk,ISNUMBER(--SUBSTITUTE(_xlpm.tk,"A","")),""),1),"A",""),""))))</f>
        <v>16</v>
      </c>
      <c r="DS27" t="str">
        <f t="shared" si="40"/>
        <v>ok</v>
      </c>
      <c r="DT27">
        <f t="shared" si="41"/>
        <v>16</v>
      </c>
      <c r="DU27" t="str">
        <f t="shared" si="42"/>
        <v>2P С16А 30мА</v>
      </c>
      <c r="DV27">
        <f t="shared" si="43"/>
        <v>30</v>
      </c>
      <c r="DW27">
        <f t="shared" si="44"/>
        <v>1</v>
      </c>
      <c r="DX27">
        <f t="shared" si="45"/>
        <v>0</v>
      </c>
      <c r="DY27">
        <f t="shared" si="46"/>
        <v>8.2044511937473139</v>
      </c>
      <c r="DZ27">
        <f t="shared" si="47"/>
        <v>1</v>
      </c>
      <c r="EA27">
        <f>IF(ISNUMBER(AP27),AP27,К_прокл)</f>
        <v>1</v>
      </c>
      <c r="EB27">
        <f t="shared" si="48"/>
        <v>2</v>
      </c>
      <c r="EC27">
        <f>IFERROR(N(VLOOKUP(BZ27,Кабель_обозначение,3,FALSE)),1)</f>
        <v>1</v>
      </c>
      <c r="ED27">
        <f>IFERROR(N(_xlfn.XLOOKUP(A27,Щиты[Щит],Щиты[ΔU до шин, %])),0)</f>
        <v>1.0560288498727977</v>
      </c>
      <c r="EE27">
        <f>IFERROR(_xlfn.XLOOKUP(A27,Щиты[Щит],Щиты[Zпетли на шинах, Ом]),"")</f>
        <v>0.28247829354840204</v>
      </c>
      <c r="EF27">
        <f>IFERROR(N(_xlfn.XLOOKUP(A27,Щиты[Щит],Щиты[ΔU до шин (подбор), %])),0)</f>
        <v>1.0560288498727977</v>
      </c>
      <c r="EG27">
        <f>IFERROR(_xlfn.XLOOKUP(A27,Щиты[Щит],Щиты[Zпетли на шинах (подбор), Ом]),"")</f>
        <v>0.28247829354840204</v>
      </c>
      <c r="EH27" t="str">
        <f t="shared" si="49"/>
        <v/>
      </c>
      <c r="EI27">
        <f t="shared" si="50"/>
        <v>22</v>
      </c>
      <c r="EJ27">
        <f t="shared" si="51"/>
        <v>2</v>
      </c>
      <c r="EK27">
        <f t="shared" si="52"/>
        <v>0.31</v>
      </c>
      <c r="EL27" s="6">
        <f>IF(B27="","",IF(BV27=1,dU_LED,IF(IFERROR(_xlfn.XLOOKUP(BC27,Коды_код,Коды_уго),"")="Светильник",3,4)+IF(Методика="нормы 2026",MIN(0.5,MAX(0,N(P27)-100)*0.005),0)))</f>
        <v>4</v>
      </c>
      <c r="EM27" cm="1">
        <f t="array" ref="EM27">IF(OR(B27="",BZ27="",EC27&lt;&gt;1),"",_xlfn.LET(_xlpm.sz,Iдоп_S,_xlpm.t_,CHOOSE(EB27,Iдоп_1ж,Iдоп_2ж,Iдоп_3ж)*DZ27*EA27,_xlpm.dcx,BV27=1,_xlpm.inn,IF(_xlpm.dcx,N(O27),N(DT27)),_xlpm.smin,MAX(1.5,CC27),_xlpm.L_,N(P27)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27)/N(BU27)*100,999),IFERROR(N(EJ27)*(_xlpm.rho*_xlpm.L_/_xlpm.sz*N(CE27)+_xlpm.xx*_xlpm.L_*N(EK27)/1000)*N(O27)/((Uн_лин/SQRT(3))*1000)*100,999)),_xlpm.kz,IF(OR(_xlpm.dcx,DW27=1,NOT(ISNUMBER(EG27)),_xlpm.L_=0,_xlpm.inn=0),1,IFERROR(--(c_min*(Uн_лин*1000/SQRT(3))/(EG27+2*ρкз_Cu*_xlpm.L_/_xlpm.sz)&gt;=HT27*_xlpm.inn),0)),_xlpm.ok,IFERROR((_xlpm.sz&gt;=_xlpm.smin)*(_xlpm.t_&gt;=_xlpm.inn)*IF(_xlpm.L_&gt;0,(_xlpm.du_+IF(_xlpm.dcx,0,EF27)&lt;=EL27+0.00001),1)*_xlpm.kz,0),_xlpm.r_,_xlfn._xlws.FILTER(_xlpm.sz,_xlpm.ok,"не подобрано"),INDEX(_xlpm.r_,1)))</f>
        <v>2.5</v>
      </c>
      <c r="EN27">
        <f t="shared" si="53"/>
        <v>2.5</v>
      </c>
      <c r="EO27" cm="1">
        <f t="array" ref="EO27">IF(OR(B27="",BZ27="",EC27&lt;&gt;1),"",_xlfn.LET(_xlpm.sz,Iдоп_S,_xlpm.t_,CHOOSE(EB27,Iдоп_1ж,Iдоп_2ж,Iдоп_3ж)*DZ27*EA27,_xlpm.ok,IFERROR((_xlpm.sz&gt;=MAX(1.5,CC27))*(_xlpm.t_&gt;=N(DT27)),0),_xlpm.r_,_xlfn._xlws.FILTER(_xlpm.sz,_xlpm.ok,""),INDEX(_xlpm.r_,1)))</f>
        <v>2.5</v>
      </c>
      <c r="EP27" s="6" cm="1">
        <f t="array" ref="EP27">IFERROR(ROUNDUP(N(EJ27)*(_xlfn.XLOOKUP(EO27,INDEX(Кабель_сопротивление,0,1),INDEX(Кабель_сопротивление,0,3))*N(P27)/EO27*N(CE27)+_xlfn.XLOOKUP(EO27,INDEX(Кабель_сопротивление,0,1),INDEX(Кабель_сопротивление,0,2))*N(P27)*N(EK27)/1000)*N(O27)/((Uн_лин/SQRT(3))*1000)*100,2),"")</f>
        <v>2.1999999999999997</v>
      </c>
      <c r="EQ27">
        <f>IFERROR(2*ρкз_Cu*N(P27)/EO27,"")</f>
        <v>0.75744</v>
      </c>
      <c r="ER27">
        <f>IFERROR(VLOOKUP(EN27,Кабель_сопротивление,3,FALSE),"")</f>
        <v>2.2499999999999999E-2</v>
      </c>
      <c r="ES27">
        <f>IFERROR(VLOOKUP(EN27,Кабель_сопротивление,2,FALSE),"")</f>
        <v>0.1</v>
      </c>
      <c r="ET27">
        <f t="shared" si="54"/>
        <v>0</v>
      </c>
      <c r="EU27">
        <f t="shared" si="55"/>
        <v>32</v>
      </c>
      <c r="EV27">
        <f t="shared" si="56"/>
        <v>5.0689724899352901</v>
      </c>
      <c r="EW27" s="6">
        <f>IFERROR(ROUNDUP(EV27/IF(BV27=1,BU27,(Uн_лин/SQRT(3))*1000)*100,2),"")</f>
        <v>2.1999999999999997</v>
      </c>
      <c r="EX27" t="str">
        <f>IFERROR(VLOOKUP(BZ27,Кабель_обозначение,2,FALSE),"")</f>
        <v>ВВГнг(А)-LS</v>
      </c>
      <c r="EY27" t="str">
        <f t="shared" si="57"/>
        <v>ВВГнг(А)-LS (3х2,5)</v>
      </c>
      <c r="EZ27" t="str">
        <f t="shared" si="58"/>
        <v>ВВГнг(А)-LS (3х2,5)
L=36-2,2%</v>
      </c>
      <c r="FA27">
        <f>IFERROR(2*ρкз_Cu*P27/EN27,"")</f>
        <v>0.75744</v>
      </c>
      <c r="FB27">
        <f t="shared" si="59"/>
        <v>0.25200000000000006</v>
      </c>
      <c r="FC27" s="6">
        <f>IFERROR(IF(OR(B27="",BV27=1,NOT(ISNUMBER(EN27)),N(P27)=0),"",_xlfn.XLOOKUP(A27,Щиты[Щит],Щиты[Zпетли на шинах, Ом])+FA27),"")</f>
        <v>1.0399182935484022</v>
      </c>
      <c r="FD27" s="6">
        <f>IF(ISNUMBER(FC27),c_min*(Uн_лин*1000/SQRT(3))/FC27,"")</f>
        <v>210.97148079148232</v>
      </c>
      <c r="FE27" s="6">
        <f>IFERROR(IF(OR(B27="",NOT(ISNUMBER(EN27))),"",1.05*(Uн_лин*1000/SQRT(3))/(_xlfn.XLOOKUP(A27,Щиты[Щит],Щиты[Zmax на шинах, Ом])+FB27)/1000),"")</f>
        <v>0.71930402716547237</v>
      </c>
      <c r="FF27" s="6" t="str">
        <f>IF(B27="","",IF(ISNUMBER(AC27),"Сил",IF(IFERROR(_xlfn.XLOOKUP(BC27,Коды_код,Коды_группа)&amp;"","")="","Быт",_xlfn.XLOOKUP(BC27,Коды_код,Коды_группа)&amp;"")))</f>
        <v>Быт</v>
      </c>
      <c r="FG27" s="6" t="str">
        <f t="shared" si="60"/>
        <v>Быт</v>
      </c>
      <c r="FH27" s="6">
        <f>IF(FG27="Щит","щит",IF(FG27="","",IF(FG27="Быт",IFERROR(_xlfn.XLOOKUP(A27,Щиты[Щит],Щиты[Кс быт]),1),IF(FG27="Сил",IF(ISNUMBER(AC27),AC27,IF(Методика="нормы 2026",IFERROR(_xlfn.XLOOKUP(A27,Щиты[Щит],Щиты[Кс силовых (табл. 7.5)]),1),1)),IF(OR(FG27="Пост",FG27="Отоп"),1,IF(FG27="ВНГ",0.7,0))))))</f>
        <v>0.8</v>
      </c>
      <c r="FI27">
        <f>IF(FG27="","",IF(AND(BP27=1,TRIM(AE27&amp;"")=""),IF(COUNTIFS(Линии[Щит],A27,Линии[Секция (1/2/3)],"&gt;=2")&gt;0,MIN(3,MAX(1,IFERROR(--BD27,1))),1),IFERROR(MIN(3,MAX(1,INT(--AE27))),1)))</f>
        <v>1</v>
      </c>
      <c r="FJ27">
        <f t="shared" si="61"/>
        <v>1.8</v>
      </c>
      <c r="FK27">
        <f t="shared" si="62"/>
        <v>1.8</v>
      </c>
      <c r="FL27">
        <f t="shared" si="63"/>
        <v>0</v>
      </c>
      <c r="FM27">
        <f t="shared" si="64"/>
        <v>0</v>
      </c>
      <c r="FN27">
        <f t="shared" si="65"/>
        <v>0</v>
      </c>
      <c r="FO27">
        <f t="shared" si="66"/>
        <v>0</v>
      </c>
      <c r="FP27">
        <f t="shared" si="67"/>
        <v>1.8</v>
      </c>
      <c r="FQ27">
        <f t="shared" si="68"/>
        <v>1.8</v>
      </c>
      <c r="FR27">
        <f t="shared" si="69"/>
        <v>1.71</v>
      </c>
      <c r="FS27">
        <f>IF(CG27=1,IF(AND(CH27=1,CW27=1),0,IF(AND(CS27&lt;&gt;"",CS27=BA27,CW27=1),SUMIFS(Линии[_Р линии, кВт],Линии[_блок УЗО],BA27,Линии[Щит],A27),N(BS27)+IF(AJ27="вручную",0,N(CK27)))),0)</f>
        <v>1.8</v>
      </c>
      <c r="FT27" t="str">
        <f t="shared" si="70"/>
        <v/>
      </c>
      <c r="FU27" t="str">
        <f>IF(B27="","",IF(CG27=0,IF(BA27=1,"",FW26),IF(AND(CH27=1,CW27=1,CS27&lt;&gt;""),IFERROR(_xlfn.XLOOKUP(CS27,Линии[_n],Линии[_фаза итог]),"L1"),IF(OR(N(DL27)&gt;=3,N(BX27)&gt;=3),"L1,L2,L3",IFERROR(_xlfn.TEXTBEFORE(_xlfn.TEXTAFTER(_xlfn.XLOOKUP(A27,Щиты[Щит],Щиты[_фазы авто]),";"&amp;BA27&amp;":"),";"),"L1")))))</f>
        <v>L1</v>
      </c>
      <c r="FV27" t="str">
        <f t="shared" si="71"/>
        <v>L1</v>
      </c>
      <c r="FW27" t="str">
        <f t="shared" si="72"/>
        <v>L1</v>
      </c>
      <c r="FX27" cm="1">
        <f t="array" ref="FX27">IFERROR(IF(CD27=2,_xlfn.IFS(BX27=3,VLOOKUP(BS27,Справочная_двигатели,3,FALSE),BX27=1,VLOOKUP(BS27,Справочная_двигатели,5,TRUE)),0),0)</f>
        <v>0</v>
      </c>
      <c r="FY27">
        <f>IFERROR(IF(CD27=3,VLOOKUP(BS27,Справочная_ЛЭД,2,TRUE),0),0)</f>
        <v>0</v>
      </c>
      <c r="FZ27" s="6">
        <f t="shared" si="73"/>
        <v>0</v>
      </c>
      <c r="GA27" t="str">
        <f>IF(B27="","",IF(TRIM(AH27&amp;"")&lt;&gt;"",IF(LOWER(TRIM(AH27&amp;""))="да","да","нет"),IF(IFERROR(_xlfn.XLOOKUP(BC27,Коды_код,Коды_пожарная),"")="да","да","нет")))</f>
        <v>нет</v>
      </c>
      <c r="GB27" t="str">
        <f t="shared" si="74"/>
        <v/>
      </c>
      <c r="GC27" t="str">
        <f t="shared" si="75"/>
        <v>основная</v>
      </c>
      <c r="GD27">
        <f>IF(AND(BP27=1,TRIM(AE27&amp;"")=""),IF(COUNTIFS(Линии[Щит],A27,Линии[Секция (1/2/3)],"&gt;=2")&gt;0,MIN(3,MAX(1,IFERROR(--BD27,1))),1),IFERROR(MIN(3,MAX(1,INT(--AE27))),1))</f>
        <v>1</v>
      </c>
      <c r="GE27" t="str" cm="1">
        <f t="array" ref="GE27">IF(B27="","",_xlfn.LET(_xlpm.t,IFERROR(_xlfn.XLOOKUP(1,(Шины[Шина]=GC27)*(((Шины[Щит]=A27)+(Шины[Щит]=""))&gt;0),Шины[Тип]),"")&amp;"",IF(_xlpm.t&lt;&gt;"",_xlpm.t,IF(ISNUMBER(SEARCH("ИБП",GC27)),"ИБП",IF(ISNUMBER(SEARCH("ДГУ",GC27)),"ДГУ","Ввод "&amp;GD27)))))</f>
        <v>Ввод 1</v>
      </c>
      <c r="GF27" t="str">
        <f t="shared" si="76"/>
        <v>Ввод 1</v>
      </c>
      <c r="GG27" t="str">
        <f>IF(BP27=0,"",IF(TRIM(AG27&amp;"")&lt;&gt;"",TRIM(AG27&amp;""),IF(OR(GE27="ИБП",GE27="ДГУ"),"I особая",_xlfn.XLOOKUP(A27,Щиты[Щит],Щиты[Категория шины «Ввод»],"III"))))</f>
        <v/>
      </c>
      <c r="GH27" t="str">
        <f>IF(A27="","",_xlfn.XLOOKUP(A27,Щиты[Щит],Щиты[Путь],""))</f>
        <v>|ВРУ|ЩР-1|</v>
      </c>
      <c r="GI27" t="str">
        <f>IF(B27="","",IF(AI27&lt;&gt;"",AI27,IF(IFERROR(_xlfn.XLOOKUP(BC27,Коды_код,Коды_вид)&amp;"","")="","Прочее",_xlfn.XLOOKUP(BC27,Коды_код,Коды_вид)&amp;"")))</f>
        <v>Розеточная сеть и бытовые приборы</v>
      </c>
      <c r="GJ27">
        <f>IF(BM27="","",INT((BM27-1)/Столбцов_на_лист)+1)</f>
        <v>1</v>
      </c>
      <c r="GK27" t="str">
        <f t="shared" si="77"/>
        <v>ВВГнг(А)-LS (3х2,5) L=36-2,2%</v>
      </c>
      <c r="GL27">
        <f t="shared" si="78"/>
        <v>1.8</v>
      </c>
      <c r="GM27">
        <f t="shared" si="79"/>
        <v>8.2099999999999991</v>
      </c>
      <c r="GN27">
        <f t="shared" si="80"/>
        <v>1</v>
      </c>
      <c r="GO27">
        <f t="shared" si="81"/>
        <v>0</v>
      </c>
      <c r="GP27">
        <f t="shared" si="82"/>
        <v>1</v>
      </c>
      <c r="GQ27">
        <f>IF(BM27="","",IF(AND(CG27=1,GP27=1),COUNTIFS(A$3:A27,A27,CG$3:CG27,1,GP$3:GP27,1),IF(OR(OR(BA27=1,A27&lt;&gt;A26),AJ27="вручную",GP27=0),"",IF(BA27=1,"",GR26))))</f>
        <v>1</v>
      </c>
      <c r="GR27">
        <f t="shared" si="83"/>
        <v>1</v>
      </c>
      <c r="GS27">
        <f>IF(B27="","",IFERROR(LOOKUP(INDEX(CHOOSE(EB27,Iдоп_1ж,Iдоп_2ж,Iдоп_3ж),MATCH(EN27,Iдоп_S,0))*DZ27*EA27,{6,10,16,20,25,32,40,50,63,80,100,125,160,200,250,315,400,500,630}),""))</f>
        <v>25</v>
      </c>
      <c r="GT27" t="str">
        <f t="shared" si="84"/>
        <v>QFD1</v>
      </c>
      <c r="GU27" t="str">
        <f t="shared" si="85"/>
        <v>QFD1</v>
      </c>
      <c r="GV27" t="str">
        <f t="shared" si="86"/>
        <v/>
      </c>
      <c r="GW27">
        <f t="shared" si="87"/>
        <v>0</v>
      </c>
      <c r="GX27" t="str">
        <f>IF(OR(B27="",DJ27=""),"",IFERROR(_xlfn.XLOOKUP(DJ27,Модули_умолч[Управление],Модули_умолч[Модель])&amp;"",""))</f>
        <v/>
      </c>
      <c r="GY27">
        <f>IF(DJ27="",1,IFERROR(MAX(0,N(_xlfn.XLOOKUP(DJ27,Модули_умолч[Управление],Модули_умолч[Каналов на линию]))),1))</f>
        <v>1</v>
      </c>
      <c r="GZ27" t="str">
        <f t="shared" si="88"/>
        <v/>
      </c>
      <c r="HA27" t="str">
        <f t="shared" si="89"/>
        <v/>
      </c>
      <c r="HB27" t="str">
        <f t="shared" si="90"/>
        <v/>
      </c>
      <c r="HC27">
        <f>IF(HB27="",0,IFERROR(N(VLOOKUP(HB27,Модули_спр,3,FALSE)),0))</f>
        <v>0</v>
      </c>
      <c r="HD27" t="str">
        <f t="shared" si="91"/>
        <v/>
      </c>
      <c r="HE27" t="str">
        <f t="shared" si="92"/>
        <v/>
      </c>
      <c r="HF27" t="str">
        <f>IF(OR(HE27="",HE27="-"),"",IFERROR(VLOOKUP(HE27,Модули_спр,2,FALSE),"R"))</f>
        <v/>
      </c>
      <c r="HG27" t="str">
        <f>IF(HF27="","",HF27&amp;"."&amp;COUNTIFS(A$3:A27,A27,HF$3:HF27,HF27))</f>
        <v/>
      </c>
      <c r="HH27" t="str">
        <f t="shared" si="93"/>
        <v/>
      </c>
      <c r="HI27" t="str">
        <f t="shared" si="94"/>
        <v/>
      </c>
      <c r="HJ27" t="str">
        <f t="shared" si="95"/>
        <v/>
      </c>
      <c r="HK27" t="str">
        <f t="shared" si="96"/>
        <v/>
      </c>
      <c r="HL27">
        <f t="shared" si="97"/>
        <v>1</v>
      </c>
      <c r="HM27" t="str">
        <f>IF(HL27=1,"XT"&amp;COUNTIFS(A$3:A27,A27,HL$3:HL27,1),"")</f>
        <v>XT1</v>
      </c>
      <c r="HN27" t="str">
        <f t="shared" si="98"/>
        <v>XT1</v>
      </c>
      <c r="HO27" t="str">
        <f t="shared" si="99"/>
        <v>QFD1</v>
      </c>
      <c r="HP27" t="str">
        <f t="shared" si="100"/>
        <v/>
      </c>
      <c r="HQ27" t="str">
        <f t="shared" si="101"/>
        <v>ok</v>
      </c>
      <c r="HR27" t="str">
        <f>IF(OR(HJ27="",HH27=""),"",IF(HJ27+MAX(0,GY27-1)&gt;IFERROR(VLOOKUP(HI27,Модули_спр,3,FALSE),99),"ЛИШНИЙ КАНАЛ",IF(AND(AL27&lt;&gt;"=",GY27&gt;0,COUNTIFS(Линии[_модуль гр.],HH27,Линии[Канал (итог)],HJ27,Линии[Канал],"&lt;&gt;=",Линии[Щит],A27)&gt;1),"ДУБЛЬ КАНАЛА","")))</f>
        <v/>
      </c>
      <c r="HS27" s="6">
        <f t="shared" si="102"/>
        <v>13.185717549467645</v>
      </c>
      <c r="HT27">
        <f t="shared" si="103"/>
        <v>10</v>
      </c>
      <c r="HU27" t="str">
        <f t="shared" si="104"/>
        <v>ok</v>
      </c>
      <c r="HV27">
        <f t="shared" si="105"/>
        <v>3.6417804774989255</v>
      </c>
      <c r="HW27">
        <f t="shared" si="106"/>
        <v>0</v>
      </c>
      <c r="HX27">
        <f t="shared" si="107"/>
        <v>0</v>
      </c>
      <c r="HY27">
        <f t="shared" si="108"/>
        <v>0</v>
      </c>
      <c r="HZ27">
        <f t="shared" si="109"/>
        <v>0</v>
      </c>
      <c r="IA27">
        <f t="shared" si="110"/>
        <v>0</v>
      </c>
      <c r="IB27">
        <f t="shared" si="111"/>
        <v>0</v>
      </c>
      <c r="IC27" t="str">
        <f t="shared" si="112"/>
        <v/>
      </c>
      <c r="ID27" t="str" cm="1">
        <f t="array" ref="ID27">IF(IC27="","",_xlfn.LET(_xlpm.tk,_xlfn.TEXTSPLIT(SUBSTITUTE(SUBSTITUTE(IC27,";"," "),"→"," ")," ",,TRUE),_xlpm.w_,_xlfn._xlws.FILTER(_xlpm.tk,ISNUMBER(--LEFT(_xlpm.tk,1))*((ISNUMBER(SEARCH("W",_xlpm.tk))+ISNUMBER(SEARCH("Вт",_xlpm.tk)))&gt;0),""),IFERROR(--SUBSTITUTE(SUBSTITUTE(UPPER(INDEX(_xlpm.w_,1)),"W",""),"ВТ",""),"")))</f>
        <v/>
      </c>
      <c r="IE27" t="str" cm="1">
        <f t="array" ref="IE27">IF(IC27="","",_xlfn.LET(_xlpm.tk,_xlfn.TEXTSPLIT(SUBSTITUTE(SUBSTITUTE(IC27,";"," "),"→"," ")," ",,TRUE),_xlpm.v_,_xlfn._xlws.FILTER(_xlpm.tk,ISNUMBER(--LEFT(_xlpm.tk,1))*((ISNUMBER(SEARCH("V",_xlpm.tk))+(RIGHT(UPPER(_xlpm.tk))="В"))&gt;0),""),IFERROR(--SUBSTITUTE(SUBSTITUTE(UPPER(INDEX(_xlpm.v_,1)),"V",""),"В",""),"")))</f>
        <v/>
      </c>
      <c r="IF27" s="6" t="str">
        <f>IF(OR(BV27=0,HI27="",HJ27=""),"",IFERROR(N(_xlfn.XLOOKUP(HI27,Каталог!$C$4:$C$500,Каталог!$Q$4:$Q$500)),""))</f>
        <v/>
      </c>
      <c r="IG27" s="6" t="str">
        <f>IF(N(IF27)=0,"",SUMIFS(Линии[Iр, А],Линии[Щит],A27,Линии[_модуль гр.],HH27,Линии[Канал (итог)],HJ27))</f>
        <v/>
      </c>
      <c r="IH27" t="str">
        <f>IF(AND(B27="",HO27=""),"",_xlfn.TEXTJOIN("; ",TRUE,IF(AND(B27&lt;&gt;"",FV27=""),"нет фазы",""),IF(AND(B27&lt;&gt;"",N(GL27)=0,FG27&lt;&gt;"Нет"),"нет мощности",""),IF(AND(HN27&lt;&gt;"",COUNTIFS(Линии[Щит],A27,Линии[Клемма (итог)],HN27)&gt;1),"дубль клеммы "&amp;HN27,""),IF(AND(HQ27&lt;&gt;"",HQ27&lt;&gt;"ok"),HQ27,""),IF(HR27&lt;&gt;"",HR27,""),IF(AND(N(CB27)&gt;=4,N(BX27)=1),CB27&amp;" жил на 1 фазе",""),IF(AND(BC27="R",CG27=1,IF(CS27&lt;&gt;"",N(CV27)&gt;30,OR(N(DA27)=0,N(DA27)&gt;30))),"розетка без дифзащиты до 30 мА",""),IF(AND(CG27=1,N(DA27)&gt;0,ISNUMBER(T27)),IF(T27&gt;N(DA27)/3,"ток утечки "&amp;FIXED(T27,1)&amp;" мА &gt; 1/3 уставки ("&amp;DA27&amp;" мА)",""),""),IF(AND(CH27=1,CS27=""),"«узо»: нет строки с УЗО выше (УЗО 2P 40А 30мА в «Аппаратах»)",""),IF(AND(CS27&lt;&gt;"",CS27=BA27),IF(CT27="","впишите номинал УЗО (УЗО 2P 40А 30мА)",IF(N(CT27)&lt;N(DT27),"УЗО "&amp;CT27&amp;" А &lt; автомата "&amp;DT27&amp;" А перед ним",IF(N(CT27)&lt;N(CX27),"УЗО "&amp;CT27&amp;" А &lt; тока блока "&amp;FIXED(CX27,1)&amp;" А",""))),""),IF(AND(CS27&lt;&gt;"",CS27=BA27,ISNUMBER(CY27)),IF(CY27&gt;N(CV27)/3,"ток утечки блока УЗО "&amp;FIXED(CY27,1)&amp;" мА &gt; 1/3 уставки ("&amp;CV27&amp;" мА)",""),""),IF(AND(CG27=1,N(BV27)+N(IB27)&gt;0,IC27=""),"линии до 50 В без БП: впишите в «Аппараты» (БП 24V 480W)",""),IF(AND(CG27=1,ISNUMBER(ID27),ISNUMBER(U27)),IF(U27&gt;ID27,"БП "&amp;ID27&amp;" Вт &lt; нужно "&amp;U27&amp;" Вт (×"&amp;Запас_БП&amp;")",""),""),IF(AND(CG27=1,ISNUMBER(IE27),N(BV27)=1),IF(IE27&lt;&gt;N(BU27),"БП на "&amp;IE27&amp;" В, линия "&amp;BU27&amp;" В",""),""),IF(AND(N(IF27)&gt;0,N(IG27)&gt;N(IF27)),HH27&amp;" канал "&amp;HJ27&amp;": "&amp;FIXED(IG27,1)&amp;" А &gt; "&amp;IF27&amp;" А",""),IFERROR(IF(AND(ISNUMBER(Q27),Q27&gt;EL27),"потери "&amp;FIXED(Q27,1)&amp;" % &gt; "&amp;EL27&amp;" %",""),""),IFERROR(IF(LEFT(HU27,4)="мало","Iкз мало — отключение &gt; 0,4 с",""),""),IF(AND(B27&lt;&gt;"",BM27=""),"не на схеме",""),IF(AND(CG27=0,B27&lt;&gt;"",FV27&lt;&gt;"",IF(BA27=1,"",FW26)&lt;&gt;"",FV27&lt;&gt;IF(BA27=1,"",FW26)),"фаза не как у автомата группы ("&amp;IF(BA27=1,"",FW26)&amp;")","")))</f>
        <v/>
      </c>
      <c r="II27" s="6">
        <f>IF(OR(CG27=0,DQ27=""),"",_xlfn.LET(_xlpm.t,IFERROR(_xlfn.XLOOKUP(DQ27,Каталог!$U$4:$U$500,Каталог!$G$4:$G$500),""),_xlpm.k,SEARCH("кА",_xlpm.t),IFERROR(--TRIM(RIGHT(SUBSTITUTE(MID(_xlpm.t,MAX(1,_xlpm.k-4),_xlpm.k-MAX(1,_xlpm.k-4))," ",REPT(" ",9)),5)),"")))</f>
        <v>6</v>
      </c>
      <c r="IJ27" t="str">
        <f>IF(OR(II27="",CG27=0),"",IF(_xlfn.XLOOKUP(A27,Щиты[Щит],Щиты[Iкз max на шинах, кА],"")="","",IF(II27&lt;_xlfn.XLOOKUP(A27,Щиты[Щит],Щиты[Iкз max на шинах, кА]),"Icu "&amp;II27&amp;" кА &lt; Iкз max","ok")))</f>
        <v>ok</v>
      </c>
      <c r="IK27" t="str">
        <f t="shared" si="113"/>
        <v/>
      </c>
      <c r="IL27" t="str">
        <f t="shared" si="114"/>
        <v>QFD1|XT1</v>
      </c>
      <c r="IM27" t="str">
        <f t="shared" si="115"/>
        <v>QFD1|XT1|кабель ВВГнг(А)-LS (3х2,5) → Розеточная группа, пом. 01</v>
      </c>
      <c r="IN27" t="str" cm="1">
        <f t="array" ref="IN27">IF(IM27="","",_xlfn.LET(_xlpm.nd,_xlfn.TEXTSPLIT(IM27,"|"),IF(COLUMNS(_xlpm.nd)&gt;1,A27&amp;"¦"&amp;INDEX(_xlpm.nd,1)&amp;"¦"&amp;INDEX(_xlpm.nd,2),"")))</f>
        <v>ЩР-1¦QFD1¦XT1</v>
      </c>
      <c r="IO27" t="str">
        <f t="shared" si="116"/>
        <v>R.1.01.1¦Розеточная группа, пом. 01</v>
      </c>
      <c r="IP27" t="str" cm="1">
        <f t="array" ref="IP27">IF(IM27="","",_xlfn.LET(_xlpm.nd,_xlfn.TEXTSPLIT(IM27,"|"),IF(COLUMNS(_xlpm.nd)&gt;2,A27&amp;"¦"&amp;INDEX(_xlpm.nd,2)&amp;"¦"&amp;INDEX(_xlpm.nd,3),"")))</f>
        <v>ЩР-1¦XT1¦кабель ВВГнг(А)-LS (3х2,5) → Розеточная группа, пом. 01</v>
      </c>
      <c r="IQ27" t="str">
        <f t="shared" si="117"/>
        <v>R.1.01.1¦Розеточная группа, пом. 01</v>
      </c>
      <c r="IR27" t="str" cm="1">
        <f t="array" ref="IR27">IF(IM27="","",_xlfn.LET(_xlpm.nd,_xlfn.TEXTSPLIT(IM27,"|"),IF(COLUMNS(_xlpm.nd)&gt;3,A27&amp;"¦"&amp;INDEX(_xlpm.nd,3)&amp;"¦"&amp;INDEX(_xlpm.nd,4),"")))</f>
        <v/>
      </c>
      <c r="IS27" t="str">
        <f t="shared" si="118"/>
        <v/>
      </c>
      <c r="IT27" t="str" cm="1">
        <f t="array" ref="IT27">IF(IM27="","",_xlfn.LET(_xlpm.nd,_xlfn.TEXTSPLIT(IM27,"|"),IF(COLUMNS(_xlpm.nd)&gt;4,A27&amp;"¦"&amp;INDEX(_xlpm.nd,4)&amp;"¦"&amp;INDEX(_xlpm.nd,5),"")))</f>
        <v/>
      </c>
      <c r="IU27" t="str">
        <f t="shared" si="119"/>
        <v/>
      </c>
      <c r="IV27" t="str" cm="1">
        <f t="array" ref="IV27">IF(IM27="","",_xlfn.LET(_xlpm.nd,_xlfn.TEXTSPLIT(IM27,"|"),IF(COLUMNS(_xlpm.nd)&gt;5,A27&amp;"¦"&amp;INDEX(_xlpm.nd,5)&amp;"¦"&amp;INDEX(_xlpm.nd,6),"")))</f>
        <v/>
      </c>
      <c r="IW27" t="str">
        <f t="shared" si="120"/>
        <v/>
      </c>
      <c r="IX27" t="str" cm="1">
        <f t="array" ref="IX27">IF(IM27="","",_xlfn.LET(_xlpm.nd,_xlfn.TEXTSPLIT(IM27,"|"),IF(COLUMNS(_xlpm.nd)&gt;6,A27&amp;"¦"&amp;INDEX(_xlpm.nd,6)&amp;"¦"&amp;INDEX(_xlpm.nd,7),"")))</f>
        <v/>
      </c>
      <c r="IY27" t="str">
        <f t="shared" si="121"/>
        <v/>
      </c>
      <c r="IZ27" t="str">
        <f t="shared" si="122"/>
        <v/>
      </c>
      <c r="JA27" t="str">
        <f t="shared" si="123"/>
        <v>QFD1 → XT1</v>
      </c>
      <c r="JB27">
        <f t="shared" si="124"/>
        <v>0</v>
      </c>
      <c r="JC27">
        <f t="shared" si="125"/>
        <v>1</v>
      </c>
      <c r="JD27" t="str">
        <f t="shared" si="126"/>
        <v/>
      </c>
      <c r="JE27" t="str">
        <f t="shared" si="127"/>
        <v/>
      </c>
      <c r="JF27" t="str">
        <f t="shared" si="128"/>
        <v/>
      </c>
      <c r="JG27" t="str">
        <f t="shared" si="129"/>
        <v/>
      </c>
      <c r="JH27" t="str">
        <f>IF(B27="","",IFERROR(_xlfn.XLOOKUP(B27,Коды_код,Коды_уго),IFERROR(_xlfn.XLOOKUP(BC27,Коды_код,Коды_уго),IFERROR(_xlfn.XLOOKUP(LEFT(BC27,2),Коды_код,Коды_уго),""))))</f>
        <v>Розетка</v>
      </c>
      <c r="JI27" t="str">
        <f>IF(B27="","",IF(OR(JH27="",JH27=0),"BOX",IFERROR(IF(VLOOKUP(JH27,УГО_блоки,3,FALSE)&amp;""&lt;&gt;"",VLOOKUP(JH27,УГО_блоки,3,FALSE),VLOOKUP(JH27,УГО_блоки,2,FALSE)),JH27)))</f>
        <v>SOCKET</v>
      </c>
      <c r="JJ27">
        <f t="shared" si="130"/>
        <v>1</v>
      </c>
      <c r="JK27" t="str">
        <f>IF(DQ27="","",IF(COUNTIF(DQ$3:DQ27,DQ27)=1,MAX(JK$2:JK26)+1,""))</f>
        <v/>
      </c>
      <c r="JL27" t="str">
        <f>IF(DE27="","",IF(COUNTIF(DE$3:DE27,DE27)+COUNTIF(DF$2:DF26,DE27)+COUNTIF(DG$2:DG26,DE27)=1,MAX(JL$2:JN26)+1,""))</f>
        <v/>
      </c>
      <c r="JM27" t="str">
        <f>IF(DF27="","",IF(COUNTIF(DE$3:DE27,DF27)+COUNTIF(DF$3:DF27,DF27)+COUNTIF(DG$2:DG26,DF27)=1,MAX(JL$2:JN26,JL27)+1,""))</f>
        <v/>
      </c>
      <c r="JN27" t="str">
        <f>IF(DG27="","",IF(COUNTIF(DE$3:DE27,DG27)+COUNTIF(DF$3:DF27,DG27)+COUNTIF(DG$3:DG27,DG27)=1,MAX(JL$2:JN26,JL27,JM27)+1,""))</f>
        <v/>
      </c>
      <c r="JO27" t="str">
        <f t="shared" si="131"/>
        <v>3х2,5</v>
      </c>
      <c r="JP27" t="str">
        <f>IF(JO27="","",IF(COUNTIF(JO$3:JO27,JO27)=1,MAX(JP$2:JP26)+1,""))</f>
        <v/>
      </c>
      <c r="JQ27" t="str">
        <f>IF(HG27="","",COUNTIF(HG$3:HG27,"?*"))</f>
        <v/>
      </c>
      <c r="JR27" t="str">
        <f>IF(OR(HG27="",HI27=""),"",IF(COUNTIFS(HG$3:HG27,"?*",HI$3:HI27,HI27)=1,MAX(JR$2:JR26)+1,""))</f>
        <v/>
      </c>
      <c r="JS27">
        <f t="shared" si="132"/>
        <v>0</v>
      </c>
      <c r="JT27">
        <f>IF(B27="","",COUNTIF(B$3:B27,"?*"))</f>
        <v>25</v>
      </c>
      <c r="JU27">
        <f>IF(HL27&lt;&gt;1,0,_xlfn.LET(_xlpm.k,MAX(IFERROR(--_xlfn.XLOOKUP(B27,Коды_код,Коды_3L),0),IFERROR(--_xlfn.XLOOKUP(BC27,Коды_код,Коды_3L),0),IFERROR(--_xlfn.XLOOKUP(LEFT(BC27,2),Коды_код,Коды_3L),0)),IF(_xlpm.k&gt;0,_xlpm.k,IF(IFERROR(--LEFT(SUBSTITUTE(JO27,"x","х"),FIND("х",SUBSTITUTE(JO27,"x","х"))-1),3)&gt;3,Каталог!$S$9,1))))</f>
        <v>1</v>
      </c>
      <c r="JV27">
        <f t="shared" si="133"/>
        <v>0</v>
      </c>
      <c r="JW27" t="str">
        <f t="shared" si="134"/>
        <v>авто</v>
      </c>
      <c r="JX27">
        <f t="shared" si="135"/>
        <v>30</v>
      </c>
      <c r="JY27">
        <f t="shared" si="136"/>
        <v>1</v>
      </c>
      <c r="JZ27">
        <f t="shared" si="137"/>
        <v>1</v>
      </c>
    </row>
    <row r="28" spans="1:286" x14ac:dyDescent="0.3">
      <c r="A28" t="s">
        <v>947</v>
      </c>
      <c r="B28" t="s">
        <v>1206</v>
      </c>
      <c r="C28" t="str">
        <f>Линии[[#This Row],[_авто наименование]]</f>
        <v>Розеточная группа, пом. 02</v>
      </c>
      <c r="D28">
        <v>3</v>
      </c>
      <c r="E28">
        <v>1.5</v>
      </c>
      <c r="G28" t="str">
        <f>Линии[[#This Row],[_авто автомат]]</f>
        <v>2P С16А 30мА</v>
      </c>
      <c r="H28" t="str">
        <f>Линии[[#This Row],[_авто управление]]</f>
        <v/>
      </c>
      <c r="I28" t="str">
        <f>Линии[[#This Row],[_авто аппараты]]</f>
        <v/>
      </c>
      <c r="J28">
        <f>Линии[[#This Row],[_авто сечение]]</f>
        <v>2.5</v>
      </c>
      <c r="K28">
        <v>15</v>
      </c>
      <c r="L28" t="str">
        <f>Линии[[#This Row],[_авто фаза]]</f>
        <v>L1</v>
      </c>
      <c r="M28" t="str">
        <f>Линии[[#This Row],[_авто клемма]]</f>
        <v>XT2</v>
      </c>
      <c r="N28" t="str">
        <f t="shared" si="0"/>
        <v/>
      </c>
      <c r="O28" s="6" cm="1">
        <f t="array" ref="O28">IF(B28="","",IF(BH28&lt;&gt;"",IFERROR(_xlfn.XLOOKUP(BH28,Щиты[Щит],Щиты[Iр, А]),""),IF(BP28=1,IF(OR(N(_xlfn.XLOOKUP(A28,Щиты[Щит],Щиты[Вводов],1))&lt;=1,LOWER(TRIM(_xlfn.XLOOKUP(A28,Щиты[Щит],Щиты[АВР],"")&amp;""))="да"),IFERROR(_xlfn.XLOOKUP(A28,Щиты[Щит],Щиты[Iр, А]),""),IFERROR(N(BS28)*_xlfn.XLOOKUP(A28,Щиты[Щит],Щиты[Кс итог])/(SQRT(3)*Uн_лин*_xlfn.XLOOKUP(A28,Щиты[Щит],Щиты[cos φ])),"")),IF(BV28=1,IFERROR(BS28*1000/BU28,""),IFERROR(_xlfn.IFS(BX28=1,BS28/((Uн_лин/SQRT(3))*CE28),BX28=3,BS28/(SQRT(3)*Uн_лин*CE28)),"")))))</f>
        <v>6.8370426614560946</v>
      </c>
      <c r="P28" s="7">
        <f>IF(B28="","",IFERROR(IF(VLOOKUP(BC28,Потребители_обозначение,4,FALSE)=1,VLOOKUP(BC28,Потребители_обозначение,3,FALSE)*(MAX(1,N(D28))*2-1)+EI28+VLOOKUP(BE28,Этаж_обозначение,3,FALSE)+VLOOKUP(BE28,Этаж_обозначение,4,FALSE),VLOOKUP(BC28,Потребители_обозначение,3,FALSE)*(MAX(1,N(D28))*2-1)+EI28),EI28))</f>
        <v>25</v>
      </c>
      <c r="Q28" s="6">
        <f t="shared" si="1"/>
        <v>2.3360288498727977</v>
      </c>
      <c r="R28" t="str">
        <f t="shared" si="2"/>
        <v>ВВГнг(А)-LS (3х2,5)</v>
      </c>
      <c r="S28" t="str">
        <f>IF(BM28="","",IF(BN28="вводной узел","узел ","")&amp;"л."&amp;(INT((BM28-1)/Столбцов_на_лист)+1)&amp;" / "&amp;(MOD(BM28-1,Столбцов_на_лист)+1))</f>
        <v>л.1 / 5</v>
      </c>
      <c r="T28" s="119">
        <f t="shared" si="3"/>
        <v>5</v>
      </c>
      <c r="U28" s="7" t="str">
        <f>IF(OR(CG28=0,N(BV28)+N(IB28)=0),"",ROUNDUP(Запас_БП*(N(HY28)+N(HZ28)),0))</f>
        <v/>
      </c>
      <c r="V28" s="119" t="str">
        <f t="shared" si="4"/>
        <v/>
      </c>
      <c r="W28" s="7">
        <f>IFERROR(IF(OR(B28="",BP28=1,BV28=1,NOT(ISNUMBER(EN28)),N(DT28)=0),"",MAX(0,ROUNDDOWN((c_min*(Uн_лин*1000/SQRT(3))/(HT28*N(DT28))-_xlfn.XLOOKUP(A28,Щиты[Щит],Щиты[Zпетли на шинах, Ом]))*EN28/(2*ρкз_Cu),0))),"")</f>
        <v>51</v>
      </c>
      <c r="Y28">
        <f>Линии[[#This Row],[_авто утечка]]</f>
        <v>30</v>
      </c>
      <c r="Z28">
        <v>1</v>
      </c>
      <c r="AA28">
        <v>230</v>
      </c>
      <c r="AB28" t="str">
        <f>Линии[[#This Row],[_авто группа Кс]]</f>
        <v>Быт</v>
      </c>
      <c r="AK28" t="str">
        <f>Линии[[#This Row],[_авто модуль]]</f>
        <v/>
      </c>
      <c r="AN28" t="s">
        <v>11</v>
      </c>
      <c r="AO28">
        <v>3</v>
      </c>
      <c r="AT28">
        <v>2</v>
      </c>
      <c r="BA28" cm="1">
        <f t="array" ref="BA28">ROW()-ROW(Линии[#Headers])</f>
        <v>26</v>
      </c>
      <c r="BC28" s="6" t="str">
        <f t="shared" si="5"/>
        <v>R</v>
      </c>
      <c r="BD28" t="str">
        <f t="shared" si="6"/>
        <v>1.02.1</v>
      </c>
      <c r="BE28" t="str">
        <f t="shared" si="7"/>
        <v>1</v>
      </c>
      <c r="BF28" t="str">
        <f t="shared" si="8"/>
        <v>02.1</v>
      </c>
      <c r="BG28" t="str">
        <f t="shared" si="9"/>
        <v>02</v>
      </c>
      <c r="BH28" t="str">
        <f>IF(X28&lt;&gt;"",X28,IF(AND(B28&lt;&gt;"",B28&lt;&gt;A28,ISNUMBER(_xlfn.XMATCH(B28,Щиты[Щит]))),B28,""))</f>
        <v/>
      </c>
      <c r="BI28" t="str" cm="1">
        <f t="array" ref="BI28">IF(B28="","",IF(BH28&lt;&gt;"","Щит "&amp;BH28,_xlfn.LET(_xlpm.nm,IFERROR(_xlfn.XLOOKUP(BC28,Коды_код,Коды_имя)&amp;"",""),_xlpm.md,IFERROR(N(_xlfn.XLOOKUP(BC28,Коды_код,Коды_режим)),1),_xlpm.ex,IF(Имя_режим="по экспликации",IFERROR(_xlfn.XLOOKUP(BE28&amp;"|"&amp;BG28,Экспликация[Этаж]&amp;"|"&amp;Экспликация[Помещение],Экспликация[Название])&amp;"",""),""),_xlpm.rm,IF(BG28="","",IF(_xlpm.ex&lt;&gt;"",". "&amp;_xlpm.ex&amp;IF(Имя_пом="нет"," ("&amp;BG28&amp;")"," (пом. "&amp;BG28&amp;")"),IF(Имя_пом="нет"," ",", пом. ")&amp;BG28)),IF(_xlpm.nm="","",IF(_xlpm.md=2,_xlpm.nm&amp;" шлейф "&amp;BE28,_xlpm.nm&amp;_xlpm.rm)))))</f>
        <v>Розеточная группа, пом. 02</v>
      </c>
      <c r="BJ28" t="str">
        <f t="shared" si="10"/>
        <v>Розеточная группа, пом. 02</v>
      </c>
      <c r="BK28">
        <f>IFERROR(_xlfn.XMATCH(A28,Щиты[Щит]),0)</f>
        <v>4</v>
      </c>
      <c r="BL28">
        <f>_xlfn.LET(_xlpm.k,IFERROR(_xlfn.XLOOKUP(A28,Щиты[Щит],Щиты[Мест под вводной узел]),""),IF(_xlpm.k="",Столбцов_на_лист,N(_xlpm.k)))</f>
        <v>3</v>
      </c>
      <c r="BM28">
        <f t="shared" si="11"/>
        <v>5</v>
      </c>
      <c r="BN28" t="str">
        <f t="shared" si="12"/>
        <v>линии</v>
      </c>
      <c r="BO28" s="6">
        <f>IFERROR(N(_xlfn.XLOOKUP(BC28,Коды_код,Коды_квт)),0)</f>
        <v>0.06</v>
      </c>
      <c r="BP28">
        <f t="shared" si="13"/>
        <v>0</v>
      </c>
      <c r="BQ28">
        <f>IF(B28="","",IF(BH28&lt;&gt;"",IFERROR(_xlfn.XLOOKUP(BH28,Щиты[Щит],Щиты[Руст, кВт]),0),IF(BP28=1,IF(OR(N(_xlfn.XLOOKUP(A28,Щиты[Щит],Щиты[Вводов],1))&lt;=1,LOWER(TRIM(_xlfn.XLOOKUP(A28,Щиты[Щит],Щиты[АВР],"")&amp;""))="да"),IFERROR(_xlfn.XLOOKUP(A28,Щиты[Щит],Щиты[Руст, кВт]),0),SUMIFS(Линии[_Р для вводов],Линии[Щит],A28,Линии[Источник для режимов],GF28)),IF(BO28&gt;0,ROUND(BO28*MAX(1,N(D28)),3),""))))</f>
        <v>0.18</v>
      </c>
      <c r="BR28">
        <f t="shared" si="14"/>
        <v>1.5</v>
      </c>
      <c r="BS28" s="6">
        <f>IF(B28="","",IF(BH28&lt;&gt;"",IFERROR(_xlfn.XLOOKUP(BH28,Щиты[Щит],Щиты[Руст, кВт]),0),N(BR28)))</f>
        <v>1.5</v>
      </c>
      <c r="BT28">
        <f>IF(B28="","",IFERROR(IF(VLOOKUP(BC28,Потребители_обозначение,8,FALSE)=0,"",VLOOKUP(BC28,Потребители_обозначение,8,FALSE)),""))</f>
        <v>230</v>
      </c>
      <c r="BU28">
        <f t="shared" si="15"/>
        <v>230</v>
      </c>
      <c r="BV28">
        <f t="shared" si="16"/>
        <v>0</v>
      </c>
      <c r="BW28">
        <f>IF(B28="","",IF(BH28&lt;&gt;"",3,IFERROR(IF(N(VLOOKUP(BC28,Потребители_обозначение,9,FALSE))=0,1,VLOOKUP(BC28,Потребители_обозначение,9,FALSE)),1)))</f>
        <v>1</v>
      </c>
      <c r="BX28">
        <f t="shared" si="17"/>
        <v>1</v>
      </c>
      <c r="BY28" t="str">
        <f>IF(B28="","",_xlfn.LET(_xlpm.bc,IFERROR(IF(VLOOKUP(BC28,Потребители_обозначение,6,FALSE)=0,"",VLOOKUP(BC28,Потребители_обозначение,6,FALSE)&amp;""),""),IF(AND(GA28="да",OR(_xlpm.bc="",_xlpm.bc="мс")),Марка_пож,IF(AND(_xlpm.bc="",BH28&lt;&gt;""),"мс",_xlpm.bc))))</f>
        <v>мс</v>
      </c>
      <c r="BZ28" t="str">
        <f t="shared" si="18"/>
        <v>мс</v>
      </c>
      <c r="CA28">
        <f>IF(B28="","",_xlfn.LET(_xlpm.cc,IFERROR(N(VLOOKUP(BC28,Потребители_обозначение,7,FALSE)),0),IF(_xlpm.cc&gt;0,_xlpm.cc,IF(BZ28="","",IF(BV28=1,2,IF(N(BX28)=3,5,3))))))</f>
        <v>3</v>
      </c>
      <c r="CB28">
        <f t="shared" si="19"/>
        <v>3</v>
      </c>
      <c r="CC28">
        <f>IFERROR(N(VLOOKUP(BC28,Потребители_обозначение,10,FALSE)),0)</f>
        <v>2.5</v>
      </c>
      <c r="CD28">
        <f>IFERROR(VLOOKUP(BC28,Потребители_обозначение,5,FALSE),0)</f>
        <v>1</v>
      </c>
      <c r="CE28" s="6" cm="1">
        <f t="array" ref="CE28">IF(B28="","",IF(BH28&lt;&gt;"",IFERROR(_xlfn.XLOOKUP(BH28,Щиты[Щит],Щиты[cos φ]),0.95),IF(BP28=1,IFERROR(_xlfn.XLOOKUP(A28,Щиты[Щит],Щиты[cos φ]),0.95),IF(ISNUMBER(AD28),AD28,IFERROR(IF(CD28=2,_xlfn.IFS(BX28=3,VLOOKUP(BS28,Справочная_двигатели,8,FALSE),BX28=1,VLOOKUP(BS28,Справочная_двигатели,10,TRUE)),IF(AND(Методика="нормы 2026",FG28="Сил"),0.8,0.95)),0.95)))))</f>
        <v>0.95</v>
      </c>
      <c r="CF28">
        <f t="shared" si="20"/>
        <v>0</v>
      </c>
      <c r="CG28">
        <f t="shared" si="21"/>
        <v>1</v>
      </c>
      <c r="CH28">
        <f t="shared" si="22"/>
        <v>0</v>
      </c>
      <c r="CI28">
        <f>IF(B28="","",IF(BV28=1,IFERROR(BS28/((Uн_лин/SQRT(3))*MAX(0.5,N(CE28))),0),N(O28)))</f>
        <v>6.8370426614560946</v>
      </c>
      <c r="CJ28">
        <f t="shared" si="23"/>
        <v>4.5580284409707295</v>
      </c>
      <c r="CK28">
        <f t="shared" si="24"/>
        <v>1</v>
      </c>
      <c r="CL28">
        <f t="shared" si="25"/>
        <v>1</v>
      </c>
      <c r="CM28">
        <f t="shared" si="26"/>
        <v>16</v>
      </c>
      <c r="CN28">
        <f t="shared" si="27"/>
        <v>30</v>
      </c>
      <c r="CO28">
        <f>IF(BC28="",0,_xlfn.LET(_xlpm.v,IFERROR(_xlfn.XLOOKUP(B28,Коды_код,Коды_мА),IFERROR(_xlfn.XLOOKUP(BC28,Коды_код,Коды_мА),IFERROR(_xlfn.XLOOKUP(LEFT(BC28,2),Коды_код,Коды_мА),""))),IF(_xlpm.v="да",30,IF(ISNUMBER(_xlpm.v),_xlpm.v,0))))</f>
        <v>30</v>
      </c>
      <c r="CP28">
        <f t="shared" si="28"/>
        <v>30</v>
      </c>
      <c r="CQ28" t="str">
        <f>_xlfn.LET(_xlpm.k,IFERROR(_xlfn.XLOOKUP(BC28,Коды_код,Коды_утечка)&amp;"",""),IF(_xlpm.k="","дифавтомат",_xlpm.k))</f>
        <v>дифавтомат</v>
      </c>
      <c r="CR28" t="str" cm="1">
        <f t="array" ref="CR28">IF(CG28=0,"",_xlfn.LET(_xlpm.sg,TRIM(_xlfn.TEXTSPLIT(DD28&amp;"",";")),_xlpm.f_,_xlfn._xlws.FILTER(_xlpm.sg,LEFT(_xlpm.sg,3)="УЗО",""),IFERROR(INDEX(_xlpm.f_,1)&amp;"","")))</f>
        <v/>
      </c>
      <c r="CS28" t="str">
        <f t="shared" si="29"/>
        <v/>
      </c>
      <c r="CT28" s="6" t="str" cm="1">
        <f t="array" ref="CT28">IF(CR28="","",_xlfn.LET(_xlpm.tk,_xlfn.TEXTSPLIT(UPPER(CR28)," ",,TRUE),_xlpm.a_,_xlfn._xlws.FILTER(_xlpm.tk,ISNUMBER(--LEFT(_xlpm.tk,1))*((ISNUMBER(SEARCH("А",_xlpm.tk))+ISNUMBER(SEARCH("A",_xlpm.tk)))&gt;0)*NOT(ISNUMBER(SEARCH("МА",_xlpm.tk)))*NOT(ISNUMBER(SEARCH("MA",_xlpm.tk))),""),IFERROR(--SUBSTITUTE(SUBSTITUTE(INDEX(_xlpm.a_,1),"А",""),"A",""),"")))</f>
        <v/>
      </c>
      <c r="CU28" t="str" cm="1">
        <f t="array" ref="CU28">IF(CR28="","",_xlfn.LET(_xlpm.tk,_xlfn.TEXTSPLIT(UPPER(CR28)," ",,TRUE),_xlpm.a_,_xlfn._xlws.FILTER(_xlpm.tk,ISNUMBER(--LEFT(_xlpm.tk,1))*((ISNUMBER(SEARCH("МА",_xlpm.tk))+ISNUMBER(SEARCH("MA",_xlpm.tk)))&gt;0),""),IFERROR(--SUBSTITUTE(SUBSTITUTE(INDEX(_xlpm.a_,1),"МА",""),"MA",""),30)))</f>
        <v/>
      </c>
      <c r="CV28" t="str">
        <f>IF(CS28="","",IFERROR(_xlfn.XLOOKUP(CS28,Линии[_n],Линии[_УЗО, мА]),30))</f>
        <v/>
      </c>
      <c r="CW28">
        <f>IF(CS28="",0,IF(ISNUMBER(SEARCH("4P",IFERROR(_xlfn.XLOOKUP(CS28,Линии[_n],Линии[_УЗО строки])&amp;"",""))),0,1))</f>
        <v>0</v>
      </c>
      <c r="CX28" t="str">
        <f>IF(AND(CS28&lt;&gt;"",CS28=BA28),SUMIFS(Линии[_ток на 230 В],Линии[_блок УЗО],BA28,Линии[Щит],A28),"")</f>
        <v/>
      </c>
      <c r="CY28" t="str">
        <f>IF(AND(CS28&lt;&gt;"",CS28=BA28),SUMIFS(Линии[_ток утечки линии, мА],Линии[_блок УЗО],BA28,Линии[Щит],A28),"")</f>
        <v/>
      </c>
      <c r="CZ28">
        <f t="shared" si="30"/>
        <v>30</v>
      </c>
      <c r="DA28">
        <f t="shared" si="31"/>
        <v>30</v>
      </c>
      <c r="DB28">
        <f>IF(B28="",0,IFERROR(--_xlfn.XLOOKUP(B28,Коды_код,Коды_минавт),IFERROR(--_xlfn.XLOOKUP(BC28,Коды_код,Коды_минавт),IFERROR(--_xlfn.XLOOKUP(LEFT(BC28,2),Коды_код,Коды_минавт),0))))</f>
        <v>16</v>
      </c>
      <c r="DC28" t="str">
        <f>IF(B28="","",IFERROR(_xlfn.XLOOKUP(BC28,Коды_код,Коды_апп)&amp;"",""))</f>
        <v/>
      </c>
      <c r="DD28" t="str">
        <f t="shared" si="32"/>
        <v/>
      </c>
      <c r="DE28" t="str" cm="1">
        <f t="array" ref="DE28">IF(TRIM(DD28&amp;"")="","",IFERROR(TRIM(INDEX(_xlfn.TEXTSPLIT(DD28&amp;";;;",";"),1)),""))</f>
        <v/>
      </c>
      <c r="DF28" t="str" cm="1">
        <f t="array" ref="DF28">IF(TRIM(DD28&amp;"")="","",IFERROR(TRIM(INDEX(_xlfn.TEXTSPLIT(DD28&amp;";;;",";"),2)),""))</f>
        <v/>
      </c>
      <c r="DG28" t="str" cm="1">
        <f t="array" ref="DG28">IF(TRIM(DD28&amp;"")="","",IFERROR(TRIM(INDEX(_xlfn.TEXTSPLIT(DD28&amp;";;;",";"),3)),""))</f>
        <v/>
      </c>
      <c r="DH28">
        <f t="shared" si="33"/>
        <v>0</v>
      </c>
      <c r="DI28" t="str">
        <f>IF(B28="","",_xlfn.LET(_xlpm.t,LOWER(AZ28&amp;""),IF(ISNUMBER(SEARCH("dim",_xlpm.t)),"DIM",IF(ISNUMBER(SEARCH("dali",_xlpm.t)),"DALI",IF(OR(ISNUMBER(SEARCH("relay",_xlpm.t)),ISNUMBER(SEARCH("реле",_xlpm.t))),"Relay",IF(ISNUMBER(SEARCH("кнопк",_xlpm.t)),"",IFERROR(_xlfn.XLOOKUP(BC28,Коды_код,Коды_упр)&amp;"","")))))))</f>
        <v/>
      </c>
      <c r="DJ28" t="str">
        <f t="shared" si="34"/>
        <v/>
      </c>
      <c r="DK28">
        <f>IF(B28="","",_xlfn.LET(_xlpm.ig,IF(N(CX28)&gt;0,N(CX28),N(CI28)+IF(AJ28="вручную",0,N(CJ28))),_xlpm.n0,IFERROR(VLOOKUP(_xlpm.ig,Автомат_номиналы,2,TRUE),0),_xlpm.mn,MAX(DB28,IF(AJ28="вручную",0,N(CM28))),MAX(_xlpm.n0,_xlpm.mn,IF(DH28=1,Мин_автомат_БП,0))))</f>
        <v>16</v>
      </c>
      <c r="DL28">
        <f t="shared" si="35"/>
        <v>1</v>
      </c>
      <c r="DM28" t="str">
        <f t="shared" si="36"/>
        <v>2P</v>
      </c>
      <c r="DN28" t="str">
        <f>_xlfn.LET(_xlpm.cc,UPPER(TRIM(IFERROR(_xlfn.XLOOKUP(BC28,Коды_код,Коды_хар)&amp;"",""))),IF(OR(_xlpm.cc="B",_xlpm.cc="В"),"B",IF(_xlpm.cc="D","D","С")))</f>
        <v>С</v>
      </c>
      <c r="DO28" t="str">
        <f t="shared" si="37"/>
        <v>2P С16А 30мА</v>
      </c>
      <c r="DP28" t="str">
        <f t="shared" si="38"/>
        <v>2P С16А 30мА</v>
      </c>
      <c r="DQ28" t="str">
        <f t="shared" si="39"/>
        <v>2P С16А 30мА</v>
      </c>
      <c r="DR28" cm="1">
        <f t="array" ref="DR28">IF(DQ28="","",_xlfn.LET(_xlpm.t,SUBSTITUTE(SUBSTITUTE(SUBSTITUTE(UPPER(DQ28),"С","C"),"А","A"),"В","B"),_xlpm.tk,_xlfn.TEXTSPLIT(_xlpm.t," "),_xlpm.f,_xlfn._xlws.FILTER(_xlpm.tk,ISNUMBER(--MID(_xlpm.tk,2,1))*ISNUMBER(SEARCH(LEFT(_xlpm.tk,1)&amp;"#","B#C#D#"))*(LEN(_xlpm.tk)&gt;1),""),_xlpm.x,INDEX(_xlpm.f,1),IFERROR(--SUBSTITUTE(MID(_xlpm.x,2,9),"A",""),IFERROR(--SUBSTITUTE(INDEX(_xlfn._xlws.FILTER(_xlpm.tk,ISNUMBER(--SUBSTITUTE(_xlpm.tk,"A","")),""),1),"A",""),""))))</f>
        <v>16</v>
      </c>
      <c r="DS28" t="str">
        <f t="shared" si="40"/>
        <v>ok</v>
      </c>
      <c r="DT28">
        <f t="shared" si="41"/>
        <v>16</v>
      </c>
      <c r="DU28" t="str">
        <f t="shared" si="42"/>
        <v>2P С16А 30мА</v>
      </c>
      <c r="DV28">
        <f t="shared" si="43"/>
        <v>30</v>
      </c>
      <c r="DW28">
        <f t="shared" si="44"/>
        <v>1</v>
      </c>
      <c r="DX28">
        <f t="shared" si="45"/>
        <v>0</v>
      </c>
      <c r="DY28">
        <f t="shared" si="46"/>
        <v>11.395071102426824</v>
      </c>
      <c r="DZ28">
        <f t="shared" si="47"/>
        <v>1</v>
      </c>
      <c r="EA28">
        <f>IF(ISNUMBER(AP28),AP28,К_прокл)</f>
        <v>1</v>
      </c>
      <c r="EB28">
        <f t="shared" si="48"/>
        <v>2</v>
      </c>
      <c r="EC28">
        <f>IFERROR(N(VLOOKUP(BZ28,Кабель_обозначение,3,FALSE)),1)</f>
        <v>1</v>
      </c>
      <c r="ED28">
        <f>IFERROR(N(_xlfn.XLOOKUP(A28,Щиты[Щит],Щиты[ΔU до шин, %])),0)</f>
        <v>1.0560288498727977</v>
      </c>
      <c r="EE28">
        <f>IFERROR(_xlfn.XLOOKUP(A28,Щиты[Щит],Щиты[Zпетли на шинах, Ом]),"")</f>
        <v>0.28247829354840204</v>
      </c>
      <c r="EF28">
        <f>IFERROR(N(_xlfn.XLOOKUP(A28,Щиты[Щит],Щиты[ΔU до шин (подбор), %])),0)</f>
        <v>1.0560288498727977</v>
      </c>
      <c r="EG28">
        <f>IFERROR(_xlfn.XLOOKUP(A28,Щиты[Щит],Щиты[Zпетли на шинах (подбор), Ом]),"")</f>
        <v>0.28247829354840204</v>
      </c>
      <c r="EH28" t="str">
        <f t="shared" si="49"/>
        <v/>
      </c>
      <c r="EI28">
        <f t="shared" si="50"/>
        <v>15</v>
      </c>
      <c r="EJ28">
        <f t="shared" si="51"/>
        <v>2</v>
      </c>
      <c r="EK28">
        <f t="shared" si="52"/>
        <v>0.31</v>
      </c>
      <c r="EL28" s="6">
        <f>IF(B28="","",IF(BV28=1,dU_LED,IF(IFERROR(_xlfn.XLOOKUP(BC28,Коды_код,Коды_уго),"")="Светильник",3,4)+IF(Методика="нормы 2026",MIN(0.5,MAX(0,N(P28)-100)*0.005),0)))</f>
        <v>4</v>
      </c>
      <c r="EM28" cm="1">
        <f t="array" ref="EM28">IF(OR(B28="",BZ28="",EC28&lt;&gt;1),"",_xlfn.LET(_xlpm.sz,Iдоп_S,_xlpm.t_,CHOOSE(EB28,Iдоп_1ж,Iдоп_2ж,Iдоп_3ж)*DZ28*EA28,_xlpm.dcx,BV28=1,_xlpm.inn,IF(_xlpm.dcx,N(O28),N(DT28)),_xlpm.smin,MAX(1.5,CC28),_xlpm.L_,N(P28)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28)/N(BU28)*100,999),IFERROR(N(EJ28)*(_xlpm.rho*_xlpm.L_/_xlpm.sz*N(CE28)+_xlpm.xx*_xlpm.L_*N(EK28)/1000)*N(O28)/((Uн_лин/SQRT(3))*1000)*100,999)),_xlpm.kz,IF(OR(_xlpm.dcx,DW28=1,NOT(ISNUMBER(EG28)),_xlpm.L_=0,_xlpm.inn=0),1,IFERROR(--(c_min*(Uн_лин*1000/SQRT(3))/(EG28+2*ρкз_Cu*_xlpm.L_/_xlpm.sz)&gt;=HT28*_xlpm.inn),0)),_xlpm.ok,IFERROR((_xlpm.sz&gt;=_xlpm.smin)*(_xlpm.t_&gt;=_xlpm.inn)*IF(_xlpm.L_&gt;0,(_xlpm.du_+IF(_xlpm.dcx,0,EF28)&lt;=EL28+0.00001),1)*_xlpm.kz,0),_xlpm.r_,_xlfn._xlws.FILTER(_xlpm.sz,_xlpm.ok,"не подобрано"),INDEX(_xlpm.r_,1)))</f>
        <v>2.5</v>
      </c>
      <c r="EN28">
        <f t="shared" si="53"/>
        <v>2.5</v>
      </c>
      <c r="EO28" cm="1">
        <f t="array" ref="EO28">IF(OR(B28="",BZ28="",EC28&lt;&gt;1),"",_xlfn.LET(_xlpm.sz,Iдоп_S,_xlpm.t_,CHOOSE(EB28,Iдоп_1ж,Iдоп_2ж,Iдоп_3ж)*DZ28*EA28,_xlpm.ok,IFERROR((_xlpm.sz&gt;=MAX(1.5,CC28))*(_xlpm.t_&gt;=N(DT28)),0),_xlpm.r_,_xlfn._xlws.FILTER(_xlpm.sz,_xlpm.ok,""),INDEX(_xlpm.r_,1)))</f>
        <v>2.5</v>
      </c>
      <c r="EP28" s="6" cm="1">
        <f t="array" ref="EP28">IFERROR(ROUNDUP(N(EJ28)*(_xlfn.XLOOKUP(EO28,INDEX(Кабель_сопротивление,0,1),INDEX(Кабель_сопротивление,0,3))*N(P28)/EO28*N(CE28)+_xlfn.XLOOKUP(EO28,INDEX(Кабель_сопротивление,0,1),INDEX(Кабель_сопротивление,0,2))*N(P28)*N(EK28)/1000)*N(O28)/((Uн_лин/SQRT(3))*1000)*100,2),"")</f>
        <v>1.28</v>
      </c>
      <c r="EQ28">
        <f>IFERROR(2*ρкз_Cu*N(P28)/EO28,"")</f>
        <v>0.52600000000000002</v>
      </c>
      <c r="ER28">
        <f>IFERROR(VLOOKUP(EN28,Кабель_сопротивление,3,FALSE),"")</f>
        <v>2.2499999999999999E-2</v>
      </c>
      <c r="ES28">
        <f>IFERROR(VLOOKUP(EN28,Кабель_сопротивление,2,FALSE),"")</f>
        <v>0.1</v>
      </c>
      <c r="ET28">
        <f t="shared" si="54"/>
        <v>0</v>
      </c>
      <c r="EU28">
        <f t="shared" si="55"/>
        <v>21</v>
      </c>
      <c r="EV28">
        <f t="shared" si="56"/>
        <v>2.9334331538977372</v>
      </c>
      <c r="EW28" s="6">
        <f>IFERROR(ROUNDUP(EV28/IF(BV28=1,BU28,(Uн_лин/SQRT(3))*1000)*100,2),"")</f>
        <v>1.28</v>
      </c>
      <c r="EX28" t="str">
        <f>IFERROR(VLOOKUP(BZ28,Кабель_обозначение,2,FALSE),"")</f>
        <v>ВВГнг(А)-LS</v>
      </c>
      <c r="EY28" t="str">
        <f t="shared" si="57"/>
        <v>ВВГнг(А)-LS (3х2,5)</v>
      </c>
      <c r="EZ28" t="str">
        <f t="shared" si="58"/>
        <v>ВВГнг(А)-LS (3х2,5)
L=25-1,28%</v>
      </c>
      <c r="FA28">
        <f>IFERROR(2*ρкз_Cu*P28/EN28,"")</f>
        <v>0.52600000000000002</v>
      </c>
      <c r="FB28">
        <f t="shared" si="59"/>
        <v>0.17500000000000002</v>
      </c>
      <c r="FC28" s="6">
        <f>IFERROR(IF(OR(B28="",BV28=1,NOT(ISNUMBER(EN28)),N(P28)=0),"",_xlfn.XLOOKUP(A28,Щиты[Щит],Щиты[Zпетли на шинах, Ом])+FA28),"")</f>
        <v>0.80847829354840206</v>
      </c>
      <c r="FD28" s="6">
        <f>IF(ISNUMBER(FC28),c_min*(Uн_лин*1000/SQRT(3))/FC28,"")</f>
        <v>271.36548258969816</v>
      </c>
      <c r="FE28" s="6">
        <f>IFERROR(IF(OR(B28="",NOT(ISNUMBER(EN28))),"",1.05*(Uн_лин*1000/SQRT(3))/(_xlfn.XLOOKUP(A28,Щиты[Щит],Щиты[Zmax на шинах, Ом])+FB28)/1000),"")</f>
        <v>0.93223571153259466</v>
      </c>
      <c r="FF28" s="6" t="str">
        <f>IF(B28="","",IF(ISNUMBER(AC28),"Сил",IF(IFERROR(_xlfn.XLOOKUP(BC28,Коды_код,Коды_группа)&amp;"","")="","Быт",_xlfn.XLOOKUP(BC28,Коды_код,Коды_группа)&amp;"")))</f>
        <v>Быт</v>
      </c>
      <c r="FG28" s="6" t="str">
        <f t="shared" si="60"/>
        <v>Быт</v>
      </c>
      <c r="FH28" s="6">
        <f>IF(FG28="Щит","щит",IF(FG28="","",IF(FG28="Быт",IFERROR(_xlfn.XLOOKUP(A28,Щиты[Щит],Щиты[Кс быт]),1),IF(FG28="Сил",IF(ISNUMBER(AC28),AC28,IF(Методика="нормы 2026",IFERROR(_xlfn.XLOOKUP(A28,Щиты[Щит],Щиты[Кс силовых (табл. 7.5)]),1),1)),IF(OR(FG28="Пост",FG28="Отоп"),1,IF(FG28="ВНГ",0.7,0))))))</f>
        <v>0.8</v>
      </c>
      <c r="FI28">
        <f>IF(FG28="","",IF(AND(BP28=1,TRIM(AE28&amp;"")=""),IF(COUNTIFS(Линии[Щит],A28,Линии[Секция (1/2/3)],"&gt;=2")&gt;0,MIN(3,MAX(1,IFERROR(--BD28,1))),1),IFERROR(MIN(3,MAX(1,INT(--AE28))),1)))</f>
        <v>1</v>
      </c>
      <c r="FJ28">
        <f t="shared" si="61"/>
        <v>1.5</v>
      </c>
      <c r="FK28">
        <f t="shared" si="62"/>
        <v>1.5</v>
      </c>
      <c r="FL28">
        <f t="shared" si="63"/>
        <v>0</v>
      </c>
      <c r="FM28">
        <f t="shared" si="64"/>
        <v>0</v>
      </c>
      <c r="FN28">
        <f t="shared" si="65"/>
        <v>0</v>
      </c>
      <c r="FO28">
        <f t="shared" si="66"/>
        <v>0</v>
      </c>
      <c r="FP28">
        <f t="shared" si="67"/>
        <v>1.5</v>
      </c>
      <c r="FQ28">
        <f t="shared" si="68"/>
        <v>1.5</v>
      </c>
      <c r="FR28">
        <f t="shared" si="69"/>
        <v>1.4249999999999998</v>
      </c>
      <c r="FS28">
        <f>IF(CG28=1,IF(AND(CH28=1,CW28=1),0,IF(AND(CS28&lt;&gt;"",CS28=BA28,CW28=1),SUMIFS(Линии[_Р линии, кВт],Линии[_блок УЗО],BA28,Линии[Щит],A28),N(BS28)+IF(AJ28="вручную",0,N(CK28)))),0)</f>
        <v>2.5</v>
      </c>
      <c r="FT28" t="str">
        <f t="shared" si="70"/>
        <v/>
      </c>
      <c r="FU28" t="str">
        <f>IF(B28="","",IF(CG28=0,IF(BA28=1,"",FW27),IF(AND(CH28=1,CW28=1,CS28&lt;&gt;""),IFERROR(_xlfn.XLOOKUP(CS28,Линии[_n],Линии[_фаза итог]),"L1"),IF(OR(N(DL28)&gt;=3,N(BX28)&gt;=3),"L1,L2,L3",IFERROR(_xlfn.TEXTBEFORE(_xlfn.TEXTAFTER(_xlfn.XLOOKUP(A28,Щиты[Щит],Щиты[_фазы авто]),";"&amp;BA28&amp;":"),";"),"L1")))))</f>
        <v>L1</v>
      </c>
      <c r="FV28" t="str">
        <f t="shared" si="71"/>
        <v>L1</v>
      </c>
      <c r="FW28" t="str">
        <f t="shared" si="72"/>
        <v>L1</v>
      </c>
      <c r="FX28" cm="1">
        <f t="array" ref="FX28">IFERROR(IF(CD28=2,_xlfn.IFS(BX28=3,VLOOKUP(BS28,Справочная_двигатели,3,FALSE),BX28=1,VLOOKUP(BS28,Справочная_двигатели,5,TRUE)),0),0)</f>
        <v>0</v>
      </c>
      <c r="FY28">
        <f>IFERROR(IF(CD28=3,VLOOKUP(BS28,Справочная_ЛЭД,2,TRUE),0),0)</f>
        <v>0</v>
      </c>
      <c r="FZ28" s="6">
        <f t="shared" si="73"/>
        <v>0</v>
      </c>
      <c r="GA28" t="str">
        <f>IF(B28="","",IF(TRIM(AH28&amp;"")&lt;&gt;"",IF(LOWER(TRIM(AH28&amp;""))="да","да","нет"),IF(IFERROR(_xlfn.XLOOKUP(BC28,Коды_код,Коды_пожарная),"")="да","да","нет")))</f>
        <v>нет</v>
      </c>
      <c r="GB28" t="str">
        <f t="shared" si="74"/>
        <v/>
      </c>
      <c r="GC28" t="str">
        <f t="shared" si="75"/>
        <v>основная</v>
      </c>
      <c r="GD28">
        <f>IF(AND(BP28=1,TRIM(AE28&amp;"")=""),IF(COUNTIFS(Линии[Щит],A28,Линии[Секция (1/2/3)],"&gt;=2")&gt;0,MIN(3,MAX(1,IFERROR(--BD28,1))),1),IFERROR(MIN(3,MAX(1,INT(--AE28))),1))</f>
        <v>1</v>
      </c>
      <c r="GE28" t="str" cm="1">
        <f t="array" ref="GE28">IF(B28="","",_xlfn.LET(_xlpm.t,IFERROR(_xlfn.XLOOKUP(1,(Шины[Шина]=GC28)*(((Шины[Щит]=A28)+(Шины[Щит]=""))&gt;0),Шины[Тип]),"")&amp;"",IF(_xlpm.t&lt;&gt;"",_xlpm.t,IF(ISNUMBER(SEARCH("ИБП",GC28)),"ИБП",IF(ISNUMBER(SEARCH("ДГУ",GC28)),"ДГУ","Ввод "&amp;GD28)))))</f>
        <v>Ввод 1</v>
      </c>
      <c r="GF28" t="str">
        <f t="shared" si="76"/>
        <v>Ввод 1</v>
      </c>
      <c r="GG28" t="str">
        <f>IF(BP28=0,"",IF(TRIM(AG28&amp;"")&lt;&gt;"",TRIM(AG28&amp;""),IF(OR(GE28="ИБП",GE28="ДГУ"),"I особая",_xlfn.XLOOKUP(A28,Щиты[Щит],Щиты[Категория шины «Ввод»],"III"))))</f>
        <v/>
      </c>
      <c r="GH28" t="str">
        <f>IF(A28="","",_xlfn.XLOOKUP(A28,Щиты[Щит],Щиты[Путь],""))</f>
        <v>|ВРУ|ЩР-1|</v>
      </c>
      <c r="GI28" t="str">
        <f>IF(B28="","",IF(AI28&lt;&gt;"",AI28,IF(IFERROR(_xlfn.XLOOKUP(BC28,Коды_код,Коды_вид)&amp;"","")="","Прочее",_xlfn.XLOOKUP(BC28,Коды_код,Коды_вид)&amp;"")))</f>
        <v>Розеточная сеть и бытовые приборы</v>
      </c>
      <c r="GJ28">
        <f>IF(BM28="","",INT((BM28-1)/Столбцов_на_лист)+1)</f>
        <v>1</v>
      </c>
      <c r="GK28" t="str">
        <f t="shared" si="77"/>
        <v>ВВГнг(А)-LS (3х2,5) L=25-1,28%</v>
      </c>
      <c r="GL28">
        <f t="shared" si="78"/>
        <v>1.5</v>
      </c>
      <c r="GM28">
        <f t="shared" si="79"/>
        <v>6.84</v>
      </c>
      <c r="GN28">
        <f t="shared" si="80"/>
        <v>1</v>
      </c>
      <c r="GO28">
        <f t="shared" si="81"/>
        <v>0</v>
      </c>
      <c r="GP28">
        <f t="shared" si="82"/>
        <v>1</v>
      </c>
      <c r="GQ28">
        <f>IF(BM28="","",IF(AND(CG28=1,GP28=1),COUNTIFS(A$3:A28,A28,CG$3:CG28,1,GP$3:GP28,1),IF(OR(OR(BA28=1,A28&lt;&gt;A27),AJ28="вручную",GP28=0),"",IF(BA28=1,"",GR27))))</f>
        <v>2</v>
      </c>
      <c r="GR28">
        <f t="shared" si="83"/>
        <v>2</v>
      </c>
      <c r="GS28">
        <f>IF(B28="","",IFERROR(LOOKUP(INDEX(CHOOSE(EB28,Iдоп_1ж,Iдоп_2ж,Iдоп_3ж),MATCH(EN28,Iдоп_S,0))*DZ28*EA28,{6,10,16,20,25,32,40,50,63,80,100,125,160,200,250,315,400,500,630}),""))</f>
        <v>25</v>
      </c>
      <c r="GT28" t="str">
        <f t="shared" si="84"/>
        <v>QFD2</v>
      </c>
      <c r="GU28" t="str">
        <f t="shared" si="85"/>
        <v>QFD2</v>
      </c>
      <c r="GV28" t="str">
        <f t="shared" si="86"/>
        <v/>
      </c>
      <c r="GW28">
        <f t="shared" si="87"/>
        <v>0</v>
      </c>
      <c r="GX28" t="str">
        <f>IF(OR(B28="",DJ28=""),"",IFERROR(_xlfn.XLOOKUP(DJ28,Модули_умолч[Управление],Модули_умолч[Модель])&amp;"",""))</f>
        <v/>
      </c>
      <c r="GY28">
        <f>IF(DJ28="",1,IFERROR(MAX(0,N(_xlfn.XLOOKUP(DJ28,Модули_умолч[Управление],Модули_умолч[Каналов на линию]))),1))</f>
        <v>1</v>
      </c>
      <c r="GZ28" t="str">
        <f t="shared" si="88"/>
        <v/>
      </c>
      <c r="HA28" t="str">
        <f t="shared" si="89"/>
        <v/>
      </c>
      <c r="HB28" t="str">
        <f t="shared" si="90"/>
        <v/>
      </c>
      <c r="HC28">
        <f>IF(HB28="",0,IFERROR(N(VLOOKUP(HB28,Модули_спр,3,FALSE)),0))</f>
        <v>0</v>
      </c>
      <c r="HD28" t="str">
        <f t="shared" si="91"/>
        <v/>
      </c>
      <c r="HE28" t="str">
        <f t="shared" si="92"/>
        <v/>
      </c>
      <c r="HF28" t="str">
        <f>IF(OR(HE28="",HE28="-"),"",IFERROR(VLOOKUP(HE28,Модули_спр,2,FALSE),"R"))</f>
        <v/>
      </c>
      <c r="HG28" t="str">
        <f>IF(HF28="","",HF28&amp;"."&amp;COUNTIFS(A$3:A28,A28,HF$3:HF28,HF28))</f>
        <v/>
      </c>
      <c r="HH28" t="str">
        <f t="shared" si="93"/>
        <v/>
      </c>
      <c r="HI28" t="str">
        <f t="shared" si="94"/>
        <v/>
      </c>
      <c r="HJ28" t="str">
        <f t="shared" si="95"/>
        <v/>
      </c>
      <c r="HK28" t="str">
        <f t="shared" si="96"/>
        <v/>
      </c>
      <c r="HL28">
        <f t="shared" si="97"/>
        <v>1</v>
      </c>
      <c r="HM28" t="str">
        <f>IF(HL28=1,"XT"&amp;COUNTIFS(A$3:A28,A28,HL$3:HL28,1),"")</f>
        <v>XT2</v>
      </c>
      <c r="HN28" t="str">
        <f t="shared" si="98"/>
        <v>XT2</v>
      </c>
      <c r="HO28" t="str">
        <f t="shared" si="99"/>
        <v>QFD2</v>
      </c>
      <c r="HP28" t="str">
        <f t="shared" si="100"/>
        <v/>
      </c>
      <c r="HQ28" t="str">
        <f t="shared" si="101"/>
        <v>ok</v>
      </c>
      <c r="HR28" t="str">
        <f>IF(OR(HJ28="",HH28=""),"",IF(HJ28+MAX(0,GY28-1)&gt;IFERROR(VLOOKUP(HI28,Модули_спр,3,FALSE),99),"ЛИШНИЙ КАНАЛ",IF(AND(AL28&lt;&gt;"=",GY28&gt;0,COUNTIFS(Линии[_модуль гр.],HH28,Линии[Канал (итог)],HJ28,Линии[Канал],"&lt;&gt;=",Линии[Щит],A28)&gt;1),"ДУБЛЬ КАНАЛА","")))</f>
        <v/>
      </c>
      <c r="HS28" s="6">
        <f t="shared" si="102"/>
        <v>16.960342661856135</v>
      </c>
      <c r="HT28">
        <f t="shared" si="103"/>
        <v>10</v>
      </c>
      <c r="HU28" t="str">
        <f t="shared" si="104"/>
        <v>ok</v>
      </c>
      <c r="HV28">
        <f t="shared" si="105"/>
        <v>2.9848170645824381</v>
      </c>
      <c r="HW28">
        <f t="shared" si="106"/>
        <v>2.0032113763882919</v>
      </c>
      <c r="HX28">
        <f t="shared" si="107"/>
        <v>0</v>
      </c>
      <c r="HY28">
        <f t="shared" si="108"/>
        <v>0</v>
      </c>
      <c r="HZ28">
        <f t="shared" si="109"/>
        <v>0</v>
      </c>
      <c r="IA28">
        <f t="shared" si="110"/>
        <v>0</v>
      </c>
      <c r="IB28">
        <f t="shared" si="111"/>
        <v>0</v>
      </c>
      <c r="IC28" t="str">
        <f t="shared" si="112"/>
        <v/>
      </c>
      <c r="ID28" t="str" cm="1">
        <f t="array" ref="ID28">IF(IC28="","",_xlfn.LET(_xlpm.tk,_xlfn.TEXTSPLIT(SUBSTITUTE(SUBSTITUTE(IC28,";"," "),"→"," ")," ",,TRUE),_xlpm.w_,_xlfn._xlws.FILTER(_xlpm.tk,ISNUMBER(--LEFT(_xlpm.tk,1))*((ISNUMBER(SEARCH("W",_xlpm.tk))+ISNUMBER(SEARCH("Вт",_xlpm.tk)))&gt;0),""),IFERROR(--SUBSTITUTE(SUBSTITUTE(UPPER(INDEX(_xlpm.w_,1)),"W",""),"ВТ",""),"")))</f>
        <v/>
      </c>
      <c r="IE28" t="str" cm="1">
        <f t="array" ref="IE28">IF(IC28="","",_xlfn.LET(_xlpm.tk,_xlfn.TEXTSPLIT(SUBSTITUTE(SUBSTITUTE(IC28,";"," "),"→"," ")," ",,TRUE),_xlpm.v_,_xlfn._xlws.FILTER(_xlpm.tk,ISNUMBER(--LEFT(_xlpm.tk,1))*((ISNUMBER(SEARCH("V",_xlpm.tk))+(RIGHT(UPPER(_xlpm.tk))="В"))&gt;0),""),IFERROR(--SUBSTITUTE(SUBSTITUTE(UPPER(INDEX(_xlpm.v_,1)),"V",""),"В",""),"")))</f>
        <v/>
      </c>
      <c r="IF28" s="6" t="str">
        <f>IF(OR(BV28=0,HI28="",HJ28=""),"",IFERROR(N(_xlfn.XLOOKUP(HI28,Каталог!$C$4:$C$500,Каталог!$Q$4:$Q$500)),""))</f>
        <v/>
      </c>
      <c r="IG28" s="6" t="str">
        <f>IF(N(IF28)=0,"",SUMIFS(Линии[Iр, А],Линии[Щит],A28,Линии[_модуль гр.],HH28,Линии[Канал (итог)],HJ28))</f>
        <v/>
      </c>
      <c r="IH28" t="str">
        <f>IF(AND(B28="",HO28=""),"",_xlfn.TEXTJOIN("; ",TRUE,IF(AND(B28&lt;&gt;"",FV28=""),"нет фазы",""),IF(AND(B28&lt;&gt;"",N(GL28)=0,FG28&lt;&gt;"Нет"),"нет мощности",""),IF(AND(HN28&lt;&gt;"",COUNTIFS(Линии[Щит],A28,Линии[Клемма (итог)],HN28)&gt;1),"дубль клеммы "&amp;HN28,""),IF(AND(HQ28&lt;&gt;"",HQ28&lt;&gt;"ok"),HQ28,""),IF(HR28&lt;&gt;"",HR28,""),IF(AND(N(CB28)&gt;=4,N(BX28)=1),CB28&amp;" жил на 1 фазе",""),IF(AND(BC28="R",CG28=1,IF(CS28&lt;&gt;"",N(CV28)&gt;30,OR(N(DA28)=0,N(DA28)&gt;30))),"розетка без дифзащиты до 30 мА",""),IF(AND(CG28=1,N(DA28)&gt;0,ISNUMBER(T28)),IF(T28&gt;N(DA28)/3,"ток утечки "&amp;FIXED(T28,1)&amp;" мА &gt; 1/3 уставки ("&amp;DA28&amp;" мА)",""),""),IF(AND(CH28=1,CS28=""),"«узо»: нет строки с УЗО выше (УЗО 2P 40А 30мА в «Аппаратах»)",""),IF(AND(CS28&lt;&gt;"",CS28=BA28),IF(CT28="","впишите номинал УЗО (УЗО 2P 40А 30мА)",IF(N(CT28)&lt;N(DT28),"УЗО "&amp;CT28&amp;" А &lt; автомата "&amp;DT28&amp;" А перед ним",IF(N(CT28)&lt;N(CX28),"УЗО "&amp;CT28&amp;" А &lt; тока блока "&amp;FIXED(CX28,1)&amp;" А",""))),""),IF(AND(CS28&lt;&gt;"",CS28=BA28,ISNUMBER(CY28)),IF(CY28&gt;N(CV28)/3,"ток утечки блока УЗО "&amp;FIXED(CY28,1)&amp;" мА &gt; 1/3 уставки ("&amp;CV28&amp;" мА)",""),""),IF(AND(CG28=1,N(BV28)+N(IB28)&gt;0,IC28=""),"линии до 50 В без БП: впишите в «Аппараты» (БП 24V 480W)",""),IF(AND(CG28=1,ISNUMBER(ID28),ISNUMBER(U28)),IF(U28&gt;ID28,"БП "&amp;ID28&amp;" Вт &lt; нужно "&amp;U28&amp;" Вт (×"&amp;Запас_БП&amp;")",""),""),IF(AND(CG28=1,ISNUMBER(IE28),N(BV28)=1),IF(IE28&lt;&gt;N(BU28),"БП на "&amp;IE28&amp;" В, линия "&amp;BU28&amp;" В",""),""),IF(AND(N(IF28)&gt;0,N(IG28)&gt;N(IF28)),HH28&amp;" канал "&amp;HJ28&amp;": "&amp;FIXED(IG28,1)&amp;" А &gt; "&amp;IF28&amp;" А",""),IFERROR(IF(AND(ISNUMBER(Q28),Q28&gt;EL28),"потери "&amp;FIXED(Q28,1)&amp;" % &gt; "&amp;EL28&amp;" %",""),""),IFERROR(IF(LEFT(HU28,4)="мало","Iкз мало — отключение &gt; 0,4 с",""),""),IF(AND(B28&lt;&gt;"",BM28=""),"не на схеме",""),IF(AND(CG28=0,B28&lt;&gt;"",FV28&lt;&gt;"",IF(BA28=1,"",FW27)&lt;&gt;"",FV28&lt;&gt;IF(BA28=1,"",FW27)),"фаза не как у автомата группы ("&amp;IF(BA28=1,"",FW27)&amp;")","")))</f>
        <v/>
      </c>
      <c r="II28" s="6">
        <f>IF(OR(CG28=0,DQ28=""),"",_xlfn.LET(_xlpm.t,IFERROR(_xlfn.XLOOKUP(DQ28,Каталог!$U$4:$U$500,Каталог!$G$4:$G$500),""),_xlpm.k,SEARCH("кА",_xlpm.t),IFERROR(--TRIM(RIGHT(SUBSTITUTE(MID(_xlpm.t,MAX(1,_xlpm.k-4),_xlpm.k-MAX(1,_xlpm.k-4))," ",REPT(" ",9)),5)),"")))</f>
        <v>6</v>
      </c>
      <c r="IJ28" t="str">
        <f>IF(OR(II28="",CG28=0),"",IF(_xlfn.XLOOKUP(A28,Щиты[Щит],Щиты[Iкз max на шинах, кА],"")="","",IF(II28&lt;_xlfn.XLOOKUP(A28,Щиты[Щит],Щиты[Iкз max на шинах, кА]),"Icu "&amp;II28&amp;" кА &lt; Iкз max","ok")))</f>
        <v>ok</v>
      </c>
      <c r="IK28" t="str">
        <f t="shared" si="113"/>
        <v/>
      </c>
      <c r="IL28" t="str">
        <f t="shared" si="114"/>
        <v>QFD2|XT2</v>
      </c>
      <c r="IM28" t="str">
        <f t="shared" si="115"/>
        <v>QFD2|XT2|кабель ВВГнг(А)-LS (3х2,5) → Розеточная группа, пом. 02</v>
      </c>
      <c r="IN28" t="str" cm="1">
        <f t="array" ref="IN28">IF(IM28="","",_xlfn.LET(_xlpm.nd,_xlfn.TEXTSPLIT(IM28,"|"),IF(COLUMNS(_xlpm.nd)&gt;1,A28&amp;"¦"&amp;INDEX(_xlpm.nd,1)&amp;"¦"&amp;INDEX(_xlpm.nd,2),"")))</f>
        <v>ЩР-1¦QFD2¦XT2</v>
      </c>
      <c r="IO28" t="str">
        <f t="shared" si="116"/>
        <v>R.1.02.1¦Розеточная группа, пом. 02</v>
      </c>
      <c r="IP28" t="str" cm="1">
        <f t="array" ref="IP28">IF(IM28="","",_xlfn.LET(_xlpm.nd,_xlfn.TEXTSPLIT(IM28,"|"),IF(COLUMNS(_xlpm.nd)&gt;2,A28&amp;"¦"&amp;INDEX(_xlpm.nd,2)&amp;"¦"&amp;INDEX(_xlpm.nd,3),"")))</f>
        <v>ЩР-1¦XT2¦кабель ВВГнг(А)-LS (3х2,5) → Розеточная группа, пом. 02</v>
      </c>
      <c r="IQ28" t="str">
        <f t="shared" si="117"/>
        <v>R.1.02.1¦Розеточная группа, пом. 02</v>
      </c>
      <c r="IR28" t="str" cm="1">
        <f t="array" ref="IR28">IF(IM28="","",_xlfn.LET(_xlpm.nd,_xlfn.TEXTSPLIT(IM28,"|"),IF(COLUMNS(_xlpm.nd)&gt;3,A28&amp;"¦"&amp;INDEX(_xlpm.nd,3)&amp;"¦"&amp;INDEX(_xlpm.nd,4),"")))</f>
        <v/>
      </c>
      <c r="IS28" t="str">
        <f t="shared" si="118"/>
        <v/>
      </c>
      <c r="IT28" t="str" cm="1">
        <f t="array" ref="IT28">IF(IM28="","",_xlfn.LET(_xlpm.nd,_xlfn.TEXTSPLIT(IM28,"|"),IF(COLUMNS(_xlpm.nd)&gt;4,A28&amp;"¦"&amp;INDEX(_xlpm.nd,4)&amp;"¦"&amp;INDEX(_xlpm.nd,5),"")))</f>
        <v/>
      </c>
      <c r="IU28" t="str">
        <f t="shared" si="119"/>
        <v/>
      </c>
      <c r="IV28" t="str" cm="1">
        <f t="array" ref="IV28">IF(IM28="","",_xlfn.LET(_xlpm.nd,_xlfn.TEXTSPLIT(IM28,"|"),IF(COLUMNS(_xlpm.nd)&gt;5,A28&amp;"¦"&amp;INDEX(_xlpm.nd,5)&amp;"¦"&amp;INDEX(_xlpm.nd,6),"")))</f>
        <v/>
      </c>
      <c r="IW28" t="str">
        <f t="shared" si="120"/>
        <v/>
      </c>
      <c r="IX28" t="str" cm="1">
        <f t="array" ref="IX28">IF(IM28="","",_xlfn.LET(_xlpm.nd,_xlfn.TEXTSPLIT(IM28,"|"),IF(COLUMNS(_xlpm.nd)&gt;6,A28&amp;"¦"&amp;INDEX(_xlpm.nd,6)&amp;"¦"&amp;INDEX(_xlpm.nd,7),"")))</f>
        <v/>
      </c>
      <c r="IY28" t="str">
        <f t="shared" si="121"/>
        <v/>
      </c>
      <c r="IZ28" t="str">
        <f t="shared" si="122"/>
        <v/>
      </c>
      <c r="JA28" t="str">
        <f t="shared" si="123"/>
        <v>QFD2 → XT2</v>
      </c>
      <c r="JB28">
        <f t="shared" si="124"/>
        <v>0</v>
      </c>
      <c r="JC28">
        <f t="shared" si="125"/>
        <v>1</v>
      </c>
      <c r="JD28" t="str">
        <f t="shared" si="126"/>
        <v/>
      </c>
      <c r="JE28" t="str">
        <f t="shared" si="127"/>
        <v/>
      </c>
      <c r="JF28" t="str">
        <f t="shared" si="128"/>
        <v/>
      </c>
      <c r="JG28" t="str">
        <f t="shared" si="129"/>
        <v/>
      </c>
      <c r="JH28" t="str">
        <f>IF(B28="","",IFERROR(_xlfn.XLOOKUP(B28,Коды_код,Коды_уго),IFERROR(_xlfn.XLOOKUP(BC28,Коды_код,Коды_уго),IFERROR(_xlfn.XLOOKUP(LEFT(BC28,2),Коды_код,Коды_уго),""))))</f>
        <v>Розетка</v>
      </c>
      <c r="JI28" t="str">
        <f>IF(B28="","",IF(OR(JH28="",JH28=0),"BOX",IFERROR(IF(VLOOKUP(JH28,УГО_блоки,3,FALSE)&amp;""&lt;&gt;"",VLOOKUP(JH28,УГО_блоки,3,FALSE),VLOOKUP(JH28,УГО_блоки,2,FALSE)),JH28)))</f>
        <v>SOCKET</v>
      </c>
      <c r="JJ28">
        <f t="shared" si="130"/>
        <v>1</v>
      </c>
      <c r="JK28" t="str">
        <f>IF(DQ28="","",IF(COUNTIF(DQ$3:DQ28,DQ28)=1,MAX(JK$2:JK27)+1,""))</f>
        <v/>
      </c>
      <c r="JL28" t="str">
        <f>IF(DE28="","",IF(COUNTIF(DE$3:DE28,DE28)+COUNTIF(DF$2:DF27,DE28)+COUNTIF(DG$2:DG27,DE28)=1,MAX(JL$2:JN27)+1,""))</f>
        <v/>
      </c>
      <c r="JM28" t="str">
        <f>IF(DF28="","",IF(COUNTIF(DE$3:DE28,DF28)+COUNTIF(DF$3:DF28,DF28)+COUNTIF(DG$2:DG27,DF28)=1,MAX(JL$2:JN27,JL28)+1,""))</f>
        <v/>
      </c>
      <c r="JN28" t="str">
        <f>IF(DG28="","",IF(COUNTIF(DE$3:DE28,DG28)+COUNTIF(DF$3:DF28,DG28)+COUNTIF(DG$3:DG28,DG28)=1,MAX(JL$2:JN27,JL28,JM28)+1,""))</f>
        <v/>
      </c>
      <c r="JO28" t="str">
        <f t="shared" si="131"/>
        <v>3х2,5</v>
      </c>
      <c r="JP28" t="str">
        <f>IF(JO28="","",IF(COUNTIF(JO$3:JO28,JO28)=1,MAX(JP$2:JP27)+1,""))</f>
        <v/>
      </c>
      <c r="JQ28" t="str">
        <f>IF(HG28="","",COUNTIF(HG$3:HG28,"?*"))</f>
        <v/>
      </c>
      <c r="JR28" t="str">
        <f>IF(OR(HG28="",HI28=""),"",IF(COUNTIFS(HG$3:HG28,"?*",HI$3:HI28,HI28)=1,MAX(JR$2:JR27)+1,""))</f>
        <v/>
      </c>
      <c r="JS28">
        <f t="shared" si="132"/>
        <v>0</v>
      </c>
      <c r="JT28">
        <f>IF(B28="","",COUNTIF(B$3:B28,"?*"))</f>
        <v>26</v>
      </c>
      <c r="JU28">
        <f>IF(HL28&lt;&gt;1,0,_xlfn.LET(_xlpm.k,MAX(IFERROR(--_xlfn.XLOOKUP(B28,Коды_код,Коды_3L),0),IFERROR(--_xlfn.XLOOKUP(BC28,Коды_код,Коды_3L),0),IFERROR(--_xlfn.XLOOKUP(LEFT(BC28,2),Коды_код,Коды_3L),0)),IF(_xlpm.k&gt;0,_xlpm.k,IF(IFERROR(--LEFT(SUBSTITUTE(JO28,"x","х"),FIND("х",SUBSTITUTE(JO28,"x","х"))-1),3)&gt;3,Каталог!$S$9,1))))</f>
        <v>1</v>
      </c>
      <c r="JV28">
        <f t="shared" si="133"/>
        <v>0</v>
      </c>
      <c r="JW28" t="str">
        <f t="shared" si="134"/>
        <v>авто</v>
      </c>
      <c r="JX28">
        <f t="shared" si="135"/>
        <v>30</v>
      </c>
      <c r="JY28">
        <f t="shared" si="136"/>
        <v>1</v>
      </c>
      <c r="JZ28">
        <f t="shared" si="137"/>
        <v>1</v>
      </c>
    </row>
    <row r="29" spans="1:286" x14ac:dyDescent="0.3">
      <c r="A29" t="s">
        <v>947</v>
      </c>
      <c r="B29" t="s">
        <v>1207</v>
      </c>
      <c r="C29" t="str">
        <f>Линии[[#This Row],[_авто наименование]]</f>
        <v>Розеточная группа, пом. 02</v>
      </c>
      <c r="D29">
        <v>2</v>
      </c>
      <c r="E29">
        <v>1</v>
      </c>
      <c r="F29" t="s">
        <v>1198</v>
      </c>
      <c r="G29" t="str">
        <f>Линии[[#This Row],[_авто автомат]]</f>
        <v>↑ 2P С16А 30мА</v>
      </c>
      <c r="H29" t="str">
        <f>Линии[[#This Row],[_авто управление]]</f>
        <v/>
      </c>
      <c r="I29" t="str">
        <f>Линии[[#This Row],[_авто аппараты]]</f>
        <v/>
      </c>
      <c r="J29">
        <f>Линии[[#This Row],[_авто сечение]]</f>
        <v>2.5</v>
      </c>
      <c r="K29">
        <v>12</v>
      </c>
      <c r="L29" t="str">
        <f>Линии[[#This Row],[_авто фаза]]</f>
        <v>L1</v>
      </c>
      <c r="M29" t="str">
        <f>Линии[[#This Row],[_авто клемма]]</f>
        <v>XT3</v>
      </c>
      <c r="N29" t="str">
        <f t="shared" si="0"/>
        <v/>
      </c>
      <c r="O29" s="6" cm="1">
        <f t="array" ref="O29">IF(B29="","",IF(BH29&lt;&gt;"",IFERROR(_xlfn.XLOOKUP(BH29,Щиты[Щит],Щиты[Iр, А]),""),IF(BP29=1,IF(OR(N(_xlfn.XLOOKUP(A29,Щиты[Щит],Щиты[Вводов],1))&lt;=1,LOWER(TRIM(_xlfn.XLOOKUP(A29,Щиты[Щит],Щиты[АВР],"")&amp;""))="да"),IFERROR(_xlfn.XLOOKUP(A29,Щиты[Щит],Щиты[Iр, А]),""),IFERROR(N(BS29)*_xlfn.XLOOKUP(A29,Щиты[Щит],Щиты[Кс итог])/(SQRT(3)*Uн_лин*_xlfn.XLOOKUP(A29,Щиты[Щит],Щиты[cos φ])),"")),IF(BV29=1,IFERROR(BS29*1000/BU29,""),IFERROR(_xlfn.IFS(BX29=1,BS29/((Uн_лин/SQRT(3))*CE29),BX29=3,BS29/(SQRT(3)*Uн_лин*CE29)),"")))))</f>
        <v>4.5580284409707295</v>
      </c>
      <c r="P29" s="7">
        <f>IF(B29="","",IFERROR(IF(VLOOKUP(BC29,Потребители_обозначение,4,FALSE)=1,VLOOKUP(BC29,Потребители_обозначение,3,FALSE)*(MAX(1,N(D29))*2-1)+EI29+VLOOKUP(BE29,Этаж_обозначение,3,FALSE)+VLOOKUP(BE29,Этаж_обозначение,4,FALSE),VLOOKUP(BC29,Потребители_обозначение,3,FALSE)*(MAX(1,N(D29))*2-1)+EI29),EI29))</f>
        <v>18</v>
      </c>
      <c r="Q29" s="6">
        <f t="shared" si="1"/>
        <v>1.6660288498727978</v>
      </c>
      <c r="R29" t="str">
        <f t="shared" si="2"/>
        <v>ВВГнг(А)-LS (3х2,5)</v>
      </c>
      <c r="S29" t="str">
        <f>IF(BM29="","",IF(BN29="вводной узел","узел ","")&amp;"л."&amp;(INT((BM29-1)/Столбцов_на_лист)+1)&amp;" / "&amp;(MOD(BM29-1,Столбцов_на_лист)+1))</f>
        <v>л.1 / 6</v>
      </c>
      <c r="T29" s="119" t="str">
        <f t="shared" si="3"/>
        <v/>
      </c>
      <c r="U29" s="7" t="str">
        <f>IF(OR(CG29=0,N(BV29)+N(IB29)=0),"",ROUNDUP(Запас_БП*(N(HY29)+N(HZ29)),0))</f>
        <v/>
      </c>
      <c r="V29" s="119" t="str">
        <f t="shared" si="4"/>
        <v/>
      </c>
      <c r="W29" s="7">
        <f>IFERROR(IF(OR(B29="",BP29=1,BV29=1,NOT(ISNUMBER(EN29)),N(DT29)=0),"",MAX(0,ROUNDDOWN((c_min*(Uн_лин*1000/SQRT(3))/(HT29*N(DT29))-_xlfn.XLOOKUP(A29,Щиты[Щит],Щиты[Zпетли на шинах, Ом]))*EN29/(2*ρкз_Cu),0))),"")</f>
        <v>51</v>
      </c>
      <c r="Y29">
        <f>Линии[[#This Row],[_авто утечка]]</f>
        <v>30</v>
      </c>
      <c r="Z29">
        <v>1</v>
      </c>
      <c r="AA29">
        <v>230</v>
      </c>
      <c r="AB29" t="str">
        <f>Линии[[#This Row],[_авто группа Кс]]</f>
        <v>Быт</v>
      </c>
      <c r="AK29" t="str">
        <f>Линии[[#This Row],[_авто модуль]]</f>
        <v/>
      </c>
      <c r="AN29" t="s">
        <v>11</v>
      </c>
      <c r="AO29">
        <v>3</v>
      </c>
      <c r="AT29">
        <v>2</v>
      </c>
      <c r="BA29" cm="1">
        <f t="array" ref="BA29">ROW()-ROW(Линии[#Headers])</f>
        <v>27</v>
      </c>
      <c r="BC29" s="6" t="str">
        <f t="shared" si="5"/>
        <v>R</v>
      </c>
      <c r="BD29" t="str">
        <f t="shared" si="6"/>
        <v>1.02.2</v>
      </c>
      <c r="BE29" t="str">
        <f t="shared" si="7"/>
        <v>1</v>
      </c>
      <c r="BF29" t="str">
        <f t="shared" si="8"/>
        <v>02.2</v>
      </c>
      <c r="BG29" t="str">
        <f t="shared" si="9"/>
        <v>02</v>
      </c>
      <c r="BH29" t="str">
        <f>IF(X29&lt;&gt;"",X29,IF(AND(B29&lt;&gt;"",B29&lt;&gt;A29,ISNUMBER(_xlfn.XMATCH(B29,Щиты[Щит]))),B29,""))</f>
        <v/>
      </c>
      <c r="BI29" t="str" cm="1">
        <f t="array" ref="BI29">IF(B29="","",IF(BH29&lt;&gt;"","Щит "&amp;BH29,_xlfn.LET(_xlpm.nm,IFERROR(_xlfn.XLOOKUP(BC29,Коды_код,Коды_имя)&amp;"",""),_xlpm.md,IFERROR(N(_xlfn.XLOOKUP(BC29,Коды_код,Коды_режим)),1),_xlpm.ex,IF(Имя_режим="по экспликации",IFERROR(_xlfn.XLOOKUP(BE29&amp;"|"&amp;BG29,Экспликация[Этаж]&amp;"|"&amp;Экспликация[Помещение],Экспликация[Название])&amp;"",""),""),_xlpm.rm,IF(BG29="","",IF(_xlpm.ex&lt;&gt;"",". "&amp;_xlpm.ex&amp;IF(Имя_пом="нет"," ("&amp;BG29&amp;")"," (пом. "&amp;BG29&amp;")"),IF(Имя_пом="нет"," ",", пом. ")&amp;BG29)),IF(_xlpm.nm="","",IF(_xlpm.md=2,_xlpm.nm&amp;" шлейф "&amp;BE29,_xlpm.nm&amp;_xlpm.rm)))))</f>
        <v>Розеточная группа, пом. 02</v>
      </c>
      <c r="BJ29" t="str">
        <f t="shared" si="10"/>
        <v>Розеточная группа, пом. 02</v>
      </c>
      <c r="BK29">
        <f>IFERROR(_xlfn.XMATCH(A29,Щиты[Щит]),0)</f>
        <v>4</v>
      </c>
      <c r="BL29">
        <f>_xlfn.LET(_xlpm.k,IFERROR(_xlfn.XLOOKUP(A29,Щиты[Щит],Щиты[Мест под вводной узел]),""),IF(_xlpm.k="",Столбцов_на_лист,N(_xlpm.k)))</f>
        <v>3</v>
      </c>
      <c r="BM29">
        <f t="shared" si="11"/>
        <v>6</v>
      </c>
      <c r="BN29" t="str">
        <f t="shared" si="12"/>
        <v>линии</v>
      </c>
      <c r="BO29" s="6">
        <f>IFERROR(N(_xlfn.XLOOKUP(BC29,Коды_код,Коды_квт)),0)</f>
        <v>0.06</v>
      </c>
      <c r="BP29">
        <f t="shared" si="13"/>
        <v>0</v>
      </c>
      <c r="BQ29">
        <f>IF(B29="","",IF(BH29&lt;&gt;"",IFERROR(_xlfn.XLOOKUP(BH29,Щиты[Щит],Щиты[Руст, кВт]),0),IF(BP29=1,IF(OR(N(_xlfn.XLOOKUP(A29,Щиты[Щит],Щиты[Вводов],1))&lt;=1,LOWER(TRIM(_xlfn.XLOOKUP(A29,Щиты[Щит],Щиты[АВР],"")&amp;""))="да"),IFERROR(_xlfn.XLOOKUP(A29,Щиты[Щит],Щиты[Руст, кВт]),0),SUMIFS(Линии[_Р для вводов],Линии[Щит],A29,Линии[Источник для режимов],GF29)),IF(BO29&gt;0,ROUND(BO29*MAX(1,N(D29)),3),""))))</f>
        <v>0.12</v>
      </c>
      <c r="BR29">
        <f t="shared" si="14"/>
        <v>1</v>
      </c>
      <c r="BS29" s="6">
        <f>IF(B29="","",IF(BH29&lt;&gt;"",IFERROR(_xlfn.XLOOKUP(BH29,Щиты[Щит],Щиты[Руст, кВт]),0),N(BR29)))</f>
        <v>1</v>
      </c>
      <c r="BT29">
        <f>IF(B29="","",IFERROR(IF(VLOOKUP(BC29,Потребители_обозначение,8,FALSE)=0,"",VLOOKUP(BC29,Потребители_обозначение,8,FALSE)),""))</f>
        <v>230</v>
      </c>
      <c r="BU29">
        <f t="shared" si="15"/>
        <v>230</v>
      </c>
      <c r="BV29">
        <f t="shared" si="16"/>
        <v>0</v>
      </c>
      <c r="BW29">
        <f>IF(B29="","",IF(BH29&lt;&gt;"",3,IFERROR(IF(N(VLOOKUP(BC29,Потребители_обозначение,9,FALSE))=0,1,VLOOKUP(BC29,Потребители_обозначение,9,FALSE)),1)))</f>
        <v>1</v>
      </c>
      <c r="BX29">
        <f t="shared" si="17"/>
        <v>1</v>
      </c>
      <c r="BY29" t="str">
        <f>IF(B29="","",_xlfn.LET(_xlpm.bc,IFERROR(IF(VLOOKUP(BC29,Потребители_обозначение,6,FALSE)=0,"",VLOOKUP(BC29,Потребители_обозначение,6,FALSE)&amp;""),""),IF(AND(GA29="да",OR(_xlpm.bc="",_xlpm.bc="мс")),Марка_пож,IF(AND(_xlpm.bc="",BH29&lt;&gt;""),"мс",_xlpm.bc))))</f>
        <v>мс</v>
      </c>
      <c r="BZ29" t="str">
        <f t="shared" si="18"/>
        <v>мс</v>
      </c>
      <c r="CA29">
        <f>IF(B29="","",_xlfn.LET(_xlpm.cc,IFERROR(N(VLOOKUP(BC29,Потребители_обозначение,7,FALSE)),0),IF(_xlpm.cc&gt;0,_xlpm.cc,IF(BZ29="","",IF(BV29=1,2,IF(N(BX29)=3,5,3))))))</f>
        <v>3</v>
      </c>
      <c r="CB29">
        <f t="shared" si="19"/>
        <v>3</v>
      </c>
      <c r="CC29">
        <f>IFERROR(N(VLOOKUP(BC29,Потребители_обозначение,10,FALSE)),0)</f>
        <v>2.5</v>
      </c>
      <c r="CD29">
        <f>IFERROR(VLOOKUP(BC29,Потребители_обозначение,5,FALSE),0)</f>
        <v>1</v>
      </c>
      <c r="CE29" s="6" cm="1">
        <f t="array" ref="CE29">IF(B29="","",IF(BH29&lt;&gt;"",IFERROR(_xlfn.XLOOKUP(BH29,Щиты[Щит],Щиты[cos φ]),0.95),IF(BP29=1,IFERROR(_xlfn.XLOOKUP(A29,Щиты[Щит],Щиты[cos φ]),0.95),IF(ISNUMBER(AD29),AD29,IFERROR(IF(CD29=2,_xlfn.IFS(BX29=3,VLOOKUP(BS29,Справочная_двигатели,8,FALSE),BX29=1,VLOOKUP(BS29,Справочная_двигатели,10,TRUE)),IF(AND(Методика="нормы 2026",FG29="Сил"),0.8,0.95)),0.95)))))</f>
        <v>0.95</v>
      </c>
      <c r="CF29">
        <f t="shared" si="20"/>
        <v>1</v>
      </c>
      <c r="CG29">
        <f t="shared" si="21"/>
        <v>0</v>
      </c>
      <c r="CH29">
        <f t="shared" si="22"/>
        <v>0</v>
      </c>
      <c r="CI29">
        <f>IF(B29="","",IF(BV29=1,IFERROR(BS29/((Uн_лин/SQRT(3))*MAX(0.5,N(CE29))),0),N(O29)))</f>
        <v>4.5580284409707295</v>
      </c>
      <c r="CJ29">
        <f t="shared" si="23"/>
        <v>0</v>
      </c>
      <c r="CK29">
        <f t="shared" si="24"/>
        <v>0</v>
      </c>
      <c r="CL29">
        <f t="shared" si="25"/>
        <v>0</v>
      </c>
      <c r="CM29">
        <f t="shared" si="26"/>
        <v>0</v>
      </c>
      <c r="CN29">
        <f t="shared" si="27"/>
        <v>0</v>
      </c>
      <c r="CO29">
        <f>IF(BC29="",0,_xlfn.LET(_xlpm.v,IFERROR(_xlfn.XLOOKUP(B29,Коды_код,Коды_мА),IFERROR(_xlfn.XLOOKUP(BC29,Коды_код,Коды_мА),IFERROR(_xlfn.XLOOKUP(LEFT(BC29,2),Коды_код,Коды_мА),""))),IF(_xlpm.v="да",30,IF(ISNUMBER(_xlpm.v),_xlpm.v,0))))</f>
        <v>30</v>
      </c>
      <c r="CP29">
        <f t="shared" si="28"/>
        <v>30</v>
      </c>
      <c r="CQ29" t="str">
        <f>_xlfn.LET(_xlpm.k,IFERROR(_xlfn.XLOOKUP(BC29,Коды_код,Коды_утечка)&amp;"",""),IF(_xlpm.k="","дифавтомат",_xlpm.k))</f>
        <v>дифавтомат</v>
      </c>
      <c r="CR29" t="str" cm="1">
        <f t="array" ref="CR29">IF(CG29=0,"",_xlfn.LET(_xlpm.sg,TRIM(_xlfn.TEXTSPLIT(DD29&amp;"",";")),_xlpm.f_,_xlfn._xlws.FILTER(_xlpm.sg,LEFT(_xlpm.sg,3)="УЗО",""),IFERROR(INDEX(_xlpm.f_,1)&amp;"","")))</f>
        <v/>
      </c>
      <c r="CS29" t="str">
        <f t="shared" si="29"/>
        <v/>
      </c>
      <c r="CT29" s="6" t="str" cm="1">
        <f t="array" ref="CT29">IF(CR29="","",_xlfn.LET(_xlpm.tk,_xlfn.TEXTSPLIT(UPPER(CR29)," ",,TRUE),_xlpm.a_,_xlfn._xlws.FILTER(_xlpm.tk,ISNUMBER(--LEFT(_xlpm.tk,1))*((ISNUMBER(SEARCH("А",_xlpm.tk))+ISNUMBER(SEARCH("A",_xlpm.tk)))&gt;0)*NOT(ISNUMBER(SEARCH("МА",_xlpm.tk)))*NOT(ISNUMBER(SEARCH("MA",_xlpm.tk))),""),IFERROR(--SUBSTITUTE(SUBSTITUTE(INDEX(_xlpm.a_,1),"А",""),"A",""),"")))</f>
        <v/>
      </c>
      <c r="CU29" t="str" cm="1">
        <f t="array" ref="CU29">IF(CR29="","",_xlfn.LET(_xlpm.tk,_xlfn.TEXTSPLIT(UPPER(CR29)," ",,TRUE),_xlpm.a_,_xlfn._xlws.FILTER(_xlpm.tk,ISNUMBER(--LEFT(_xlpm.tk,1))*((ISNUMBER(SEARCH("МА",_xlpm.tk))+ISNUMBER(SEARCH("MA",_xlpm.tk)))&gt;0),""),IFERROR(--SUBSTITUTE(SUBSTITUTE(INDEX(_xlpm.a_,1),"МА",""),"MA",""),30)))</f>
        <v/>
      </c>
      <c r="CV29" t="str">
        <f>IF(CS29="","",IFERROR(_xlfn.XLOOKUP(CS29,Линии[_n],Линии[_УЗО, мА]),30))</f>
        <v/>
      </c>
      <c r="CW29">
        <f>IF(CS29="",0,IF(ISNUMBER(SEARCH("4P",IFERROR(_xlfn.XLOOKUP(CS29,Линии[_n],Линии[_УЗО строки])&amp;"",""))),0,1))</f>
        <v>0</v>
      </c>
      <c r="CX29" t="str">
        <f>IF(AND(CS29&lt;&gt;"",CS29=BA29),SUMIFS(Линии[_ток на 230 В],Линии[_блок УЗО],BA29,Линии[Щит],A29),"")</f>
        <v/>
      </c>
      <c r="CY29" t="str">
        <f>IF(AND(CS29&lt;&gt;"",CS29=BA29),SUMIFS(Линии[_ток утечки линии, мА],Линии[_блок УЗО],BA29,Линии[Щит],A29),"")</f>
        <v/>
      </c>
      <c r="CZ29">
        <f t="shared" si="30"/>
        <v>30</v>
      </c>
      <c r="DA29" t="str">
        <f t="shared" si="31"/>
        <v/>
      </c>
      <c r="DB29">
        <f>IF(B29="",0,IFERROR(--_xlfn.XLOOKUP(B29,Коды_код,Коды_минавт),IFERROR(--_xlfn.XLOOKUP(BC29,Коды_код,Коды_минавт),IFERROR(--_xlfn.XLOOKUP(LEFT(BC29,2),Коды_код,Коды_минавт),0))))</f>
        <v>16</v>
      </c>
      <c r="DC29" t="str">
        <f>IF(B29="","",IFERROR(_xlfn.XLOOKUP(BC29,Коды_код,Коды_апп)&amp;"",""))</f>
        <v/>
      </c>
      <c r="DD29" t="str">
        <f t="shared" si="32"/>
        <v/>
      </c>
      <c r="DE29" t="str" cm="1">
        <f t="array" ref="DE29">IF(TRIM(DD29&amp;"")="","",IFERROR(TRIM(INDEX(_xlfn.TEXTSPLIT(DD29&amp;";;;",";"),1)),""))</f>
        <v/>
      </c>
      <c r="DF29" t="str" cm="1">
        <f t="array" ref="DF29">IF(TRIM(DD29&amp;"")="","",IFERROR(TRIM(INDEX(_xlfn.TEXTSPLIT(DD29&amp;";;;",";"),2)),""))</f>
        <v/>
      </c>
      <c r="DG29" t="str" cm="1">
        <f t="array" ref="DG29">IF(TRIM(DD29&amp;"")="","",IFERROR(TRIM(INDEX(_xlfn.TEXTSPLIT(DD29&amp;";;;",";"),3)),""))</f>
        <v/>
      </c>
      <c r="DH29">
        <f t="shared" si="33"/>
        <v>0</v>
      </c>
      <c r="DI29" t="str">
        <f>IF(B29="","",_xlfn.LET(_xlpm.t,LOWER(AZ29&amp;""),IF(ISNUMBER(SEARCH("dim",_xlpm.t)),"DIM",IF(ISNUMBER(SEARCH("dali",_xlpm.t)),"DALI",IF(OR(ISNUMBER(SEARCH("relay",_xlpm.t)),ISNUMBER(SEARCH("реле",_xlpm.t))),"Relay",IF(ISNUMBER(SEARCH("кнопк",_xlpm.t)),"",IFERROR(_xlfn.XLOOKUP(BC29,Коды_код,Коды_упр)&amp;"","")))))))</f>
        <v/>
      </c>
      <c r="DJ29" t="str">
        <f t="shared" si="34"/>
        <v/>
      </c>
      <c r="DK29">
        <f>IF(B29="","",_xlfn.LET(_xlpm.ig,IF(N(CX29)&gt;0,N(CX29),N(CI29)+IF(AJ29="вручную",0,N(CJ29))),_xlpm.n0,IFERROR(VLOOKUP(_xlpm.ig,Автомат_номиналы,2,TRUE),0),_xlpm.mn,MAX(DB29,IF(AJ29="вручную",0,N(CM29))),MAX(_xlpm.n0,_xlpm.mn,IF(DH29=1,Мин_автомат_БП,0))))</f>
        <v>16</v>
      </c>
      <c r="DL29">
        <f t="shared" si="35"/>
        <v>1</v>
      </c>
      <c r="DM29" t="str">
        <f t="shared" si="36"/>
        <v>1P</v>
      </c>
      <c r="DN29" t="str">
        <f>_xlfn.LET(_xlpm.cc,UPPER(TRIM(IFERROR(_xlfn.XLOOKUP(BC29,Коды_код,Коды_хар)&amp;"",""))),IF(OR(_xlpm.cc="B",_xlpm.cc="В"),"B",IF(_xlpm.cc="D","D","С")))</f>
        <v>С</v>
      </c>
      <c r="DO29" t="str">
        <f t="shared" si="37"/>
        <v>↑ 2P С16А 30мА</v>
      </c>
      <c r="DP29" t="str">
        <f t="shared" si="38"/>
        <v>↑ 2P С16А 30мА</v>
      </c>
      <c r="DQ29" t="str">
        <f t="shared" si="39"/>
        <v/>
      </c>
      <c r="DR29" t="str" cm="1">
        <f t="array" ref="DR29">IF(DQ29="","",_xlfn.LET(_xlpm.t,SUBSTITUTE(SUBSTITUTE(SUBSTITUTE(UPPER(DQ29),"С","C"),"А","A"),"В","B"),_xlpm.tk,_xlfn.TEXTSPLIT(_xlpm.t," "),_xlpm.f,_xlfn._xlws.FILTER(_xlpm.tk,ISNUMBER(--MID(_xlpm.tk,2,1))*ISNUMBER(SEARCH(LEFT(_xlpm.tk,1)&amp;"#","B#C#D#"))*(LEN(_xlpm.tk)&gt;1),""),_xlpm.x,INDEX(_xlpm.f,1),IFERROR(--SUBSTITUTE(MID(_xlpm.x,2,9),"A",""),IFERROR(--SUBSTITUTE(INDEX(_xlfn._xlws.FILTER(_xlpm.tk,ISNUMBER(--SUBSTITUTE(_xlpm.tk,"A","")),""),1),"A",""),""))))</f>
        <v/>
      </c>
      <c r="DS29" t="str">
        <f t="shared" si="40"/>
        <v>ok</v>
      </c>
      <c r="DT29">
        <f t="shared" si="41"/>
        <v>16</v>
      </c>
      <c r="DU29" t="str">
        <f t="shared" si="42"/>
        <v>2P С16А 30мА</v>
      </c>
      <c r="DV29">
        <f t="shared" si="43"/>
        <v>30</v>
      </c>
      <c r="DW29">
        <f t="shared" si="44"/>
        <v>1</v>
      </c>
      <c r="DX29">
        <f t="shared" si="45"/>
        <v>0</v>
      </c>
      <c r="DY29" t="str">
        <f t="shared" si="46"/>
        <v/>
      </c>
      <c r="DZ29">
        <f t="shared" si="47"/>
        <v>1</v>
      </c>
      <c r="EA29">
        <f>IF(ISNUMBER(AP29),AP29,К_прокл)</f>
        <v>1</v>
      </c>
      <c r="EB29">
        <f t="shared" si="48"/>
        <v>2</v>
      </c>
      <c r="EC29">
        <f>IFERROR(N(VLOOKUP(BZ29,Кабель_обозначение,3,FALSE)),1)</f>
        <v>1</v>
      </c>
      <c r="ED29">
        <f>IFERROR(N(_xlfn.XLOOKUP(A29,Щиты[Щит],Щиты[ΔU до шин, %])),0)</f>
        <v>1.0560288498727977</v>
      </c>
      <c r="EE29">
        <f>IFERROR(_xlfn.XLOOKUP(A29,Щиты[Щит],Щиты[Zпетли на шинах, Ом]),"")</f>
        <v>0.28247829354840204</v>
      </c>
      <c r="EF29">
        <f>IFERROR(N(_xlfn.XLOOKUP(A29,Щиты[Щит],Щиты[ΔU до шин (подбор), %])),0)</f>
        <v>1.0560288498727977</v>
      </c>
      <c r="EG29">
        <f>IFERROR(_xlfn.XLOOKUP(A29,Щиты[Щит],Щиты[Zпетли на шинах (подбор), Ом]),"")</f>
        <v>0.28247829354840204</v>
      </c>
      <c r="EH29" t="str">
        <f t="shared" si="49"/>
        <v/>
      </c>
      <c r="EI29">
        <f t="shared" si="50"/>
        <v>12</v>
      </c>
      <c r="EJ29">
        <f t="shared" si="51"/>
        <v>2</v>
      </c>
      <c r="EK29">
        <f t="shared" si="52"/>
        <v>0.31</v>
      </c>
      <c r="EL29" s="6">
        <f>IF(B29="","",IF(BV29=1,dU_LED,IF(IFERROR(_xlfn.XLOOKUP(BC29,Коды_код,Коды_уго),"")="Светильник",3,4)+IF(Методика="нормы 2026",MIN(0.5,MAX(0,N(P29)-100)*0.005),0)))</f>
        <v>4</v>
      </c>
      <c r="EM29" cm="1">
        <f t="array" ref="EM29">IF(OR(B29="",BZ29="",EC29&lt;&gt;1),"",_xlfn.LET(_xlpm.sz,Iдоп_S,_xlpm.t_,CHOOSE(EB29,Iдоп_1ж,Iдоп_2ж,Iдоп_3ж)*DZ29*EA29,_xlpm.dcx,BV29=1,_xlpm.inn,IF(_xlpm.dcx,N(O29),N(DT29)),_xlpm.smin,MAX(1.5,CC29),_xlpm.L_,N(P29)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29)/N(BU29)*100,999),IFERROR(N(EJ29)*(_xlpm.rho*_xlpm.L_/_xlpm.sz*N(CE29)+_xlpm.xx*_xlpm.L_*N(EK29)/1000)*N(O29)/((Uн_лин/SQRT(3))*1000)*100,999)),_xlpm.kz,IF(OR(_xlpm.dcx,DW29=1,NOT(ISNUMBER(EG29)),_xlpm.L_=0,_xlpm.inn=0),1,IFERROR(--(c_min*(Uн_лин*1000/SQRT(3))/(EG29+2*ρкз_Cu*_xlpm.L_/_xlpm.sz)&gt;=HT29*_xlpm.inn),0)),_xlpm.ok,IFERROR((_xlpm.sz&gt;=_xlpm.smin)*(_xlpm.t_&gt;=_xlpm.inn)*IF(_xlpm.L_&gt;0,(_xlpm.du_+IF(_xlpm.dcx,0,EF29)&lt;=EL29+0.00001),1)*_xlpm.kz,0),_xlpm.r_,_xlfn._xlws.FILTER(_xlpm.sz,_xlpm.ok,"не подобрано"),INDEX(_xlpm.r_,1)))</f>
        <v>2.5</v>
      </c>
      <c r="EN29">
        <f t="shared" si="53"/>
        <v>2.5</v>
      </c>
      <c r="EO29" cm="1">
        <f t="array" ref="EO29">IF(OR(B29="",BZ29="",EC29&lt;&gt;1),"",_xlfn.LET(_xlpm.sz,Iдоп_S,_xlpm.t_,CHOOSE(EB29,Iдоп_1ж,Iдоп_2ж,Iдоп_3ж)*DZ29*EA29,_xlpm.ok,IFERROR((_xlpm.sz&gt;=MAX(1.5,CC29))*(_xlpm.t_&gt;=N(DT29)),0),_xlpm.r_,_xlfn._xlws.FILTER(_xlpm.sz,_xlpm.ok,""),INDEX(_xlpm.r_,1)))</f>
        <v>2.5</v>
      </c>
      <c r="EP29" s="6" cm="1">
        <f t="array" ref="EP29">IFERROR(ROUNDUP(N(EJ29)*(_xlfn.XLOOKUP(EO29,INDEX(Кабель_сопротивление,0,1),INDEX(Кабель_сопротивление,0,3))*N(P29)/EO29*N(CE29)+_xlfn.XLOOKUP(EO29,INDEX(Кабель_сопротивление,0,1),INDEX(Кабель_сопротивление,0,2))*N(P29)*N(EK29)/1000)*N(O29)/((Uн_лин/SQRT(3))*1000)*100,2),"")</f>
        <v>0.61</v>
      </c>
      <c r="EQ29">
        <f>IFERROR(2*ρкз_Cu*N(P29)/EO29,"")</f>
        <v>0.37872</v>
      </c>
      <c r="ER29">
        <f>IFERROR(VLOOKUP(EN29,Кабель_сопротивление,3,FALSE),"")</f>
        <v>2.2499999999999999E-2</v>
      </c>
      <c r="ES29">
        <f>IFERROR(VLOOKUP(EN29,Кабель_сопротивление,2,FALSE),"")</f>
        <v>0.1</v>
      </c>
      <c r="ET29">
        <f t="shared" si="54"/>
        <v>0</v>
      </c>
      <c r="EU29">
        <f t="shared" si="55"/>
        <v>14</v>
      </c>
      <c r="EV29">
        <f t="shared" si="56"/>
        <v>1.4080479138709137</v>
      </c>
      <c r="EW29" s="6">
        <f>IFERROR(ROUNDUP(EV29/IF(BV29=1,BU29,(Uн_лин/SQRT(3))*1000)*100,2),"")</f>
        <v>0.61</v>
      </c>
      <c r="EX29" t="str">
        <f>IFERROR(VLOOKUP(BZ29,Кабель_обозначение,2,FALSE),"")</f>
        <v>ВВГнг(А)-LS</v>
      </c>
      <c r="EY29" t="str">
        <f t="shared" si="57"/>
        <v>ВВГнг(А)-LS (3х2,5)</v>
      </c>
      <c r="EZ29" t="str">
        <f t="shared" si="58"/>
        <v>ВВГнг(А)-LS (3х2,5)
L=18-0,61%</v>
      </c>
      <c r="FA29">
        <f>IFERROR(2*ρкз_Cu*P29/EN29,"")</f>
        <v>0.37872</v>
      </c>
      <c r="FB29">
        <f t="shared" si="59"/>
        <v>0.12600000000000003</v>
      </c>
      <c r="FC29" s="6">
        <f>IFERROR(IF(OR(B29="",BV29=1,NOT(ISNUMBER(EN29)),N(P29)=0),"",_xlfn.XLOOKUP(A29,Щиты[Щит],Щиты[Zпетли на шинах, Ом])+FA29),"")</f>
        <v>0.66119829354840198</v>
      </c>
      <c r="FD29" s="6">
        <f>IF(ISNUMBER(FC29),c_min*(Uн_лин*1000/SQRT(3))/FC29,"")</f>
        <v>331.81135588638278</v>
      </c>
      <c r="FE29" s="6">
        <f>IFERROR(IF(OR(B29="",NOT(ISNUMBER(EN29))),"",1.05*(Uн_лин*1000/SQRT(3))/(_xlfn.XLOOKUP(A29,Щиты[Щит],Щиты[Zmax на шинах, Ом])+FB29)/1000),"")</f>
        <v>1.1486100570087527</v>
      </c>
      <c r="FF29" s="6" t="str">
        <f>IF(B29="","",IF(ISNUMBER(AC29),"Сил",IF(IFERROR(_xlfn.XLOOKUP(BC29,Коды_код,Коды_группа)&amp;"","")="","Быт",_xlfn.XLOOKUP(BC29,Коды_код,Коды_группа)&amp;"")))</f>
        <v>Быт</v>
      </c>
      <c r="FG29" s="6" t="str">
        <f t="shared" si="60"/>
        <v>Быт</v>
      </c>
      <c r="FH29" s="6">
        <f>IF(FG29="Щит","щит",IF(FG29="","",IF(FG29="Быт",IFERROR(_xlfn.XLOOKUP(A29,Щиты[Щит],Щиты[Кс быт]),1),IF(FG29="Сил",IF(ISNUMBER(AC29),AC29,IF(Методика="нормы 2026",IFERROR(_xlfn.XLOOKUP(A29,Щиты[Щит],Щиты[Кс силовых (табл. 7.5)]),1),1)),IF(OR(FG29="Пост",FG29="Отоп"),1,IF(FG29="ВНГ",0.7,0))))))</f>
        <v>0.8</v>
      </c>
      <c r="FI29">
        <f>IF(FG29="","",IF(AND(BP29=1,TRIM(AE29&amp;"")=""),IF(COUNTIFS(Линии[Щит],A29,Линии[Секция (1/2/3)],"&gt;=2")&gt;0,MIN(3,MAX(1,IFERROR(--BD29,1))),1),IFERROR(MIN(3,MAX(1,INT(--AE29))),1)))</f>
        <v>1</v>
      </c>
      <c r="FJ29">
        <f t="shared" si="61"/>
        <v>1</v>
      </c>
      <c r="FK29">
        <f t="shared" si="62"/>
        <v>1</v>
      </c>
      <c r="FL29">
        <f t="shared" si="63"/>
        <v>0</v>
      </c>
      <c r="FM29">
        <f t="shared" si="64"/>
        <v>0</v>
      </c>
      <c r="FN29">
        <f t="shared" si="65"/>
        <v>0</v>
      </c>
      <c r="FO29">
        <f t="shared" si="66"/>
        <v>0</v>
      </c>
      <c r="FP29">
        <f t="shared" si="67"/>
        <v>1</v>
      </c>
      <c r="FQ29">
        <f t="shared" si="68"/>
        <v>1</v>
      </c>
      <c r="FR29">
        <f t="shared" si="69"/>
        <v>0.95</v>
      </c>
      <c r="FS29">
        <f>IF(CG29=1,IF(AND(CH29=1,CW29=1),0,IF(AND(CS29&lt;&gt;"",CS29=BA29,CW29=1),SUMIFS(Линии[_Р линии, кВт],Линии[_блок УЗО],BA29,Линии[Щит],A29),N(BS29)+IF(AJ29="вручную",0,N(CK29)))),0)</f>
        <v>0</v>
      </c>
      <c r="FT29" t="str">
        <f t="shared" si="70"/>
        <v/>
      </c>
      <c r="FU29" t="str">
        <f>IF(B29="","",IF(CG29=0,IF(BA29=1,"",FW28),IF(AND(CH29=1,CW29=1,CS29&lt;&gt;""),IFERROR(_xlfn.XLOOKUP(CS29,Линии[_n],Линии[_фаза итог]),"L1"),IF(OR(N(DL29)&gt;=3,N(BX29)&gt;=3),"L1,L2,L3",IFERROR(_xlfn.TEXTBEFORE(_xlfn.TEXTAFTER(_xlfn.XLOOKUP(A29,Щиты[Щит],Щиты[_фазы авто]),";"&amp;BA29&amp;":"),";"),"L1")))))</f>
        <v>L1</v>
      </c>
      <c r="FV29" t="str">
        <f t="shared" si="71"/>
        <v>L1</v>
      </c>
      <c r="FW29" t="str">
        <f t="shared" si="72"/>
        <v>L1</v>
      </c>
      <c r="FX29" cm="1">
        <f t="array" ref="FX29">IFERROR(IF(CD29=2,_xlfn.IFS(BX29=3,VLOOKUP(BS29,Справочная_двигатели,3,FALSE),BX29=1,VLOOKUP(BS29,Справочная_двигатели,5,TRUE)),0),0)</f>
        <v>0</v>
      </c>
      <c r="FY29">
        <f>IFERROR(IF(CD29=3,VLOOKUP(BS29,Справочная_ЛЭД,2,TRUE),0),0)</f>
        <v>0</v>
      </c>
      <c r="FZ29" s="6">
        <f t="shared" si="73"/>
        <v>0</v>
      </c>
      <c r="GA29" t="str">
        <f>IF(B29="","",IF(TRIM(AH29&amp;"")&lt;&gt;"",IF(LOWER(TRIM(AH29&amp;""))="да","да","нет"),IF(IFERROR(_xlfn.XLOOKUP(BC29,Коды_код,Коды_пожарная),"")="да","да","нет")))</f>
        <v>нет</v>
      </c>
      <c r="GB29" t="str">
        <f t="shared" si="74"/>
        <v/>
      </c>
      <c r="GC29" t="str">
        <f t="shared" si="75"/>
        <v>основная</v>
      </c>
      <c r="GD29">
        <f>IF(AND(BP29=1,TRIM(AE29&amp;"")=""),IF(COUNTIFS(Линии[Щит],A29,Линии[Секция (1/2/3)],"&gt;=2")&gt;0,MIN(3,MAX(1,IFERROR(--BD29,1))),1),IFERROR(MIN(3,MAX(1,INT(--AE29))),1))</f>
        <v>1</v>
      </c>
      <c r="GE29" t="str" cm="1">
        <f t="array" ref="GE29">IF(B29="","",_xlfn.LET(_xlpm.t,IFERROR(_xlfn.XLOOKUP(1,(Шины[Шина]=GC29)*(((Шины[Щит]=A29)+(Шины[Щит]=""))&gt;0),Шины[Тип]),"")&amp;"",IF(_xlpm.t&lt;&gt;"",_xlpm.t,IF(ISNUMBER(SEARCH("ИБП",GC29)),"ИБП",IF(ISNUMBER(SEARCH("ДГУ",GC29)),"ДГУ","Ввод "&amp;GD29)))))</f>
        <v>Ввод 1</v>
      </c>
      <c r="GF29" t="str">
        <f t="shared" si="76"/>
        <v>Ввод 1</v>
      </c>
      <c r="GG29" t="str">
        <f>IF(BP29=0,"",IF(TRIM(AG29&amp;"")&lt;&gt;"",TRIM(AG29&amp;""),IF(OR(GE29="ИБП",GE29="ДГУ"),"I особая",_xlfn.XLOOKUP(A29,Щиты[Щит],Щиты[Категория шины «Ввод»],"III"))))</f>
        <v/>
      </c>
      <c r="GH29" t="str">
        <f>IF(A29="","",_xlfn.XLOOKUP(A29,Щиты[Щит],Щиты[Путь],""))</f>
        <v>|ВРУ|ЩР-1|</v>
      </c>
      <c r="GI29" t="str">
        <f>IF(B29="","",IF(AI29&lt;&gt;"",AI29,IF(IFERROR(_xlfn.XLOOKUP(BC29,Коды_код,Коды_вид)&amp;"","")="","Прочее",_xlfn.XLOOKUP(BC29,Коды_код,Коды_вид)&amp;"")))</f>
        <v>Розеточная сеть и бытовые приборы</v>
      </c>
      <c r="GJ29">
        <f>IF(BM29="","",INT((BM29-1)/Столбцов_на_лист)+1)</f>
        <v>1</v>
      </c>
      <c r="GK29" t="str">
        <f t="shared" si="77"/>
        <v>ВВГнг(А)-LS (3х2,5) L=18-0,61%</v>
      </c>
      <c r="GL29">
        <f t="shared" si="78"/>
        <v>1</v>
      </c>
      <c r="GM29">
        <f t="shared" si="79"/>
        <v>4.5599999999999996</v>
      </c>
      <c r="GN29">
        <f t="shared" si="80"/>
        <v>1</v>
      </c>
      <c r="GO29">
        <f t="shared" si="81"/>
        <v>0</v>
      </c>
      <c r="GP29">
        <f t="shared" si="82"/>
        <v>1</v>
      </c>
      <c r="GQ29">
        <f>IF(BM29="","",IF(AND(CG29=1,GP29=1),COUNTIFS(A$3:A29,A29,CG$3:CG29,1,GP$3:GP29,1),IF(OR(OR(BA29=1,A29&lt;&gt;A28),AJ29="вручную",GP29=0),"",IF(BA29=1,"",GR28))))</f>
        <v>2</v>
      </c>
      <c r="GR29">
        <f t="shared" si="83"/>
        <v>2</v>
      </c>
      <c r="GS29">
        <f>IF(B29="","",IFERROR(LOOKUP(INDEX(CHOOSE(EB29,Iдоп_1ж,Iдоп_2ж,Iдоп_3ж),MATCH(EN29,Iдоп_S,0))*DZ29*EA29,{6,10,16,20,25,32,40,50,63,80,100,125,160,200,250,315,400,500,630}),""))</f>
        <v>25</v>
      </c>
      <c r="GT29" t="str">
        <f t="shared" si="84"/>
        <v/>
      </c>
      <c r="GU29" t="str">
        <f t="shared" si="85"/>
        <v>QFD2</v>
      </c>
      <c r="GV29" t="str">
        <f t="shared" si="86"/>
        <v/>
      </c>
      <c r="GW29">
        <f t="shared" si="87"/>
        <v>0</v>
      </c>
      <c r="GX29" t="str">
        <f>IF(OR(B29="",DJ29=""),"",IFERROR(_xlfn.XLOOKUP(DJ29,Модули_умолч[Управление],Модули_умолч[Модель])&amp;"",""))</f>
        <v/>
      </c>
      <c r="GY29">
        <f>IF(DJ29="",1,IFERROR(MAX(0,N(_xlfn.XLOOKUP(DJ29,Модули_умолч[Управление],Модули_умолч[Каналов на линию]))),1))</f>
        <v>1</v>
      </c>
      <c r="GZ29" t="str">
        <f t="shared" si="88"/>
        <v/>
      </c>
      <c r="HA29" t="str">
        <f t="shared" si="89"/>
        <v/>
      </c>
      <c r="HB29" t="str">
        <f t="shared" si="90"/>
        <v/>
      </c>
      <c r="HC29">
        <f>IF(HB29="",0,IFERROR(N(VLOOKUP(HB29,Модули_спр,3,FALSE)),0))</f>
        <v>0</v>
      </c>
      <c r="HD29" t="str">
        <f t="shared" si="91"/>
        <v/>
      </c>
      <c r="HE29" t="str">
        <f t="shared" si="92"/>
        <v/>
      </c>
      <c r="HF29" t="str">
        <f>IF(OR(HE29="",HE29="-"),"",IFERROR(VLOOKUP(HE29,Модули_спр,2,FALSE),"R"))</f>
        <v/>
      </c>
      <c r="HG29" t="str">
        <f>IF(HF29="","",HF29&amp;"."&amp;COUNTIFS(A$3:A29,A29,HF$3:HF29,HF29))</f>
        <v/>
      </c>
      <c r="HH29" t="str">
        <f t="shared" si="93"/>
        <v/>
      </c>
      <c r="HI29" t="str">
        <f t="shared" si="94"/>
        <v/>
      </c>
      <c r="HJ29" t="str">
        <f t="shared" si="95"/>
        <v/>
      </c>
      <c r="HK29" t="str">
        <f t="shared" si="96"/>
        <v/>
      </c>
      <c r="HL29">
        <f t="shared" si="97"/>
        <v>1</v>
      </c>
      <c r="HM29" t="str">
        <f>IF(HL29=1,"XT"&amp;COUNTIFS(A$3:A29,A29,HL$3:HL29,1),"")</f>
        <v>XT3</v>
      </c>
      <c r="HN29" t="str">
        <f t="shared" si="98"/>
        <v>XT3</v>
      </c>
      <c r="HO29" t="str">
        <f t="shared" si="99"/>
        <v>QFD2</v>
      </c>
      <c r="HP29" t="str">
        <f t="shared" si="100"/>
        <v/>
      </c>
      <c r="HQ29" t="str">
        <f t="shared" si="101"/>
        <v>ok</v>
      </c>
      <c r="HR29" t="str">
        <f>IF(OR(HJ29="",HH29=""),"",IF(HJ29+MAX(0,GY29-1)&gt;IFERROR(VLOOKUP(HI29,Модули_спр,3,FALSE),99),"ЛИШНИЙ КАНАЛ",IF(AND(AL29&lt;&gt;"=",GY29&gt;0,COUNTIFS(Линии[_модуль гр.],HH29,Линии[Канал (итог)],HJ29,Линии[Канал],"&lt;&gt;=",Линии[Щит],A29)&gt;1),"ДУБЛЬ КАНАЛА","")))</f>
        <v/>
      </c>
      <c r="HS29" s="6">
        <f t="shared" si="102"/>
        <v>20.738209742898924</v>
      </c>
      <c r="HT29">
        <f t="shared" si="103"/>
        <v>10</v>
      </c>
      <c r="HU29" t="str">
        <f t="shared" si="104"/>
        <v>ok</v>
      </c>
      <c r="HV29">
        <f t="shared" si="105"/>
        <v>2.0032113763882919</v>
      </c>
      <c r="HW29">
        <f t="shared" si="106"/>
        <v>0</v>
      </c>
      <c r="HX29">
        <f t="shared" si="107"/>
        <v>0</v>
      </c>
      <c r="HY29">
        <f t="shared" si="108"/>
        <v>0</v>
      </c>
      <c r="HZ29">
        <f t="shared" si="109"/>
        <v>0</v>
      </c>
      <c r="IA29">
        <f t="shared" si="110"/>
        <v>0</v>
      </c>
      <c r="IB29">
        <f t="shared" si="111"/>
        <v>0</v>
      </c>
      <c r="IC29" t="str">
        <f t="shared" si="112"/>
        <v/>
      </c>
      <c r="ID29" t="str" cm="1">
        <f t="array" ref="ID29">IF(IC29="","",_xlfn.LET(_xlpm.tk,_xlfn.TEXTSPLIT(SUBSTITUTE(SUBSTITUTE(IC29,";"," "),"→"," ")," ",,TRUE),_xlpm.w_,_xlfn._xlws.FILTER(_xlpm.tk,ISNUMBER(--LEFT(_xlpm.tk,1))*((ISNUMBER(SEARCH("W",_xlpm.tk))+ISNUMBER(SEARCH("Вт",_xlpm.tk)))&gt;0),""),IFERROR(--SUBSTITUTE(SUBSTITUTE(UPPER(INDEX(_xlpm.w_,1)),"W",""),"ВТ",""),"")))</f>
        <v/>
      </c>
      <c r="IE29" t="str" cm="1">
        <f t="array" ref="IE29">IF(IC29="","",_xlfn.LET(_xlpm.tk,_xlfn.TEXTSPLIT(SUBSTITUTE(SUBSTITUTE(IC29,";"," "),"→"," ")," ",,TRUE),_xlpm.v_,_xlfn._xlws.FILTER(_xlpm.tk,ISNUMBER(--LEFT(_xlpm.tk,1))*((ISNUMBER(SEARCH("V",_xlpm.tk))+(RIGHT(UPPER(_xlpm.tk))="В"))&gt;0),""),IFERROR(--SUBSTITUTE(SUBSTITUTE(UPPER(INDEX(_xlpm.v_,1)),"V",""),"В",""),"")))</f>
        <v/>
      </c>
      <c r="IF29" s="6" t="str">
        <f>IF(OR(BV29=0,HI29="",HJ29=""),"",IFERROR(N(_xlfn.XLOOKUP(HI29,Каталог!$C$4:$C$500,Каталог!$Q$4:$Q$500)),""))</f>
        <v/>
      </c>
      <c r="IG29" s="6" t="str">
        <f>IF(N(IF29)=0,"",SUMIFS(Линии[Iр, А],Линии[Щит],A29,Линии[_модуль гр.],HH29,Линии[Канал (итог)],HJ29))</f>
        <v/>
      </c>
      <c r="IH29" t="str">
        <f>IF(AND(B29="",HO29=""),"",_xlfn.TEXTJOIN("; ",TRUE,IF(AND(B29&lt;&gt;"",FV29=""),"нет фазы",""),IF(AND(B29&lt;&gt;"",N(GL29)=0,FG29&lt;&gt;"Нет"),"нет мощности",""),IF(AND(HN29&lt;&gt;"",COUNTIFS(Линии[Щит],A29,Линии[Клемма (итог)],HN29)&gt;1),"дубль клеммы "&amp;HN29,""),IF(AND(HQ29&lt;&gt;"",HQ29&lt;&gt;"ok"),HQ29,""),IF(HR29&lt;&gt;"",HR29,""),IF(AND(N(CB29)&gt;=4,N(BX29)=1),CB29&amp;" жил на 1 фазе",""),IF(AND(BC29="R",CG29=1,IF(CS29&lt;&gt;"",N(CV29)&gt;30,OR(N(DA29)=0,N(DA29)&gt;30))),"розетка без дифзащиты до 30 мА",""),IF(AND(CG29=1,N(DA29)&gt;0,ISNUMBER(T29)),IF(T29&gt;N(DA29)/3,"ток утечки "&amp;FIXED(T29,1)&amp;" мА &gt; 1/3 уставки ("&amp;DA29&amp;" мА)",""),""),IF(AND(CH29=1,CS29=""),"«узо»: нет строки с УЗО выше (УЗО 2P 40А 30мА в «Аппаратах»)",""),IF(AND(CS29&lt;&gt;"",CS29=BA29),IF(CT29="","впишите номинал УЗО (УЗО 2P 40А 30мА)",IF(N(CT29)&lt;N(DT29),"УЗО "&amp;CT29&amp;" А &lt; автомата "&amp;DT29&amp;" А перед ним",IF(N(CT29)&lt;N(CX29),"УЗО "&amp;CT29&amp;" А &lt; тока блока "&amp;FIXED(CX29,1)&amp;" А",""))),""),IF(AND(CS29&lt;&gt;"",CS29=BA29,ISNUMBER(CY29)),IF(CY29&gt;N(CV29)/3,"ток утечки блока УЗО "&amp;FIXED(CY29,1)&amp;" мА &gt; 1/3 уставки ("&amp;CV29&amp;" мА)",""),""),IF(AND(CG29=1,N(BV29)+N(IB29)&gt;0,IC29=""),"линии до 50 В без БП: впишите в «Аппараты» (БП 24V 480W)",""),IF(AND(CG29=1,ISNUMBER(ID29),ISNUMBER(U29)),IF(U29&gt;ID29,"БП "&amp;ID29&amp;" Вт &lt; нужно "&amp;U29&amp;" Вт (×"&amp;Запас_БП&amp;")",""),""),IF(AND(CG29=1,ISNUMBER(IE29),N(BV29)=1),IF(IE29&lt;&gt;N(BU29),"БП на "&amp;IE29&amp;" В, линия "&amp;BU29&amp;" В",""),""),IF(AND(N(IF29)&gt;0,N(IG29)&gt;N(IF29)),HH29&amp;" канал "&amp;HJ29&amp;": "&amp;FIXED(IG29,1)&amp;" А &gt; "&amp;IF29&amp;" А",""),IFERROR(IF(AND(ISNUMBER(Q29),Q29&gt;EL29),"потери "&amp;FIXED(Q29,1)&amp;" % &gt; "&amp;EL29&amp;" %",""),""),IFERROR(IF(LEFT(HU29,4)="мало","Iкз мало — отключение &gt; 0,4 с",""),""),IF(AND(B29&lt;&gt;"",BM29=""),"не на схеме",""),IF(AND(CG29=0,B29&lt;&gt;"",FV29&lt;&gt;"",IF(BA29=1,"",FW28)&lt;&gt;"",FV29&lt;&gt;IF(BA29=1,"",FW28)),"фаза не как у автомата группы ("&amp;IF(BA29=1,"",FW28)&amp;")","")))</f>
        <v/>
      </c>
      <c r="II29" s="6" t="str">
        <f>IF(OR(CG29=0,DQ29=""),"",_xlfn.LET(_xlpm.t,IFERROR(_xlfn.XLOOKUP(DQ29,Каталог!$U$4:$U$500,Каталог!$G$4:$G$500),""),_xlpm.k,SEARCH("кА",_xlpm.t),IFERROR(--TRIM(RIGHT(SUBSTITUTE(MID(_xlpm.t,MAX(1,_xlpm.k-4),_xlpm.k-MAX(1,_xlpm.k-4))," ",REPT(" ",9)),5)),"")))</f>
        <v/>
      </c>
      <c r="IJ29" t="str">
        <f>IF(OR(II29="",CG29=0),"",IF(_xlfn.XLOOKUP(A29,Щиты[Щит],Щиты[Iкз max на шинах, кА],"")="","",IF(II29&lt;_xlfn.XLOOKUP(A29,Щиты[Щит],Щиты[Iкз max на шинах, кА]),"Icu "&amp;II29&amp;" кА &lt; Iкз max","ok")))</f>
        <v/>
      </c>
      <c r="IK29" t="str">
        <f t="shared" si="113"/>
        <v/>
      </c>
      <c r="IL29" t="str">
        <f t="shared" si="114"/>
        <v>QFD2|XT3</v>
      </c>
      <c r="IM29" t="str">
        <f t="shared" si="115"/>
        <v>QFD2|XT3|кабель ВВГнг(А)-LS (3х2,5) → Розеточная группа, пом. 02</v>
      </c>
      <c r="IN29" t="str" cm="1">
        <f t="array" ref="IN29">IF(IM29="","",_xlfn.LET(_xlpm.nd,_xlfn.TEXTSPLIT(IM29,"|"),IF(COLUMNS(_xlpm.nd)&gt;1,A29&amp;"¦"&amp;INDEX(_xlpm.nd,1)&amp;"¦"&amp;INDEX(_xlpm.nd,2),"")))</f>
        <v>ЩР-1¦QFD2¦XT3</v>
      </c>
      <c r="IO29" t="str">
        <f t="shared" si="116"/>
        <v>R.1.02.2¦Розеточная группа, пом. 02</v>
      </c>
      <c r="IP29" t="str" cm="1">
        <f t="array" ref="IP29">IF(IM29="","",_xlfn.LET(_xlpm.nd,_xlfn.TEXTSPLIT(IM29,"|"),IF(COLUMNS(_xlpm.nd)&gt;2,A29&amp;"¦"&amp;INDEX(_xlpm.nd,2)&amp;"¦"&amp;INDEX(_xlpm.nd,3),"")))</f>
        <v>ЩР-1¦XT3¦кабель ВВГнг(А)-LS (3х2,5) → Розеточная группа, пом. 02</v>
      </c>
      <c r="IQ29" t="str">
        <f t="shared" si="117"/>
        <v>R.1.02.2¦Розеточная группа, пом. 02</v>
      </c>
      <c r="IR29" t="str" cm="1">
        <f t="array" ref="IR29">IF(IM29="","",_xlfn.LET(_xlpm.nd,_xlfn.TEXTSPLIT(IM29,"|"),IF(COLUMNS(_xlpm.nd)&gt;3,A29&amp;"¦"&amp;INDEX(_xlpm.nd,3)&amp;"¦"&amp;INDEX(_xlpm.nd,4),"")))</f>
        <v/>
      </c>
      <c r="IS29" t="str">
        <f t="shared" si="118"/>
        <v/>
      </c>
      <c r="IT29" t="str" cm="1">
        <f t="array" ref="IT29">IF(IM29="","",_xlfn.LET(_xlpm.nd,_xlfn.TEXTSPLIT(IM29,"|"),IF(COLUMNS(_xlpm.nd)&gt;4,A29&amp;"¦"&amp;INDEX(_xlpm.nd,4)&amp;"¦"&amp;INDEX(_xlpm.nd,5),"")))</f>
        <v/>
      </c>
      <c r="IU29" t="str">
        <f t="shared" si="119"/>
        <v/>
      </c>
      <c r="IV29" t="str" cm="1">
        <f t="array" ref="IV29">IF(IM29="","",_xlfn.LET(_xlpm.nd,_xlfn.TEXTSPLIT(IM29,"|"),IF(COLUMNS(_xlpm.nd)&gt;5,A29&amp;"¦"&amp;INDEX(_xlpm.nd,5)&amp;"¦"&amp;INDEX(_xlpm.nd,6),"")))</f>
        <v/>
      </c>
      <c r="IW29" t="str">
        <f t="shared" si="120"/>
        <v/>
      </c>
      <c r="IX29" t="str" cm="1">
        <f t="array" ref="IX29">IF(IM29="","",_xlfn.LET(_xlpm.nd,_xlfn.TEXTSPLIT(IM29,"|"),IF(COLUMNS(_xlpm.nd)&gt;6,A29&amp;"¦"&amp;INDEX(_xlpm.nd,6)&amp;"¦"&amp;INDEX(_xlpm.nd,7),"")))</f>
        <v/>
      </c>
      <c r="IY29" t="str">
        <f t="shared" si="121"/>
        <v/>
      </c>
      <c r="IZ29" t="str">
        <f t="shared" si="122"/>
        <v/>
      </c>
      <c r="JA29" t="str">
        <f t="shared" si="123"/>
        <v>QFD2 → XT3</v>
      </c>
      <c r="JB29">
        <f t="shared" si="124"/>
        <v>0</v>
      </c>
      <c r="JC29">
        <f t="shared" si="125"/>
        <v>0</v>
      </c>
      <c r="JD29" t="str">
        <f t="shared" si="126"/>
        <v/>
      </c>
      <c r="JE29" t="str">
        <f t="shared" si="127"/>
        <v/>
      </c>
      <c r="JF29" t="str">
        <f t="shared" si="128"/>
        <v/>
      </c>
      <c r="JG29" t="str">
        <f t="shared" si="129"/>
        <v/>
      </c>
      <c r="JH29" t="str">
        <f>IF(B29="","",IFERROR(_xlfn.XLOOKUP(B29,Коды_код,Коды_уго),IFERROR(_xlfn.XLOOKUP(BC29,Коды_код,Коды_уго),IFERROR(_xlfn.XLOOKUP(LEFT(BC29,2),Коды_код,Коды_уго),""))))</f>
        <v>Розетка</v>
      </c>
      <c r="JI29" t="str">
        <f>IF(B29="","",IF(OR(JH29="",JH29=0),"BOX",IFERROR(IF(VLOOKUP(JH29,УГО_блоки,3,FALSE)&amp;""&lt;&gt;"",VLOOKUP(JH29,УГО_блоки,3,FALSE),VLOOKUP(JH29,УГО_блоки,2,FALSE)),JH29)))</f>
        <v>SOCKET</v>
      </c>
      <c r="JJ29">
        <f t="shared" si="130"/>
        <v>1</v>
      </c>
      <c r="JK29" t="str">
        <f>IF(DQ29="","",IF(COUNTIF(DQ$3:DQ29,DQ29)=1,MAX(JK$2:JK28)+1,""))</f>
        <v/>
      </c>
      <c r="JL29" t="str">
        <f>IF(DE29="","",IF(COUNTIF(DE$3:DE29,DE29)+COUNTIF(DF$2:DF28,DE29)+COUNTIF(DG$2:DG28,DE29)=1,MAX(JL$2:JN28)+1,""))</f>
        <v/>
      </c>
      <c r="JM29" t="str">
        <f>IF(DF29="","",IF(COUNTIF(DE$3:DE29,DF29)+COUNTIF(DF$3:DF29,DF29)+COUNTIF(DG$2:DG28,DF29)=1,MAX(JL$2:JN28,JL29)+1,""))</f>
        <v/>
      </c>
      <c r="JN29" t="str">
        <f>IF(DG29="","",IF(COUNTIF(DE$3:DE29,DG29)+COUNTIF(DF$3:DF29,DG29)+COUNTIF(DG$3:DG29,DG29)=1,MAX(JL$2:JN28,JL29,JM29)+1,""))</f>
        <v/>
      </c>
      <c r="JO29" t="str">
        <f t="shared" si="131"/>
        <v>3х2,5</v>
      </c>
      <c r="JP29" t="str">
        <f>IF(JO29="","",IF(COUNTIF(JO$3:JO29,JO29)=1,MAX(JP$2:JP28)+1,""))</f>
        <v/>
      </c>
      <c r="JQ29" t="str">
        <f>IF(HG29="","",COUNTIF(HG$3:HG29,"?*"))</f>
        <v/>
      </c>
      <c r="JR29" t="str">
        <f>IF(OR(HG29="",HI29=""),"",IF(COUNTIFS(HG$3:HG29,"?*",HI$3:HI29,HI29)=1,MAX(JR$2:JR28)+1,""))</f>
        <v/>
      </c>
      <c r="JS29">
        <f t="shared" si="132"/>
        <v>0</v>
      </c>
      <c r="JT29">
        <f>IF(B29="","",COUNTIF(B$3:B29,"?*"))</f>
        <v>27</v>
      </c>
      <c r="JU29">
        <f>IF(HL29&lt;&gt;1,0,_xlfn.LET(_xlpm.k,MAX(IFERROR(--_xlfn.XLOOKUP(B29,Коды_код,Коды_3L),0),IFERROR(--_xlfn.XLOOKUP(BC29,Коды_код,Коды_3L),0),IFERROR(--_xlfn.XLOOKUP(LEFT(BC29,2),Коды_код,Коды_3L),0)),IF(_xlpm.k&gt;0,_xlpm.k,IF(IFERROR(--LEFT(SUBSTITUTE(JO29,"x","х"),FIND("х",SUBSTITUTE(JO29,"x","х"))-1),3)&gt;3,Каталог!$S$9,1))))</f>
        <v>1</v>
      </c>
      <c r="JV29">
        <f t="shared" si="133"/>
        <v>0</v>
      </c>
      <c r="JW29" t="str">
        <f t="shared" si="134"/>
        <v/>
      </c>
      <c r="JX29" t="str">
        <f t="shared" si="135"/>
        <v/>
      </c>
      <c r="JY29" t="str">
        <f t="shared" si="136"/>
        <v/>
      </c>
      <c r="JZ29">
        <f t="shared" si="137"/>
        <v>1</v>
      </c>
    </row>
    <row r="30" spans="1:286" x14ac:dyDescent="0.3">
      <c r="A30" t="s">
        <v>947</v>
      </c>
      <c r="B30" t="s">
        <v>1208</v>
      </c>
      <c r="C30" t="s">
        <v>1248</v>
      </c>
      <c r="E30">
        <v>2</v>
      </c>
      <c r="G30" t="str">
        <f>Линии[[#This Row],[_авто автомат]]</f>
        <v>2P С16А 10мА</v>
      </c>
      <c r="H30" t="str">
        <f>Линии[[#This Row],[_авто управление]]</f>
        <v/>
      </c>
      <c r="I30" t="str">
        <f>Линии[[#This Row],[_авто аппараты]]</f>
        <v/>
      </c>
      <c r="J30">
        <f>Линии[[#This Row],[_авто сечение]]</f>
        <v>2.5</v>
      </c>
      <c r="K30">
        <v>9</v>
      </c>
      <c r="L30" t="str">
        <f>Линии[[#This Row],[_авто фаза]]</f>
        <v>L2</v>
      </c>
      <c r="M30" t="str">
        <f>Линии[[#This Row],[_авто клемма]]</f>
        <v>XT4</v>
      </c>
      <c r="N30" t="str">
        <f t="shared" si="0"/>
        <v>ток утечки 3,8 мА &gt; 1/3 уставки (10 мА)</v>
      </c>
      <c r="O30" s="6" cm="1">
        <f t="array" ref="O30">IF(B30="","",IF(BH30&lt;&gt;"",IFERROR(_xlfn.XLOOKUP(BH30,Щиты[Щит],Щиты[Iр, А]),""),IF(BP30=1,IF(OR(N(_xlfn.XLOOKUP(A30,Щиты[Щит],Щиты[Вводов],1))&lt;=1,LOWER(TRIM(_xlfn.XLOOKUP(A30,Щиты[Щит],Щиты[АВР],"")&amp;""))="да"),IFERROR(_xlfn.XLOOKUP(A30,Щиты[Щит],Щиты[Iр, А]),""),IFERROR(N(BS30)*_xlfn.XLOOKUP(A30,Щиты[Щит],Щиты[Кс итог])/(SQRT(3)*Uн_лин*_xlfn.XLOOKUP(A30,Щиты[Щит],Щиты[cos φ])),"")),IF(BV30=1,IFERROR(BS30*1000/BU30,""),IFERROR(_xlfn.IFS(BX30=1,BS30/((Uн_лин/SQRT(3))*CE30),BX30=3,BS30/(SQRT(3)*Uн_лин*CE30)),"")))))</f>
        <v>9.1160568819414589</v>
      </c>
      <c r="P30" s="7">
        <f>IF(B30="","",IFERROR(IF(VLOOKUP(BC30,Потребители_обозначение,4,FALSE)=1,VLOOKUP(BC30,Потребители_обозначение,3,FALSE)*(MAX(1,N(D30))*2-1)+EI30+VLOOKUP(BE30,Этаж_обозначение,3,FALSE)+VLOOKUP(BE30,Этаж_обозначение,4,FALSE),VLOOKUP(BC30,Потребители_обозначение,3,FALSE)*(MAX(1,N(D30))*2-1)+EI30),EI30))</f>
        <v>11</v>
      </c>
      <c r="Q30" s="6">
        <f t="shared" si="1"/>
        <v>1.8060288498727977</v>
      </c>
      <c r="R30" t="str">
        <f t="shared" si="2"/>
        <v>ВВГнг(А)-LS (3х2,5)</v>
      </c>
      <c r="S30" t="str">
        <f>IF(BM30="","",IF(BN30="вводной узел","узел ","")&amp;"л."&amp;(INT((BM30-1)/Столбцов_на_лист)+1)&amp;" / "&amp;(MOD(BM30-1,Столбцов_на_лист)+1))</f>
        <v>л.1 / 7</v>
      </c>
      <c r="T30" s="119">
        <f t="shared" si="3"/>
        <v>3.8</v>
      </c>
      <c r="U30" s="7" t="str">
        <f>IF(OR(CG30=0,N(BV30)+N(IB30)=0),"",ROUNDUP(Запас_БП*(N(HY30)+N(HZ30)),0))</f>
        <v/>
      </c>
      <c r="V30" s="119" t="str">
        <f t="shared" si="4"/>
        <v/>
      </c>
      <c r="W30" s="7">
        <f>IFERROR(IF(OR(B30="",BP30=1,BV30=1,NOT(ISNUMBER(EN30)),N(DT30)=0),"",MAX(0,ROUNDDOWN((c_min*(Uн_лин*1000/SQRT(3))/(HT30*N(DT30))-_xlfn.XLOOKUP(A30,Щиты[Щит],Щиты[Zпетли на шинах, Ом]))*EN30/(2*ρкз_Cu),0))),"")</f>
        <v>51</v>
      </c>
      <c r="Y30">
        <v>10</v>
      </c>
      <c r="Z30">
        <v>1</v>
      </c>
      <c r="AA30">
        <v>230</v>
      </c>
      <c r="AB30" t="str">
        <f>Линии[[#This Row],[_авто группа Кс]]</f>
        <v>Быт</v>
      </c>
      <c r="AK30" t="str">
        <f>Линии[[#This Row],[_авто модуль]]</f>
        <v/>
      </c>
      <c r="AN30" t="s">
        <v>11</v>
      </c>
      <c r="AO30">
        <v>3</v>
      </c>
      <c r="BA30" cm="1">
        <f t="array" ref="BA30">ROW()-ROW(Линии[#Headers])</f>
        <v>28</v>
      </c>
      <c r="BC30" s="6" t="str">
        <f t="shared" si="5"/>
        <v>R</v>
      </c>
      <c r="BD30" t="str">
        <f t="shared" si="6"/>
        <v>1.03.1</v>
      </c>
      <c r="BE30" t="str">
        <f t="shared" si="7"/>
        <v>1</v>
      </c>
      <c r="BF30" t="str">
        <f t="shared" si="8"/>
        <v>03.1</v>
      </c>
      <c r="BG30" t="str">
        <f t="shared" si="9"/>
        <v>03</v>
      </c>
      <c r="BH30" t="str">
        <f>IF(X30&lt;&gt;"",X30,IF(AND(B30&lt;&gt;"",B30&lt;&gt;A30,ISNUMBER(_xlfn.XMATCH(B30,Щиты[Щит]))),B30,""))</f>
        <v/>
      </c>
      <c r="BI30" t="str" cm="1">
        <f t="array" ref="BI30">IF(B30="","",IF(BH30&lt;&gt;"","Щит "&amp;BH30,_xlfn.LET(_xlpm.nm,IFERROR(_xlfn.XLOOKUP(BC30,Коды_код,Коды_имя)&amp;"",""),_xlpm.md,IFERROR(N(_xlfn.XLOOKUP(BC30,Коды_код,Коды_режим)),1),_xlpm.ex,IF(Имя_режим="по экспликации",IFERROR(_xlfn.XLOOKUP(BE30&amp;"|"&amp;BG30,Экспликация[Этаж]&amp;"|"&amp;Экспликация[Помещение],Экспликация[Название])&amp;"",""),""),_xlpm.rm,IF(BG30="","",IF(_xlpm.ex&lt;&gt;"",". "&amp;_xlpm.ex&amp;IF(Имя_пом="нет"," ("&amp;BG30&amp;")"," (пом. "&amp;BG30&amp;")"),IF(Имя_пом="нет"," ",", пом. ")&amp;BG30)),IF(_xlpm.nm="","",IF(_xlpm.md=2,_xlpm.nm&amp;" шлейф "&amp;BE30,_xlpm.nm&amp;_xlpm.rm)))))</f>
        <v>Розеточная группа, пом. 03</v>
      </c>
      <c r="BJ30" t="str">
        <f t="shared" si="10"/>
        <v>Розетки ванной (дифзащита 10 мА)</v>
      </c>
      <c r="BK30">
        <f>IFERROR(_xlfn.XMATCH(A30,Щиты[Щит]),0)</f>
        <v>4</v>
      </c>
      <c r="BL30">
        <f>_xlfn.LET(_xlpm.k,IFERROR(_xlfn.XLOOKUP(A30,Щиты[Щит],Щиты[Мест под вводной узел]),""),IF(_xlpm.k="",Столбцов_на_лист,N(_xlpm.k)))</f>
        <v>3</v>
      </c>
      <c r="BM30">
        <f t="shared" si="11"/>
        <v>7</v>
      </c>
      <c r="BN30" t="str">
        <f t="shared" si="12"/>
        <v>линии</v>
      </c>
      <c r="BO30" s="6">
        <f>IFERROR(N(_xlfn.XLOOKUP(BC30,Коды_код,Коды_квт)),0)</f>
        <v>0.06</v>
      </c>
      <c r="BP30">
        <f t="shared" si="13"/>
        <v>0</v>
      </c>
      <c r="BQ30">
        <f>IF(B30="","",IF(BH30&lt;&gt;"",IFERROR(_xlfn.XLOOKUP(BH30,Щиты[Щит],Щиты[Руст, кВт]),0),IF(BP30=1,IF(OR(N(_xlfn.XLOOKUP(A30,Щиты[Щит],Щиты[Вводов],1))&lt;=1,LOWER(TRIM(_xlfn.XLOOKUP(A30,Щиты[Щит],Щиты[АВР],"")&amp;""))="да"),IFERROR(_xlfn.XLOOKUP(A30,Щиты[Щит],Щиты[Руст, кВт]),0),SUMIFS(Линии[_Р для вводов],Линии[Щит],A30,Линии[Источник для режимов],GF30)),IF(BO30&gt;0,ROUND(BO30*MAX(1,N(D30)),3),""))))</f>
        <v>0.06</v>
      </c>
      <c r="BR30">
        <f t="shared" si="14"/>
        <v>2</v>
      </c>
      <c r="BS30" s="6">
        <f>IF(B30="","",IF(BH30&lt;&gt;"",IFERROR(_xlfn.XLOOKUP(BH30,Щиты[Щит],Щиты[Руст, кВт]),0),N(BR30)))</f>
        <v>2</v>
      </c>
      <c r="BT30">
        <f>IF(B30="","",IFERROR(IF(VLOOKUP(BC30,Потребители_обозначение,8,FALSE)=0,"",VLOOKUP(BC30,Потребители_обозначение,8,FALSE)),""))</f>
        <v>230</v>
      </c>
      <c r="BU30">
        <f t="shared" si="15"/>
        <v>230</v>
      </c>
      <c r="BV30">
        <f t="shared" si="16"/>
        <v>0</v>
      </c>
      <c r="BW30">
        <f>IF(B30="","",IF(BH30&lt;&gt;"",3,IFERROR(IF(N(VLOOKUP(BC30,Потребители_обозначение,9,FALSE))=0,1,VLOOKUP(BC30,Потребители_обозначение,9,FALSE)),1)))</f>
        <v>1</v>
      </c>
      <c r="BX30">
        <f t="shared" si="17"/>
        <v>1</v>
      </c>
      <c r="BY30" t="str">
        <f>IF(B30="","",_xlfn.LET(_xlpm.bc,IFERROR(IF(VLOOKUP(BC30,Потребители_обозначение,6,FALSE)=0,"",VLOOKUP(BC30,Потребители_обозначение,6,FALSE)&amp;""),""),IF(AND(GA30="да",OR(_xlpm.bc="",_xlpm.bc="мс")),Марка_пож,IF(AND(_xlpm.bc="",BH30&lt;&gt;""),"мс",_xlpm.bc))))</f>
        <v>мс</v>
      </c>
      <c r="BZ30" t="str">
        <f t="shared" si="18"/>
        <v>мс</v>
      </c>
      <c r="CA30">
        <f>IF(B30="","",_xlfn.LET(_xlpm.cc,IFERROR(N(VLOOKUP(BC30,Потребители_обозначение,7,FALSE)),0),IF(_xlpm.cc&gt;0,_xlpm.cc,IF(BZ30="","",IF(BV30=1,2,IF(N(BX30)=3,5,3))))))</f>
        <v>3</v>
      </c>
      <c r="CB30">
        <f t="shared" si="19"/>
        <v>3</v>
      </c>
      <c r="CC30">
        <f>IFERROR(N(VLOOKUP(BC30,Потребители_обозначение,10,FALSE)),0)</f>
        <v>2.5</v>
      </c>
      <c r="CD30">
        <f>IFERROR(VLOOKUP(BC30,Потребители_обозначение,5,FALSE),0)</f>
        <v>1</v>
      </c>
      <c r="CE30" s="6" cm="1">
        <f t="array" ref="CE30">IF(B30="","",IF(BH30&lt;&gt;"",IFERROR(_xlfn.XLOOKUP(BH30,Щиты[Щит],Щиты[cos φ]),0.95),IF(BP30=1,IFERROR(_xlfn.XLOOKUP(A30,Щиты[Щит],Щиты[cos φ]),0.95),IF(ISNUMBER(AD30),AD30,IFERROR(IF(CD30=2,_xlfn.IFS(BX30=3,VLOOKUP(BS30,Справочная_двигатели,8,FALSE),BX30=1,VLOOKUP(BS30,Справочная_двигатели,10,TRUE)),IF(AND(Методика="нормы 2026",FG30="Сил"),0.8,0.95)),0.95)))))</f>
        <v>0.95</v>
      </c>
      <c r="CF30">
        <f t="shared" si="20"/>
        <v>0</v>
      </c>
      <c r="CG30">
        <f t="shared" si="21"/>
        <v>1</v>
      </c>
      <c r="CH30">
        <f t="shared" si="22"/>
        <v>0</v>
      </c>
      <c r="CI30">
        <f>IF(B30="","",IF(BV30=1,IFERROR(BS30/((Uн_лин/SQRT(3))*MAX(0.5,N(CE30))),0),N(O30)))</f>
        <v>9.1160568819414589</v>
      </c>
      <c r="CJ30">
        <f t="shared" si="23"/>
        <v>0</v>
      </c>
      <c r="CK30">
        <f t="shared" si="24"/>
        <v>0</v>
      </c>
      <c r="CL30">
        <f t="shared" si="25"/>
        <v>0</v>
      </c>
      <c r="CM30">
        <f t="shared" si="26"/>
        <v>0</v>
      </c>
      <c r="CN30">
        <f t="shared" si="27"/>
        <v>0</v>
      </c>
      <c r="CO30">
        <f>IF(BC30="",0,_xlfn.LET(_xlpm.v,IFERROR(_xlfn.XLOOKUP(B30,Коды_код,Коды_мА),IFERROR(_xlfn.XLOOKUP(BC30,Коды_код,Коды_мА),IFERROR(_xlfn.XLOOKUP(LEFT(BC30,2),Коды_код,Коды_мА),""))),IF(_xlpm.v="да",30,IF(ISNUMBER(_xlpm.v),_xlpm.v,0))))</f>
        <v>30</v>
      </c>
      <c r="CP30">
        <f t="shared" si="28"/>
        <v>30</v>
      </c>
      <c r="CQ30" t="str">
        <f>_xlfn.LET(_xlpm.k,IFERROR(_xlfn.XLOOKUP(BC30,Коды_код,Коды_утечка)&amp;"",""),IF(_xlpm.k="","дифавтомат",_xlpm.k))</f>
        <v>дифавтомат</v>
      </c>
      <c r="CR30" t="str" cm="1">
        <f t="array" ref="CR30">IF(CG30=0,"",_xlfn.LET(_xlpm.sg,TRIM(_xlfn.TEXTSPLIT(DD30&amp;"",";")),_xlpm.f_,_xlfn._xlws.FILTER(_xlpm.sg,LEFT(_xlpm.sg,3)="УЗО",""),IFERROR(INDEX(_xlpm.f_,1)&amp;"","")))</f>
        <v/>
      </c>
      <c r="CS30" t="str">
        <f t="shared" si="29"/>
        <v/>
      </c>
      <c r="CT30" s="6" t="str" cm="1">
        <f t="array" ref="CT30">IF(CR30="","",_xlfn.LET(_xlpm.tk,_xlfn.TEXTSPLIT(UPPER(CR30)," ",,TRUE),_xlpm.a_,_xlfn._xlws.FILTER(_xlpm.tk,ISNUMBER(--LEFT(_xlpm.tk,1))*((ISNUMBER(SEARCH("А",_xlpm.tk))+ISNUMBER(SEARCH("A",_xlpm.tk)))&gt;0)*NOT(ISNUMBER(SEARCH("МА",_xlpm.tk)))*NOT(ISNUMBER(SEARCH("MA",_xlpm.tk))),""),IFERROR(--SUBSTITUTE(SUBSTITUTE(INDEX(_xlpm.a_,1),"А",""),"A",""),"")))</f>
        <v/>
      </c>
      <c r="CU30" t="str" cm="1">
        <f t="array" ref="CU30">IF(CR30="","",_xlfn.LET(_xlpm.tk,_xlfn.TEXTSPLIT(UPPER(CR30)," ",,TRUE),_xlpm.a_,_xlfn._xlws.FILTER(_xlpm.tk,ISNUMBER(--LEFT(_xlpm.tk,1))*((ISNUMBER(SEARCH("МА",_xlpm.tk))+ISNUMBER(SEARCH("MA",_xlpm.tk)))&gt;0),""),IFERROR(--SUBSTITUTE(SUBSTITUTE(INDEX(_xlpm.a_,1),"МА",""),"MA",""),30)))</f>
        <v/>
      </c>
      <c r="CV30" t="str">
        <f>IF(CS30="","",IFERROR(_xlfn.XLOOKUP(CS30,Линии[_n],Линии[_УЗО, мА]),30))</f>
        <v/>
      </c>
      <c r="CW30">
        <f>IF(CS30="",0,IF(ISNUMBER(SEARCH("4P",IFERROR(_xlfn.XLOOKUP(CS30,Линии[_n],Линии[_УЗО строки])&amp;"",""))),0,1))</f>
        <v>0</v>
      </c>
      <c r="CX30" t="str">
        <f>IF(AND(CS30&lt;&gt;"",CS30=BA30),SUMIFS(Линии[_ток на 230 В],Линии[_блок УЗО],BA30,Линии[Щит],A30),"")</f>
        <v/>
      </c>
      <c r="CY30" t="str">
        <f>IF(AND(CS30&lt;&gt;"",CS30=BA30),SUMIFS(Линии[_ток утечки линии, мА],Линии[_блок УЗО],BA30,Линии[Щит],A30),"")</f>
        <v/>
      </c>
      <c r="CZ30">
        <f t="shared" si="30"/>
        <v>10</v>
      </c>
      <c r="DA30">
        <f t="shared" si="31"/>
        <v>10</v>
      </c>
      <c r="DB30">
        <f>IF(B30="",0,IFERROR(--_xlfn.XLOOKUP(B30,Коды_код,Коды_минавт),IFERROR(--_xlfn.XLOOKUP(BC30,Коды_код,Коды_минавт),IFERROR(--_xlfn.XLOOKUP(LEFT(BC30,2),Коды_код,Коды_минавт),0))))</f>
        <v>16</v>
      </c>
      <c r="DC30" t="str">
        <f>IF(B30="","",IFERROR(_xlfn.XLOOKUP(BC30,Коды_код,Коды_апп)&amp;"",""))</f>
        <v/>
      </c>
      <c r="DD30" t="str">
        <f t="shared" si="32"/>
        <v/>
      </c>
      <c r="DE30" t="str" cm="1">
        <f t="array" ref="DE30">IF(TRIM(DD30&amp;"")="","",IFERROR(TRIM(INDEX(_xlfn.TEXTSPLIT(DD30&amp;";;;",";"),1)),""))</f>
        <v/>
      </c>
      <c r="DF30" t="str" cm="1">
        <f t="array" ref="DF30">IF(TRIM(DD30&amp;"")="","",IFERROR(TRIM(INDEX(_xlfn.TEXTSPLIT(DD30&amp;";;;",";"),2)),""))</f>
        <v/>
      </c>
      <c r="DG30" t="str" cm="1">
        <f t="array" ref="DG30">IF(TRIM(DD30&amp;"")="","",IFERROR(TRIM(INDEX(_xlfn.TEXTSPLIT(DD30&amp;";;;",";"),3)),""))</f>
        <v/>
      </c>
      <c r="DH30">
        <f t="shared" si="33"/>
        <v>0</v>
      </c>
      <c r="DI30" t="str">
        <f>IF(B30="","",_xlfn.LET(_xlpm.t,LOWER(AZ30&amp;""),IF(ISNUMBER(SEARCH("dim",_xlpm.t)),"DIM",IF(ISNUMBER(SEARCH("dali",_xlpm.t)),"DALI",IF(OR(ISNUMBER(SEARCH("relay",_xlpm.t)),ISNUMBER(SEARCH("реле",_xlpm.t))),"Relay",IF(ISNUMBER(SEARCH("кнопк",_xlpm.t)),"",IFERROR(_xlfn.XLOOKUP(BC30,Коды_код,Коды_упр)&amp;"","")))))))</f>
        <v/>
      </c>
      <c r="DJ30" t="str">
        <f t="shared" si="34"/>
        <v/>
      </c>
      <c r="DK30">
        <f>IF(B30="","",_xlfn.LET(_xlpm.ig,IF(N(CX30)&gt;0,N(CX30),N(CI30)+IF(AJ30="вручную",0,N(CJ30))),_xlpm.n0,IFERROR(VLOOKUP(_xlpm.ig,Автомат_номиналы,2,TRUE),0),_xlpm.mn,MAX(DB30,IF(AJ30="вручную",0,N(CM30))),MAX(_xlpm.n0,_xlpm.mn,IF(DH30=1,Мин_автомат_БП,0))))</f>
        <v>16</v>
      </c>
      <c r="DL30">
        <f t="shared" si="35"/>
        <v>1</v>
      </c>
      <c r="DM30" t="str">
        <f t="shared" si="36"/>
        <v>2P</v>
      </c>
      <c r="DN30" t="str">
        <f>_xlfn.LET(_xlpm.cc,UPPER(TRIM(IFERROR(_xlfn.XLOOKUP(BC30,Коды_код,Коды_хар)&amp;"",""))),IF(OR(_xlpm.cc="B",_xlpm.cc="В"),"B",IF(_xlpm.cc="D","D","С")))</f>
        <v>С</v>
      </c>
      <c r="DO30" t="str">
        <f t="shared" si="37"/>
        <v>2P С16А 10мА</v>
      </c>
      <c r="DP30" t="str">
        <f t="shared" si="38"/>
        <v>2P С16А 10мА</v>
      </c>
      <c r="DQ30" t="str">
        <f t="shared" si="39"/>
        <v>2P С16А 10мА</v>
      </c>
      <c r="DR30" cm="1">
        <f t="array" ref="DR30">IF(DQ30="","",_xlfn.LET(_xlpm.t,SUBSTITUTE(SUBSTITUTE(SUBSTITUTE(UPPER(DQ30),"С","C"),"А","A"),"В","B"),_xlpm.tk,_xlfn.TEXTSPLIT(_xlpm.t," "),_xlpm.f,_xlfn._xlws.FILTER(_xlpm.tk,ISNUMBER(--MID(_xlpm.tk,2,1))*ISNUMBER(SEARCH(LEFT(_xlpm.tk,1)&amp;"#","B#C#D#"))*(LEN(_xlpm.tk)&gt;1),""),_xlpm.x,INDEX(_xlpm.f,1),IFERROR(--SUBSTITUTE(MID(_xlpm.x,2,9),"A",""),IFERROR(--SUBSTITUTE(INDEX(_xlfn._xlws.FILTER(_xlpm.tk,ISNUMBER(--SUBSTITUTE(_xlpm.tk,"A","")),""),1),"A",""),""))))</f>
        <v>16</v>
      </c>
      <c r="DS30" t="str">
        <f t="shared" si="40"/>
        <v>ok</v>
      </c>
      <c r="DT30">
        <f t="shared" si="41"/>
        <v>16</v>
      </c>
      <c r="DU30" t="str">
        <f t="shared" si="42"/>
        <v>2P С16А 10мА</v>
      </c>
      <c r="DV30">
        <f t="shared" si="43"/>
        <v>10</v>
      </c>
      <c r="DW30">
        <f t="shared" si="44"/>
        <v>1</v>
      </c>
      <c r="DX30">
        <f t="shared" si="45"/>
        <v>0</v>
      </c>
      <c r="DY30">
        <f t="shared" si="46"/>
        <v>9.1160568819414589</v>
      </c>
      <c r="DZ30">
        <f t="shared" si="47"/>
        <v>1</v>
      </c>
      <c r="EA30">
        <f>IF(ISNUMBER(AP30),AP30,К_прокл)</f>
        <v>1</v>
      </c>
      <c r="EB30">
        <f t="shared" si="48"/>
        <v>2</v>
      </c>
      <c r="EC30">
        <f>IFERROR(N(VLOOKUP(BZ30,Кабель_обозначение,3,FALSE)),1)</f>
        <v>1</v>
      </c>
      <c r="ED30">
        <f>IFERROR(N(_xlfn.XLOOKUP(A30,Щиты[Щит],Щиты[ΔU до шин, %])),0)</f>
        <v>1.0560288498727977</v>
      </c>
      <c r="EE30">
        <f>IFERROR(_xlfn.XLOOKUP(A30,Щиты[Щит],Щиты[Zпетли на шинах, Ом]),"")</f>
        <v>0.28247829354840204</v>
      </c>
      <c r="EF30">
        <f>IFERROR(N(_xlfn.XLOOKUP(A30,Щиты[Щит],Щиты[ΔU до шин (подбор), %])),0)</f>
        <v>1.0560288498727977</v>
      </c>
      <c r="EG30">
        <f>IFERROR(_xlfn.XLOOKUP(A30,Щиты[Щит],Щиты[Zпетли на шинах (подбор), Ом]),"")</f>
        <v>0.28247829354840204</v>
      </c>
      <c r="EH30" t="str">
        <f t="shared" si="49"/>
        <v/>
      </c>
      <c r="EI30">
        <f t="shared" si="50"/>
        <v>9</v>
      </c>
      <c r="EJ30">
        <f t="shared" si="51"/>
        <v>2</v>
      </c>
      <c r="EK30">
        <f t="shared" si="52"/>
        <v>0.31</v>
      </c>
      <c r="EL30" s="6">
        <f>IF(B30="","",IF(BV30=1,dU_LED,IF(IFERROR(_xlfn.XLOOKUP(BC30,Коды_код,Коды_уго),"")="Светильник",3,4)+IF(Методика="нормы 2026",MIN(0.5,MAX(0,N(P30)-100)*0.005),0)))</f>
        <v>4</v>
      </c>
      <c r="EM30" cm="1">
        <f t="array" ref="EM30">IF(OR(B30="",BZ30="",EC30&lt;&gt;1),"",_xlfn.LET(_xlpm.sz,Iдоп_S,_xlpm.t_,CHOOSE(EB30,Iдоп_1ж,Iдоп_2ж,Iдоп_3ж)*DZ30*EA30,_xlpm.dcx,BV30=1,_xlpm.inn,IF(_xlpm.dcx,N(O30),N(DT30)),_xlpm.smin,MAX(1.5,CC30),_xlpm.L_,N(P30)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30)/N(BU30)*100,999),IFERROR(N(EJ30)*(_xlpm.rho*_xlpm.L_/_xlpm.sz*N(CE30)+_xlpm.xx*_xlpm.L_*N(EK30)/1000)*N(O30)/((Uн_лин/SQRT(3))*1000)*100,999)),_xlpm.kz,IF(OR(_xlpm.dcx,DW30=1,NOT(ISNUMBER(EG30)),_xlpm.L_=0,_xlpm.inn=0),1,IFERROR(--(c_min*(Uн_лин*1000/SQRT(3))/(EG30+2*ρкз_Cu*_xlpm.L_/_xlpm.sz)&gt;=HT30*_xlpm.inn),0)),_xlpm.ok,IFERROR((_xlpm.sz&gt;=_xlpm.smin)*(_xlpm.t_&gt;=_xlpm.inn)*IF(_xlpm.L_&gt;0,(_xlpm.du_+IF(_xlpm.dcx,0,EF30)&lt;=EL30+0.00001),1)*_xlpm.kz,0),_xlpm.r_,_xlfn._xlws.FILTER(_xlpm.sz,_xlpm.ok,"не подобрано"),INDEX(_xlpm.r_,1)))</f>
        <v>2.5</v>
      </c>
      <c r="EN30">
        <f t="shared" si="53"/>
        <v>2.5</v>
      </c>
      <c r="EO30" cm="1">
        <f t="array" ref="EO30">IF(OR(B30="",BZ30="",EC30&lt;&gt;1),"",_xlfn.LET(_xlpm.sz,Iдоп_S,_xlpm.t_,CHOOSE(EB30,Iдоп_1ж,Iдоп_2ж,Iдоп_3ж)*DZ30*EA30,_xlpm.ok,IFERROR((_xlpm.sz&gt;=MAX(1.5,CC30))*(_xlpm.t_&gt;=N(DT30)),0),_xlpm.r_,_xlfn._xlws.FILTER(_xlpm.sz,_xlpm.ok,""),INDEX(_xlpm.r_,1)))</f>
        <v>2.5</v>
      </c>
      <c r="EP30" s="6" cm="1">
        <f t="array" ref="EP30">IFERROR(ROUNDUP(N(EJ30)*(_xlfn.XLOOKUP(EO30,INDEX(Кабель_сопротивление,0,1),INDEX(Кабель_сопротивление,0,3))*N(P30)/EO30*N(CE30)+_xlfn.XLOOKUP(EO30,INDEX(Кабель_сопротивление,0,1),INDEX(Кабель_сопротивление,0,2))*N(P30)*N(EK30)/1000)*N(O30)/((Uн_лин/SQRT(3))*1000)*100,2),"")</f>
        <v>0.75</v>
      </c>
      <c r="EQ30">
        <f>IFERROR(2*ρкз_Cu*N(P30)/EO30,"")</f>
        <v>0.23144000000000001</v>
      </c>
      <c r="ER30">
        <f>IFERROR(VLOOKUP(EN30,Кабель_сопротивление,3,FALSE),"")</f>
        <v>2.2499999999999999E-2</v>
      </c>
      <c r="ES30">
        <f>IFERROR(VLOOKUP(EN30,Кабель_сопротивление,2,FALSE),"")</f>
        <v>0.1</v>
      </c>
      <c r="ET30" t="str">
        <f t="shared" si="54"/>
        <v/>
      </c>
      <c r="EU30" t="str">
        <f t="shared" si="55"/>
        <v/>
      </c>
      <c r="EV30">
        <f t="shared" si="56"/>
        <v>1.7209474502866724</v>
      </c>
      <c r="EW30" s="6">
        <f>IFERROR(ROUNDUP(EV30/IF(BV30=1,BU30,(Uн_лин/SQRT(3))*1000)*100,2),"")</f>
        <v>0.75</v>
      </c>
      <c r="EX30" t="str">
        <f>IFERROR(VLOOKUP(BZ30,Кабель_обозначение,2,FALSE),"")</f>
        <v>ВВГнг(А)-LS</v>
      </c>
      <c r="EY30" t="str">
        <f t="shared" si="57"/>
        <v>ВВГнг(А)-LS (3х2,5)</v>
      </c>
      <c r="EZ30" t="str">
        <f t="shared" si="58"/>
        <v>ВВГнг(А)-LS (3х2,5)
L=11-0,75%</v>
      </c>
      <c r="FA30">
        <f>IFERROR(2*ρкз_Cu*P30/EN30,"")</f>
        <v>0.23144000000000001</v>
      </c>
      <c r="FB30">
        <f t="shared" si="59"/>
        <v>7.6999999999999999E-2</v>
      </c>
      <c r="FC30" s="6">
        <f>IFERROR(IF(OR(B30="",BV30=1,NOT(ISNUMBER(EN30)),N(P30)=0),"",_xlfn.XLOOKUP(A30,Щиты[Щит],Щиты[Zпетли на шинах, Ом])+FA30),"")</f>
        <v>0.51391829354840202</v>
      </c>
      <c r="FD30" s="6">
        <f>IF(ISNUMBER(FC30),c_min*(Uн_лин*1000/SQRT(3))/FC30,"")</f>
        <v>426.90269065386917</v>
      </c>
      <c r="FE30" s="6">
        <f>IFERROR(IF(OR(B30="",NOT(ISNUMBER(EN30))),"",1.05*(Uн_лин*1000/SQRT(3))/(_xlfn.XLOOKUP(A30,Щиты[Щит],Щиты[Zmax на шинах, Ом])+FB30)/1000),"")</f>
        <v>1.4957858665676789</v>
      </c>
      <c r="FF30" s="6" t="str">
        <f>IF(B30="","",IF(ISNUMBER(AC30),"Сил",IF(IFERROR(_xlfn.XLOOKUP(BC30,Коды_код,Коды_группа)&amp;"","")="","Быт",_xlfn.XLOOKUP(BC30,Коды_код,Коды_группа)&amp;"")))</f>
        <v>Быт</v>
      </c>
      <c r="FG30" s="6" t="str">
        <f t="shared" si="60"/>
        <v>Быт</v>
      </c>
      <c r="FH30" s="6">
        <f>IF(FG30="Щит","щит",IF(FG30="","",IF(FG30="Быт",IFERROR(_xlfn.XLOOKUP(A30,Щиты[Щит],Щиты[Кс быт]),1),IF(FG30="Сил",IF(ISNUMBER(AC30),AC30,IF(Методика="нормы 2026",IFERROR(_xlfn.XLOOKUP(A30,Щиты[Щит],Щиты[Кс силовых (табл. 7.5)]),1),1)),IF(OR(FG30="Пост",FG30="Отоп"),1,IF(FG30="ВНГ",0.7,0))))))</f>
        <v>0.8</v>
      </c>
      <c r="FI30">
        <f>IF(FG30="","",IF(AND(BP30=1,TRIM(AE30&amp;"")=""),IF(COUNTIFS(Линии[Щит],A30,Линии[Секция (1/2/3)],"&gt;=2")&gt;0,MIN(3,MAX(1,IFERROR(--BD30,1))),1),IFERROR(MIN(3,MAX(1,INT(--AE30))),1)))</f>
        <v>1</v>
      </c>
      <c r="FJ30">
        <f t="shared" si="61"/>
        <v>2</v>
      </c>
      <c r="FK30">
        <f t="shared" si="62"/>
        <v>2</v>
      </c>
      <c r="FL30">
        <f t="shared" si="63"/>
        <v>0</v>
      </c>
      <c r="FM30">
        <f t="shared" si="64"/>
        <v>0</v>
      </c>
      <c r="FN30">
        <f t="shared" si="65"/>
        <v>0</v>
      </c>
      <c r="FO30">
        <f t="shared" si="66"/>
        <v>0</v>
      </c>
      <c r="FP30">
        <f t="shared" si="67"/>
        <v>2</v>
      </c>
      <c r="FQ30">
        <f t="shared" si="68"/>
        <v>2</v>
      </c>
      <c r="FR30">
        <f t="shared" si="69"/>
        <v>1.9</v>
      </c>
      <c r="FS30">
        <f>IF(CG30=1,IF(AND(CH30=1,CW30=1),0,IF(AND(CS30&lt;&gt;"",CS30=BA30,CW30=1),SUMIFS(Линии[_Р линии, кВт],Линии[_блок УЗО],BA30,Линии[Щит],A30),N(BS30)+IF(AJ30="вручную",0,N(CK30)))),0)</f>
        <v>2</v>
      </c>
      <c r="FT30" t="str">
        <f t="shared" si="70"/>
        <v/>
      </c>
      <c r="FU30" t="str">
        <f>IF(B30="","",IF(CG30=0,IF(BA30=1,"",FW29),IF(AND(CH30=1,CW30=1,CS30&lt;&gt;""),IFERROR(_xlfn.XLOOKUP(CS30,Линии[_n],Линии[_фаза итог]),"L1"),IF(OR(N(DL30)&gt;=3,N(BX30)&gt;=3),"L1,L2,L3",IFERROR(_xlfn.TEXTBEFORE(_xlfn.TEXTAFTER(_xlfn.XLOOKUP(A30,Щиты[Щит],Щиты[_фазы авто]),";"&amp;BA30&amp;":"),";"),"L1")))))</f>
        <v>L2</v>
      </c>
      <c r="FV30" t="str">
        <f t="shared" si="71"/>
        <v>L2</v>
      </c>
      <c r="FW30" t="str">
        <f t="shared" si="72"/>
        <v>L2</v>
      </c>
      <c r="FX30" cm="1">
        <f t="array" ref="FX30">IFERROR(IF(CD30=2,_xlfn.IFS(BX30=3,VLOOKUP(BS30,Справочная_двигатели,3,FALSE),BX30=1,VLOOKUP(BS30,Справочная_двигатели,5,TRUE)),0),0)</f>
        <v>0</v>
      </c>
      <c r="FY30">
        <f>IFERROR(IF(CD30=3,VLOOKUP(BS30,Справочная_ЛЭД,2,TRUE),0),0)</f>
        <v>0</v>
      </c>
      <c r="FZ30" s="6">
        <f t="shared" si="73"/>
        <v>0</v>
      </c>
      <c r="GA30" t="str">
        <f>IF(B30="","",IF(TRIM(AH30&amp;"")&lt;&gt;"",IF(LOWER(TRIM(AH30&amp;""))="да","да","нет"),IF(IFERROR(_xlfn.XLOOKUP(BC30,Коды_код,Коды_пожарная),"")="да","да","нет")))</f>
        <v>нет</v>
      </c>
      <c r="GB30" t="str">
        <f t="shared" si="74"/>
        <v/>
      </c>
      <c r="GC30" t="str">
        <f t="shared" si="75"/>
        <v>основная</v>
      </c>
      <c r="GD30">
        <f>IF(AND(BP30=1,TRIM(AE30&amp;"")=""),IF(COUNTIFS(Линии[Щит],A30,Линии[Секция (1/2/3)],"&gt;=2")&gt;0,MIN(3,MAX(1,IFERROR(--BD30,1))),1),IFERROR(MIN(3,MAX(1,INT(--AE30))),1))</f>
        <v>1</v>
      </c>
      <c r="GE30" t="str" cm="1">
        <f t="array" ref="GE30">IF(B30="","",_xlfn.LET(_xlpm.t,IFERROR(_xlfn.XLOOKUP(1,(Шины[Шина]=GC30)*(((Шины[Щит]=A30)+(Шины[Щит]=""))&gt;0),Шины[Тип]),"")&amp;"",IF(_xlpm.t&lt;&gt;"",_xlpm.t,IF(ISNUMBER(SEARCH("ИБП",GC30)),"ИБП",IF(ISNUMBER(SEARCH("ДГУ",GC30)),"ДГУ","Ввод "&amp;GD30)))))</f>
        <v>Ввод 1</v>
      </c>
      <c r="GF30" t="str">
        <f t="shared" si="76"/>
        <v>Ввод 1</v>
      </c>
      <c r="GG30" t="str">
        <f>IF(BP30=0,"",IF(TRIM(AG30&amp;"")&lt;&gt;"",TRIM(AG30&amp;""),IF(OR(GE30="ИБП",GE30="ДГУ"),"I особая",_xlfn.XLOOKUP(A30,Щиты[Щит],Щиты[Категория шины «Ввод»],"III"))))</f>
        <v/>
      </c>
      <c r="GH30" t="str">
        <f>IF(A30="","",_xlfn.XLOOKUP(A30,Щиты[Щит],Щиты[Путь],""))</f>
        <v>|ВРУ|ЩР-1|</v>
      </c>
      <c r="GI30" t="str">
        <f>IF(B30="","",IF(AI30&lt;&gt;"",AI30,IF(IFERROR(_xlfn.XLOOKUP(BC30,Коды_код,Коды_вид)&amp;"","")="","Прочее",_xlfn.XLOOKUP(BC30,Коды_код,Коды_вид)&amp;"")))</f>
        <v>Розеточная сеть и бытовые приборы</v>
      </c>
      <c r="GJ30">
        <f>IF(BM30="","",INT((BM30-1)/Столбцов_на_лист)+1)</f>
        <v>1</v>
      </c>
      <c r="GK30" t="str">
        <f t="shared" si="77"/>
        <v>ВВГнг(А)-LS (3х2,5) L=11-0,75%</v>
      </c>
      <c r="GL30">
        <f t="shared" si="78"/>
        <v>2</v>
      </c>
      <c r="GM30">
        <f t="shared" si="79"/>
        <v>9.1199999999999992</v>
      </c>
      <c r="GN30">
        <f t="shared" si="80"/>
        <v>1</v>
      </c>
      <c r="GO30">
        <f t="shared" si="81"/>
        <v>0</v>
      </c>
      <c r="GP30">
        <f t="shared" si="82"/>
        <v>1</v>
      </c>
      <c r="GQ30">
        <f>IF(BM30="","",IF(AND(CG30=1,GP30=1),COUNTIFS(A$3:A30,A30,CG$3:CG30,1,GP$3:GP30,1),IF(OR(OR(BA30=1,A30&lt;&gt;A29),AJ30="вручную",GP30=0),"",IF(BA30=1,"",GR29))))</f>
        <v>3</v>
      </c>
      <c r="GR30">
        <f t="shared" si="83"/>
        <v>3</v>
      </c>
      <c r="GS30">
        <f>IF(B30="","",IFERROR(LOOKUP(INDEX(CHOOSE(EB30,Iдоп_1ж,Iдоп_2ж,Iдоп_3ж),MATCH(EN30,Iдоп_S,0))*DZ30*EA30,{6,10,16,20,25,32,40,50,63,80,100,125,160,200,250,315,400,500,630}),""))</f>
        <v>25</v>
      </c>
      <c r="GT30" t="str">
        <f t="shared" si="84"/>
        <v>QFD3</v>
      </c>
      <c r="GU30" t="str">
        <f t="shared" si="85"/>
        <v>QFD3</v>
      </c>
      <c r="GV30" t="str">
        <f t="shared" si="86"/>
        <v/>
      </c>
      <c r="GW30">
        <f t="shared" si="87"/>
        <v>0</v>
      </c>
      <c r="GX30" t="str">
        <f>IF(OR(B30="",DJ30=""),"",IFERROR(_xlfn.XLOOKUP(DJ30,Модули_умолч[Управление],Модули_умолч[Модель])&amp;"",""))</f>
        <v/>
      </c>
      <c r="GY30">
        <f>IF(DJ30="",1,IFERROR(MAX(0,N(_xlfn.XLOOKUP(DJ30,Модули_умолч[Управление],Модули_умолч[Каналов на линию]))),1))</f>
        <v>1</v>
      </c>
      <c r="GZ30" t="str">
        <f t="shared" si="88"/>
        <v/>
      </c>
      <c r="HA30" t="str">
        <f t="shared" si="89"/>
        <v/>
      </c>
      <c r="HB30" t="str">
        <f t="shared" si="90"/>
        <v/>
      </c>
      <c r="HC30">
        <f>IF(HB30="",0,IFERROR(N(VLOOKUP(HB30,Модули_спр,3,FALSE)),0))</f>
        <v>0</v>
      </c>
      <c r="HD30" t="str">
        <f t="shared" si="91"/>
        <v/>
      </c>
      <c r="HE30" t="str">
        <f t="shared" si="92"/>
        <v/>
      </c>
      <c r="HF30" t="str">
        <f>IF(OR(HE30="",HE30="-"),"",IFERROR(VLOOKUP(HE30,Модули_спр,2,FALSE),"R"))</f>
        <v/>
      </c>
      <c r="HG30" t="str">
        <f>IF(HF30="","",HF30&amp;"."&amp;COUNTIFS(A$3:A30,A30,HF$3:HF30,HF30))</f>
        <v/>
      </c>
      <c r="HH30" t="str">
        <f t="shared" si="93"/>
        <v/>
      </c>
      <c r="HI30" t="str">
        <f t="shared" si="94"/>
        <v/>
      </c>
      <c r="HJ30" t="str">
        <f t="shared" si="95"/>
        <v/>
      </c>
      <c r="HK30" t="str">
        <f t="shared" si="96"/>
        <v/>
      </c>
      <c r="HL30">
        <f t="shared" si="97"/>
        <v>1</v>
      </c>
      <c r="HM30" t="str">
        <f>IF(HL30=1,"XT"&amp;COUNTIFS(A$3:A30,A30,HL$3:HL30,1),"")</f>
        <v>XT4</v>
      </c>
      <c r="HN30" t="str">
        <f t="shared" si="98"/>
        <v>XT4</v>
      </c>
      <c r="HO30" t="str">
        <f t="shared" si="99"/>
        <v>QFD3</v>
      </c>
      <c r="HP30" t="str">
        <f t="shared" si="100"/>
        <v/>
      </c>
      <c r="HQ30" t="str">
        <f t="shared" si="101"/>
        <v>ok</v>
      </c>
      <c r="HR30" t="str">
        <f>IF(OR(HJ30="",HH30=""),"",IF(HJ30+MAX(0,GY30-1)&gt;IFERROR(VLOOKUP(HI30,Модули_спр,3,FALSE),99),"ЛИШНИЙ КАНАЛ",IF(AND(AL30&lt;&gt;"=",GY30&gt;0,COUNTIFS(Линии[_модуль гр.],HH30,Линии[Канал (итог)],HJ30,Линии[Канал],"&lt;&gt;=",Линии[Щит],A30)&gt;1),"ДУБЛЬ КАНАЛА","")))</f>
        <v/>
      </c>
      <c r="HS30" s="6">
        <f t="shared" si="102"/>
        <v>26.681418165866823</v>
      </c>
      <c r="HT30">
        <f t="shared" si="103"/>
        <v>10</v>
      </c>
      <c r="HU30" t="str">
        <f t="shared" si="104"/>
        <v>ok</v>
      </c>
      <c r="HV30">
        <f t="shared" si="105"/>
        <v>3.7564227527765834</v>
      </c>
      <c r="HW30">
        <f t="shared" si="106"/>
        <v>0</v>
      </c>
      <c r="HX30">
        <f t="shared" si="107"/>
        <v>0</v>
      </c>
      <c r="HY30">
        <f t="shared" si="108"/>
        <v>0</v>
      </c>
      <c r="HZ30">
        <f t="shared" si="109"/>
        <v>0</v>
      </c>
      <c r="IA30">
        <f t="shared" si="110"/>
        <v>0</v>
      </c>
      <c r="IB30">
        <f t="shared" si="111"/>
        <v>0</v>
      </c>
      <c r="IC30" t="str">
        <f t="shared" si="112"/>
        <v/>
      </c>
      <c r="ID30" t="str" cm="1">
        <f t="array" ref="ID30">IF(IC30="","",_xlfn.LET(_xlpm.tk,_xlfn.TEXTSPLIT(SUBSTITUTE(SUBSTITUTE(IC30,";"," "),"→"," ")," ",,TRUE),_xlpm.w_,_xlfn._xlws.FILTER(_xlpm.tk,ISNUMBER(--LEFT(_xlpm.tk,1))*((ISNUMBER(SEARCH("W",_xlpm.tk))+ISNUMBER(SEARCH("Вт",_xlpm.tk)))&gt;0),""),IFERROR(--SUBSTITUTE(SUBSTITUTE(UPPER(INDEX(_xlpm.w_,1)),"W",""),"ВТ",""),"")))</f>
        <v/>
      </c>
      <c r="IE30" t="str" cm="1">
        <f t="array" ref="IE30">IF(IC30="","",_xlfn.LET(_xlpm.tk,_xlfn.TEXTSPLIT(SUBSTITUTE(SUBSTITUTE(IC30,";"," "),"→"," ")," ",,TRUE),_xlpm.v_,_xlfn._xlws.FILTER(_xlpm.tk,ISNUMBER(--LEFT(_xlpm.tk,1))*((ISNUMBER(SEARCH("V",_xlpm.tk))+(RIGHT(UPPER(_xlpm.tk))="В"))&gt;0),""),IFERROR(--SUBSTITUTE(SUBSTITUTE(UPPER(INDEX(_xlpm.v_,1)),"V",""),"В",""),"")))</f>
        <v/>
      </c>
      <c r="IF30" s="6" t="str">
        <f>IF(OR(BV30=0,HI30="",HJ30=""),"",IFERROR(N(_xlfn.XLOOKUP(HI30,Каталог!$C$4:$C$500,Каталог!$Q$4:$Q$500)),""))</f>
        <v/>
      </c>
      <c r="IG30" s="6" t="str">
        <f>IF(N(IF30)=0,"",SUMIFS(Линии[Iр, А],Линии[Щит],A30,Линии[_модуль гр.],HH30,Линии[Канал (итог)],HJ30))</f>
        <v/>
      </c>
      <c r="IH30" t="str">
        <f>IF(AND(B30="",HO30=""),"",_xlfn.TEXTJOIN("; ",TRUE,IF(AND(B30&lt;&gt;"",FV30=""),"нет фазы",""),IF(AND(B30&lt;&gt;"",N(GL30)=0,FG30&lt;&gt;"Нет"),"нет мощности",""),IF(AND(HN30&lt;&gt;"",COUNTIFS(Линии[Щит],A30,Линии[Клемма (итог)],HN30)&gt;1),"дубль клеммы "&amp;HN30,""),IF(AND(HQ30&lt;&gt;"",HQ30&lt;&gt;"ok"),HQ30,""),IF(HR30&lt;&gt;"",HR30,""),IF(AND(N(CB30)&gt;=4,N(BX30)=1),CB30&amp;" жил на 1 фазе",""),IF(AND(BC30="R",CG30=1,IF(CS30&lt;&gt;"",N(CV30)&gt;30,OR(N(DA30)=0,N(DA30)&gt;30))),"розетка без дифзащиты до 30 мА",""),IF(AND(CG30=1,N(DA30)&gt;0,ISNUMBER(T30)),IF(T30&gt;N(DA30)/3,"ток утечки "&amp;FIXED(T30,1)&amp;" мА &gt; 1/3 уставки ("&amp;DA30&amp;" мА)",""),""),IF(AND(CH30=1,CS30=""),"«узо»: нет строки с УЗО выше (УЗО 2P 40А 30мА в «Аппаратах»)",""),IF(AND(CS30&lt;&gt;"",CS30=BA30),IF(CT30="","впишите номинал УЗО (УЗО 2P 40А 30мА)",IF(N(CT30)&lt;N(DT30),"УЗО "&amp;CT30&amp;" А &lt; автомата "&amp;DT30&amp;" А перед ним",IF(N(CT30)&lt;N(CX30),"УЗО "&amp;CT30&amp;" А &lt; тока блока "&amp;FIXED(CX30,1)&amp;" А",""))),""),IF(AND(CS30&lt;&gt;"",CS30=BA30,ISNUMBER(CY30)),IF(CY30&gt;N(CV30)/3,"ток утечки блока УЗО "&amp;FIXED(CY30,1)&amp;" мА &gt; 1/3 уставки ("&amp;CV30&amp;" мА)",""),""),IF(AND(CG30=1,N(BV30)+N(IB30)&gt;0,IC30=""),"линии до 50 В без БП: впишите в «Аппараты» (БП 24V 480W)",""),IF(AND(CG30=1,ISNUMBER(ID30),ISNUMBER(U30)),IF(U30&gt;ID30,"БП "&amp;ID30&amp;" Вт &lt; нужно "&amp;U30&amp;" Вт (×"&amp;Запас_БП&amp;")",""),""),IF(AND(CG30=1,ISNUMBER(IE30),N(BV30)=1),IF(IE30&lt;&gt;N(BU30),"БП на "&amp;IE30&amp;" В, линия "&amp;BU30&amp;" В",""),""),IF(AND(N(IF30)&gt;0,N(IG30)&gt;N(IF30)),HH30&amp;" канал "&amp;HJ30&amp;": "&amp;FIXED(IG30,1)&amp;" А &gt; "&amp;IF30&amp;" А",""),IFERROR(IF(AND(ISNUMBER(Q30),Q30&gt;EL30),"потери "&amp;FIXED(Q30,1)&amp;" % &gt; "&amp;EL30&amp;" %",""),""),IFERROR(IF(LEFT(HU30,4)="мало","Iкз мало — отключение &gt; 0,4 с",""),""),IF(AND(B30&lt;&gt;"",BM30=""),"не на схеме",""),IF(AND(CG30=0,B30&lt;&gt;"",FV30&lt;&gt;"",IF(BA30=1,"",FW29)&lt;&gt;"",FV30&lt;&gt;IF(BA30=1,"",FW29)),"фаза не как у автомата группы ("&amp;IF(BA30=1,"",FW29)&amp;")","")))</f>
        <v>ток утечки 3,8 мА &gt; 1/3 уставки (10 мА)</v>
      </c>
      <c r="II30" s="6" t="str">
        <f>IF(OR(CG30=0,DQ30=""),"",_xlfn.LET(_xlpm.t,IFERROR(_xlfn.XLOOKUP(DQ30,Каталог!$U$4:$U$500,Каталог!$G$4:$G$500),""),_xlpm.k,SEARCH("кА",_xlpm.t),IFERROR(--TRIM(RIGHT(SUBSTITUTE(MID(_xlpm.t,MAX(1,_xlpm.k-4),_xlpm.k-MAX(1,_xlpm.k-4))," ",REPT(" ",9)),5)),"")))</f>
        <v/>
      </c>
      <c r="IJ30" t="str">
        <f>IF(OR(II30="",CG30=0),"",IF(_xlfn.XLOOKUP(A30,Щиты[Щит],Щиты[Iкз max на шинах, кА],"")="","",IF(II30&lt;_xlfn.XLOOKUP(A30,Щиты[Щит],Щиты[Iкз max на шинах, кА]),"Icu "&amp;II30&amp;" кА &lt; Iкз max","ok")))</f>
        <v/>
      </c>
      <c r="IK30" t="str">
        <f t="shared" si="113"/>
        <v/>
      </c>
      <c r="IL30" t="str">
        <f t="shared" si="114"/>
        <v>QFD3|XT4</v>
      </c>
      <c r="IM30" t="str">
        <f t="shared" si="115"/>
        <v>QFD3|XT4|кабель ВВГнг(А)-LS (3х2,5) → Розетки ванной (дифзащита 10 мА)</v>
      </c>
      <c r="IN30" t="str" cm="1">
        <f t="array" ref="IN30">IF(IM30="","",_xlfn.LET(_xlpm.nd,_xlfn.TEXTSPLIT(IM30,"|"),IF(COLUMNS(_xlpm.nd)&gt;1,A30&amp;"¦"&amp;INDEX(_xlpm.nd,1)&amp;"¦"&amp;INDEX(_xlpm.nd,2),"")))</f>
        <v>ЩР-1¦QFD3¦XT4</v>
      </c>
      <c r="IO30" t="str">
        <f t="shared" si="116"/>
        <v>R.1.03.1¦Розетки ванной (дифзащита 10 мА)</v>
      </c>
      <c r="IP30" t="str" cm="1">
        <f t="array" ref="IP30">IF(IM30="","",_xlfn.LET(_xlpm.nd,_xlfn.TEXTSPLIT(IM30,"|"),IF(COLUMNS(_xlpm.nd)&gt;2,A30&amp;"¦"&amp;INDEX(_xlpm.nd,2)&amp;"¦"&amp;INDEX(_xlpm.nd,3),"")))</f>
        <v>ЩР-1¦XT4¦кабель ВВГнг(А)-LS (3х2,5) → Розетки ванной (дифзащита 10 мА)</v>
      </c>
      <c r="IQ30" t="str">
        <f t="shared" si="117"/>
        <v>R.1.03.1¦Розетки ванной (дифзащита 10 мА)</v>
      </c>
      <c r="IR30" t="str" cm="1">
        <f t="array" ref="IR30">IF(IM30="","",_xlfn.LET(_xlpm.nd,_xlfn.TEXTSPLIT(IM30,"|"),IF(COLUMNS(_xlpm.nd)&gt;3,A30&amp;"¦"&amp;INDEX(_xlpm.nd,3)&amp;"¦"&amp;INDEX(_xlpm.nd,4),"")))</f>
        <v/>
      </c>
      <c r="IS30" t="str">
        <f t="shared" si="118"/>
        <v/>
      </c>
      <c r="IT30" t="str" cm="1">
        <f t="array" ref="IT30">IF(IM30="","",_xlfn.LET(_xlpm.nd,_xlfn.TEXTSPLIT(IM30,"|"),IF(COLUMNS(_xlpm.nd)&gt;4,A30&amp;"¦"&amp;INDEX(_xlpm.nd,4)&amp;"¦"&amp;INDEX(_xlpm.nd,5),"")))</f>
        <v/>
      </c>
      <c r="IU30" t="str">
        <f t="shared" si="119"/>
        <v/>
      </c>
      <c r="IV30" t="str" cm="1">
        <f t="array" ref="IV30">IF(IM30="","",_xlfn.LET(_xlpm.nd,_xlfn.TEXTSPLIT(IM30,"|"),IF(COLUMNS(_xlpm.nd)&gt;5,A30&amp;"¦"&amp;INDEX(_xlpm.nd,5)&amp;"¦"&amp;INDEX(_xlpm.nd,6),"")))</f>
        <v/>
      </c>
      <c r="IW30" t="str">
        <f t="shared" si="120"/>
        <v/>
      </c>
      <c r="IX30" t="str" cm="1">
        <f t="array" ref="IX30">IF(IM30="","",_xlfn.LET(_xlpm.nd,_xlfn.TEXTSPLIT(IM30,"|"),IF(COLUMNS(_xlpm.nd)&gt;6,A30&amp;"¦"&amp;INDEX(_xlpm.nd,6)&amp;"¦"&amp;INDEX(_xlpm.nd,7),"")))</f>
        <v/>
      </c>
      <c r="IY30" t="str">
        <f t="shared" si="121"/>
        <v/>
      </c>
      <c r="IZ30" t="str">
        <f t="shared" si="122"/>
        <v/>
      </c>
      <c r="JA30" t="str">
        <f t="shared" si="123"/>
        <v>QFD3 → XT4</v>
      </c>
      <c r="JB30">
        <f t="shared" si="124"/>
        <v>0</v>
      </c>
      <c r="JC30">
        <f t="shared" si="125"/>
        <v>1</v>
      </c>
      <c r="JD30" t="str">
        <f t="shared" si="126"/>
        <v/>
      </c>
      <c r="JE30" t="str">
        <f t="shared" si="127"/>
        <v/>
      </c>
      <c r="JF30" t="str">
        <f t="shared" si="128"/>
        <v/>
      </c>
      <c r="JG30" t="str">
        <f t="shared" si="129"/>
        <v/>
      </c>
      <c r="JH30" t="str">
        <f>IF(B30="","",IFERROR(_xlfn.XLOOKUP(B30,Коды_код,Коды_уго),IFERROR(_xlfn.XLOOKUP(BC30,Коды_код,Коды_уго),IFERROR(_xlfn.XLOOKUP(LEFT(BC30,2),Коды_код,Коды_уго),""))))</f>
        <v>Розетка</v>
      </c>
      <c r="JI30" t="str">
        <f>IF(B30="","",IF(OR(JH30="",JH30=0),"BOX",IFERROR(IF(VLOOKUP(JH30,УГО_блоки,3,FALSE)&amp;""&lt;&gt;"",VLOOKUP(JH30,УГО_блоки,3,FALSE),VLOOKUP(JH30,УГО_блоки,2,FALSE)),JH30)))</f>
        <v>SOCKET</v>
      </c>
      <c r="JJ30">
        <f t="shared" si="130"/>
        <v>1</v>
      </c>
      <c r="JK30">
        <f>IF(DQ30="","",IF(COUNTIF(DQ$3:DQ30,DQ30)=1,MAX(JK$2:JK29)+1,""))</f>
        <v>10</v>
      </c>
      <c r="JL30" t="str">
        <f>IF(DE30="","",IF(COUNTIF(DE$3:DE30,DE30)+COUNTIF(DF$2:DF29,DE30)+COUNTIF(DG$2:DG29,DE30)=1,MAX(JL$2:JN29)+1,""))</f>
        <v/>
      </c>
      <c r="JM30" t="str">
        <f>IF(DF30="","",IF(COUNTIF(DE$3:DE30,DF30)+COUNTIF(DF$3:DF30,DF30)+COUNTIF(DG$2:DG29,DF30)=1,MAX(JL$2:JN29,JL30)+1,""))</f>
        <v/>
      </c>
      <c r="JN30" t="str">
        <f>IF(DG30="","",IF(COUNTIF(DE$3:DE30,DG30)+COUNTIF(DF$3:DF30,DG30)+COUNTIF(DG$3:DG30,DG30)=1,MAX(JL$2:JN29,JL30,JM30)+1,""))</f>
        <v/>
      </c>
      <c r="JO30" t="str">
        <f t="shared" si="131"/>
        <v>3х2,5</v>
      </c>
      <c r="JP30" t="str">
        <f>IF(JO30="","",IF(COUNTIF(JO$3:JO30,JO30)=1,MAX(JP$2:JP29)+1,""))</f>
        <v/>
      </c>
      <c r="JQ30" t="str">
        <f>IF(HG30="","",COUNTIF(HG$3:HG30,"?*"))</f>
        <v/>
      </c>
      <c r="JR30" t="str">
        <f>IF(OR(HG30="",HI30=""),"",IF(COUNTIFS(HG$3:HG30,"?*",HI$3:HI30,HI30)=1,MAX(JR$2:JR29)+1,""))</f>
        <v/>
      </c>
      <c r="JS30">
        <f t="shared" si="132"/>
        <v>1</v>
      </c>
      <c r="JT30">
        <f>IF(B30="","",COUNTIF(B$3:B30,"?*"))</f>
        <v>28</v>
      </c>
      <c r="JU30">
        <f>IF(HL30&lt;&gt;1,0,_xlfn.LET(_xlpm.k,MAX(IFERROR(--_xlfn.XLOOKUP(B30,Коды_код,Коды_3L),0),IFERROR(--_xlfn.XLOOKUP(BC30,Коды_код,Коды_3L),0),IFERROR(--_xlfn.XLOOKUP(LEFT(BC30,2),Коды_код,Коды_3L),0)),IF(_xlpm.k&gt;0,_xlpm.k,IF(IFERROR(--LEFT(SUBSTITUTE(JO30,"x","х"),FIND("х",SUBSTITUTE(JO30,"x","х"))-1),3)&gt;3,Каталог!$S$9,1))))</f>
        <v>1</v>
      </c>
      <c r="JV30">
        <f t="shared" si="133"/>
        <v>0</v>
      </c>
      <c r="JW30" t="str">
        <f t="shared" si="134"/>
        <v>авто</v>
      </c>
      <c r="JX30">
        <f t="shared" si="135"/>
        <v>10</v>
      </c>
      <c r="JY30">
        <f t="shared" si="136"/>
        <v>1</v>
      </c>
      <c r="JZ30">
        <f t="shared" si="137"/>
        <v>1</v>
      </c>
    </row>
    <row r="31" spans="1:286" x14ac:dyDescent="0.3">
      <c r="A31" t="s">
        <v>947</v>
      </c>
      <c r="B31" t="s">
        <v>1209</v>
      </c>
      <c r="C31" t="str">
        <f>Линии[[#This Row],[_авто наименование]]</f>
        <v>Группа освещения, пом. 01</v>
      </c>
      <c r="E31">
        <v>0.3</v>
      </c>
      <c r="G31" t="str">
        <f>Линии[[#This Row],[_авто автомат]]</f>
        <v>1P С10А</v>
      </c>
      <c r="H31" t="str">
        <f>Линии[[#This Row],[_авто управление]]</f>
        <v/>
      </c>
      <c r="I31" t="str">
        <f>Линии[[#This Row],[_авто аппараты]]</f>
        <v/>
      </c>
      <c r="J31">
        <f>Линии[[#This Row],[_авто сечение]]</f>
        <v>1.5</v>
      </c>
      <c r="K31">
        <v>14</v>
      </c>
      <c r="L31" t="str">
        <f>Линии[[#This Row],[_авто фаза]]</f>
        <v>L3</v>
      </c>
      <c r="M31" t="str">
        <f>Линии[[#This Row],[_авто клемма]]</f>
        <v>XT5</v>
      </c>
      <c r="N31" t="str">
        <f t="shared" si="0"/>
        <v/>
      </c>
      <c r="O31" s="6" cm="1">
        <f t="array" ref="O31">IF(B31="","",IF(BH31&lt;&gt;"",IFERROR(_xlfn.XLOOKUP(BH31,Щиты[Щит],Щиты[Iр, А]),""),IF(BP31=1,IF(OR(N(_xlfn.XLOOKUP(A31,Щиты[Щит],Щиты[Вводов],1))&lt;=1,LOWER(TRIM(_xlfn.XLOOKUP(A31,Щиты[Щит],Щиты[АВР],"")&amp;""))="да"),IFERROR(_xlfn.XLOOKUP(A31,Щиты[Щит],Щиты[Iр, А]),""),IFERROR(N(BS31)*_xlfn.XLOOKUP(A31,Щиты[Щит],Щиты[Кс итог])/(SQRT(3)*Uн_лин*_xlfn.XLOOKUP(A31,Щиты[Щит],Щиты[cos φ])),"")),IF(BV31=1,IFERROR(BS31*1000/BU31,""),IFERROR(_xlfn.IFS(BX31=1,BS31/((Uн_лин/SQRT(3))*CE31),BX31=3,BS31/(SQRT(3)*Uн_лин*CE31)),"")))))</f>
        <v>1.3674085322912188</v>
      </c>
      <c r="P31" s="7">
        <f>IF(B31="","",IFERROR(IF(VLOOKUP(BC31,Потребители_обозначение,4,FALSE)=1,VLOOKUP(BC31,Потребители_обозначение,3,FALSE)*(MAX(1,N(D31))*2-1)+EI31+VLOOKUP(BE31,Этаж_обозначение,3,FALSE)+VLOOKUP(BE31,Этаж_обозначение,4,FALSE),VLOOKUP(BC31,Потребители_обозначение,3,FALSE)*(MAX(1,N(D31))*2-1)+EI31),EI31))</f>
        <v>15</v>
      </c>
      <c r="Q31" s="6">
        <f t="shared" si="1"/>
        <v>1.3160288498727977</v>
      </c>
      <c r="R31" t="str">
        <f t="shared" si="2"/>
        <v>ВВГнг(А)-LS (3х1,5)</v>
      </c>
      <c r="S31" t="str">
        <f>IF(BM31="","",IF(BN31="вводной узел","узел ","")&amp;"л."&amp;(INT((BM31-1)/Столбцов_на_лист)+1)&amp;" / "&amp;(MOD(BM31-1,Столбцов_на_лист)+1))</f>
        <v>л.1 / 8</v>
      </c>
      <c r="T31" s="119">
        <f t="shared" si="3"/>
        <v>2.1</v>
      </c>
      <c r="U31" s="7" t="str">
        <f>IF(OR(CG31=0,N(BV31)+N(IB31)=0),"",ROUNDUP(Запас_БП*(N(HY31)+N(HZ31)),0))</f>
        <v/>
      </c>
      <c r="V31" s="119" t="str">
        <f t="shared" si="4"/>
        <v/>
      </c>
      <c r="W31" s="7">
        <f>IFERROR(IF(OR(B31="",BP31=1,BV31=1,NOT(ISNUMBER(EN31)),N(DT31)=0),"",MAX(0,ROUNDDOWN((c_min*(Uн_лин*1000/SQRT(3))/(HT31*N(DT31))-_xlfn.XLOOKUP(A31,Щиты[Щит],Щиты[Zпетли на шинах, Ом]))*EN31/(2*ρкз_Cu),0))),"")</f>
        <v>54</v>
      </c>
      <c r="Y31" t="str">
        <f>Линии[[#This Row],[_авто утечка]]</f>
        <v/>
      </c>
      <c r="Z31">
        <v>1</v>
      </c>
      <c r="AA31">
        <v>230</v>
      </c>
      <c r="AB31" t="str">
        <f>Линии[[#This Row],[_авто группа Кс]]</f>
        <v>Быт</v>
      </c>
      <c r="AK31" t="s">
        <v>495</v>
      </c>
      <c r="AN31" t="s">
        <v>11</v>
      </c>
      <c r="AO31">
        <v>3</v>
      </c>
      <c r="AT31">
        <v>1</v>
      </c>
      <c r="BA31" cm="1">
        <f t="array" ref="BA31">ROW()-ROW(Линии[#Headers])</f>
        <v>29</v>
      </c>
      <c r="BC31" s="6" t="str">
        <f t="shared" si="5"/>
        <v>L</v>
      </c>
      <c r="BD31" t="str">
        <f t="shared" si="6"/>
        <v>1.01.1</v>
      </c>
      <c r="BE31" t="str">
        <f t="shared" si="7"/>
        <v>1</v>
      </c>
      <c r="BF31" t="str">
        <f t="shared" si="8"/>
        <v>01.1</v>
      </c>
      <c r="BG31" t="str">
        <f t="shared" si="9"/>
        <v>01</v>
      </c>
      <c r="BH31" t="str">
        <f>IF(X31&lt;&gt;"",X31,IF(AND(B31&lt;&gt;"",B31&lt;&gt;A31,ISNUMBER(_xlfn.XMATCH(B31,Щиты[Щит]))),B31,""))</f>
        <v/>
      </c>
      <c r="BI31" t="str" cm="1">
        <f t="array" ref="BI31">IF(B31="","",IF(BH31&lt;&gt;"","Щит "&amp;BH31,_xlfn.LET(_xlpm.nm,IFERROR(_xlfn.XLOOKUP(BC31,Коды_код,Коды_имя)&amp;"",""),_xlpm.md,IFERROR(N(_xlfn.XLOOKUP(BC31,Коды_код,Коды_режим)),1),_xlpm.ex,IF(Имя_режим="по экспликации",IFERROR(_xlfn.XLOOKUP(BE31&amp;"|"&amp;BG31,Экспликация[Этаж]&amp;"|"&amp;Экспликация[Помещение],Экспликация[Название])&amp;"",""),""),_xlpm.rm,IF(BG31="","",IF(_xlpm.ex&lt;&gt;"",". "&amp;_xlpm.ex&amp;IF(Имя_пом="нет"," ("&amp;BG31&amp;")"," (пом. "&amp;BG31&amp;")"),IF(Имя_пом="нет"," ",", пом. ")&amp;BG31)),IF(_xlpm.nm="","",IF(_xlpm.md=2,_xlpm.nm&amp;" шлейф "&amp;BE31,_xlpm.nm&amp;_xlpm.rm)))))</f>
        <v>Группа освещения, пом. 01</v>
      </c>
      <c r="BJ31" t="str">
        <f t="shared" si="10"/>
        <v>Группа освещения, пом. 01</v>
      </c>
      <c r="BK31">
        <f>IFERROR(_xlfn.XMATCH(A31,Щиты[Щит]),0)</f>
        <v>4</v>
      </c>
      <c r="BL31">
        <f>_xlfn.LET(_xlpm.k,IFERROR(_xlfn.XLOOKUP(A31,Щиты[Щит],Щиты[Мест под вводной узел]),""),IF(_xlpm.k="",Столбцов_на_лист,N(_xlpm.k)))</f>
        <v>3</v>
      </c>
      <c r="BM31">
        <f t="shared" si="11"/>
        <v>8</v>
      </c>
      <c r="BN31" t="str">
        <f t="shared" si="12"/>
        <v>линии</v>
      </c>
      <c r="BO31" s="6">
        <f>IFERROR(N(_xlfn.XLOOKUP(BC31,Коды_код,Коды_квт)),0)</f>
        <v>0</v>
      </c>
      <c r="BP31">
        <f t="shared" si="13"/>
        <v>0</v>
      </c>
      <c r="BQ31" t="str">
        <f>IF(B31="","",IF(BH31&lt;&gt;"",IFERROR(_xlfn.XLOOKUP(BH31,Щиты[Щит],Щиты[Руст, кВт]),0),IF(BP31=1,IF(OR(N(_xlfn.XLOOKUP(A31,Щиты[Щит],Щиты[Вводов],1))&lt;=1,LOWER(TRIM(_xlfn.XLOOKUP(A31,Щиты[Щит],Щиты[АВР],"")&amp;""))="да"),IFERROR(_xlfn.XLOOKUP(A31,Щиты[Щит],Щиты[Руст, кВт]),0),SUMIFS(Линии[_Р для вводов],Линии[Щит],A31,Линии[Источник для режимов],GF31)),IF(BO31&gt;0,ROUND(BO31*MAX(1,N(D31)),3),""))))</f>
        <v/>
      </c>
      <c r="BR31">
        <f t="shared" si="14"/>
        <v>0.3</v>
      </c>
      <c r="BS31" s="6">
        <f>IF(B31="","",IF(BH31&lt;&gt;"",IFERROR(_xlfn.XLOOKUP(BH31,Щиты[Щит],Щиты[Руст, кВт]),0),N(BR31)))</f>
        <v>0.3</v>
      </c>
      <c r="BT31">
        <f>IF(B31="","",IFERROR(IF(VLOOKUP(BC31,Потребители_обозначение,8,FALSE)=0,"",VLOOKUP(BC31,Потребители_обозначение,8,FALSE)),""))</f>
        <v>230</v>
      </c>
      <c r="BU31">
        <f t="shared" si="15"/>
        <v>230</v>
      </c>
      <c r="BV31">
        <f t="shared" si="16"/>
        <v>0</v>
      </c>
      <c r="BW31">
        <f>IF(B31="","",IF(BH31&lt;&gt;"",3,IFERROR(IF(N(VLOOKUP(BC31,Потребители_обозначение,9,FALSE))=0,1,VLOOKUP(BC31,Потребители_обозначение,9,FALSE)),1)))</f>
        <v>1</v>
      </c>
      <c r="BX31">
        <f t="shared" si="17"/>
        <v>1</v>
      </c>
      <c r="BY31" t="str">
        <f>IF(B31="","",_xlfn.LET(_xlpm.bc,IFERROR(IF(VLOOKUP(BC31,Потребители_обозначение,6,FALSE)=0,"",VLOOKUP(BC31,Потребители_обозначение,6,FALSE)&amp;""),""),IF(AND(GA31="да",OR(_xlpm.bc="",_xlpm.bc="мс")),Марка_пож,IF(AND(_xlpm.bc="",BH31&lt;&gt;""),"мс",_xlpm.bc))))</f>
        <v>мс</v>
      </c>
      <c r="BZ31" t="str">
        <f t="shared" si="18"/>
        <v>мс</v>
      </c>
      <c r="CA31">
        <f>IF(B31="","",_xlfn.LET(_xlpm.cc,IFERROR(N(VLOOKUP(BC31,Потребители_обозначение,7,FALSE)),0),IF(_xlpm.cc&gt;0,_xlpm.cc,IF(BZ31="","",IF(BV31=1,2,IF(N(BX31)=3,5,3))))))</f>
        <v>3</v>
      </c>
      <c r="CB31">
        <f t="shared" si="19"/>
        <v>3</v>
      </c>
      <c r="CC31">
        <f>IFERROR(N(VLOOKUP(BC31,Потребители_обозначение,10,FALSE)),0)</f>
        <v>1.5</v>
      </c>
      <c r="CD31">
        <f>IFERROR(VLOOKUP(BC31,Потребители_обозначение,5,FALSE),0)</f>
        <v>1</v>
      </c>
      <c r="CE31" s="6" cm="1">
        <f t="array" ref="CE31">IF(B31="","",IF(BH31&lt;&gt;"",IFERROR(_xlfn.XLOOKUP(BH31,Щиты[Щит],Щиты[cos φ]),0.95),IF(BP31=1,IFERROR(_xlfn.XLOOKUP(A31,Щиты[Щит],Щиты[cos φ]),0.95),IF(ISNUMBER(AD31),AD31,IFERROR(IF(CD31=2,_xlfn.IFS(BX31=3,VLOOKUP(BS31,Справочная_двигатели,8,FALSE),BX31=1,VLOOKUP(BS31,Справочная_двигатели,10,TRUE)),IF(AND(Методика="нормы 2026",FG31="Сил"),0.8,0.95)),0.95)))))</f>
        <v>0.95</v>
      </c>
      <c r="CF31">
        <f t="shared" si="20"/>
        <v>0</v>
      </c>
      <c r="CG31">
        <f t="shared" si="21"/>
        <v>1</v>
      </c>
      <c r="CH31">
        <f t="shared" si="22"/>
        <v>0</v>
      </c>
      <c r="CI31">
        <f>IF(B31="","",IF(BV31=1,IFERROR(BS31/((Uн_лин/SQRT(3))*MAX(0.5,N(CE31))),0),N(O31)))</f>
        <v>1.3674085322912188</v>
      </c>
      <c r="CJ31">
        <f t="shared" si="23"/>
        <v>2.5069156425339014</v>
      </c>
      <c r="CK31">
        <f t="shared" si="24"/>
        <v>0.55000000000000004</v>
      </c>
      <c r="CL31">
        <f t="shared" si="25"/>
        <v>1</v>
      </c>
      <c r="CM31">
        <f t="shared" si="26"/>
        <v>10</v>
      </c>
      <c r="CN31">
        <f t="shared" si="27"/>
        <v>0</v>
      </c>
      <c r="CO31">
        <f>IF(BC31="",0,_xlfn.LET(_xlpm.v,IFERROR(_xlfn.XLOOKUP(B31,Коды_код,Коды_мА),IFERROR(_xlfn.XLOOKUP(BC31,Коды_код,Коды_мА),IFERROR(_xlfn.XLOOKUP(LEFT(BC31,2),Коды_код,Коды_мА),""))),IF(_xlpm.v="да",30,IF(ISNUMBER(_xlpm.v),_xlpm.v,0))))</f>
        <v>0</v>
      </c>
      <c r="CP31" t="str">
        <f t="shared" si="28"/>
        <v/>
      </c>
      <c r="CQ31" t="str">
        <f>_xlfn.LET(_xlpm.k,IFERROR(_xlfn.XLOOKUP(BC31,Коды_код,Коды_утечка)&amp;"",""),IF(_xlpm.k="","дифавтомат",_xlpm.k))</f>
        <v>дифавтомат</v>
      </c>
      <c r="CR31" t="str" cm="1">
        <f t="array" ref="CR31">IF(CG31=0,"",_xlfn.LET(_xlpm.sg,TRIM(_xlfn.TEXTSPLIT(DD31&amp;"",";")),_xlpm.f_,_xlfn._xlws.FILTER(_xlpm.sg,LEFT(_xlpm.sg,3)="УЗО",""),IFERROR(INDEX(_xlpm.f_,1)&amp;"","")))</f>
        <v/>
      </c>
      <c r="CS31" t="str">
        <f t="shared" si="29"/>
        <v/>
      </c>
      <c r="CT31" s="6" t="str" cm="1">
        <f t="array" ref="CT31">IF(CR31="","",_xlfn.LET(_xlpm.tk,_xlfn.TEXTSPLIT(UPPER(CR31)," ",,TRUE),_xlpm.a_,_xlfn._xlws.FILTER(_xlpm.tk,ISNUMBER(--LEFT(_xlpm.tk,1))*((ISNUMBER(SEARCH("А",_xlpm.tk))+ISNUMBER(SEARCH("A",_xlpm.tk)))&gt;0)*NOT(ISNUMBER(SEARCH("МА",_xlpm.tk)))*NOT(ISNUMBER(SEARCH("MA",_xlpm.tk))),""),IFERROR(--SUBSTITUTE(SUBSTITUTE(INDEX(_xlpm.a_,1),"А",""),"A",""),"")))</f>
        <v/>
      </c>
      <c r="CU31" t="str" cm="1">
        <f t="array" ref="CU31">IF(CR31="","",_xlfn.LET(_xlpm.tk,_xlfn.TEXTSPLIT(UPPER(CR31)," ",,TRUE),_xlpm.a_,_xlfn._xlws.FILTER(_xlpm.tk,ISNUMBER(--LEFT(_xlpm.tk,1))*((ISNUMBER(SEARCH("МА",_xlpm.tk))+ISNUMBER(SEARCH("MA",_xlpm.tk)))&gt;0),""),IFERROR(--SUBSTITUTE(SUBSTITUTE(INDEX(_xlpm.a_,1),"МА",""),"MA",""),30)))</f>
        <v/>
      </c>
      <c r="CV31" t="str">
        <f>IF(CS31="","",IFERROR(_xlfn.XLOOKUP(CS31,Линии[_n],Линии[_УЗО, мА]),30))</f>
        <v/>
      </c>
      <c r="CW31">
        <f>IF(CS31="",0,IF(ISNUMBER(SEARCH("4P",IFERROR(_xlfn.XLOOKUP(CS31,Линии[_n],Линии[_УЗО строки])&amp;"",""))),0,1))</f>
        <v>0</v>
      </c>
      <c r="CX31" t="str">
        <f>IF(AND(CS31&lt;&gt;"",CS31=BA31),SUMIFS(Линии[_ток на 230 В],Линии[_блок УЗО],BA31,Линии[Щит],A31),"")</f>
        <v/>
      </c>
      <c r="CY31" t="str">
        <f>IF(AND(CS31&lt;&gt;"",CS31=BA31),SUMIFS(Линии[_ток утечки линии, мА],Линии[_блок УЗО],BA31,Линии[Щит],A31),"")</f>
        <v/>
      </c>
      <c r="CZ31">
        <f t="shared" si="30"/>
        <v>0</v>
      </c>
      <c r="DA31">
        <f t="shared" si="31"/>
        <v>0</v>
      </c>
      <c r="DB31">
        <f>IF(B31="",0,IFERROR(--_xlfn.XLOOKUP(B31,Коды_код,Коды_минавт),IFERROR(--_xlfn.XLOOKUP(BC31,Коды_код,Коды_минавт),IFERROR(--_xlfn.XLOOKUP(LEFT(BC31,2),Коды_код,Коды_минавт),0))))</f>
        <v>10</v>
      </c>
      <c r="DC31" t="str">
        <f>IF(B31="","",IFERROR(_xlfn.XLOOKUP(BC31,Коды_код,Коды_апп)&amp;"",""))</f>
        <v/>
      </c>
      <c r="DD31" t="str">
        <f t="shared" si="32"/>
        <v/>
      </c>
      <c r="DE31" t="str" cm="1">
        <f t="array" ref="DE31">IF(TRIM(DD31&amp;"")="","",IFERROR(TRIM(INDEX(_xlfn.TEXTSPLIT(DD31&amp;";;;",";"),1)),""))</f>
        <v/>
      </c>
      <c r="DF31" t="str" cm="1">
        <f t="array" ref="DF31">IF(TRIM(DD31&amp;"")="","",IFERROR(TRIM(INDEX(_xlfn.TEXTSPLIT(DD31&amp;";;;",";"),2)),""))</f>
        <v/>
      </c>
      <c r="DG31" t="str" cm="1">
        <f t="array" ref="DG31">IF(TRIM(DD31&amp;"")="","",IFERROR(TRIM(INDEX(_xlfn.TEXTSPLIT(DD31&amp;";;;",";"),3)),""))</f>
        <v/>
      </c>
      <c r="DH31">
        <f t="shared" si="33"/>
        <v>0</v>
      </c>
      <c r="DI31" t="str">
        <f>IF(B31="","",_xlfn.LET(_xlpm.t,LOWER(AZ31&amp;""),IF(ISNUMBER(SEARCH("dim",_xlpm.t)),"DIM",IF(ISNUMBER(SEARCH("dali",_xlpm.t)),"DALI",IF(OR(ISNUMBER(SEARCH("relay",_xlpm.t)),ISNUMBER(SEARCH("реле",_xlpm.t))),"Relay",IF(ISNUMBER(SEARCH("кнопк",_xlpm.t)),"",IFERROR(_xlfn.XLOOKUP(BC31,Коды_код,Коды_упр)&amp;"","")))))))</f>
        <v/>
      </c>
      <c r="DJ31" t="str">
        <f t="shared" si="34"/>
        <v/>
      </c>
      <c r="DK31">
        <f>IF(B31="","",_xlfn.LET(_xlpm.ig,IF(N(CX31)&gt;0,N(CX31),N(CI31)+IF(AJ31="вручную",0,N(CJ31))),_xlpm.n0,IFERROR(VLOOKUP(_xlpm.ig,Автомат_номиналы,2,TRUE),0),_xlpm.mn,MAX(DB31,IF(AJ31="вручную",0,N(CM31))),MAX(_xlpm.n0,_xlpm.mn,IF(DH31=1,Мин_автомат_БП,0))))</f>
        <v>10</v>
      </c>
      <c r="DL31">
        <f t="shared" si="35"/>
        <v>1</v>
      </c>
      <c r="DM31" t="str">
        <f t="shared" si="36"/>
        <v>1P</v>
      </c>
      <c r="DN31" t="str">
        <f>_xlfn.LET(_xlpm.cc,UPPER(TRIM(IFERROR(_xlfn.XLOOKUP(BC31,Коды_код,Коды_хар)&amp;"",""))),IF(OR(_xlpm.cc="B",_xlpm.cc="В"),"B",IF(_xlpm.cc="D","D","С")))</f>
        <v>С</v>
      </c>
      <c r="DO31" t="str">
        <f t="shared" si="37"/>
        <v>1P С10А</v>
      </c>
      <c r="DP31" t="str">
        <f t="shared" si="38"/>
        <v>1P С10А</v>
      </c>
      <c r="DQ31" t="str">
        <f t="shared" si="39"/>
        <v>1P С10А</v>
      </c>
      <c r="DR31" cm="1">
        <f t="array" ref="DR31">IF(DQ31="","",_xlfn.LET(_xlpm.t,SUBSTITUTE(SUBSTITUTE(SUBSTITUTE(UPPER(DQ31),"С","C"),"А","A"),"В","B"),_xlpm.tk,_xlfn.TEXTSPLIT(_xlpm.t," "),_xlpm.f,_xlfn._xlws.FILTER(_xlpm.tk,ISNUMBER(--MID(_xlpm.tk,2,1))*ISNUMBER(SEARCH(LEFT(_xlpm.tk,1)&amp;"#","B#C#D#"))*(LEN(_xlpm.tk)&gt;1),""),_xlpm.x,INDEX(_xlpm.f,1),IFERROR(--SUBSTITUTE(MID(_xlpm.x,2,9),"A",""),IFERROR(--SUBSTITUTE(INDEX(_xlfn._xlws.FILTER(_xlpm.tk,ISNUMBER(--SUBSTITUTE(_xlpm.tk,"A","")),""),1),"A",""),""))))</f>
        <v>10</v>
      </c>
      <c r="DS31" t="str">
        <f t="shared" si="40"/>
        <v>ok</v>
      </c>
      <c r="DT31">
        <f t="shared" si="41"/>
        <v>10</v>
      </c>
      <c r="DU31" t="str">
        <f t="shared" si="42"/>
        <v>1P С10А</v>
      </c>
      <c r="DV31">
        <f t="shared" si="43"/>
        <v>0</v>
      </c>
      <c r="DW31">
        <f t="shared" si="44"/>
        <v>0</v>
      </c>
      <c r="DX31">
        <f t="shared" si="45"/>
        <v>0</v>
      </c>
      <c r="DY31">
        <f t="shared" si="46"/>
        <v>3.8743241748251203</v>
      </c>
      <c r="DZ31">
        <f t="shared" si="47"/>
        <v>1</v>
      </c>
      <c r="EA31">
        <f>IF(ISNUMBER(AP31),AP31,К_прокл)</f>
        <v>1</v>
      </c>
      <c r="EB31">
        <f t="shared" si="48"/>
        <v>2</v>
      </c>
      <c r="EC31">
        <f>IFERROR(N(VLOOKUP(BZ31,Кабель_обозначение,3,FALSE)),1)</f>
        <v>1</v>
      </c>
      <c r="ED31">
        <f>IFERROR(N(_xlfn.XLOOKUP(A31,Щиты[Щит],Щиты[ΔU до шин, %])),0)</f>
        <v>1.0560288498727977</v>
      </c>
      <c r="EE31">
        <f>IFERROR(_xlfn.XLOOKUP(A31,Щиты[Щит],Щиты[Zпетли на шинах, Ом]),"")</f>
        <v>0.28247829354840204</v>
      </c>
      <c r="EF31">
        <f>IFERROR(N(_xlfn.XLOOKUP(A31,Щиты[Щит],Щиты[ΔU до шин (подбор), %])),0)</f>
        <v>1.0560288498727977</v>
      </c>
      <c r="EG31">
        <f>IFERROR(_xlfn.XLOOKUP(A31,Щиты[Щит],Щиты[Zпетли на шинах (подбор), Ом]),"")</f>
        <v>0.28247829354840204</v>
      </c>
      <c r="EH31" t="str">
        <f t="shared" si="49"/>
        <v/>
      </c>
      <c r="EI31">
        <f t="shared" si="50"/>
        <v>14</v>
      </c>
      <c r="EJ31">
        <f t="shared" si="51"/>
        <v>2</v>
      </c>
      <c r="EK31">
        <f t="shared" si="52"/>
        <v>0.31</v>
      </c>
      <c r="EL31" s="6">
        <f>IF(B31="","",IF(BV31=1,dU_LED,IF(IFERROR(_xlfn.XLOOKUP(BC31,Коды_код,Коды_уго),"")="Светильник",3,4)+IF(Методика="нормы 2026",MIN(0.5,MAX(0,N(P31)-100)*0.005),0)))</f>
        <v>3</v>
      </c>
      <c r="EM31" cm="1">
        <f t="array" ref="EM31">IF(OR(B31="",BZ31="",EC31&lt;&gt;1),"",_xlfn.LET(_xlpm.sz,Iдоп_S,_xlpm.t_,CHOOSE(EB31,Iдоп_1ж,Iдоп_2ж,Iдоп_3ж)*DZ31*EA31,_xlpm.dcx,BV31=1,_xlpm.inn,IF(_xlpm.dcx,N(O31),N(DT31)),_xlpm.smin,MAX(1.5,CC31),_xlpm.L_,N(P31)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31)/N(BU31)*100,999),IFERROR(N(EJ31)*(_xlpm.rho*_xlpm.L_/_xlpm.sz*N(CE31)+_xlpm.xx*_xlpm.L_*N(EK31)/1000)*N(O31)/((Uн_лин/SQRT(3))*1000)*100,999)),_xlpm.kz,IF(OR(_xlpm.dcx,DW31=1,NOT(ISNUMBER(EG31)),_xlpm.L_=0,_xlpm.inn=0),1,IFERROR(--(c_min*(Uн_лин*1000/SQRT(3))/(EG31+2*ρкз_Cu*_xlpm.L_/_xlpm.sz)&gt;=HT31*_xlpm.inn),0)),_xlpm.ok,IFERROR((_xlpm.sz&gt;=_xlpm.smin)*(_xlpm.t_&gt;=_xlpm.inn)*IF(_xlpm.L_&gt;0,(_xlpm.du_+IF(_xlpm.dcx,0,EF31)&lt;=EL31+0.00001),1)*_xlpm.kz,0),_xlpm.r_,_xlfn._xlws.FILTER(_xlpm.sz,_xlpm.ok,"не подобрано"),INDEX(_xlpm.r_,1)))</f>
        <v>1.5</v>
      </c>
      <c r="EN31">
        <f t="shared" si="53"/>
        <v>1.5</v>
      </c>
      <c r="EO31" cm="1">
        <f t="array" ref="EO31">IF(OR(B31="",BZ31="",EC31&lt;&gt;1),"",_xlfn.LET(_xlpm.sz,Iдоп_S,_xlpm.t_,CHOOSE(EB31,Iдоп_1ж,Iдоп_2ж,Iдоп_3ж)*DZ31*EA31,_xlpm.ok,IFERROR((_xlpm.sz&gt;=MAX(1.5,CC31))*(_xlpm.t_&gt;=N(DT31)),0),_xlpm.r_,_xlfn._xlws.FILTER(_xlpm.sz,_xlpm.ok,""),INDEX(_xlpm.r_,1)))</f>
        <v>1.5</v>
      </c>
      <c r="EP31" s="6" cm="1">
        <f t="array" ref="EP31">IFERROR(ROUNDUP(N(EJ31)*(_xlfn.XLOOKUP(EO31,INDEX(Кабель_сопротивление,0,1),INDEX(Кабель_сопротивление,0,3))*N(P31)/EO31*N(CE31)+_xlfn.XLOOKUP(EO31,INDEX(Кабель_сопротивление,0,1),INDEX(Кабель_сопротивление,0,2))*N(P31)*N(EK31)/1000)*N(O31)/((Uн_лин/SQRT(3))*1000)*100,2),"")</f>
        <v>0.26</v>
      </c>
      <c r="EQ31">
        <f>IFERROR(2*ρкз_Cu*N(P31)/EO31,"")</f>
        <v>0.52600000000000002</v>
      </c>
      <c r="ER31">
        <f>IFERROR(VLOOKUP(EN31,Кабель_сопротивление,3,FALSE),"")</f>
        <v>2.2499999999999999E-2</v>
      </c>
      <c r="ES31">
        <f>IFERROR(VLOOKUP(EN31,Кабель_сопротивление,2,FALSE),"")</f>
        <v>0.11</v>
      </c>
      <c r="ET31">
        <f t="shared" si="54"/>
        <v>11</v>
      </c>
      <c r="EU31">
        <f t="shared" si="55"/>
        <v>0</v>
      </c>
      <c r="EV31">
        <f t="shared" si="56"/>
        <v>0.58596600648302988</v>
      </c>
      <c r="EW31" s="6">
        <f>IFERROR(ROUNDUP(EV31/IF(BV31=1,BU31,(Uн_лин/SQRT(3))*1000)*100,2),"")</f>
        <v>0.26</v>
      </c>
      <c r="EX31" t="str">
        <f>IFERROR(VLOOKUP(BZ31,Кабель_обозначение,2,FALSE),"")</f>
        <v>ВВГнг(А)-LS</v>
      </c>
      <c r="EY31" t="str">
        <f t="shared" si="57"/>
        <v>ВВГнг(А)-LS (3х1,5)</v>
      </c>
      <c r="EZ31" t="str">
        <f t="shared" si="58"/>
        <v>ВВГнг(А)-LS (3х1,5)
L=15-0,26%</v>
      </c>
      <c r="FA31">
        <f>IFERROR(2*ρкз_Cu*P31/EN31,"")</f>
        <v>0.52600000000000002</v>
      </c>
      <c r="FB31">
        <f t="shared" si="59"/>
        <v>0.17500000000000002</v>
      </c>
      <c r="FC31" s="6">
        <f>IFERROR(IF(OR(B31="",BV31=1,NOT(ISNUMBER(EN31)),N(P31)=0),"",_xlfn.XLOOKUP(A31,Щиты[Щит],Щиты[Zпетли на шинах, Ом])+FA31),"")</f>
        <v>0.80847829354840206</v>
      </c>
      <c r="FD31" s="6">
        <f>IF(ISNUMBER(FC31),c_min*(Uн_лин*1000/SQRT(3))/FC31,"")</f>
        <v>271.36548258969816</v>
      </c>
      <c r="FE31" s="6">
        <f>IFERROR(IF(OR(B31="",NOT(ISNUMBER(EN31))),"",1.05*(Uн_лин*1000/SQRT(3))/(_xlfn.XLOOKUP(A31,Щиты[Щит],Щиты[Zmax на шинах, Ом])+FB31)/1000),"")</f>
        <v>0.93223571153259466</v>
      </c>
      <c r="FF31" s="6" t="str">
        <f>IF(B31="","",IF(ISNUMBER(AC31),"Сил",IF(IFERROR(_xlfn.XLOOKUP(BC31,Коды_код,Коды_группа)&amp;"","")="","Быт",_xlfn.XLOOKUP(BC31,Коды_код,Коды_группа)&amp;"")))</f>
        <v>Быт</v>
      </c>
      <c r="FG31" s="6" t="str">
        <f t="shared" si="60"/>
        <v>Быт</v>
      </c>
      <c r="FH31" s="6">
        <f>IF(FG31="Щит","щит",IF(FG31="","",IF(FG31="Быт",IFERROR(_xlfn.XLOOKUP(A31,Щиты[Щит],Щиты[Кс быт]),1),IF(FG31="Сил",IF(ISNUMBER(AC31),AC31,IF(Методика="нормы 2026",IFERROR(_xlfn.XLOOKUP(A31,Щиты[Щит],Щиты[Кс силовых (табл. 7.5)]),1),1)),IF(OR(FG31="Пост",FG31="Отоп"),1,IF(FG31="ВНГ",0.7,0))))))</f>
        <v>0.8</v>
      </c>
      <c r="FI31">
        <f>IF(FG31="","",IF(AND(BP31=1,TRIM(AE31&amp;"")=""),IF(COUNTIFS(Линии[Щит],A31,Линии[Секция (1/2/3)],"&gt;=2")&gt;0,MIN(3,MAX(1,IFERROR(--BD31,1))),1),IFERROR(MIN(3,MAX(1,INT(--AE31))),1)))</f>
        <v>1</v>
      </c>
      <c r="FJ31">
        <f t="shared" si="61"/>
        <v>0.3</v>
      </c>
      <c r="FK31">
        <f t="shared" si="62"/>
        <v>0.3</v>
      </c>
      <c r="FL31">
        <f t="shared" si="63"/>
        <v>0</v>
      </c>
      <c r="FM31">
        <f t="shared" si="64"/>
        <v>0</v>
      </c>
      <c r="FN31">
        <f t="shared" si="65"/>
        <v>0</v>
      </c>
      <c r="FO31">
        <f t="shared" si="66"/>
        <v>0</v>
      </c>
      <c r="FP31">
        <f t="shared" si="67"/>
        <v>0.3</v>
      </c>
      <c r="FQ31">
        <f t="shared" si="68"/>
        <v>0.3</v>
      </c>
      <c r="FR31">
        <f t="shared" si="69"/>
        <v>0.28499999999999998</v>
      </c>
      <c r="FS31">
        <f>IF(CG31=1,IF(AND(CH31=1,CW31=1),0,IF(AND(CS31&lt;&gt;"",CS31=BA31,CW31=1),SUMIFS(Линии[_Р линии, кВт],Линии[_блок УЗО],BA31,Линии[Щит],A31),N(BS31)+IF(AJ31="вручную",0,N(CK31)))),0)</f>
        <v>0.85000000000000009</v>
      </c>
      <c r="FT31" t="str">
        <f t="shared" si="70"/>
        <v/>
      </c>
      <c r="FU31" t="str">
        <f>IF(B31="","",IF(CG31=0,IF(BA31=1,"",FW30),IF(AND(CH31=1,CW31=1,CS31&lt;&gt;""),IFERROR(_xlfn.XLOOKUP(CS31,Линии[_n],Линии[_фаза итог]),"L1"),IF(OR(N(DL31)&gt;=3,N(BX31)&gt;=3),"L1,L2,L3",IFERROR(_xlfn.TEXTBEFORE(_xlfn.TEXTAFTER(_xlfn.XLOOKUP(A31,Щиты[Щит],Щиты[_фазы авто]),";"&amp;BA31&amp;":"),";"),"L1")))))</f>
        <v>L3</v>
      </c>
      <c r="FV31" t="str">
        <f t="shared" si="71"/>
        <v>L3</v>
      </c>
      <c r="FW31" t="str">
        <f t="shared" si="72"/>
        <v>L3</v>
      </c>
      <c r="FX31" cm="1">
        <f t="array" ref="FX31">IFERROR(IF(CD31=2,_xlfn.IFS(BX31=3,VLOOKUP(BS31,Справочная_двигатели,3,FALSE),BX31=1,VLOOKUP(BS31,Справочная_двигатели,5,TRUE)),0),0)</f>
        <v>0</v>
      </c>
      <c r="FY31">
        <f>IFERROR(IF(CD31=3,VLOOKUP(BS31,Справочная_ЛЭД,2,TRUE),0),0)</f>
        <v>0</v>
      </c>
      <c r="FZ31" s="6">
        <f t="shared" si="73"/>
        <v>0</v>
      </c>
      <c r="GA31" t="str">
        <f>IF(B31="","",IF(TRIM(AH31&amp;"")&lt;&gt;"",IF(LOWER(TRIM(AH31&amp;""))="да","да","нет"),IF(IFERROR(_xlfn.XLOOKUP(BC31,Коды_код,Коды_пожарная),"")="да","да","нет")))</f>
        <v>нет</v>
      </c>
      <c r="GB31" t="str">
        <f t="shared" si="74"/>
        <v/>
      </c>
      <c r="GC31" t="str">
        <f t="shared" si="75"/>
        <v>основная</v>
      </c>
      <c r="GD31">
        <f>IF(AND(BP31=1,TRIM(AE31&amp;"")=""),IF(COUNTIFS(Линии[Щит],A31,Линии[Секция (1/2/3)],"&gt;=2")&gt;0,MIN(3,MAX(1,IFERROR(--BD31,1))),1),IFERROR(MIN(3,MAX(1,INT(--AE31))),1))</f>
        <v>1</v>
      </c>
      <c r="GE31" t="str" cm="1">
        <f t="array" ref="GE31">IF(B31="","",_xlfn.LET(_xlpm.t,IFERROR(_xlfn.XLOOKUP(1,(Шины[Шина]=GC31)*(((Шины[Щит]=A31)+(Шины[Щит]=""))&gt;0),Шины[Тип]),"")&amp;"",IF(_xlpm.t&lt;&gt;"",_xlpm.t,IF(ISNUMBER(SEARCH("ИБП",GC31)),"ИБП",IF(ISNUMBER(SEARCH("ДГУ",GC31)),"ДГУ","Ввод "&amp;GD31)))))</f>
        <v>Ввод 1</v>
      </c>
      <c r="GF31" t="str">
        <f t="shared" si="76"/>
        <v>Ввод 1</v>
      </c>
      <c r="GG31" t="str">
        <f>IF(BP31=0,"",IF(TRIM(AG31&amp;"")&lt;&gt;"",TRIM(AG31&amp;""),IF(OR(GE31="ИБП",GE31="ДГУ"),"I особая",_xlfn.XLOOKUP(A31,Щиты[Щит],Щиты[Категория шины «Ввод»],"III"))))</f>
        <v/>
      </c>
      <c r="GH31" t="str">
        <f>IF(A31="","",_xlfn.XLOOKUP(A31,Щиты[Щит],Щиты[Путь],""))</f>
        <v>|ВРУ|ЩР-1|</v>
      </c>
      <c r="GI31" t="str">
        <f>IF(B31="","",IF(AI31&lt;&gt;"",AI31,IF(IFERROR(_xlfn.XLOOKUP(BC31,Коды_код,Коды_вид)&amp;"","")="","Прочее",_xlfn.XLOOKUP(BC31,Коды_код,Коды_вид)&amp;"")))</f>
        <v>Рабочее освещение</v>
      </c>
      <c r="GJ31">
        <f>IF(BM31="","",INT((BM31-1)/Столбцов_на_лист)+1)</f>
        <v>1</v>
      </c>
      <c r="GK31" t="str">
        <f t="shared" si="77"/>
        <v>ВВГнг(А)-LS (3х1,5) L=15-0,26%</v>
      </c>
      <c r="GL31">
        <f t="shared" si="78"/>
        <v>0.3</v>
      </c>
      <c r="GM31">
        <f t="shared" si="79"/>
        <v>1.37</v>
      </c>
      <c r="GN31">
        <f t="shared" si="80"/>
        <v>1</v>
      </c>
      <c r="GO31">
        <f t="shared" si="81"/>
        <v>0</v>
      </c>
      <c r="GP31">
        <f t="shared" si="82"/>
        <v>1</v>
      </c>
      <c r="GQ31">
        <f>IF(BM31="","",IF(AND(CG31=1,GP31=1),COUNTIFS(A$3:A31,A31,CG$3:CG31,1,GP$3:GP31,1),IF(OR(OR(BA31=1,A31&lt;&gt;A30),AJ31="вручную",GP31=0),"",IF(BA31=1,"",GR30))))</f>
        <v>4</v>
      </c>
      <c r="GR31">
        <f t="shared" si="83"/>
        <v>4</v>
      </c>
      <c r="GS31">
        <f>IF(B31="","",IFERROR(LOOKUP(INDEX(CHOOSE(EB31,Iдоп_1ж,Iдоп_2ж,Iдоп_3ж),MATCH(EN31,Iдоп_S,0))*DZ31*EA31,{6,10,16,20,25,32,40,50,63,80,100,125,160,200,250,315,400,500,630}),""))</f>
        <v>16</v>
      </c>
      <c r="GT31" t="str">
        <f t="shared" si="84"/>
        <v>QF4</v>
      </c>
      <c r="GU31" t="str">
        <f t="shared" si="85"/>
        <v>QF4</v>
      </c>
      <c r="GV31" t="str">
        <f t="shared" si="86"/>
        <v/>
      </c>
      <c r="GW31">
        <f t="shared" si="87"/>
        <v>0</v>
      </c>
      <c r="GX31" t="str">
        <f>IF(OR(B31="",DJ31=""),"",IFERROR(_xlfn.XLOOKUP(DJ31,Модули_умолч[Управление],Модули_умолч[Модель])&amp;"",""))</f>
        <v/>
      </c>
      <c r="GY31">
        <f>IF(DJ31="",1,IFERROR(MAX(0,N(_xlfn.XLOOKUP(DJ31,Модули_умолч[Управление],Модули_умолч[Каналов на линию]))),1))</f>
        <v>1</v>
      </c>
      <c r="GZ31" t="str">
        <f t="shared" si="88"/>
        <v>ZIOMB16V3</v>
      </c>
      <c r="HA31" t="str">
        <f t="shared" si="89"/>
        <v>M</v>
      </c>
      <c r="HB31" t="str">
        <f t="shared" si="90"/>
        <v/>
      </c>
      <c r="HC31">
        <f>IF(HB31="",0,IFERROR(N(VLOOKUP(HB31,Модули_спр,3,FALSE)),0))</f>
        <v>0</v>
      </c>
      <c r="HD31" t="str">
        <f t="shared" si="91"/>
        <v/>
      </c>
      <c r="HE31" t="str">
        <f t="shared" si="92"/>
        <v>ZIOMB16V3</v>
      </c>
      <c r="HF31" t="str">
        <f>IF(OR(HE31="",HE31="-"),"",IFERROR(VLOOKUP(HE31,Модули_спр,2,FALSE),"R"))</f>
        <v>R</v>
      </c>
      <c r="HG31" t="str">
        <f>IF(HF31="","",HF31&amp;"."&amp;COUNTIFS(A$3:A31,A31,HF$3:HF31,HF31))</f>
        <v>R.1</v>
      </c>
      <c r="HH31" t="str">
        <f t="shared" si="93"/>
        <v>R.1</v>
      </c>
      <c r="HI31" t="str">
        <f t="shared" si="94"/>
        <v>ZIOMB16V3</v>
      </c>
      <c r="HJ31">
        <f t="shared" si="95"/>
        <v>1</v>
      </c>
      <c r="HK31">
        <f t="shared" si="96"/>
        <v>1</v>
      </c>
      <c r="HL31">
        <f t="shared" si="97"/>
        <v>1</v>
      </c>
      <c r="HM31" t="str">
        <f>IF(HL31=1,"XT"&amp;COUNTIFS(A$3:A31,A31,HL$3:HL31,1),"")</f>
        <v>XT5</v>
      </c>
      <c r="HN31" t="str">
        <f t="shared" si="98"/>
        <v>XT5</v>
      </c>
      <c r="HO31" t="str">
        <f t="shared" si="99"/>
        <v>QF4</v>
      </c>
      <c r="HP31" t="str">
        <f t="shared" si="100"/>
        <v>R.1</v>
      </c>
      <c r="HQ31" t="str">
        <f t="shared" si="101"/>
        <v>ok</v>
      </c>
      <c r="HR31" t="str">
        <f>IF(OR(HJ31="",HH31=""),"",IF(HJ31+MAX(0,GY31-1)&gt;IFERROR(VLOOKUP(HI31,Модули_спр,3,FALSE),99),"ЛИШНИЙ КАНАЛ",IF(AND(AL31&lt;&gt;"=",GY31&gt;0,COUNTIFS(Линии[_модуль гр.],HH31,Линии[Канал (итог)],HJ31,Линии[Канал],"&lt;&gt;=",Линии[Щит],A31)&gt;1),"ДУБЛЬ КАНАЛА","")))</f>
        <v/>
      </c>
      <c r="HS31" s="6">
        <f t="shared" si="102"/>
        <v>27.136548258969817</v>
      </c>
      <c r="HT31">
        <f t="shared" si="103"/>
        <v>10</v>
      </c>
      <c r="HU31" t="str">
        <f t="shared" si="104"/>
        <v>ok</v>
      </c>
      <c r="HV31">
        <f t="shared" si="105"/>
        <v>0.69696341291648756</v>
      </c>
      <c r="HW31">
        <f t="shared" si="106"/>
        <v>1.3627662570135606</v>
      </c>
      <c r="HX31">
        <f t="shared" si="107"/>
        <v>0</v>
      </c>
      <c r="HY31">
        <f t="shared" si="108"/>
        <v>0</v>
      </c>
      <c r="HZ31">
        <f t="shared" si="109"/>
        <v>0</v>
      </c>
      <c r="IA31">
        <f t="shared" si="110"/>
        <v>0</v>
      </c>
      <c r="IB31">
        <f t="shared" si="111"/>
        <v>0</v>
      </c>
      <c r="IC31" t="str">
        <f t="shared" si="112"/>
        <v/>
      </c>
      <c r="ID31" t="str" cm="1">
        <f t="array" ref="ID31">IF(IC31="","",_xlfn.LET(_xlpm.tk,_xlfn.TEXTSPLIT(SUBSTITUTE(SUBSTITUTE(IC31,";"," "),"→"," ")," ",,TRUE),_xlpm.w_,_xlfn._xlws.FILTER(_xlpm.tk,ISNUMBER(--LEFT(_xlpm.tk,1))*((ISNUMBER(SEARCH("W",_xlpm.tk))+ISNUMBER(SEARCH("Вт",_xlpm.tk)))&gt;0),""),IFERROR(--SUBSTITUTE(SUBSTITUTE(UPPER(INDEX(_xlpm.w_,1)),"W",""),"ВТ",""),"")))</f>
        <v/>
      </c>
      <c r="IE31" t="str" cm="1">
        <f t="array" ref="IE31">IF(IC31="","",_xlfn.LET(_xlpm.tk,_xlfn.TEXTSPLIT(SUBSTITUTE(SUBSTITUTE(IC31,";"," "),"→"," ")," ",,TRUE),_xlpm.v_,_xlfn._xlws.FILTER(_xlpm.tk,ISNUMBER(--LEFT(_xlpm.tk,1))*((ISNUMBER(SEARCH("V",_xlpm.tk))+(RIGHT(UPPER(_xlpm.tk))="В"))&gt;0),""),IFERROR(--SUBSTITUTE(SUBSTITUTE(UPPER(INDEX(_xlpm.v_,1)),"V",""),"В",""),"")))</f>
        <v/>
      </c>
      <c r="IF31" s="6" t="str">
        <f>IF(OR(BV31=0,HI31="",HJ31=""),"",IFERROR(N(_xlfn.XLOOKUP(HI31,Каталог!$C$4:$C$500,Каталог!$Q$4:$Q$500)),""))</f>
        <v/>
      </c>
      <c r="IG31" s="6" t="str">
        <f>IF(N(IF31)=0,"",SUMIFS(Линии[Iр, А],Линии[Щит],A31,Линии[_модуль гр.],HH31,Линии[Канал (итог)],HJ31))</f>
        <v/>
      </c>
      <c r="IH31" t="str">
        <f>IF(AND(B31="",HO31=""),"",_xlfn.TEXTJOIN("; ",TRUE,IF(AND(B31&lt;&gt;"",FV31=""),"нет фазы",""),IF(AND(B31&lt;&gt;"",N(GL31)=0,FG31&lt;&gt;"Нет"),"нет мощности",""),IF(AND(HN31&lt;&gt;"",COUNTIFS(Линии[Щит],A31,Линии[Клемма (итог)],HN31)&gt;1),"дубль клеммы "&amp;HN31,""),IF(AND(HQ31&lt;&gt;"",HQ31&lt;&gt;"ok"),HQ31,""),IF(HR31&lt;&gt;"",HR31,""),IF(AND(N(CB31)&gt;=4,N(BX31)=1),CB31&amp;" жил на 1 фазе",""),IF(AND(BC31="R",CG31=1,IF(CS31&lt;&gt;"",N(CV31)&gt;30,OR(N(DA31)=0,N(DA31)&gt;30))),"розетка без дифзащиты до 30 мА",""),IF(AND(CG31=1,N(DA31)&gt;0,ISNUMBER(T31)),IF(T31&gt;N(DA31)/3,"ток утечки "&amp;FIXED(T31,1)&amp;" мА &gt; 1/3 уставки ("&amp;DA31&amp;" мА)",""),""),IF(AND(CH31=1,CS31=""),"«узо»: нет строки с УЗО выше (УЗО 2P 40А 30мА в «Аппаратах»)",""),IF(AND(CS31&lt;&gt;"",CS31=BA31),IF(CT31="","впишите номинал УЗО (УЗО 2P 40А 30мА)",IF(N(CT31)&lt;N(DT31),"УЗО "&amp;CT31&amp;" А &lt; автомата "&amp;DT31&amp;" А перед ним",IF(N(CT31)&lt;N(CX31),"УЗО "&amp;CT31&amp;" А &lt; тока блока "&amp;FIXED(CX31,1)&amp;" А",""))),""),IF(AND(CS31&lt;&gt;"",CS31=BA31,ISNUMBER(CY31)),IF(CY31&gt;N(CV31)/3,"ток утечки блока УЗО "&amp;FIXED(CY31,1)&amp;" мА &gt; 1/3 уставки ("&amp;CV31&amp;" мА)",""),""),IF(AND(CG31=1,N(BV31)+N(IB31)&gt;0,IC31=""),"линии до 50 В без БП: впишите в «Аппараты» (БП 24V 480W)",""),IF(AND(CG31=1,ISNUMBER(ID31),ISNUMBER(U31)),IF(U31&gt;ID31,"БП "&amp;ID31&amp;" Вт &lt; нужно "&amp;U31&amp;" Вт (×"&amp;Запас_БП&amp;")",""),""),IF(AND(CG31=1,ISNUMBER(IE31),N(BV31)=1),IF(IE31&lt;&gt;N(BU31),"БП на "&amp;IE31&amp;" В, линия "&amp;BU31&amp;" В",""),""),IF(AND(N(IF31)&gt;0,N(IG31)&gt;N(IF31)),HH31&amp;" канал "&amp;HJ31&amp;": "&amp;FIXED(IG31,1)&amp;" А &gt; "&amp;IF31&amp;" А",""),IFERROR(IF(AND(ISNUMBER(Q31),Q31&gt;EL31),"потери "&amp;FIXED(Q31,1)&amp;" % &gt; "&amp;EL31&amp;" %",""),""),IFERROR(IF(LEFT(HU31,4)="мало","Iкз мало — отключение &gt; 0,4 с",""),""),IF(AND(B31&lt;&gt;"",BM31=""),"не на схеме",""),IF(AND(CG31=0,B31&lt;&gt;"",FV31&lt;&gt;"",IF(BA31=1,"",FW30)&lt;&gt;"",FV31&lt;&gt;IF(BA31=1,"",FW30)),"фаза не как у автомата группы ("&amp;IF(BA31=1,"",FW30)&amp;")","")))</f>
        <v/>
      </c>
      <c r="II31" s="6">
        <f>IF(OR(CG31=0,DQ31=""),"",_xlfn.LET(_xlpm.t,IFERROR(_xlfn.XLOOKUP(DQ31,Каталог!$U$4:$U$500,Каталог!$G$4:$G$500),""),_xlpm.k,SEARCH("кА",_xlpm.t),IFERROR(--TRIM(RIGHT(SUBSTITUTE(MID(_xlpm.t,MAX(1,_xlpm.k-4),_xlpm.k-MAX(1,_xlpm.k-4))," ",REPT(" ",9)),5)),"")))</f>
        <v>6</v>
      </c>
      <c r="IJ31" t="str">
        <f>IF(OR(II31="",CG31=0),"",IF(_xlfn.XLOOKUP(A31,Щиты[Щит],Щиты[Iкз max на шинах, кА],"")="","",IF(II31&lt;_xlfn.XLOOKUP(A31,Щиты[Щит],Щиты[Iкз max на шинах, кА]),"Icu "&amp;II31&amp;" кА &lt; Iкз max","ok")))</f>
        <v>ok</v>
      </c>
      <c r="IK31" t="str">
        <f t="shared" si="113"/>
        <v/>
      </c>
      <c r="IL31" t="str">
        <f t="shared" si="114"/>
        <v>QF4|R.1 к.1|XT5</v>
      </c>
      <c r="IM31" t="str">
        <f t="shared" si="115"/>
        <v>QF4|R.1 к.1|XT5|кабель ВВГнг(А)-LS (3х1,5) → Группа освещения, пом. 01</v>
      </c>
      <c r="IN31" t="str" cm="1">
        <f t="array" ref="IN31">IF(IM31="","",_xlfn.LET(_xlpm.nd,_xlfn.TEXTSPLIT(IM31,"|"),IF(COLUMNS(_xlpm.nd)&gt;1,A31&amp;"¦"&amp;INDEX(_xlpm.nd,1)&amp;"¦"&amp;INDEX(_xlpm.nd,2),"")))</f>
        <v>ЩР-1¦QF4¦R.1 к.1</v>
      </c>
      <c r="IO31" t="str">
        <f t="shared" si="116"/>
        <v>L.1.01.1¦Группа освещения, пом. 01</v>
      </c>
      <c r="IP31" t="str" cm="1">
        <f t="array" ref="IP31">IF(IM31="","",_xlfn.LET(_xlpm.nd,_xlfn.TEXTSPLIT(IM31,"|"),IF(COLUMNS(_xlpm.nd)&gt;2,A31&amp;"¦"&amp;INDEX(_xlpm.nd,2)&amp;"¦"&amp;INDEX(_xlpm.nd,3),"")))</f>
        <v>ЩР-1¦R.1 к.1¦XT5</v>
      </c>
      <c r="IQ31" t="str">
        <f t="shared" si="117"/>
        <v>L.1.01.1¦Группа освещения, пом. 01</v>
      </c>
      <c r="IR31" t="str" cm="1">
        <f t="array" ref="IR31">IF(IM31="","",_xlfn.LET(_xlpm.nd,_xlfn.TEXTSPLIT(IM31,"|"),IF(COLUMNS(_xlpm.nd)&gt;3,A31&amp;"¦"&amp;INDEX(_xlpm.nd,3)&amp;"¦"&amp;INDEX(_xlpm.nd,4),"")))</f>
        <v>ЩР-1¦XT5¦кабель ВВГнг(А)-LS (3х1,5) → Группа освещения, пом. 01</v>
      </c>
      <c r="IS31" t="str">
        <f t="shared" si="118"/>
        <v>L.1.01.1¦Группа освещения, пом. 01</v>
      </c>
      <c r="IT31" t="str" cm="1">
        <f t="array" ref="IT31">IF(IM31="","",_xlfn.LET(_xlpm.nd,_xlfn.TEXTSPLIT(IM31,"|"),IF(COLUMNS(_xlpm.nd)&gt;4,A31&amp;"¦"&amp;INDEX(_xlpm.nd,4)&amp;"¦"&amp;INDEX(_xlpm.nd,5),"")))</f>
        <v/>
      </c>
      <c r="IU31" t="str">
        <f t="shared" si="119"/>
        <v/>
      </c>
      <c r="IV31" t="str" cm="1">
        <f t="array" ref="IV31">IF(IM31="","",_xlfn.LET(_xlpm.nd,_xlfn.TEXTSPLIT(IM31,"|"),IF(COLUMNS(_xlpm.nd)&gt;5,A31&amp;"¦"&amp;INDEX(_xlpm.nd,5)&amp;"¦"&amp;INDEX(_xlpm.nd,6),"")))</f>
        <v/>
      </c>
      <c r="IW31" t="str">
        <f t="shared" si="120"/>
        <v/>
      </c>
      <c r="IX31" t="str" cm="1">
        <f t="array" ref="IX31">IF(IM31="","",_xlfn.LET(_xlpm.nd,_xlfn.TEXTSPLIT(IM31,"|"),IF(COLUMNS(_xlpm.nd)&gt;6,A31&amp;"¦"&amp;INDEX(_xlpm.nd,6)&amp;"¦"&amp;INDEX(_xlpm.nd,7),"")))</f>
        <v/>
      </c>
      <c r="IY31" t="str">
        <f t="shared" si="121"/>
        <v/>
      </c>
      <c r="IZ31" t="str">
        <f t="shared" si="122"/>
        <v>ZIOMB16V3</v>
      </c>
      <c r="JA31" t="str">
        <f t="shared" si="123"/>
        <v>QF4 → R.1 к.1 → XT5</v>
      </c>
      <c r="JB31">
        <f t="shared" si="124"/>
        <v>0</v>
      </c>
      <c r="JC31">
        <f t="shared" si="125"/>
        <v>0</v>
      </c>
      <c r="JD31" t="str">
        <f t="shared" si="126"/>
        <v/>
      </c>
      <c r="JE31" t="str">
        <f t="shared" si="127"/>
        <v/>
      </c>
      <c r="JF31" t="str">
        <f t="shared" si="128"/>
        <v/>
      </c>
      <c r="JG31" t="str">
        <f t="shared" si="129"/>
        <v/>
      </c>
      <c r="JH31" t="str">
        <f>IF(B31="","",IFERROR(_xlfn.XLOOKUP(B31,Коды_код,Коды_уго),IFERROR(_xlfn.XLOOKUP(BC31,Коды_код,Коды_уго),IFERROR(_xlfn.XLOOKUP(LEFT(BC31,2),Коды_код,Коды_уго),""))))</f>
        <v>Светильник</v>
      </c>
      <c r="JI31" t="str">
        <f>IF(B31="","",IF(OR(JH31="",JH31=0),"BOX",IFERROR(IF(VLOOKUP(JH31,УГО_блоки,3,FALSE)&amp;""&lt;&gt;"",VLOOKUP(JH31,УГО_блоки,3,FALSE),VLOOKUP(JH31,УГО_блоки,2,FALSE)),JH31)))</f>
        <v>LAMP</v>
      </c>
      <c r="JJ31">
        <f t="shared" si="130"/>
        <v>1</v>
      </c>
      <c r="JK31" t="str">
        <f>IF(DQ31="","",IF(COUNTIF(DQ$3:DQ31,DQ31)=1,MAX(JK$2:JK30)+1,""))</f>
        <v/>
      </c>
      <c r="JL31" t="str">
        <f>IF(DE31="","",IF(COUNTIF(DE$3:DE31,DE31)+COUNTIF(DF$2:DF30,DE31)+COUNTIF(DG$2:DG30,DE31)=1,MAX(JL$2:JN30)+1,""))</f>
        <v/>
      </c>
      <c r="JM31" t="str">
        <f>IF(DF31="","",IF(COUNTIF(DE$3:DE31,DF31)+COUNTIF(DF$3:DF31,DF31)+COUNTIF(DG$2:DG30,DF31)=1,MAX(JL$2:JN30,JL31)+1,""))</f>
        <v/>
      </c>
      <c r="JN31" t="str">
        <f>IF(DG31="","",IF(COUNTIF(DE$3:DE31,DG31)+COUNTIF(DF$3:DF31,DG31)+COUNTIF(DG$3:DG31,DG31)=1,MAX(JL$2:JN30,JL31,JM31)+1,""))</f>
        <v/>
      </c>
      <c r="JO31" t="str">
        <f t="shared" si="131"/>
        <v>3х1,5</v>
      </c>
      <c r="JP31" t="str">
        <f>IF(JO31="","",IF(COUNTIF(JO$3:JO31,JO31)=1,MAX(JP$2:JP30)+1,""))</f>
        <v/>
      </c>
      <c r="JQ31">
        <f>IF(HG31="","",COUNTIF(HG$3:HG31,"?*"))</f>
        <v>2</v>
      </c>
      <c r="JR31">
        <f>IF(OR(HG31="",HI31=""),"",IF(COUNTIFS(HG$3:HG31,"?*",HI$3:HI31,HI31)=1,MAX(JR$2:JR30)+1,""))</f>
        <v>2</v>
      </c>
      <c r="JS31">
        <f t="shared" si="132"/>
        <v>0</v>
      </c>
      <c r="JT31">
        <f>IF(B31="","",COUNTIF(B$3:B31,"?*"))</f>
        <v>29</v>
      </c>
      <c r="JU31">
        <f>IF(HL31&lt;&gt;1,0,_xlfn.LET(_xlpm.k,MAX(IFERROR(--_xlfn.XLOOKUP(B31,Коды_код,Коды_3L),0),IFERROR(--_xlfn.XLOOKUP(BC31,Коды_код,Коды_3L),0),IFERROR(--_xlfn.XLOOKUP(LEFT(BC31,2),Коды_код,Коды_3L),0)),IF(_xlpm.k&gt;0,_xlpm.k,IF(IFERROR(--LEFT(SUBSTITUTE(JO31,"x","х"),FIND("х",SUBSTITUTE(JO31,"x","х"))-1),3)&gt;3,Каталог!$S$9,1))))</f>
        <v>1</v>
      </c>
      <c r="JV31">
        <f t="shared" si="133"/>
        <v>0</v>
      </c>
      <c r="JW31" t="str">
        <f t="shared" si="134"/>
        <v>авто</v>
      </c>
      <c r="JX31" t="str">
        <f t="shared" si="135"/>
        <v/>
      </c>
      <c r="JY31">
        <f t="shared" si="136"/>
        <v>0</v>
      </c>
      <c r="JZ31">
        <f t="shared" si="137"/>
        <v>1</v>
      </c>
    </row>
    <row r="32" spans="1:286" x14ac:dyDescent="0.3">
      <c r="A32" t="s">
        <v>947</v>
      </c>
      <c r="B32" t="s">
        <v>1210</v>
      </c>
      <c r="C32" t="str">
        <f>Линии[[#This Row],[_авто наименование]]</f>
        <v>Группа освещения, пом. 02</v>
      </c>
      <c r="E32">
        <v>0.2</v>
      </c>
      <c r="F32" t="s">
        <v>1198</v>
      </c>
      <c r="G32" t="str">
        <f>Линии[[#This Row],[_авто автомат]]</f>
        <v>↑ 1P С10А</v>
      </c>
      <c r="H32" t="str">
        <f>Линии[[#This Row],[_авто управление]]</f>
        <v/>
      </c>
      <c r="I32" t="str">
        <f>Линии[[#This Row],[_авто аппараты]]</f>
        <v/>
      </c>
      <c r="J32">
        <f>Линии[[#This Row],[_авто сечение]]</f>
        <v>1.5</v>
      </c>
      <c r="K32">
        <v>16</v>
      </c>
      <c r="L32" t="str">
        <f>Линии[[#This Row],[_авто фаза]]</f>
        <v>L3</v>
      </c>
      <c r="M32" t="str">
        <f>Линии[[#This Row],[_авто клемма]]</f>
        <v>XT6</v>
      </c>
      <c r="N32" t="str">
        <f t="shared" si="0"/>
        <v/>
      </c>
      <c r="O32" s="6" cm="1">
        <f t="array" ref="O32">IF(B32="","",IF(BH32&lt;&gt;"",IFERROR(_xlfn.XLOOKUP(BH32,Щиты[Щит],Щиты[Iр, А]),""),IF(BP32=1,IF(OR(N(_xlfn.XLOOKUP(A32,Щиты[Щит],Щиты[Вводов],1))&lt;=1,LOWER(TRIM(_xlfn.XLOOKUP(A32,Щиты[Щит],Щиты[АВР],"")&amp;""))="да"),IFERROR(_xlfn.XLOOKUP(A32,Щиты[Щит],Щиты[Iр, А]),""),IFERROR(N(BS32)*_xlfn.XLOOKUP(A32,Щиты[Щит],Щиты[Кс итог])/(SQRT(3)*Uн_лин*_xlfn.XLOOKUP(A32,Щиты[Щит],Щиты[cos φ])),"")),IF(BV32=1,IFERROR(BS32*1000/BU32,""),IFERROR(_xlfn.IFS(BX32=1,BS32/((Uн_лин/SQRT(3))*CE32),BX32=3,BS32/(SQRT(3)*Uн_лин*CE32)),"")))))</f>
        <v>0.911605688194146</v>
      </c>
      <c r="P32" s="7">
        <f>IF(B32="","",IFERROR(IF(VLOOKUP(BC32,Потребители_обозначение,4,FALSE)=1,VLOOKUP(BC32,Потребители_обозначение,3,FALSE)*(MAX(1,N(D32))*2-1)+EI32+VLOOKUP(BE32,Этаж_обозначение,3,FALSE)+VLOOKUP(BE32,Этаж_обозначение,4,FALSE),VLOOKUP(BC32,Потребители_обозначение,3,FALSE)*(MAX(1,N(D32))*2-1)+EI32),EI32))</f>
        <v>17</v>
      </c>
      <c r="Q32" s="6">
        <f t="shared" si="1"/>
        <v>1.2560288498727976</v>
      </c>
      <c r="R32" t="str">
        <f t="shared" si="2"/>
        <v>ВВГнг(А)-LS (3х1,5)</v>
      </c>
      <c r="S32" t="str">
        <f>IF(BM32="","",IF(BN32="вводной узел","узел ","")&amp;"л."&amp;(INT((BM32-1)/Столбцов_на_лист)+1)&amp;" / "&amp;(MOD(BM32-1,Столбцов_на_лист)+1))</f>
        <v>л.1 / 9</v>
      </c>
      <c r="T32" s="119" t="str">
        <f t="shared" si="3"/>
        <v/>
      </c>
      <c r="U32" s="7" t="str">
        <f>IF(OR(CG32=0,N(BV32)+N(IB32)=0),"",ROUNDUP(Запас_БП*(N(HY32)+N(HZ32)),0))</f>
        <v/>
      </c>
      <c r="V32" s="119" t="str">
        <f t="shared" si="4"/>
        <v/>
      </c>
      <c r="W32" s="7">
        <f>IFERROR(IF(OR(B32="",BP32=1,BV32=1,NOT(ISNUMBER(EN32)),N(DT32)=0),"",MAX(0,ROUNDDOWN((c_min*(Uн_лин*1000/SQRT(3))/(HT32*N(DT32))-_xlfn.XLOOKUP(A32,Щиты[Щит],Щиты[Zпетли на шинах, Ом]))*EN32/(2*ρкз_Cu),0))),"")</f>
        <v>54</v>
      </c>
      <c r="Y32" t="str">
        <f>Линии[[#This Row],[_авто утечка]]</f>
        <v/>
      </c>
      <c r="Z32">
        <v>1</v>
      </c>
      <c r="AA32">
        <v>230</v>
      </c>
      <c r="AB32" t="str">
        <f>Линии[[#This Row],[_авто группа Кс]]</f>
        <v>Быт</v>
      </c>
      <c r="AK32" t="str">
        <f>Линии[[#This Row],[_авто модуль]]</f>
        <v/>
      </c>
      <c r="AN32" t="s">
        <v>11</v>
      </c>
      <c r="AO32">
        <v>3</v>
      </c>
      <c r="AT32">
        <v>1</v>
      </c>
      <c r="BA32" cm="1">
        <f t="array" ref="BA32">ROW()-ROW(Линии[#Headers])</f>
        <v>30</v>
      </c>
      <c r="BC32" s="6" t="str">
        <f t="shared" si="5"/>
        <v>L</v>
      </c>
      <c r="BD32" t="str">
        <f t="shared" si="6"/>
        <v>1.02.1</v>
      </c>
      <c r="BE32" t="str">
        <f t="shared" si="7"/>
        <v>1</v>
      </c>
      <c r="BF32" t="str">
        <f t="shared" si="8"/>
        <v>02.1</v>
      </c>
      <c r="BG32" t="str">
        <f t="shared" si="9"/>
        <v>02</v>
      </c>
      <c r="BH32" t="str">
        <f>IF(X32&lt;&gt;"",X32,IF(AND(B32&lt;&gt;"",B32&lt;&gt;A32,ISNUMBER(_xlfn.XMATCH(B32,Щиты[Щит]))),B32,""))</f>
        <v/>
      </c>
      <c r="BI32" t="str" cm="1">
        <f t="array" ref="BI32">IF(B32="","",IF(BH32&lt;&gt;"","Щит "&amp;BH32,_xlfn.LET(_xlpm.nm,IFERROR(_xlfn.XLOOKUP(BC32,Коды_код,Коды_имя)&amp;"",""),_xlpm.md,IFERROR(N(_xlfn.XLOOKUP(BC32,Коды_код,Коды_режим)),1),_xlpm.ex,IF(Имя_режим="по экспликации",IFERROR(_xlfn.XLOOKUP(BE32&amp;"|"&amp;BG32,Экспликация[Этаж]&amp;"|"&amp;Экспликация[Помещение],Экспликация[Название])&amp;"",""),""),_xlpm.rm,IF(BG32="","",IF(_xlpm.ex&lt;&gt;"",". "&amp;_xlpm.ex&amp;IF(Имя_пом="нет"," ("&amp;BG32&amp;")"," (пом. "&amp;BG32&amp;")"),IF(Имя_пом="нет"," ",", пом. ")&amp;BG32)),IF(_xlpm.nm="","",IF(_xlpm.md=2,_xlpm.nm&amp;" шлейф "&amp;BE32,_xlpm.nm&amp;_xlpm.rm)))))</f>
        <v>Группа освещения, пом. 02</v>
      </c>
      <c r="BJ32" t="str">
        <f t="shared" si="10"/>
        <v>Группа освещения, пом. 02</v>
      </c>
      <c r="BK32">
        <f>IFERROR(_xlfn.XMATCH(A32,Щиты[Щит]),0)</f>
        <v>4</v>
      </c>
      <c r="BL32">
        <f>_xlfn.LET(_xlpm.k,IFERROR(_xlfn.XLOOKUP(A32,Щиты[Щит],Щиты[Мест под вводной узел]),""),IF(_xlpm.k="",Столбцов_на_лист,N(_xlpm.k)))</f>
        <v>3</v>
      </c>
      <c r="BM32">
        <f t="shared" si="11"/>
        <v>9</v>
      </c>
      <c r="BN32" t="str">
        <f t="shared" si="12"/>
        <v>линии</v>
      </c>
      <c r="BO32" s="6">
        <f>IFERROR(N(_xlfn.XLOOKUP(BC32,Коды_код,Коды_квт)),0)</f>
        <v>0</v>
      </c>
      <c r="BP32">
        <f t="shared" si="13"/>
        <v>0</v>
      </c>
      <c r="BQ32" t="str">
        <f>IF(B32="","",IF(BH32&lt;&gt;"",IFERROR(_xlfn.XLOOKUP(BH32,Щиты[Щит],Щиты[Руст, кВт]),0),IF(BP32=1,IF(OR(N(_xlfn.XLOOKUP(A32,Щиты[Щит],Щиты[Вводов],1))&lt;=1,LOWER(TRIM(_xlfn.XLOOKUP(A32,Щиты[Щит],Щиты[АВР],"")&amp;""))="да"),IFERROR(_xlfn.XLOOKUP(A32,Щиты[Щит],Щиты[Руст, кВт]),0),SUMIFS(Линии[_Р для вводов],Линии[Щит],A32,Линии[Источник для режимов],GF32)),IF(BO32&gt;0,ROUND(BO32*MAX(1,N(D32)),3),""))))</f>
        <v/>
      </c>
      <c r="BR32">
        <f t="shared" si="14"/>
        <v>0.2</v>
      </c>
      <c r="BS32" s="6">
        <f>IF(B32="","",IF(BH32&lt;&gt;"",IFERROR(_xlfn.XLOOKUP(BH32,Щиты[Щит],Щиты[Руст, кВт]),0),N(BR32)))</f>
        <v>0.2</v>
      </c>
      <c r="BT32">
        <f>IF(B32="","",IFERROR(IF(VLOOKUP(BC32,Потребители_обозначение,8,FALSE)=0,"",VLOOKUP(BC32,Потребители_обозначение,8,FALSE)),""))</f>
        <v>230</v>
      </c>
      <c r="BU32">
        <f t="shared" si="15"/>
        <v>230</v>
      </c>
      <c r="BV32">
        <f t="shared" si="16"/>
        <v>0</v>
      </c>
      <c r="BW32">
        <f>IF(B32="","",IF(BH32&lt;&gt;"",3,IFERROR(IF(N(VLOOKUP(BC32,Потребители_обозначение,9,FALSE))=0,1,VLOOKUP(BC32,Потребители_обозначение,9,FALSE)),1)))</f>
        <v>1</v>
      </c>
      <c r="BX32">
        <f t="shared" si="17"/>
        <v>1</v>
      </c>
      <c r="BY32" t="str">
        <f>IF(B32="","",_xlfn.LET(_xlpm.bc,IFERROR(IF(VLOOKUP(BC32,Потребители_обозначение,6,FALSE)=0,"",VLOOKUP(BC32,Потребители_обозначение,6,FALSE)&amp;""),""),IF(AND(GA32="да",OR(_xlpm.bc="",_xlpm.bc="мс")),Марка_пож,IF(AND(_xlpm.bc="",BH32&lt;&gt;""),"мс",_xlpm.bc))))</f>
        <v>мс</v>
      </c>
      <c r="BZ32" t="str">
        <f t="shared" si="18"/>
        <v>мс</v>
      </c>
      <c r="CA32">
        <f>IF(B32="","",_xlfn.LET(_xlpm.cc,IFERROR(N(VLOOKUP(BC32,Потребители_обозначение,7,FALSE)),0),IF(_xlpm.cc&gt;0,_xlpm.cc,IF(BZ32="","",IF(BV32=1,2,IF(N(BX32)=3,5,3))))))</f>
        <v>3</v>
      </c>
      <c r="CB32">
        <f t="shared" si="19"/>
        <v>3</v>
      </c>
      <c r="CC32">
        <f>IFERROR(N(VLOOKUP(BC32,Потребители_обозначение,10,FALSE)),0)</f>
        <v>1.5</v>
      </c>
      <c r="CD32">
        <f>IFERROR(VLOOKUP(BC32,Потребители_обозначение,5,FALSE),0)</f>
        <v>1</v>
      </c>
      <c r="CE32" s="6" cm="1">
        <f t="array" ref="CE32">IF(B32="","",IF(BH32&lt;&gt;"",IFERROR(_xlfn.XLOOKUP(BH32,Щиты[Щит],Щиты[cos φ]),0.95),IF(BP32=1,IFERROR(_xlfn.XLOOKUP(A32,Щиты[Щит],Щиты[cos φ]),0.95),IF(ISNUMBER(AD32),AD32,IFERROR(IF(CD32=2,_xlfn.IFS(BX32=3,VLOOKUP(BS32,Справочная_двигатели,8,FALSE),BX32=1,VLOOKUP(BS32,Справочная_двигатели,10,TRUE)),IF(AND(Методика="нормы 2026",FG32="Сил"),0.8,0.95)),0.95)))))</f>
        <v>0.95</v>
      </c>
      <c r="CF32">
        <f t="shared" si="20"/>
        <v>1</v>
      </c>
      <c r="CG32">
        <f t="shared" si="21"/>
        <v>0</v>
      </c>
      <c r="CH32">
        <f t="shared" si="22"/>
        <v>0</v>
      </c>
      <c r="CI32">
        <f>IF(B32="","",IF(BV32=1,IFERROR(BS32/((Uн_лин/SQRT(3))*MAX(0.5,N(CE32))),0),N(O32)))</f>
        <v>0.911605688194146</v>
      </c>
      <c r="CJ32">
        <f t="shared" si="23"/>
        <v>1.5953099543397553</v>
      </c>
      <c r="CK32">
        <f t="shared" si="24"/>
        <v>0.35</v>
      </c>
      <c r="CL32">
        <f t="shared" si="25"/>
        <v>1</v>
      </c>
      <c r="CM32">
        <f t="shared" si="26"/>
        <v>10</v>
      </c>
      <c r="CN32">
        <f t="shared" si="27"/>
        <v>0</v>
      </c>
      <c r="CO32">
        <f>IF(BC32="",0,_xlfn.LET(_xlpm.v,IFERROR(_xlfn.XLOOKUP(B32,Коды_код,Коды_мА),IFERROR(_xlfn.XLOOKUP(BC32,Коды_код,Коды_мА),IFERROR(_xlfn.XLOOKUP(LEFT(BC32,2),Коды_код,Коды_мА),""))),IF(_xlpm.v="да",30,IF(ISNUMBER(_xlpm.v),_xlpm.v,0))))</f>
        <v>0</v>
      </c>
      <c r="CP32" t="str">
        <f t="shared" si="28"/>
        <v/>
      </c>
      <c r="CQ32" t="str">
        <f>_xlfn.LET(_xlpm.k,IFERROR(_xlfn.XLOOKUP(BC32,Коды_код,Коды_утечка)&amp;"",""),IF(_xlpm.k="","дифавтомат",_xlpm.k))</f>
        <v>дифавтомат</v>
      </c>
      <c r="CR32" t="str" cm="1">
        <f t="array" ref="CR32">IF(CG32=0,"",_xlfn.LET(_xlpm.sg,TRIM(_xlfn.TEXTSPLIT(DD32&amp;"",";")),_xlpm.f_,_xlfn._xlws.FILTER(_xlpm.sg,LEFT(_xlpm.sg,3)="УЗО",""),IFERROR(INDEX(_xlpm.f_,1)&amp;"","")))</f>
        <v/>
      </c>
      <c r="CS32" t="str">
        <f t="shared" si="29"/>
        <v/>
      </c>
      <c r="CT32" s="6" t="str" cm="1">
        <f t="array" ref="CT32">IF(CR32="","",_xlfn.LET(_xlpm.tk,_xlfn.TEXTSPLIT(UPPER(CR32)," ",,TRUE),_xlpm.a_,_xlfn._xlws.FILTER(_xlpm.tk,ISNUMBER(--LEFT(_xlpm.tk,1))*((ISNUMBER(SEARCH("А",_xlpm.tk))+ISNUMBER(SEARCH("A",_xlpm.tk)))&gt;0)*NOT(ISNUMBER(SEARCH("МА",_xlpm.tk)))*NOT(ISNUMBER(SEARCH("MA",_xlpm.tk))),""),IFERROR(--SUBSTITUTE(SUBSTITUTE(INDEX(_xlpm.a_,1),"А",""),"A",""),"")))</f>
        <v/>
      </c>
      <c r="CU32" t="str" cm="1">
        <f t="array" ref="CU32">IF(CR32="","",_xlfn.LET(_xlpm.tk,_xlfn.TEXTSPLIT(UPPER(CR32)," ",,TRUE),_xlpm.a_,_xlfn._xlws.FILTER(_xlpm.tk,ISNUMBER(--LEFT(_xlpm.tk,1))*((ISNUMBER(SEARCH("МА",_xlpm.tk))+ISNUMBER(SEARCH("MA",_xlpm.tk)))&gt;0),""),IFERROR(--SUBSTITUTE(SUBSTITUTE(INDEX(_xlpm.a_,1),"МА",""),"MA",""),30)))</f>
        <v/>
      </c>
      <c r="CV32" t="str">
        <f>IF(CS32="","",IFERROR(_xlfn.XLOOKUP(CS32,Линии[_n],Линии[_УЗО, мА]),30))</f>
        <v/>
      </c>
      <c r="CW32">
        <f>IF(CS32="",0,IF(ISNUMBER(SEARCH("4P",IFERROR(_xlfn.XLOOKUP(CS32,Линии[_n],Линии[_УЗО строки])&amp;"",""))),0,1))</f>
        <v>0</v>
      </c>
      <c r="CX32" t="str">
        <f>IF(AND(CS32&lt;&gt;"",CS32=BA32),SUMIFS(Линии[_ток на 230 В],Линии[_блок УЗО],BA32,Линии[Щит],A32),"")</f>
        <v/>
      </c>
      <c r="CY32" t="str">
        <f>IF(AND(CS32&lt;&gt;"",CS32=BA32),SUMIFS(Линии[_ток утечки линии, мА],Линии[_блок УЗО],BA32,Линии[Щит],A32),"")</f>
        <v/>
      </c>
      <c r="CZ32">
        <f t="shared" si="30"/>
        <v>0</v>
      </c>
      <c r="DA32" t="str">
        <f t="shared" si="31"/>
        <v/>
      </c>
      <c r="DB32">
        <f>IF(B32="",0,IFERROR(--_xlfn.XLOOKUP(B32,Коды_код,Коды_минавт),IFERROR(--_xlfn.XLOOKUP(BC32,Коды_код,Коды_минавт),IFERROR(--_xlfn.XLOOKUP(LEFT(BC32,2),Коды_код,Коды_минавт),0))))</f>
        <v>10</v>
      </c>
      <c r="DC32" t="str">
        <f>IF(B32="","",IFERROR(_xlfn.XLOOKUP(BC32,Коды_код,Коды_апп)&amp;"",""))</f>
        <v/>
      </c>
      <c r="DD32" t="str">
        <f t="shared" si="32"/>
        <v/>
      </c>
      <c r="DE32" t="str" cm="1">
        <f t="array" ref="DE32">IF(TRIM(DD32&amp;"")="","",IFERROR(TRIM(INDEX(_xlfn.TEXTSPLIT(DD32&amp;";;;",";"),1)),""))</f>
        <v/>
      </c>
      <c r="DF32" t="str" cm="1">
        <f t="array" ref="DF32">IF(TRIM(DD32&amp;"")="","",IFERROR(TRIM(INDEX(_xlfn.TEXTSPLIT(DD32&amp;";;;",";"),2)),""))</f>
        <v/>
      </c>
      <c r="DG32" t="str" cm="1">
        <f t="array" ref="DG32">IF(TRIM(DD32&amp;"")="","",IFERROR(TRIM(INDEX(_xlfn.TEXTSPLIT(DD32&amp;";;;",";"),3)),""))</f>
        <v/>
      </c>
      <c r="DH32">
        <f t="shared" si="33"/>
        <v>0</v>
      </c>
      <c r="DI32" t="str">
        <f>IF(B32="","",_xlfn.LET(_xlpm.t,LOWER(AZ32&amp;""),IF(ISNUMBER(SEARCH("dim",_xlpm.t)),"DIM",IF(ISNUMBER(SEARCH("dali",_xlpm.t)),"DALI",IF(OR(ISNUMBER(SEARCH("relay",_xlpm.t)),ISNUMBER(SEARCH("реле",_xlpm.t))),"Relay",IF(ISNUMBER(SEARCH("кнопк",_xlpm.t)),"",IFERROR(_xlfn.XLOOKUP(BC32,Коды_код,Коды_упр)&amp;"","")))))))</f>
        <v/>
      </c>
      <c r="DJ32" t="str">
        <f t="shared" si="34"/>
        <v/>
      </c>
      <c r="DK32">
        <f>IF(B32="","",_xlfn.LET(_xlpm.ig,IF(N(CX32)&gt;0,N(CX32),N(CI32)+IF(AJ32="вручную",0,N(CJ32))),_xlpm.n0,IFERROR(VLOOKUP(_xlpm.ig,Автомат_номиналы,2,TRUE),0),_xlpm.mn,MAX(DB32,IF(AJ32="вручную",0,N(CM32))),MAX(_xlpm.n0,_xlpm.mn,IF(DH32=1,Мин_автомат_БП,0))))</f>
        <v>10</v>
      </c>
      <c r="DL32">
        <f t="shared" si="35"/>
        <v>1</v>
      </c>
      <c r="DM32" t="str">
        <f t="shared" si="36"/>
        <v>1P</v>
      </c>
      <c r="DN32" t="str">
        <f>_xlfn.LET(_xlpm.cc,UPPER(TRIM(IFERROR(_xlfn.XLOOKUP(BC32,Коды_код,Коды_хар)&amp;"",""))),IF(OR(_xlpm.cc="B",_xlpm.cc="В"),"B",IF(_xlpm.cc="D","D","С")))</f>
        <v>С</v>
      </c>
      <c r="DO32" t="str">
        <f t="shared" si="37"/>
        <v>↑ 1P С10А</v>
      </c>
      <c r="DP32" t="str">
        <f t="shared" si="38"/>
        <v>↑ 1P С10А</v>
      </c>
      <c r="DQ32" t="str">
        <f t="shared" si="39"/>
        <v/>
      </c>
      <c r="DR32" t="str" cm="1">
        <f t="array" ref="DR32">IF(DQ32="","",_xlfn.LET(_xlpm.t,SUBSTITUTE(SUBSTITUTE(SUBSTITUTE(UPPER(DQ32),"С","C"),"А","A"),"В","B"),_xlpm.tk,_xlfn.TEXTSPLIT(_xlpm.t," "),_xlpm.f,_xlfn._xlws.FILTER(_xlpm.tk,ISNUMBER(--MID(_xlpm.tk,2,1))*ISNUMBER(SEARCH(LEFT(_xlpm.tk,1)&amp;"#","B#C#D#"))*(LEN(_xlpm.tk)&gt;1),""),_xlpm.x,INDEX(_xlpm.f,1),IFERROR(--SUBSTITUTE(MID(_xlpm.x,2,9),"A",""),IFERROR(--SUBSTITUTE(INDEX(_xlfn._xlws.FILTER(_xlpm.tk,ISNUMBER(--SUBSTITUTE(_xlpm.tk,"A","")),""),1),"A",""),""))))</f>
        <v/>
      </c>
      <c r="DS32" t="str">
        <f t="shared" si="40"/>
        <v>ok</v>
      </c>
      <c r="DT32">
        <f t="shared" si="41"/>
        <v>10</v>
      </c>
      <c r="DU32" t="str">
        <f t="shared" si="42"/>
        <v>1P С10А</v>
      </c>
      <c r="DV32">
        <f t="shared" si="43"/>
        <v>0</v>
      </c>
      <c r="DW32">
        <f t="shared" si="44"/>
        <v>0</v>
      </c>
      <c r="DX32">
        <f t="shared" si="45"/>
        <v>0</v>
      </c>
      <c r="DY32" t="str">
        <f t="shared" si="46"/>
        <v/>
      </c>
      <c r="DZ32">
        <f t="shared" si="47"/>
        <v>1</v>
      </c>
      <c r="EA32">
        <f>IF(ISNUMBER(AP32),AP32,К_прокл)</f>
        <v>1</v>
      </c>
      <c r="EB32">
        <f t="shared" si="48"/>
        <v>2</v>
      </c>
      <c r="EC32">
        <f>IFERROR(N(VLOOKUP(BZ32,Кабель_обозначение,3,FALSE)),1)</f>
        <v>1</v>
      </c>
      <c r="ED32">
        <f>IFERROR(N(_xlfn.XLOOKUP(A32,Щиты[Щит],Щиты[ΔU до шин, %])),0)</f>
        <v>1.0560288498727977</v>
      </c>
      <c r="EE32">
        <f>IFERROR(_xlfn.XLOOKUP(A32,Щиты[Щит],Щиты[Zпетли на шинах, Ом]),"")</f>
        <v>0.28247829354840204</v>
      </c>
      <c r="EF32">
        <f>IFERROR(N(_xlfn.XLOOKUP(A32,Щиты[Щит],Щиты[ΔU до шин (подбор), %])),0)</f>
        <v>1.0560288498727977</v>
      </c>
      <c r="EG32">
        <f>IFERROR(_xlfn.XLOOKUP(A32,Щиты[Щит],Щиты[Zпетли на шинах (подбор), Ом]),"")</f>
        <v>0.28247829354840204</v>
      </c>
      <c r="EH32" t="str">
        <f t="shared" si="49"/>
        <v/>
      </c>
      <c r="EI32">
        <f t="shared" si="50"/>
        <v>16</v>
      </c>
      <c r="EJ32">
        <f t="shared" si="51"/>
        <v>2</v>
      </c>
      <c r="EK32">
        <f t="shared" si="52"/>
        <v>0.31</v>
      </c>
      <c r="EL32" s="6">
        <f>IF(B32="","",IF(BV32=1,dU_LED,IF(IFERROR(_xlfn.XLOOKUP(BC32,Коды_код,Коды_уго),"")="Светильник",3,4)+IF(Методика="нормы 2026",MIN(0.5,MAX(0,N(P32)-100)*0.005),0)))</f>
        <v>3</v>
      </c>
      <c r="EM32" cm="1">
        <f t="array" ref="EM32">IF(OR(B32="",BZ32="",EC32&lt;&gt;1),"",_xlfn.LET(_xlpm.sz,Iдоп_S,_xlpm.t_,CHOOSE(EB32,Iдоп_1ж,Iдоп_2ж,Iдоп_3ж)*DZ32*EA32,_xlpm.dcx,BV32=1,_xlpm.inn,IF(_xlpm.dcx,N(O32),N(DT32)),_xlpm.smin,MAX(1.5,CC32),_xlpm.L_,N(P32)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32)/N(BU32)*100,999),IFERROR(N(EJ32)*(_xlpm.rho*_xlpm.L_/_xlpm.sz*N(CE32)+_xlpm.xx*_xlpm.L_*N(EK32)/1000)*N(O32)/((Uн_лин/SQRT(3))*1000)*100,999)),_xlpm.kz,IF(OR(_xlpm.dcx,DW32=1,NOT(ISNUMBER(EG32)),_xlpm.L_=0,_xlpm.inn=0),1,IFERROR(--(c_min*(Uн_лин*1000/SQRT(3))/(EG32+2*ρкз_Cu*_xlpm.L_/_xlpm.sz)&gt;=HT32*_xlpm.inn),0)),_xlpm.ok,IFERROR((_xlpm.sz&gt;=_xlpm.smin)*(_xlpm.t_&gt;=_xlpm.inn)*IF(_xlpm.L_&gt;0,(_xlpm.du_+IF(_xlpm.dcx,0,EF32)&lt;=EL32+0.00001),1)*_xlpm.kz,0),_xlpm.r_,_xlfn._xlws.FILTER(_xlpm.sz,_xlpm.ok,"не подобрано"),INDEX(_xlpm.r_,1)))</f>
        <v>1.5</v>
      </c>
      <c r="EN32">
        <f t="shared" si="53"/>
        <v>1.5</v>
      </c>
      <c r="EO32" cm="1">
        <f t="array" ref="EO32">IF(OR(B32="",BZ32="",EC32&lt;&gt;1),"",_xlfn.LET(_xlpm.sz,Iдоп_S,_xlpm.t_,CHOOSE(EB32,Iдоп_1ж,Iдоп_2ж,Iдоп_3ж)*DZ32*EA32,_xlpm.ok,IFERROR((_xlpm.sz&gt;=MAX(1.5,CC32))*(_xlpm.t_&gt;=N(DT32)),0),_xlpm.r_,_xlfn._xlws.FILTER(_xlpm.sz,_xlpm.ok,""),INDEX(_xlpm.r_,1)))</f>
        <v>1.5</v>
      </c>
      <c r="EP32" s="6" cm="1">
        <f t="array" ref="EP32">IFERROR(ROUNDUP(N(EJ32)*(_xlfn.XLOOKUP(EO32,INDEX(Кабель_сопротивление,0,1),INDEX(Кабель_сопротивление,0,3))*N(P32)/EO32*N(CE32)+_xlfn.XLOOKUP(EO32,INDEX(Кабель_сопротивление,0,1),INDEX(Кабель_сопротивление,0,2))*N(P32)*N(EK32)/1000)*N(O32)/((Uн_лин/SQRT(3))*1000)*100,2),"")</f>
        <v>0.2</v>
      </c>
      <c r="EQ32">
        <f>IFERROR(2*ρкз_Cu*N(P32)/EO32,"")</f>
        <v>0.59613333333333329</v>
      </c>
      <c r="ER32">
        <f>IFERROR(VLOOKUP(EN32,Кабель_сопротивление,3,FALSE),"")</f>
        <v>2.2499999999999999E-2</v>
      </c>
      <c r="ES32">
        <f>IFERROR(VLOOKUP(EN32,Кабель_сопротивление,2,FALSE),"")</f>
        <v>0.11</v>
      </c>
      <c r="ET32">
        <f t="shared" si="54"/>
        <v>13</v>
      </c>
      <c r="EU32">
        <f t="shared" si="55"/>
        <v>0</v>
      </c>
      <c r="EV32">
        <f t="shared" si="56"/>
        <v>0.44272987156495602</v>
      </c>
      <c r="EW32" s="6">
        <f>IFERROR(ROUNDUP(EV32/IF(BV32=1,BU32,(Uн_лин/SQRT(3))*1000)*100,2),"")</f>
        <v>0.2</v>
      </c>
      <c r="EX32" t="str">
        <f>IFERROR(VLOOKUP(BZ32,Кабель_обозначение,2,FALSE),"")</f>
        <v>ВВГнг(А)-LS</v>
      </c>
      <c r="EY32" t="str">
        <f t="shared" si="57"/>
        <v>ВВГнг(А)-LS (3х1,5)</v>
      </c>
      <c r="EZ32" t="str">
        <f t="shared" si="58"/>
        <v>ВВГнг(А)-LS (3х1,5)
L=17-0,2%</v>
      </c>
      <c r="FA32">
        <f>IFERROR(2*ρкз_Cu*P32/EN32,"")</f>
        <v>0.59613333333333329</v>
      </c>
      <c r="FB32">
        <f t="shared" si="59"/>
        <v>0.19833333333333336</v>
      </c>
      <c r="FC32" s="6">
        <f>IFERROR(IF(OR(B32="",BV32=1,NOT(ISNUMBER(EN32)),N(P32)=0),"",_xlfn.XLOOKUP(A32,Щиты[Щит],Щиты[Zпетли на шинах, Ом])+FA32),"")</f>
        <v>0.87861162688173533</v>
      </c>
      <c r="FD32" s="6">
        <f>IF(ISNUMBER(FC32),c_min*(Uн_лин*1000/SQRT(3))/FC32,"")</f>
        <v>249.70430117195454</v>
      </c>
      <c r="FE32" s="6">
        <f>IFERROR(IF(OR(B32="",NOT(ISNUMBER(EN32))),"",1.05*(Uн_лин*1000/SQRT(3))/(_xlfn.XLOOKUP(A32,Щиты[Щит],Щиты[Zmax на шинах, Ом])+FB32)/1000),"")</f>
        <v>0.85549410621213451</v>
      </c>
      <c r="FF32" s="6" t="str">
        <f>IF(B32="","",IF(ISNUMBER(AC32),"Сил",IF(IFERROR(_xlfn.XLOOKUP(BC32,Коды_код,Коды_группа)&amp;"","")="","Быт",_xlfn.XLOOKUP(BC32,Коды_код,Коды_группа)&amp;"")))</f>
        <v>Быт</v>
      </c>
      <c r="FG32" s="6" t="str">
        <f t="shared" si="60"/>
        <v>Быт</v>
      </c>
      <c r="FH32" s="6">
        <f>IF(FG32="Щит","щит",IF(FG32="","",IF(FG32="Быт",IFERROR(_xlfn.XLOOKUP(A32,Щиты[Щит],Щиты[Кс быт]),1),IF(FG32="Сил",IF(ISNUMBER(AC32),AC32,IF(Методика="нормы 2026",IFERROR(_xlfn.XLOOKUP(A32,Щиты[Щит],Щиты[Кс силовых (табл. 7.5)]),1),1)),IF(OR(FG32="Пост",FG32="Отоп"),1,IF(FG32="ВНГ",0.7,0))))))</f>
        <v>0.8</v>
      </c>
      <c r="FI32">
        <f>IF(FG32="","",IF(AND(BP32=1,TRIM(AE32&amp;"")=""),IF(COUNTIFS(Линии[Щит],A32,Линии[Секция (1/2/3)],"&gt;=2")&gt;0,MIN(3,MAX(1,IFERROR(--BD32,1))),1),IFERROR(MIN(3,MAX(1,INT(--AE32))),1)))</f>
        <v>1</v>
      </c>
      <c r="FJ32">
        <f t="shared" si="61"/>
        <v>0.2</v>
      </c>
      <c r="FK32">
        <f t="shared" si="62"/>
        <v>0.2</v>
      </c>
      <c r="FL32">
        <f t="shared" si="63"/>
        <v>0</v>
      </c>
      <c r="FM32">
        <f t="shared" si="64"/>
        <v>0</v>
      </c>
      <c r="FN32">
        <f t="shared" si="65"/>
        <v>0</v>
      </c>
      <c r="FO32">
        <f t="shared" si="66"/>
        <v>0</v>
      </c>
      <c r="FP32">
        <f t="shared" si="67"/>
        <v>0.2</v>
      </c>
      <c r="FQ32">
        <f t="shared" si="68"/>
        <v>0.2</v>
      </c>
      <c r="FR32">
        <f t="shared" si="69"/>
        <v>0.19</v>
      </c>
      <c r="FS32">
        <f>IF(CG32=1,IF(AND(CH32=1,CW32=1),0,IF(AND(CS32&lt;&gt;"",CS32=BA32,CW32=1),SUMIFS(Линии[_Р линии, кВт],Линии[_блок УЗО],BA32,Линии[Щит],A32),N(BS32)+IF(AJ32="вручную",0,N(CK32)))),0)</f>
        <v>0</v>
      </c>
      <c r="FT32" t="str">
        <f t="shared" si="70"/>
        <v/>
      </c>
      <c r="FU32" t="str">
        <f>IF(B32="","",IF(CG32=0,IF(BA32=1,"",FW31),IF(AND(CH32=1,CW32=1,CS32&lt;&gt;""),IFERROR(_xlfn.XLOOKUP(CS32,Линии[_n],Линии[_фаза итог]),"L1"),IF(OR(N(DL32)&gt;=3,N(BX32)&gt;=3),"L1,L2,L3",IFERROR(_xlfn.TEXTBEFORE(_xlfn.TEXTAFTER(_xlfn.XLOOKUP(A32,Щиты[Щит],Щиты[_фазы авто]),";"&amp;BA32&amp;":"),";"),"L1")))))</f>
        <v>L3</v>
      </c>
      <c r="FV32" t="str">
        <f t="shared" si="71"/>
        <v>L3</v>
      </c>
      <c r="FW32" t="str">
        <f t="shared" si="72"/>
        <v>L3</v>
      </c>
      <c r="FX32" cm="1">
        <f t="array" ref="FX32">IFERROR(IF(CD32=2,_xlfn.IFS(BX32=3,VLOOKUP(BS32,Справочная_двигатели,3,FALSE),BX32=1,VLOOKUP(BS32,Справочная_двигатели,5,TRUE)),0),0)</f>
        <v>0</v>
      </c>
      <c r="FY32">
        <f>IFERROR(IF(CD32=3,VLOOKUP(BS32,Справочная_ЛЭД,2,TRUE),0),0)</f>
        <v>0</v>
      </c>
      <c r="FZ32" s="6">
        <f t="shared" si="73"/>
        <v>0</v>
      </c>
      <c r="GA32" t="str">
        <f>IF(B32="","",IF(TRIM(AH32&amp;"")&lt;&gt;"",IF(LOWER(TRIM(AH32&amp;""))="да","да","нет"),IF(IFERROR(_xlfn.XLOOKUP(BC32,Коды_код,Коды_пожарная),"")="да","да","нет")))</f>
        <v>нет</v>
      </c>
      <c r="GB32" t="str">
        <f t="shared" si="74"/>
        <v/>
      </c>
      <c r="GC32" t="str">
        <f t="shared" si="75"/>
        <v>основная</v>
      </c>
      <c r="GD32">
        <f>IF(AND(BP32=1,TRIM(AE32&amp;"")=""),IF(COUNTIFS(Линии[Щит],A32,Линии[Секция (1/2/3)],"&gt;=2")&gt;0,MIN(3,MAX(1,IFERROR(--BD32,1))),1),IFERROR(MIN(3,MAX(1,INT(--AE32))),1))</f>
        <v>1</v>
      </c>
      <c r="GE32" t="str" cm="1">
        <f t="array" ref="GE32">IF(B32="","",_xlfn.LET(_xlpm.t,IFERROR(_xlfn.XLOOKUP(1,(Шины[Шина]=GC32)*(((Шины[Щит]=A32)+(Шины[Щит]=""))&gt;0),Шины[Тип]),"")&amp;"",IF(_xlpm.t&lt;&gt;"",_xlpm.t,IF(ISNUMBER(SEARCH("ИБП",GC32)),"ИБП",IF(ISNUMBER(SEARCH("ДГУ",GC32)),"ДГУ","Ввод "&amp;GD32)))))</f>
        <v>Ввод 1</v>
      </c>
      <c r="GF32" t="str">
        <f t="shared" si="76"/>
        <v>Ввод 1</v>
      </c>
      <c r="GG32" t="str">
        <f>IF(BP32=0,"",IF(TRIM(AG32&amp;"")&lt;&gt;"",TRIM(AG32&amp;""),IF(OR(GE32="ИБП",GE32="ДГУ"),"I особая",_xlfn.XLOOKUP(A32,Щиты[Щит],Щиты[Категория шины «Ввод»],"III"))))</f>
        <v/>
      </c>
      <c r="GH32" t="str">
        <f>IF(A32="","",_xlfn.XLOOKUP(A32,Щиты[Щит],Щиты[Путь],""))</f>
        <v>|ВРУ|ЩР-1|</v>
      </c>
      <c r="GI32" t="str">
        <f>IF(B32="","",IF(AI32&lt;&gt;"",AI32,IF(IFERROR(_xlfn.XLOOKUP(BC32,Коды_код,Коды_вид)&amp;"","")="","Прочее",_xlfn.XLOOKUP(BC32,Коды_код,Коды_вид)&amp;"")))</f>
        <v>Рабочее освещение</v>
      </c>
      <c r="GJ32">
        <f>IF(BM32="","",INT((BM32-1)/Столбцов_на_лист)+1)</f>
        <v>1</v>
      </c>
      <c r="GK32" t="str">
        <f t="shared" si="77"/>
        <v>ВВГнг(А)-LS (3х1,5) L=17-0,2%</v>
      </c>
      <c r="GL32">
        <f t="shared" si="78"/>
        <v>0.2</v>
      </c>
      <c r="GM32">
        <f t="shared" si="79"/>
        <v>0.92</v>
      </c>
      <c r="GN32">
        <f t="shared" si="80"/>
        <v>1</v>
      </c>
      <c r="GO32">
        <f t="shared" si="81"/>
        <v>0</v>
      </c>
      <c r="GP32">
        <f t="shared" si="82"/>
        <v>1</v>
      </c>
      <c r="GQ32">
        <f>IF(BM32="","",IF(AND(CG32=1,GP32=1),COUNTIFS(A$3:A32,A32,CG$3:CG32,1,GP$3:GP32,1),IF(OR(OR(BA32=1,A32&lt;&gt;A31),AJ32="вручную",GP32=0),"",IF(BA32=1,"",GR31))))</f>
        <v>4</v>
      </c>
      <c r="GR32">
        <f t="shared" si="83"/>
        <v>4</v>
      </c>
      <c r="GS32">
        <f>IF(B32="","",IFERROR(LOOKUP(INDEX(CHOOSE(EB32,Iдоп_1ж,Iдоп_2ж,Iдоп_3ж),MATCH(EN32,Iдоп_S,0))*DZ32*EA32,{6,10,16,20,25,32,40,50,63,80,100,125,160,200,250,315,400,500,630}),""))</f>
        <v>16</v>
      </c>
      <c r="GT32" t="str">
        <f t="shared" si="84"/>
        <v/>
      </c>
      <c r="GU32" t="str">
        <f t="shared" si="85"/>
        <v>QF4</v>
      </c>
      <c r="GV32" t="str">
        <f t="shared" si="86"/>
        <v/>
      </c>
      <c r="GW32">
        <f t="shared" si="87"/>
        <v>0</v>
      </c>
      <c r="GX32" t="str">
        <f>IF(OR(B32="",DJ32=""),"",IFERROR(_xlfn.XLOOKUP(DJ32,Модули_умолч[Управление],Модули_умолч[Модель])&amp;"",""))</f>
        <v/>
      </c>
      <c r="GY32">
        <f>IF(DJ32="",1,IFERROR(MAX(0,N(_xlfn.XLOOKUP(DJ32,Модули_умолч[Управление],Модули_умолч[Каналов на линию]))),1))</f>
        <v>1</v>
      </c>
      <c r="GZ32" t="str">
        <f t="shared" si="88"/>
        <v/>
      </c>
      <c r="HA32" t="str">
        <f t="shared" si="89"/>
        <v>M</v>
      </c>
      <c r="HB32" t="str">
        <f t="shared" si="90"/>
        <v/>
      </c>
      <c r="HC32">
        <f>IF(HB32="",0,IFERROR(N(VLOOKUP(HB32,Модули_спр,3,FALSE)),0))</f>
        <v>0</v>
      </c>
      <c r="HD32" t="str">
        <f t="shared" si="91"/>
        <v/>
      </c>
      <c r="HE32" t="str">
        <f t="shared" si="92"/>
        <v/>
      </c>
      <c r="HF32" t="str">
        <f>IF(OR(HE32="",HE32="-"),"",IFERROR(VLOOKUP(HE32,Модули_спр,2,FALSE),"R"))</f>
        <v/>
      </c>
      <c r="HG32" t="str">
        <f>IF(HF32="","",HF32&amp;"."&amp;COUNTIFS(A$3:A32,A32,HF$3:HF32,HF32))</f>
        <v/>
      </c>
      <c r="HH32" t="str">
        <f t="shared" si="93"/>
        <v>R.1</v>
      </c>
      <c r="HI32" t="str">
        <f t="shared" si="94"/>
        <v>ZIOMB16V3</v>
      </c>
      <c r="HJ32">
        <f t="shared" si="95"/>
        <v>2</v>
      </c>
      <c r="HK32">
        <f t="shared" si="96"/>
        <v>2</v>
      </c>
      <c r="HL32">
        <f t="shared" si="97"/>
        <v>1</v>
      </c>
      <c r="HM32" t="str">
        <f>IF(HL32=1,"XT"&amp;COUNTIFS(A$3:A32,A32,HL$3:HL32,1),"")</f>
        <v>XT6</v>
      </c>
      <c r="HN32" t="str">
        <f t="shared" si="98"/>
        <v>XT6</v>
      </c>
      <c r="HO32" t="str">
        <f t="shared" si="99"/>
        <v>QF4</v>
      </c>
      <c r="HP32" t="str">
        <f t="shared" si="100"/>
        <v>R.1</v>
      </c>
      <c r="HQ32" t="str">
        <f t="shared" si="101"/>
        <v>ok</v>
      </c>
      <c r="HR32" t="str">
        <f>IF(OR(HJ32="",HH32=""),"",IF(HJ32+MAX(0,GY32-1)&gt;IFERROR(VLOOKUP(HI32,Модули_спр,3,FALSE),99),"ЛИШНИЙ КАНАЛ",IF(AND(AL32&lt;&gt;"=",GY32&gt;0,COUNTIFS(Линии[_модуль гр.],HH32,Линии[Канал (итог)],HJ32,Линии[Канал],"&lt;&gt;=",Линии[Щит],A32)&gt;1),"ДУБЛЬ КАНАЛА","")))</f>
        <v/>
      </c>
      <c r="HS32" s="6">
        <f t="shared" si="102"/>
        <v>24.970430117195455</v>
      </c>
      <c r="HT32">
        <f t="shared" si="103"/>
        <v>10</v>
      </c>
      <c r="HU32" t="str">
        <f t="shared" si="104"/>
        <v>ok</v>
      </c>
      <c r="HV32">
        <f t="shared" si="105"/>
        <v>0.5346422752776584</v>
      </c>
      <c r="HW32">
        <f t="shared" si="106"/>
        <v>0.82812398173590218</v>
      </c>
      <c r="HX32">
        <f t="shared" si="107"/>
        <v>0</v>
      </c>
      <c r="HY32">
        <f t="shared" si="108"/>
        <v>0</v>
      </c>
      <c r="HZ32">
        <f t="shared" si="109"/>
        <v>0</v>
      </c>
      <c r="IA32">
        <f t="shared" si="110"/>
        <v>0</v>
      </c>
      <c r="IB32">
        <f t="shared" si="111"/>
        <v>0</v>
      </c>
      <c r="IC32" t="str">
        <f t="shared" si="112"/>
        <v/>
      </c>
      <c r="ID32" t="str" cm="1">
        <f t="array" ref="ID32">IF(IC32="","",_xlfn.LET(_xlpm.tk,_xlfn.TEXTSPLIT(SUBSTITUTE(SUBSTITUTE(IC32,";"," "),"→"," ")," ",,TRUE),_xlpm.w_,_xlfn._xlws.FILTER(_xlpm.tk,ISNUMBER(--LEFT(_xlpm.tk,1))*((ISNUMBER(SEARCH("W",_xlpm.tk))+ISNUMBER(SEARCH("Вт",_xlpm.tk)))&gt;0),""),IFERROR(--SUBSTITUTE(SUBSTITUTE(UPPER(INDEX(_xlpm.w_,1)),"W",""),"ВТ",""),"")))</f>
        <v/>
      </c>
      <c r="IE32" t="str" cm="1">
        <f t="array" ref="IE32">IF(IC32="","",_xlfn.LET(_xlpm.tk,_xlfn.TEXTSPLIT(SUBSTITUTE(SUBSTITUTE(IC32,";"," "),"→"," ")," ",,TRUE),_xlpm.v_,_xlfn._xlws.FILTER(_xlpm.tk,ISNUMBER(--LEFT(_xlpm.tk,1))*((ISNUMBER(SEARCH("V",_xlpm.tk))+(RIGHT(UPPER(_xlpm.tk))="В"))&gt;0),""),IFERROR(--SUBSTITUTE(SUBSTITUTE(UPPER(INDEX(_xlpm.v_,1)),"V",""),"В",""),"")))</f>
        <v/>
      </c>
      <c r="IF32" s="6" t="str">
        <f>IF(OR(BV32=0,HI32="",HJ32=""),"",IFERROR(N(_xlfn.XLOOKUP(HI32,Каталог!$C$4:$C$500,Каталог!$Q$4:$Q$500)),""))</f>
        <v/>
      </c>
      <c r="IG32" s="6" t="str">
        <f>IF(N(IF32)=0,"",SUMIFS(Линии[Iр, А],Линии[Щит],A32,Линии[_модуль гр.],HH32,Линии[Канал (итог)],HJ32))</f>
        <v/>
      </c>
      <c r="IH32" t="str">
        <f>IF(AND(B32="",HO32=""),"",_xlfn.TEXTJOIN("; ",TRUE,IF(AND(B32&lt;&gt;"",FV32=""),"нет фазы",""),IF(AND(B32&lt;&gt;"",N(GL32)=0,FG32&lt;&gt;"Нет"),"нет мощности",""),IF(AND(HN32&lt;&gt;"",COUNTIFS(Линии[Щит],A32,Линии[Клемма (итог)],HN32)&gt;1),"дубль клеммы "&amp;HN32,""),IF(AND(HQ32&lt;&gt;"",HQ32&lt;&gt;"ok"),HQ32,""),IF(HR32&lt;&gt;"",HR32,""),IF(AND(N(CB32)&gt;=4,N(BX32)=1),CB32&amp;" жил на 1 фазе",""),IF(AND(BC32="R",CG32=1,IF(CS32&lt;&gt;"",N(CV32)&gt;30,OR(N(DA32)=0,N(DA32)&gt;30))),"розетка без дифзащиты до 30 мА",""),IF(AND(CG32=1,N(DA32)&gt;0,ISNUMBER(T32)),IF(T32&gt;N(DA32)/3,"ток утечки "&amp;FIXED(T32,1)&amp;" мА &gt; 1/3 уставки ("&amp;DA32&amp;" мА)",""),""),IF(AND(CH32=1,CS32=""),"«узо»: нет строки с УЗО выше (УЗО 2P 40А 30мА в «Аппаратах»)",""),IF(AND(CS32&lt;&gt;"",CS32=BA32),IF(CT32="","впишите номинал УЗО (УЗО 2P 40А 30мА)",IF(N(CT32)&lt;N(DT32),"УЗО "&amp;CT32&amp;" А &lt; автомата "&amp;DT32&amp;" А перед ним",IF(N(CT32)&lt;N(CX32),"УЗО "&amp;CT32&amp;" А &lt; тока блока "&amp;FIXED(CX32,1)&amp;" А",""))),""),IF(AND(CS32&lt;&gt;"",CS32=BA32,ISNUMBER(CY32)),IF(CY32&gt;N(CV32)/3,"ток утечки блока УЗО "&amp;FIXED(CY32,1)&amp;" мА &gt; 1/3 уставки ("&amp;CV32&amp;" мА)",""),""),IF(AND(CG32=1,N(BV32)+N(IB32)&gt;0,IC32=""),"линии до 50 В без БП: впишите в «Аппараты» (БП 24V 480W)",""),IF(AND(CG32=1,ISNUMBER(ID32),ISNUMBER(U32)),IF(U32&gt;ID32,"БП "&amp;ID32&amp;" Вт &lt; нужно "&amp;U32&amp;" Вт (×"&amp;Запас_БП&amp;")",""),""),IF(AND(CG32=1,ISNUMBER(IE32),N(BV32)=1),IF(IE32&lt;&gt;N(BU32),"БП на "&amp;IE32&amp;" В, линия "&amp;BU32&amp;" В",""),""),IF(AND(N(IF32)&gt;0,N(IG32)&gt;N(IF32)),HH32&amp;" канал "&amp;HJ32&amp;": "&amp;FIXED(IG32,1)&amp;" А &gt; "&amp;IF32&amp;" А",""),IFERROR(IF(AND(ISNUMBER(Q32),Q32&gt;EL32),"потери "&amp;FIXED(Q32,1)&amp;" % &gt; "&amp;EL32&amp;" %",""),""),IFERROR(IF(LEFT(HU32,4)="мало","Iкз мало — отключение &gt; 0,4 с",""),""),IF(AND(B32&lt;&gt;"",BM32=""),"не на схеме",""),IF(AND(CG32=0,B32&lt;&gt;"",FV32&lt;&gt;"",IF(BA32=1,"",FW31)&lt;&gt;"",FV32&lt;&gt;IF(BA32=1,"",FW31)),"фаза не как у автомата группы ("&amp;IF(BA32=1,"",FW31)&amp;")","")))</f>
        <v/>
      </c>
      <c r="II32" s="6" t="str">
        <f>IF(OR(CG32=0,DQ32=""),"",_xlfn.LET(_xlpm.t,IFERROR(_xlfn.XLOOKUP(DQ32,Каталог!$U$4:$U$500,Каталог!$G$4:$G$500),""),_xlpm.k,SEARCH("кА",_xlpm.t),IFERROR(--TRIM(RIGHT(SUBSTITUTE(MID(_xlpm.t,MAX(1,_xlpm.k-4),_xlpm.k-MAX(1,_xlpm.k-4))," ",REPT(" ",9)),5)),"")))</f>
        <v/>
      </c>
      <c r="IJ32" t="str">
        <f>IF(OR(II32="",CG32=0),"",IF(_xlfn.XLOOKUP(A32,Щиты[Щит],Щиты[Iкз max на шинах, кА],"")="","",IF(II32&lt;_xlfn.XLOOKUP(A32,Щиты[Щит],Щиты[Iкз max на шинах, кА]),"Icu "&amp;II32&amp;" кА &lt; Iкз max","ok")))</f>
        <v/>
      </c>
      <c r="IK32" t="str">
        <f t="shared" si="113"/>
        <v/>
      </c>
      <c r="IL32" t="str">
        <f t="shared" si="114"/>
        <v>QF4|R.1 к.2|XT6</v>
      </c>
      <c r="IM32" t="str">
        <f t="shared" si="115"/>
        <v>QF4|R.1 к.2|XT6|кабель ВВГнг(А)-LS (3х1,5) → Группа освещения, пом. 02</v>
      </c>
      <c r="IN32" t="str" cm="1">
        <f t="array" ref="IN32">IF(IM32="","",_xlfn.LET(_xlpm.nd,_xlfn.TEXTSPLIT(IM32,"|"),IF(COLUMNS(_xlpm.nd)&gt;1,A32&amp;"¦"&amp;INDEX(_xlpm.nd,1)&amp;"¦"&amp;INDEX(_xlpm.nd,2),"")))</f>
        <v>ЩР-1¦QF4¦R.1 к.2</v>
      </c>
      <c r="IO32" t="str">
        <f t="shared" si="116"/>
        <v>L.1.02.1¦Группа освещения, пом. 02</v>
      </c>
      <c r="IP32" t="str" cm="1">
        <f t="array" ref="IP32">IF(IM32="","",_xlfn.LET(_xlpm.nd,_xlfn.TEXTSPLIT(IM32,"|"),IF(COLUMNS(_xlpm.nd)&gt;2,A32&amp;"¦"&amp;INDEX(_xlpm.nd,2)&amp;"¦"&amp;INDEX(_xlpm.nd,3),"")))</f>
        <v>ЩР-1¦R.1 к.2¦XT6</v>
      </c>
      <c r="IQ32" t="str">
        <f t="shared" si="117"/>
        <v>L.1.02.1¦Группа освещения, пом. 02</v>
      </c>
      <c r="IR32" t="str" cm="1">
        <f t="array" ref="IR32">IF(IM32="","",_xlfn.LET(_xlpm.nd,_xlfn.TEXTSPLIT(IM32,"|"),IF(COLUMNS(_xlpm.nd)&gt;3,A32&amp;"¦"&amp;INDEX(_xlpm.nd,3)&amp;"¦"&amp;INDEX(_xlpm.nd,4),"")))</f>
        <v>ЩР-1¦XT6¦кабель ВВГнг(А)-LS (3х1,5) → Группа освещения, пом. 02</v>
      </c>
      <c r="IS32" t="str">
        <f t="shared" si="118"/>
        <v>L.1.02.1¦Группа освещения, пом. 02</v>
      </c>
      <c r="IT32" t="str" cm="1">
        <f t="array" ref="IT32">IF(IM32="","",_xlfn.LET(_xlpm.nd,_xlfn.TEXTSPLIT(IM32,"|"),IF(COLUMNS(_xlpm.nd)&gt;4,A32&amp;"¦"&amp;INDEX(_xlpm.nd,4)&amp;"¦"&amp;INDEX(_xlpm.nd,5),"")))</f>
        <v/>
      </c>
      <c r="IU32" t="str">
        <f t="shared" si="119"/>
        <v/>
      </c>
      <c r="IV32" t="str" cm="1">
        <f t="array" ref="IV32">IF(IM32="","",_xlfn.LET(_xlpm.nd,_xlfn.TEXTSPLIT(IM32,"|"),IF(COLUMNS(_xlpm.nd)&gt;5,A32&amp;"¦"&amp;INDEX(_xlpm.nd,5)&amp;"¦"&amp;INDEX(_xlpm.nd,6),"")))</f>
        <v/>
      </c>
      <c r="IW32" t="str">
        <f t="shared" si="120"/>
        <v/>
      </c>
      <c r="IX32" t="str" cm="1">
        <f t="array" ref="IX32">IF(IM32="","",_xlfn.LET(_xlpm.nd,_xlfn.TEXTSPLIT(IM32,"|"),IF(COLUMNS(_xlpm.nd)&gt;6,A32&amp;"¦"&amp;INDEX(_xlpm.nd,6)&amp;"¦"&amp;INDEX(_xlpm.nd,7),"")))</f>
        <v/>
      </c>
      <c r="IY32" t="str">
        <f t="shared" si="121"/>
        <v/>
      </c>
      <c r="IZ32" t="str">
        <f t="shared" si="122"/>
        <v>ZIOMB16V3</v>
      </c>
      <c r="JA32" t="str">
        <f t="shared" si="123"/>
        <v>QF4 → R.1 к.2 → XT6</v>
      </c>
      <c r="JB32">
        <f t="shared" si="124"/>
        <v>0</v>
      </c>
      <c r="JC32">
        <f t="shared" si="125"/>
        <v>0</v>
      </c>
      <c r="JD32" t="str">
        <f t="shared" si="126"/>
        <v/>
      </c>
      <c r="JE32" t="str">
        <f t="shared" si="127"/>
        <v/>
      </c>
      <c r="JF32" t="str">
        <f t="shared" si="128"/>
        <v/>
      </c>
      <c r="JG32" t="str">
        <f t="shared" si="129"/>
        <v/>
      </c>
      <c r="JH32" t="str">
        <f>IF(B32="","",IFERROR(_xlfn.XLOOKUP(B32,Коды_код,Коды_уго),IFERROR(_xlfn.XLOOKUP(BC32,Коды_код,Коды_уго),IFERROR(_xlfn.XLOOKUP(LEFT(BC32,2),Коды_код,Коды_уго),""))))</f>
        <v>Светильник</v>
      </c>
      <c r="JI32" t="str">
        <f>IF(B32="","",IF(OR(JH32="",JH32=0),"BOX",IFERROR(IF(VLOOKUP(JH32,УГО_блоки,3,FALSE)&amp;""&lt;&gt;"",VLOOKUP(JH32,УГО_блоки,3,FALSE),VLOOKUP(JH32,УГО_блоки,2,FALSE)),JH32)))</f>
        <v>LAMP</v>
      </c>
      <c r="JJ32">
        <f t="shared" si="130"/>
        <v>1</v>
      </c>
      <c r="JK32" t="str">
        <f>IF(DQ32="","",IF(COUNTIF(DQ$3:DQ32,DQ32)=1,MAX(JK$2:JK31)+1,""))</f>
        <v/>
      </c>
      <c r="JL32" t="str">
        <f>IF(DE32="","",IF(COUNTIF(DE$3:DE32,DE32)+COUNTIF(DF$2:DF31,DE32)+COUNTIF(DG$2:DG31,DE32)=1,MAX(JL$2:JN31)+1,""))</f>
        <v/>
      </c>
      <c r="JM32" t="str">
        <f>IF(DF32="","",IF(COUNTIF(DE$3:DE32,DF32)+COUNTIF(DF$3:DF32,DF32)+COUNTIF(DG$2:DG31,DF32)=1,MAX(JL$2:JN31,JL32)+1,""))</f>
        <v/>
      </c>
      <c r="JN32" t="str">
        <f>IF(DG32="","",IF(COUNTIF(DE$3:DE32,DG32)+COUNTIF(DF$3:DF32,DG32)+COUNTIF(DG$3:DG32,DG32)=1,MAX(JL$2:JN31,JL32,JM32)+1,""))</f>
        <v/>
      </c>
      <c r="JO32" t="str">
        <f t="shared" si="131"/>
        <v>3х1,5</v>
      </c>
      <c r="JP32" t="str">
        <f>IF(JO32="","",IF(COUNTIF(JO$3:JO32,JO32)=1,MAX(JP$2:JP31)+1,""))</f>
        <v/>
      </c>
      <c r="JQ32" t="str">
        <f>IF(HG32="","",COUNTIF(HG$3:HG32,"?*"))</f>
        <v/>
      </c>
      <c r="JR32" t="str">
        <f>IF(OR(HG32="",HI32=""),"",IF(COUNTIFS(HG$3:HG32,"?*",HI$3:HI32,HI32)=1,MAX(JR$2:JR31)+1,""))</f>
        <v/>
      </c>
      <c r="JS32">
        <f t="shared" si="132"/>
        <v>0</v>
      </c>
      <c r="JT32">
        <f>IF(B32="","",COUNTIF(B$3:B32,"?*"))</f>
        <v>30</v>
      </c>
      <c r="JU32">
        <f>IF(HL32&lt;&gt;1,0,_xlfn.LET(_xlpm.k,MAX(IFERROR(--_xlfn.XLOOKUP(B32,Коды_код,Коды_3L),0),IFERROR(--_xlfn.XLOOKUP(BC32,Коды_код,Коды_3L),0),IFERROR(--_xlfn.XLOOKUP(LEFT(BC32,2),Коды_код,Коды_3L),0)),IF(_xlpm.k&gt;0,_xlpm.k,IF(IFERROR(--LEFT(SUBSTITUTE(JO32,"x","х"),FIND("х",SUBSTITUTE(JO32,"x","х"))-1),3)&gt;3,Каталог!$S$9,1))))</f>
        <v>1</v>
      </c>
      <c r="JV32">
        <f t="shared" si="133"/>
        <v>0</v>
      </c>
      <c r="JW32" t="str">
        <f t="shared" si="134"/>
        <v/>
      </c>
      <c r="JX32" t="str">
        <f t="shared" si="135"/>
        <v/>
      </c>
      <c r="JY32" t="str">
        <f t="shared" si="136"/>
        <v/>
      </c>
      <c r="JZ32">
        <f t="shared" si="137"/>
        <v>1</v>
      </c>
    </row>
    <row r="33" spans="1:286" x14ac:dyDescent="0.3">
      <c r="A33" t="s">
        <v>947</v>
      </c>
      <c r="B33" t="s">
        <v>1211</v>
      </c>
      <c r="C33" t="str">
        <f>Линии[[#This Row],[_авто наименование]]</f>
        <v>Группа освещения, пом. 02</v>
      </c>
      <c r="E33">
        <v>0.1</v>
      </c>
      <c r="F33" t="s">
        <v>1198</v>
      </c>
      <c r="G33" t="str">
        <f>Линии[[#This Row],[_авто автомат]]</f>
        <v>↑ 1P С10А</v>
      </c>
      <c r="H33" t="str">
        <f>Линии[[#This Row],[_авто управление]]</f>
        <v/>
      </c>
      <c r="I33" t="str">
        <f>Линии[[#This Row],[_авто аппараты]]</f>
        <v/>
      </c>
      <c r="J33">
        <f>Линии[[#This Row],[_авто сечение]]</f>
        <v>1.5</v>
      </c>
      <c r="K33">
        <v>6</v>
      </c>
      <c r="L33" t="str">
        <f>Линии[[#This Row],[_авто фаза]]</f>
        <v>L3</v>
      </c>
      <c r="M33" t="str">
        <f>Линии[[#This Row],[_авто клемма]]</f>
        <v>XT7</v>
      </c>
      <c r="N33" t="str">
        <f t="shared" si="0"/>
        <v/>
      </c>
      <c r="O33" s="6" cm="1">
        <f t="array" ref="O33">IF(B33="","",IF(BH33&lt;&gt;"",IFERROR(_xlfn.XLOOKUP(BH33,Щиты[Щит],Щиты[Iр, А]),""),IF(BP33=1,IF(OR(N(_xlfn.XLOOKUP(A33,Щиты[Щит],Щиты[Вводов],1))&lt;=1,LOWER(TRIM(_xlfn.XLOOKUP(A33,Щиты[Щит],Щиты[АВР],"")&amp;""))="да"),IFERROR(_xlfn.XLOOKUP(A33,Щиты[Щит],Щиты[Iр, А]),""),IFERROR(N(BS33)*_xlfn.XLOOKUP(A33,Щиты[Щит],Щиты[Кс итог])/(SQRT(3)*Uн_лин*_xlfn.XLOOKUP(A33,Щиты[Щит],Щиты[cos φ])),"")),IF(BV33=1,IFERROR(BS33*1000/BU33,""),IFERROR(_xlfn.IFS(BX33=1,BS33/((Uн_лин/SQRT(3))*CE33),BX33=3,BS33/(SQRT(3)*Uн_лин*CE33)),"")))))</f>
        <v>0.455802844097073</v>
      </c>
      <c r="P33" s="7">
        <f>IF(B33="","",IFERROR(IF(VLOOKUP(BC33,Потребители_обозначение,4,FALSE)=1,VLOOKUP(BC33,Потребители_обозначение,3,FALSE)*(MAX(1,N(D33))*2-1)+EI33+VLOOKUP(BE33,Этаж_обозначение,3,FALSE)+VLOOKUP(BE33,Этаж_обозначение,4,FALSE),VLOOKUP(BC33,Потребители_обозначение,3,FALSE)*(MAX(1,N(D33))*2-1)+EI33),EI33))</f>
        <v>7</v>
      </c>
      <c r="Q33" s="6">
        <f t="shared" si="1"/>
        <v>1.0960288498727977</v>
      </c>
      <c r="R33" t="str">
        <f t="shared" si="2"/>
        <v>ВВГнг(А)-LS (3х1,5)</v>
      </c>
      <c r="S33" t="str">
        <f>IF(BM33="","",IF(BN33="вводной узел","узел ","")&amp;"л."&amp;(INT((BM33-1)/Столбцов_на_лист)+1)&amp;" / "&amp;(MOD(BM33-1,Столбцов_на_лист)+1))</f>
        <v>л.1 / 10</v>
      </c>
      <c r="T33" s="119" t="str">
        <f t="shared" si="3"/>
        <v/>
      </c>
      <c r="U33" s="7" t="str">
        <f>IF(OR(CG33=0,N(BV33)+N(IB33)=0),"",ROUNDUP(Запас_БП*(N(HY33)+N(HZ33)),0))</f>
        <v/>
      </c>
      <c r="V33" s="119" t="str">
        <f t="shared" si="4"/>
        <v/>
      </c>
      <c r="W33" s="7">
        <f>IFERROR(IF(OR(B33="",BP33=1,BV33=1,NOT(ISNUMBER(EN33)),N(DT33)=0),"",MAX(0,ROUNDDOWN((c_min*(Uн_лин*1000/SQRT(3))/(HT33*N(DT33))-_xlfn.XLOOKUP(A33,Щиты[Щит],Щиты[Zпетли на шинах, Ом]))*EN33/(2*ρкз_Cu),0))),"")</f>
        <v>54</v>
      </c>
      <c r="Y33" t="str">
        <f>Линии[[#This Row],[_авто утечка]]</f>
        <v/>
      </c>
      <c r="Z33">
        <v>1</v>
      </c>
      <c r="AA33">
        <v>230</v>
      </c>
      <c r="AB33" t="str">
        <f>Линии[[#This Row],[_авто группа Кс]]</f>
        <v>Быт</v>
      </c>
      <c r="AK33" t="str">
        <f>Линии[[#This Row],[_авто модуль]]</f>
        <v/>
      </c>
      <c r="AL33" t="s">
        <v>1212</v>
      </c>
      <c r="AN33" t="s">
        <v>11</v>
      </c>
      <c r="AO33">
        <v>3</v>
      </c>
      <c r="AT33">
        <v>1</v>
      </c>
      <c r="BA33" cm="1">
        <f t="array" ref="BA33">ROW()-ROW(Линии[#Headers])</f>
        <v>31</v>
      </c>
      <c r="BC33" s="6" t="str">
        <f t="shared" si="5"/>
        <v>L</v>
      </c>
      <c r="BD33" t="str">
        <f t="shared" si="6"/>
        <v>1.02.2</v>
      </c>
      <c r="BE33" t="str">
        <f t="shared" si="7"/>
        <v>1</v>
      </c>
      <c r="BF33" t="str">
        <f t="shared" si="8"/>
        <v>02.2</v>
      </c>
      <c r="BG33" t="str">
        <f t="shared" si="9"/>
        <v>02</v>
      </c>
      <c r="BH33" t="str">
        <f>IF(X33&lt;&gt;"",X33,IF(AND(B33&lt;&gt;"",B33&lt;&gt;A33,ISNUMBER(_xlfn.XMATCH(B33,Щиты[Щит]))),B33,""))</f>
        <v/>
      </c>
      <c r="BI33" t="str" cm="1">
        <f t="array" ref="BI33">IF(B33="","",IF(BH33&lt;&gt;"","Щит "&amp;BH33,_xlfn.LET(_xlpm.nm,IFERROR(_xlfn.XLOOKUP(BC33,Коды_код,Коды_имя)&amp;"",""),_xlpm.md,IFERROR(N(_xlfn.XLOOKUP(BC33,Коды_код,Коды_режим)),1),_xlpm.ex,IF(Имя_режим="по экспликации",IFERROR(_xlfn.XLOOKUP(BE33&amp;"|"&amp;BG33,Экспликация[Этаж]&amp;"|"&amp;Экспликация[Помещение],Экспликация[Название])&amp;"",""),""),_xlpm.rm,IF(BG33="","",IF(_xlpm.ex&lt;&gt;"",". "&amp;_xlpm.ex&amp;IF(Имя_пом="нет"," ("&amp;BG33&amp;")"," (пом. "&amp;BG33&amp;")"),IF(Имя_пом="нет"," ",", пом. ")&amp;BG33)),IF(_xlpm.nm="","",IF(_xlpm.md=2,_xlpm.nm&amp;" шлейф "&amp;BE33,_xlpm.nm&amp;_xlpm.rm)))))</f>
        <v>Группа освещения, пом. 02</v>
      </c>
      <c r="BJ33" t="str">
        <f t="shared" si="10"/>
        <v>Группа освещения, пом. 02</v>
      </c>
      <c r="BK33">
        <f>IFERROR(_xlfn.XMATCH(A33,Щиты[Щит]),0)</f>
        <v>4</v>
      </c>
      <c r="BL33">
        <f>_xlfn.LET(_xlpm.k,IFERROR(_xlfn.XLOOKUP(A33,Щиты[Щит],Щиты[Мест под вводной узел]),""),IF(_xlpm.k="",Столбцов_на_лист,N(_xlpm.k)))</f>
        <v>3</v>
      </c>
      <c r="BM33">
        <f t="shared" si="11"/>
        <v>10</v>
      </c>
      <c r="BN33" t="str">
        <f t="shared" si="12"/>
        <v>линии</v>
      </c>
      <c r="BO33" s="6">
        <f>IFERROR(N(_xlfn.XLOOKUP(BC33,Коды_код,Коды_квт)),0)</f>
        <v>0</v>
      </c>
      <c r="BP33">
        <f t="shared" si="13"/>
        <v>0</v>
      </c>
      <c r="BQ33" t="str">
        <f>IF(B33="","",IF(BH33&lt;&gt;"",IFERROR(_xlfn.XLOOKUP(BH33,Щиты[Щит],Щиты[Руст, кВт]),0),IF(BP33=1,IF(OR(N(_xlfn.XLOOKUP(A33,Щиты[Щит],Щиты[Вводов],1))&lt;=1,LOWER(TRIM(_xlfn.XLOOKUP(A33,Щиты[Щит],Щиты[АВР],"")&amp;""))="да"),IFERROR(_xlfn.XLOOKUP(A33,Щиты[Щит],Щиты[Руст, кВт]),0),SUMIFS(Линии[_Р для вводов],Линии[Щит],A33,Линии[Источник для режимов],GF33)),IF(BO33&gt;0,ROUND(BO33*MAX(1,N(D33)),3),""))))</f>
        <v/>
      </c>
      <c r="BR33">
        <f t="shared" si="14"/>
        <v>0.1</v>
      </c>
      <c r="BS33" s="6">
        <f>IF(B33="","",IF(BH33&lt;&gt;"",IFERROR(_xlfn.XLOOKUP(BH33,Щиты[Щит],Щиты[Руст, кВт]),0),N(BR33)))</f>
        <v>0.1</v>
      </c>
      <c r="BT33">
        <f>IF(B33="","",IFERROR(IF(VLOOKUP(BC33,Потребители_обозначение,8,FALSE)=0,"",VLOOKUP(BC33,Потребители_обозначение,8,FALSE)),""))</f>
        <v>230</v>
      </c>
      <c r="BU33">
        <f t="shared" si="15"/>
        <v>230</v>
      </c>
      <c r="BV33">
        <f t="shared" si="16"/>
        <v>0</v>
      </c>
      <c r="BW33">
        <f>IF(B33="","",IF(BH33&lt;&gt;"",3,IFERROR(IF(N(VLOOKUP(BC33,Потребители_обозначение,9,FALSE))=0,1,VLOOKUP(BC33,Потребители_обозначение,9,FALSE)),1)))</f>
        <v>1</v>
      </c>
      <c r="BX33">
        <f t="shared" si="17"/>
        <v>1</v>
      </c>
      <c r="BY33" t="str">
        <f>IF(B33="","",_xlfn.LET(_xlpm.bc,IFERROR(IF(VLOOKUP(BC33,Потребители_обозначение,6,FALSE)=0,"",VLOOKUP(BC33,Потребители_обозначение,6,FALSE)&amp;""),""),IF(AND(GA33="да",OR(_xlpm.bc="",_xlpm.bc="мс")),Марка_пож,IF(AND(_xlpm.bc="",BH33&lt;&gt;""),"мс",_xlpm.bc))))</f>
        <v>мс</v>
      </c>
      <c r="BZ33" t="str">
        <f t="shared" si="18"/>
        <v>мс</v>
      </c>
      <c r="CA33">
        <f>IF(B33="","",_xlfn.LET(_xlpm.cc,IFERROR(N(VLOOKUP(BC33,Потребители_обозначение,7,FALSE)),0),IF(_xlpm.cc&gt;0,_xlpm.cc,IF(BZ33="","",IF(BV33=1,2,IF(N(BX33)=3,5,3))))))</f>
        <v>3</v>
      </c>
      <c r="CB33">
        <f t="shared" si="19"/>
        <v>3</v>
      </c>
      <c r="CC33">
        <f>IFERROR(N(VLOOKUP(BC33,Потребители_обозначение,10,FALSE)),0)</f>
        <v>1.5</v>
      </c>
      <c r="CD33">
        <f>IFERROR(VLOOKUP(BC33,Потребители_обозначение,5,FALSE),0)</f>
        <v>1</v>
      </c>
      <c r="CE33" s="6" cm="1">
        <f t="array" ref="CE33">IF(B33="","",IF(BH33&lt;&gt;"",IFERROR(_xlfn.XLOOKUP(BH33,Щиты[Щит],Щиты[cos φ]),0.95),IF(BP33=1,IFERROR(_xlfn.XLOOKUP(A33,Щиты[Щит],Щиты[cos φ]),0.95),IF(ISNUMBER(AD33),AD33,IFERROR(IF(CD33=2,_xlfn.IFS(BX33=3,VLOOKUP(BS33,Справочная_двигатели,8,FALSE),BX33=1,VLOOKUP(BS33,Справочная_двигатели,10,TRUE)),IF(AND(Методика="нормы 2026",FG33="Сил"),0.8,0.95)),0.95)))))</f>
        <v>0.95</v>
      </c>
      <c r="CF33">
        <f t="shared" si="20"/>
        <v>1</v>
      </c>
      <c r="CG33">
        <f t="shared" si="21"/>
        <v>0</v>
      </c>
      <c r="CH33">
        <f t="shared" si="22"/>
        <v>0</v>
      </c>
      <c r="CI33">
        <f>IF(B33="","",IF(BV33=1,IFERROR(BS33/((Uн_лин/SQRT(3))*MAX(0.5,N(CE33))),0),N(O33)))</f>
        <v>0.455802844097073</v>
      </c>
      <c r="CJ33">
        <f t="shared" si="23"/>
        <v>1.1395071102426824</v>
      </c>
      <c r="CK33">
        <f t="shared" si="24"/>
        <v>0.25</v>
      </c>
      <c r="CL33">
        <f t="shared" si="25"/>
        <v>1</v>
      </c>
      <c r="CM33">
        <f t="shared" si="26"/>
        <v>10</v>
      </c>
      <c r="CN33">
        <f t="shared" si="27"/>
        <v>0</v>
      </c>
      <c r="CO33">
        <f>IF(BC33="",0,_xlfn.LET(_xlpm.v,IFERROR(_xlfn.XLOOKUP(B33,Коды_код,Коды_мА),IFERROR(_xlfn.XLOOKUP(BC33,Коды_код,Коды_мА),IFERROR(_xlfn.XLOOKUP(LEFT(BC33,2),Коды_код,Коды_мА),""))),IF(_xlpm.v="да",30,IF(ISNUMBER(_xlpm.v),_xlpm.v,0))))</f>
        <v>0</v>
      </c>
      <c r="CP33" t="str">
        <f t="shared" si="28"/>
        <v/>
      </c>
      <c r="CQ33" t="str">
        <f>_xlfn.LET(_xlpm.k,IFERROR(_xlfn.XLOOKUP(BC33,Коды_код,Коды_утечка)&amp;"",""),IF(_xlpm.k="","дифавтомат",_xlpm.k))</f>
        <v>дифавтомат</v>
      </c>
      <c r="CR33" t="str" cm="1">
        <f t="array" ref="CR33">IF(CG33=0,"",_xlfn.LET(_xlpm.sg,TRIM(_xlfn.TEXTSPLIT(DD33&amp;"",";")),_xlpm.f_,_xlfn._xlws.FILTER(_xlpm.sg,LEFT(_xlpm.sg,3)="УЗО",""),IFERROR(INDEX(_xlpm.f_,1)&amp;"","")))</f>
        <v/>
      </c>
      <c r="CS33" t="str">
        <f t="shared" si="29"/>
        <v/>
      </c>
      <c r="CT33" s="6" t="str" cm="1">
        <f t="array" ref="CT33">IF(CR33="","",_xlfn.LET(_xlpm.tk,_xlfn.TEXTSPLIT(UPPER(CR33)," ",,TRUE),_xlpm.a_,_xlfn._xlws.FILTER(_xlpm.tk,ISNUMBER(--LEFT(_xlpm.tk,1))*((ISNUMBER(SEARCH("А",_xlpm.tk))+ISNUMBER(SEARCH("A",_xlpm.tk)))&gt;0)*NOT(ISNUMBER(SEARCH("МА",_xlpm.tk)))*NOT(ISNUMBER(SEARCH("MA",_xlpm.tk))),""),IFERROR(--SUBSTITUTE(SUBSTITUTE(INDEX(_xlpm.a_,1),"А",""),"A",""),"")))</f>
        <v/>
      </c>
      <c r="CU33" t="str" cm="1">
        <f t="array" ref="CU33">IF(CR33="","",_xlfn.LET(_xlpm.tk,_xlfn.TEXTSPLIT(UPPER(CR33)," ",,TRUE),_xlpm.a_,_xlfn._xlws.FILTER(_xlpm.tk,ISNUMBER(--LEFT(_xlpm.tk,1))*((ISNUMBER(SEARCH("МА",_xlpm.tk))+ISNUMBER(SEARCH("MA",_xlpm.tk)))&gt;0),""),IFERROR(--SUBSTITUTE(SUBSTITUTE(INDEX(_xlpm.a_,1),"МА",""),"MA",""),30)))</f>
        <v/>
      </c>
      <c r="CV33" t="str">
        <f>IF(CS33="","",IFERROR(_xlfn.XLOOKUP(CS33,Линии[_n],Линии[_УЗО, мА]),30))</f>
        <v/>
      </c>
      <c r="CW33">
        <f>IF(CS33="",0,IF(ISNUMBER(SEARCH("4P",IFERROR(_xlfn.XLOOKUP(CS33,Линии[_n],Линии[_УЗО строки])&amp;"",""))),0,1))</f>
        <v>0</v>
      </c>
      <c r="CX33" t="str">
        <f>IF(AND(CS33&lt;&gt;"",CS33=BA33),SUMIFS(Линии[_ток на 230 В],Линии[_блок УЗО],BA33,Линии[Щит],A33),"")</f>
        <v/>
      </c>
      <c r="CY33" t="str">
        <f>IF(AND(CS33&lt;&gt;"",CS33=BA33),SUMIFS(Линии[_ток утечки линии, мА],Линии[_блок УЗО],BA33,Линии[Щит],A33),"")</f>
        <v/>
      </c>
      <c r="CZ33">
        <f t="shared" si="30"/>
        <v>0</v>
      </c>
      <c r="DA33" t="str">
        <f t="shared" si="31"/>
        <v/>
      </c>
      <c r="DB33">
        <f>IF(B33="",0,IFERROR(--_xlfn.XLOOKUP(B33,Коды_код,Коды_минавт),IFERROR(--_xlfn.XLOOKUP(BC33,Коды_код,Коды_минавт),IFERROR(--_xlfn.XLOOKUP(LEFT(BC33,2),Коды_код,Коды_минавт),0))))</f>
        <v>10</v>
      </c>
      <c r="DC33" t="str">
        <f>IF(B33="","",IFERROR(_xlfn.XLOOKUP(BC33,Коды_код,Коды_апп)&amp;"",""))</f>
        <v/>
      </c>
      <c r="DD33" t="str">
        <f t="shared" si="32"/>
        <v/>
      </c>
      <c r="DE33" t="str" cm="1">
        <f t="array" ref="DE33">IF(TRIM(DD33&amp;"")="","",IFERROR(TRIM(INDEX(_xlfn.TEXTSPLIT(DD33&amp;";;;",";"),1)),""))</f>
        <v/>
      </c>
      <c r="DF33" t="str" cm="1">
        <f t="array" ref="DF33">IF(TRIM(DD33&amp;"")="","",IFERROR(TRIM(INDEX(_xlfn.TEXTSPLIT(DD33&amp;";;;",";"),2)),""))</f>
        <v/>
      </c>
      <c r="DG33" t="str" cm="1">
        <f t="array" ref="DG33">IF(TRIM(DD33&amp;"")="","",IFERROR(TRIM(INDEX(_xlfn.TEXTSPLIT(DD33&amp;";;;",";"),3)),""))</f>
        <v/>
      </c>
      <c r="DH33">
        <f t="shared" si="33"/>
        <v>0</v>
      </c>
      <c r="DI33" t="str">
        <f>IF(B33="","",_xlfn.LET(_xlpm.t,LOWER(AZ33&amp;""),IF(ISNUMBER(SEARCH("dim",_xlpm.t)),"DIM",IF(ISNUMBER(SEARCH("dali",_xlpm.t)),"DALI",IF(OR(ISNUMBER(SEARCH("relay",_xlpm.t)),ISNUMBER(SEARCH("реле",_xlpm.t))),"Relay",IF(ISNUMBER(SEARCH("кнопк",_xlpm.t)),"",IFERROR(_xlfn.XLOOKUP(BC33,Коды_код,Коды_упр)&amp;"","")))))))</f>
        <v/>
      </c>
      <c r="DJ33" t="str">
        <f t="shared" si="34"/>
        <v/>
      </c>
      <c r="DK33">
        <f>IF(B33="","",_xlfn.LET(_xlpm.ig,IF(N(CX33)&gt;0,N(CX33),N(CI33)+IF(AJ33="вручную",0,N(CJ33))),_xlpm.n0,IFERROR(VLOOKUP(_xlpm.ig,Автомат_номиналы,2,TRUE),0),_xlpm.mn,MAX(DB33,IF(AJ33="вручную",0,N(CM33))),MAX(_xlpm.n0,_xlpm.mn,IF(DH33=1,Мин_автомат_БП,0))))</f>
        <v>10</v>
      </c>
      <c r="DL33">
        <f t="shared" si="35"/>
        <v>1</v>
      </c>
      <c r="DM33" t="str">
        <f t="shared" si="36"/>
        <v>1P</v>
      </c>
      <c r="DN33" t="str">
        <f>_xlfn.LET(_xlpm.cc,UPPER(TRIM(IFERROR(_xlfn.XLOOKUP(BC33,Коды_код,Коды_хар)&amp;"",""))),IF(OR(_xlpm.cc="B",_xlpm.cc="В"),"B",IF(_xlpm.cc="D","D","С")))</f>
        <v>С</v>
      </c>
      <c r="DO33" t="str">
        <f t="shared" si="37"/>
        <v>↑ 1P С10А</v>
      </c>
      <c r="DP33" t="str">
        <f t="shared" si="38"/>
        <v>↑ 1P С10А</v>
      </c>
      <c r="DQ33" t="str">
        <f t="shared" si="39"/>
        <v/>
      </c>
      <c r="DR33" t="str" cm="1">
        <f t="array" ref="DR33">IF(DQ33="","",_xlfn.LET(_xlpm.t,SUBSTITUTE(SUBSTITUTE(SUBSTITUTE(UPPER(DQ33),"С","C"),"А","A"),"В","B"),_xlpm.tk,_xlfn.TEXTSPLIT(_xlpm.t," "),_xlpm.f,_xlfn._xlws.FILTER(_xlpm.tk,ISNUMBER(--MID(_xlpm.tk,2,1))*ISNUMBER(SEARCH(LEFT(_xlpm.tk,1)&amp;"#","B#C#D#"))*(LEN(_xlpm.tk)&gt;1),""),_xlpm.x,INDEX(_xlpm.f,1),IFERROR(--SUBSTITUTE(MID(_xlpm.x,2,9),"A",""),IFERROR(--SUBSTITUTE(INDEX(_xlfn._xlws.FILTER(_xlpm.tk,ISNUMBER(--SUBSTITUTE(_xlpm.tk,"A","")),""),1),"A",""),""))))</f>
        <v/>
      </c>
      <c r="DS33" t="str">
        <f t="shared" si="40"/>
        <v>ok</v>
      </c>
      <c r="DT33">
        <f t="shared" si="41"/>
        <v>10</v>
      </c>
      <c r="DU33" t="str">
        <f t="shared" si="42"/>
        <v>1P С10А</v>
      </c>
      <c r="DV33">
        <f t="shared" si="43"/>
        <v>0</v>
      </c>
      <c r="DW33">
        <f t="shared" si="44"/>
        <v>0</v>
      </c>
      <c r="DX33">
        <f t="shared" si="45"/>
        <v>0</v>
      </c>
      <c r="DY33" t="str">
        <f t="shared" si="46"/>
        <v/>
      </c>
      <c r="DZ33">
        <f t="shared" si="47"/>
        <v>1</v>
      </c>
      <c r="EA33">
        <f>IF(ISNUMBER(AP33),AP33,К_прокл)</f>
        <v>1</v>
      </c>
      <c r="EB33">
        <f t="shared" si="48"/>
        <v>2</v>
      </c>
      <c r="EC33">
        <f>IFERROR(N(VLOOKUP(BZ33,Кабель_обозначение,3,FALSE)),1)</f>
        <v>1</v>
      </c>
      <c r="ED33">
        <f>IFERROR(N(_xlfn.XLOOKUP(A33,Щиты[Щит],Щиты[ΔU до шин, %])),0)</f>
        <v>1.0560288498727977</v>
      </c>
      <c r="EE33">
        <f>IFERROR(_xlfn.XLOOKUP(A33,Щиты[Щит],Щиты[Zпетли на шинах, Ом]),"")</f>
        <v>0.28247829354840204</v>
      </c>
      <c r="EF33">
        <f>IFERROR(N(_xlfn.XLOOKUP(A33,Щиты[Щит],Щиты[ΔU до шин (подбор), %])),0)</f>
        <v>1.0560288498727977</v>
      </c>
      <c r="EG33">
        <f>IFERROR(_xlfn.XLOOKUP(A33,Щиты[Щит],Щиты[Zпетли на шинах (подбор), Ом]),"")</f>
        <v>0.28247829354840204</v>
      </c>
      <c r="EH33" t="str">
        <f t="shared" si="49"/>
        <v/>
      </c>
      <c r="EI33">
        <f t="shared" si="50"/>
        <v>6</v>
      </c>
      <c r="EJ33">
        <f t="shared" si="51"/>
        <v>2</v>
      </c>
      <c r="EK33">
        <f t="shared" si="52"/>
        <v>0.31</v>
      </c>
      <c r="EL33" s="6">
        <f>IF(B33="","",IF(BV33=1,dU_LED,IF(IFERROR(_xlfn.XLOOKUP(BC33,Коды_код,Коды_уго),"")="Светильник",3,4)+IF(Методика="нормы 2026",MIN(0.5,MAX(0,N(P33)-100)*0.005),0)))</f>
        <v>3</v>
      </c>
      <c r="EM33" cm="1">
        <f t="array" ref="EM33">IF(OR(B33="",BZ33="",EC33&lt;&gt;1),"",_xlfn.LET(_xlpm.sz,Iдоп_S,_xlpm.t_,CHOOSE(EB33,Iдоп_1ж,Iдоп_2ж,Iдоп_3ж)*DZ33*EA33,_xlpm.dcx,BV33=1,_xlpm.inn,IF(_xlpm.dcx,N(O33),N(DT33)),_xlpm.smin,MAX(1.5,CC33),_xlpm.L_,N(P33)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33)/N(BU33)*100,999),IFERROR(N(EJ33)*(_xlpm.rho*_xlpm.L_/_xlpm.sz*N(CE33)+_xlpm.xx*_xlpm.L_*N(EK33)/1000)*N(O33)/((Uн_лин/SQRT(3))*1000)*100,999)),_xlpm.kz,IF(OR(_xlpm.dcx,DW33=1,NOT(ISNUMBER(EG33)),_xlpm.L_=0,_xlpm.inn=0),1,IFERROR(--(c_min*(Uн_лин*1000/SQRT(3))/(EG33+2*ρкз_Cu*_xlpm.L_/_xlpm.sz)&gt;=HT33*_xlpm.inn),0)),_xlpm.ok,IFERROR((_xlpm.sz&gt;=_xlpm.smin)*(_xlpm.t_&gt;=_xlpm.inn)*IF(_xlpm.L_&gt;0,(_xlpm.du_+IF(_xlpm.dcx,0,EF33)&lt;=EL33+0.00001),1)*_xlpm.kz,0),_xlpm.r_,_xlfn._xlws.FILTER(_xlpm.sz,_xlpm.ok,"не подобрано"),INDEX(_xlpm.r_,1)))</f>
        <v>1.5</v>
      </c>
      <c r="EN33">
        <f t="shared" si="53"/>
        <v>1.5</v>
      </c>
      <c r="EO33" cm="1">
        <f t="array" ref="EO33">IF(OR(B33="",BZ33="",EC33&lt;&gt;1),"",_xlfn.LET(_xlpm.sz,Iдоп_S,_xlpm.t_,CHOOSE(EB33,Iдоп_1ж,Iдоп_2ж,Iдоп_3ж)*DZ33*EA33,_xlpm.ok,IFERROR((_xlpm.sz&gt;=MAX(1.5,CC33))*(_xlpm.t_&gt;=N(DT33)),0),_xlpm.r_,_xlfn._xlws.FILTER(_xlpm.sz,_xlpm.ok,""),INDEX(_xlpm.r_,1)))</f>
        <v>1.5</v>
      </c>
      <c r="EP33" s="6" cm="1">
        <f t="array" ref="EP33">IFERROR(ROUNDUP(N(EJ33)*(_xlfn.XLOOKUP(EO33,INDEX(Кабель_сопротивление,0,1),INDEX(Кабель_сопротивление,0,3))*N(P33)/EO33*N(CE33)+_xlfn.XLOOKUP(EO33,INDEX(Кабель_сопротивление,0,1),INDEX(Кабель_сопротивление,0,2))*N(P33)*N(EK33)/1000)*N(O33)/((Uн_лин/SQRT(3))*1000)*100,2),"")</f>
        <v>0.04</v>
      </c>
      <c r="EQ33">
        <f>IFERROR(2*ρкз_Cu*N(P33)/EO33,"")</f>
        <v>0.24546666666666669</v>
      </c>
      <c r="ER33">
        <f>IFERROR(VLOOKUP(EN33,Кабель_сопротивление,3,FALSE),"")</f>
        <v>2.2499999999999999E-2</v>
      </c>
      <c r="ES33">
        <f>IFERROR(VLOOKUP(EN33,Кабель_сопротивление,2,FALSE),"")</f>
        <v>0.11</v>
      </c>
      <c r="ET33">
        <f t="shared" si="54"/>
        <v>3</v>
      </c>
      <c r="EU33">
        <f t="shared" si="55"/>
        <v>0</v>
      </c>
      <c r="EV33">
        <f t="shared" si="56"/>
        <v>9.1150267675137994E-2</v>
      </c>
      <c r="EW33" s="6">
        <f>IFERROR(ROUNDUP(EV33/IF(BV33=1,BU33,(Uн_лин/SQRT(3))*1000)*100,2),"")</f>
        <v>0.04</v>
      </c>
      <c r="EX33" t="str">
        <f>IFERROR(VLOOKUP(BZ33,Кабель_обозначение,2,FALSE),"")</f>
        <v>ВВГнг(А)-LS</v>
      </c>
      <c r="EY33" t="str">
        <f t="shared" si="57"/>
        <v>ВВГнг(А)-LS (3х1,5)</v>
      </c>
      <c r="EZ33" t="str">
        <f t="shared" si="58"/>
        <v>ВВГнг(А)-LS (3х1,5)
L=7-0,04%</v>
      </c>
      <c r="FA33">
        <f>IFERROR(2*ρкз_Cu*P33/EN33,"")</f>
        <v>0.24546666666666669</v>
      </c>
      <c r="FB33">
        <f t="shared" si="59"/>
        <v>8.1666666666666679E-2</v>
      </c>
      <c r="FC33" s="6">
        <f>IFERROR(IF(OR(B33="",BV33=1,NOT(ISNUMBER(EN33)),N(P33)=0),"",_xlfn.XLOOKUP(A33,Щиты[Щит],Щиты[Zпетли на шинах, Ом])+FA33),"")</f>
        <v>0.52794496021506876</v>
      </c>
      <c r="FD33" s="6">
        <f>IF(ISNUMBER(FC33),c_min*(Uн_лин*1000/SQRT(3))/FC33,"")</f>
        <v>415.56055806022601</v>
      </c>
      <c r="FE33" s="6">
        <f>IFERROR(IF(OR(B33="",NOT(ISNUMBER(EN33))),"",1.05*(Uн_лин*1000/SQRT(3))/(_xlfn.XLOOKUP(A33,Щиты[Щит],Щиты[Zmax на шинах, Ом])+FB33)/1000),"")</f>
        <v>1.4539323697361932</v>
      </c>
      <c r="FF33" s="6" t="str">
        <f>IF(B33="","",IF(ISNUMBER(AC33),"Сил",IF(IFERROR(_xlfn.XLOOKUP(BC33,Коды_код,Коды_группа)&amp;"","")="","Быт",_xlfn.XLOOKUP(BC33,Коды_код,Коды_группа)&amp;"")))</f>
        <v>Быт</v>
      </c>
      <c r="FG33" s="6" t="str">
        <f t="shared" si="60"/>
        <v>Быт</v>
      </c>
      <c r="FH33" s="6">
        <f>IF(FG33="Щит","щит",IF(FG33="","",IF(FG33="Быт",IFERROR(_xlfn.XLOOKUP(A33,Щиты[Щит],Щиты[Кс быт]),1),IF(FG33="Сил",IF(ISNUMBER(AC33),AC33,IF(Методика="нормы 2026",IFERROR(_xlfn.XLOOKUP(A33,Щиты[Щит],Щиты[Кс силовых (табл. 7.5)]),1),1)),IF(OR(FG33="Пост",FG33="Отоп"),1,IF(FG33="ВНГ",0.7,0))))))</f>
        <v>0.8</v>
      </c>
      <c r="FI33">
        <f>IF(FG33="","",IF(AND(BP33=1,TRIM(AE33&amp;"")=""),IF(COUNTIFS(Линии[Щит],A33,Линии[Секция (1/2/3)],"&gt;=2")&gt;0,MIN(3,MAX(1,IFERROR(--BD33,1))),1),IFERROR(MIN(3,MAX(1,INT(--AE33))),1)))</f>
        <v>1</v>
      </c>
      <c r="FJ33">
        <f t="shared" si="61"/>
        <v>0.1</v>
      </c>
      <c r="FK33">
        <f t="shared" si="62"/>
        <v>0.1</v>
      </c>
      <c r="FL33">
        <f t="shared" si="63"/>
        <v>0</v>
      </c>
      <c r="FM33">
        <f t="shared" si="64"/>
        <v>0</v>
      </c>
      <c r="FN33">
        <f t="shared" si="65"/>
        <v>0</v>
      </c>
      <c r="FO33">
        <f t="shared" si="66"/>
        <v>0</v>
      </c>
      <c r="FP33">
        <f t="shared" si="67"/>
        <v>0.1</v>
      </c>
      <c r="FQ33">
        <f t="shared" si="68"/>
        <v>0.1</v>
      </c>
      <c r="FR33">
        <f t="shared" si="69"/>
        <v>9.5000000000000001E-2</v>
      </c>
      <c r="FS33">
        <f>IF(CG33=1,IF(AND(CH33=1,CW33=1),0,IF(AND(CS33&lt;&gt;"",CS33=BA33,CW33=1),SUMIFS(Линии[_Р линии, кВт],Линии[_блок УЗО],BA33,Линии[Щит],A33),N(BS33)+IF(AJ33="вручную",0,N(CK33)))),0)</f>
        <v>0</v>
      </c>
      <c r="FT33" t="str">
        <f t="shared" si="70"/>
        <v/>
      </c>
      <c r="FU33" t="str">
        <f>IF(B33="","",IF(CG33=0,IF(BA33=1,"",FW32),IF(AND(CH33=1,CW33=1,CS33&lt;&gt;""),IFERROR(_xlfn.XLOOKUP(CS33,Линии[_n],Линии[_фаза итог]),"L1"),IF(OR(N(DL33)&gt;=3,N(BX33)&gt;=3),"L1,L2,L3",IFERROR(_xlfn.TEXTBEFORE(_xlfn.TEXTAFTER(_xlfn.XLOOKUP(A33,Щиты[Щит],Щиты[_фазы авто]),";"&amp;BA33&amp;":"),";"),"L1")))))</f>
        <v>L3</v>
      </c>
      <c r="FV33" t="str">
        <f t="shared" si="71"/>
        <v>L3</v>
      </c>
      <c r="FW33" t="str">
        <f t="shared" si="72"/>
        <v>L3</v>
      </c>
      <c r="FX33" cm="1">
        <f t="array" ref="FX33">IFERROR(IF(CD33=2,_xlfn.IFS(BX33=3,VLOOKUP(BS33,Справочная_двигатели,3,FALSE),BX33=1,VLOOKUP(BS33,Справочная_двигатели,5,TRUE)),0),0)</f>
        <v>0</v>
      </c>
      <c r="FY33">
        <f>IFERROR(IF(CD33=3,VLOOKUP(BS33,Справочная_ЛЭД,2,TRUE),0),0)</f>
        <v>0</v>
      </c>
      <c r="FZ33" s="6">
        <f t="shared" si="73"/>
        <v>0</v>
      </c>
      <c r="GA33" t="str">
        <f>IF(B33="","",IF(TRIM(AH33&amp;"")&lt;&gt;"",IF(LOWER(TRIM(AH33&amp;""))="да","да","нет"),IF(IFERROR(_xlfn.XLOOKUP(BC33,Коды_код,Коды_пожарная),"")="да","да","нет")))</f>
        <v>нет</v>
      </c>
      <c r="GB33" t="str">
        <f t="shared" si="74"/>
        <v/>
      </c>
      <c r="GC33" t="str">
        <f t="shared" si="75"/>
        <v>основная</v>
      </c>
      <c r="GD33">
        <f>IF(AND(BP33=1,TRIM(AE33&amp;"")=""),IF(COUNTIFS(Линии[Щит],A33,Линии[Секция (1/2/3)],"&gt;=2")&gt;0,MIN(3,MAX(1,IFERROR(--BD33,1))),1),IFERROR(MIN(3,MAX(1,INT(--AE33))),1))</f>
        <v>1</v>
      </c>
      <c r="GE33" t="str" cm="1">
        <f t="array" ref="GE33">IF(B33="","",_xlfn.LET(_xlpm.t,IFERROR(_xlfn.XLOOKUP(1,(Шины[Шина]=GC33)*(((Шины[Щит]=A33)+(Шины[Щит]=""))&gt;0),Шины[Тип]),"")&amp;"",IF(_xlpm.t&lt;&gt;"",_xlpm.t,IF(ISNUMBER(SEARCH("ИБП",GC33)),"ИБП",IF(ISNUMBER(SEARCH("ДГУ",GC33)),"ДГУ","Ввод "&amp;GD33)))))</f>
        <v>Ввод 1</v>
      </c>
      <c r="GF33" t="str">
        <f t="shared" si="76"/>
        <v>Ввод 1</v>
      </c>
      <c r="GG33" t="str">
        <f>IF(BP33=0,"",IF(TRIM(AG33&amp;"")&lt;&gt;"",TRIM(AG33&amp;""),IF(OR(GE33="ИБП",GE33="ДГУ"),"I особая",_xlfn.XLOOKUP(A33,Щиты[Щит],Щиты[Категория шины «Ввод»],"III"))))</f>
        <v/>
      </c>
      <c r="GH33" t="str">
        <f>IF(A33="","",_xlfn.XLOOKUP(A33,Щиты[Щит],Щиты[Путь],""))</f>
        <v>|ВРУ|ЩР-1|</v>
      </c>
      <c r="GI33" t="str">
        <f>IF(B33="","",IF(AI33&lt;&gt;"",AI33,IF(IFERROR(_xlfn.XLOOKUP(BC33,Коды_код,Коды_вид)&amp;"","")="","Прочее",_xlfn.XLOOKUP(BC33,Коды_код,Коды_вид)&amp;"")))</f>
        <v>Рабочее освещение</v>
      </c>
      <c r="GJ33">
        <f>IF(BM33="","",INT((BM33-1)/Столбцов_на_лист)+1)</f>
        <v>1</v>
      </c>
      <c r="GK33" t="str">
        <f t="shared" si="77"/>
        <v>ВВГнг(А)-LS (3х1,5) L=7-0,04%</v>
      </c>
      <c r="GL33">
        <f t="shared" si="78"/>
        <v>0.1</v>
      </c>
      <c r="GM33">
        <f t="shared" si="79"/>
        <v>0.46</v>
      </c>
      <c r="GN33">
        <f t="shared" si="80"/>
        <v>1</v>
      </c>
      <c r="GO33">
        <f t="shared" si="81"/>
        <v>0</v>
      </c>
      <c r="GP33">
        <f t="shared" si="82"/>
        <v>1</v>
      </c>
      <c r="GQ33">
        <f>IF(BM33="","",IF(AND(CG33=1,GP33=1),COUNTIFS(A$3:A33,A33,CG$3:CG33,1,GP$3:GP33,1),IF(OR(OR(BA33=1,A33&lt;&gt;A32),AJ33="вручную",GP33=0),"",IF(BA33=1,"",GR32))))</f>
        <v>4</v>
      </c>
      <c r="GR33">
        <f t="shared" si="83"/>
        <v>4</v>
      </c>
      <c r="GS33">
        <f>IF(B33="","",IFERROR(LOOKUP(INDEX(CHOOSE(EB33,Iдоп_1ж,Iдоп_2ж,Iдоп_3ж),MATCH(EN33,Iдоп_S,0))*DZ33*EA33,{6,10,16,20,25,32,40,50,63,80,100,125,160,200,250,315,400,500,630}),""))</f>
        <v>16</v>
      </c>
      <c r="GT33" t="str">
        <f t="shared" si="84"/>
        <v/>
      </c>
      <c r="GU33" t="str">
        <f t="shared" si="85"/>
        <v>QF4</v>
      </c>
      <c r="GV33" t="str">
        <f t="shared" si="86"/>
        <v/>
      </c>
      <c r="GW33">
        <f t="shared" si="87"/>
        <v>0</v>
      </c>
      <c r="GX33" t="str">
        <f>IF(OR(B33="",DJ33=""),"",IFERROR(_xlfn.XLOOKUP(DJ33,Модули_умолч[Управление],Модули_умолч[Модель])&amp;"",""))</f>
        <v/>
      </c>
      <c r="GY33">
        <f>IF(DJ33="",1,IFERROR(MAX(0,N(_xlfn.XLOOKUP(DJ33,Модули_умолч[Управление],Модули_умолч[Каналов на линию]))),1))</f>
        <v>1</v>
      </c>
      <c r="GZ33" t="str">
        <f t="shared" si="88"/>
        <v/>
      </c>
      <c r="HA33" t="str">
        <f t="shared" si="89"/>
        <v>M</v>
      </c>
      <c r="HB33" t="str">
        <f t="shared" si="90"/>
        <v/>
      </c>
      <c r="HC33">
        <f>IF(HB33="",0,IFERROR(N(VLOOKUP(HB33,Модули_спр,3,FALSE)),0))</f>
        <v>0</v>
      </c>
      <c r="HD33" t="str">
        <f t="shared" si="91"/>
        <v/>
      </c>
      <c r="HE33" t="str">
        <f t="shared" si="92"/>
        <v/>
      </c>
      <c r="HF33" t="str">
        <f>IF(OR(HE33="",HE33="-"),"",IFERROR(VLOOKUP(HE33,Модули_спр,2,FALSE),"R"))</f>
        <v/>
      </c>
      <c r="HG33" t="str">
        <f>IF(HF33="","",HF33&amp;"."&amp;COUNTIFS(A$3:A33,A33,HF$3:HF33,HF33))</f>
        <v/>
      </c>
      <c r="HH33" t="str">
        <f t="shared" si="93"/>
        <v>R.1</v>
      </c>
      <c r="HI33" t="str">
        <f t="shared" si="94"/>
        <v>ZIOMB16V3</v>
      </c>
      <c r="HJ33">
        <f t="shared" si="95"/>
        <v>2</v>
      </c>
      <c r="HK33">
        <f t="shared" si="96"/>
        <v>2</v>
      </c>
      <c r="HL33">
        <f t="shared" si="97"/>
        <v>1</v>
      </c>
      <c r="HM33" t="str">
        <f>IF(HL33=1,"XT"&amp;COUNTIFS(A$3:A33,A33,HL$3:HL33,1),"")</f>
        <v>XT7</v>
      </c>
      <c r="HN33" t="str">
        <f t="shared" si="98"/>
        <v>XT7</v>
      </c>
      <c r="HO33" t="str">
        <f t="shared" si="99"/>
        <v>QF4</v>
      </c>
      <c r="HP33" t="str">
        <f t="shared" si="100"/>
        <v>R.1</v>
      </c>
      <c r="HQ33" t="str">
        <f t="shared" si="101"/>
        <v>ok</v>
      </c>
      <c r="HR33" t="str">
        <f>IF(OR(HJ33="",HH33=""),"",IF(HJ33+MAX(0,GY33-1)&gt;IFERROR(VLOOKUP(HI33,Модули_спр,3,FALSE),99),"ЛИШНИЙ КАНАЛ",IF(AND(AL33&lt;&gt;"=",GY33&gt;0,COUNTIFS(Линии[_модуль гр.],HH33,Линии[Канал (итог)],HJ33,Линии[Канал],"&lt;&gt;=",Линии[Щит],A33)&gt;1),"ДУБЛЬ КАНАЛА","")))</f>
        <v/>
      </c>
      <c r="HS33" s="6">
        <f t="shared" si="102"/>
        <v>41.556055806022599</v>
      </c>
      <c r="HT33">
        <f t="shared" si="103"/>
        <v>10</v>
      </c>
      <c r="HU33" t="str">
        <f t="shared" si="104"/>
        <v>ok</v>
      </c>
      <c r="HV33">
        <f t="shared" si="105"/>
        <v>0.25232113763882924</v>
      </c>
      <c r="HW33">
        <f t="shared" si="106"/>
        <v>0.57580284409707294</v>
      </c>
      <c r="HX33">
        <f t="shared" si="107"/>
        <v>0</v>
      </c>
      <c r="HY33">
        <f t="shared" si="108"/>
        <v>0</v>
      </c>
      <c r="HZ33">
        <f t="shared" si="109"/>
        <v>0</v>
      </c>
      <c r="IA33">
        <f t="shared" si="110"/>
        <v>0</v>
      </c>
      <c r="IB33">
        <f t="shared" si="111"/>
        <v>0</v>
      </c>
      <c r="IC33" t="str">
        <f t="shared" si="112"/>
        <v/>
      </c>
      <c r="ID33" t="str" cm="1">
        <f t="array" ref="ID33">IF(IC33="","",_xlfn.LET(_xlpm.tk,_xlfn.TEXTSPLIT(SUBSTITUTE(SUBSTITUTE(IC33,";"," "),"→"," ")," ",,TRUE),_xlpm.w_,_xlfn._xlws.FILTER(_xlpm.tk,ISNUMBER(--LEFT(_xlpm.tk,1))*((ISNUMBER(SEARCH("W",_xlpm.tk))+ISNUMBER(SEARCH("Вт",_xlpm.tk)))&gt;0),""),IFERROR(--SUBSTITUTE(SUBSTITUTE(UPPER(INDEX(_xlpm.w_,1)),"W",""),"ВТ",""),"")))</f>
        <v/>
      </c>
      <c r="IE33" t="str" cm="1">
        <f t="array" ref="IE33">IF(IC33="","",_xlfn.LET(_xlpm.tk,_xlfn.TEXTSPLIT(SUBSTITUTE(SUBSTITUTE(IC33,";"," "),"→"," ")," ",,TRUE),_xlpm.v_,_xlfn._xlws.FILTER(_xlpm.tk,ISNUMBER(--LEFT(_xlpm.tk,1))*((ISNUMBER(SEARCH("V",_xlpm.tk))+(RIGHT(UPPER(_xlpm.tk))="В"))&gt;0),""),IFERROR(--SUBSTITUTE(SUBSTITUTE(UPPER(INDEX(_xlpm.v_,1)),"V",""),"В",""),"")))</f>
        <v/>
      </c>
      <c r="IF33" s="6" t="str">
        <f>IF(OR(BV33=0,HI33="",HJ33=""),"",IFERROR(N(_xlfn.XLOOKUP(HI33,Каталог!$C$4:$C$500,Каталог!$Q$4:$Q$500)),""))</f>
        <v/>
      </c>
      <c r="IG33" s="6" t="str">
        <f>IF(N(IF33)=0,"",SUMIFS(Линии[Iр, А],Линии[Щит],A33,Линии[_модуль гр.],HH33,Линии[Канал (итог)],HJ33))</f>
        <v/>
      </c>
      <c r="IH33" t="str">
        <f>IF(AND(B33="",HO33=""),"",_xlfn.TEXTJOIN("; ",TRUE,IF(AND(B33&lt;&gt;"",FV33=""),"нет фазы",""),IF(AND(B33&lt;&gt;"",N(GL33)=0,FG33&lt;&gt;"Нет"),"нет мощности",""),IF(AND(HN33&lt;&gt;"",COUNTIFS(Линии[Щит],A33,Линии[Клемма (итог)],HN33)&gt;1),"дубль клеммы "&amp;HN33,""),IF(AND(HQ33&lt;&gt;"",HQ33&lt;&gt;"ok"),HQ33,""),IF(HR33&lt;&gt;"",HR33,""),IF(AND(N(CB33)&gt;=4,N(BX33)=1),CB33&amp;" жил на 1 фазе",""),IF(AND(BC33="R",CG33=1,IF(CS33&lt;&gt;"",N(CV33)&gt;30,OR(N(DA33)=0,N(DA33)&gt;30))),"розетка без дифзащиты до 30 мА",""),IF(AND(CG33=1,N(DA33)&gt;0,ISNUMBER(T33)),IF(T33&gt;N(DA33)/3,"ток утечки "&amp;FIXED(T33,1)&amp;" мА &gt; 1/3 уставки ("&amp;DA33&amp;" мА)",""),""),IF(AND(CH33=1,CS33=""),"«узо»: нет строки с УЗО выше (УЗО 2P 40А 30мА в «Аппаратах»)",""),IF(AND(CS33&lt;&gt;"",CS33=BA33),IF(CT33="","впишите номинал УЗО (УЗО 2P 40А 30мА)",IF(N(CT33)&lt;N(DT33),"УЗО "&amp;CT33&amp;" А &lt; автомата "&amp;DT33&amp;" А перед ним",IF(N(CT33)&lt;N(CX33),"УЗО "&amp;CT33&amp;" А &lt; тока блока "&amp;FIXED(CX33,1)&amp;" А",""))),""),IF(AND(CS33&lt;&gt;"",CS33=BA33,ISNUMBER(CY33)),IF(CY33&gt;N(CV33)/3,"ток утечки блока УЗО "&amp;FIXED(CY33,1)&amp;" мА &gt; 1/3 уставки ("&amp;CV33&amp;" мА)",""),""),IF(AND(CG33=1,N(BV33)+N(IB33)&gt;0,IC33=""),"линии до 50 В без БП: впишите в «Аппараты» (БП 24V 480W)",""),IF(AND(CG33=1,ISNUMBER(ID33),ISNUMBER(U33)),IF(U33&gt;ID33,"БП "&amp;ID33&amp;" Вт &lt; нужно "&amp;U33&amp;" Вт (×"&amp;Запас_БП&amp;")",""),""),IF(AND(CG33=1,ISNUMBER(IE33),N(BV33)=1),IF(IE33&lt;&gt;N(BU33),"БП на "&amp;IE33&amp;" В, линия "&amp;BU33&amp;" В",""),""),IF(AND(N(IF33)&gt;0,N(IG33)&gt;N(IF33)),HH33&amp;" канал "&amp;HJ33&amp;": "&amp;FIXED(IG33,1)&amp;" А &gt; "&amp;IF33&amp;" А",""),IFERROR(IF(AND(ISNUMBER(Q33),Q33&gt;EL33),"потери "&amp;FIXED(Q33,1)&amp;" % &gt; "&amp;EL33&amp;" %",""),""),IFERROR(IF(LEFT(HU33,4)="мало","Iкз мало — отключение &gt; 0,4 с",""),""),IF(AND(B33&lt;&gt;"",BM33=""),"не на схеме",""),IF(AND(CG33=0,B33&lt;&gt;"",FV33&lt;&gt;"",IF(BA33=1,"",FW32)&lt;&gt;"",FV33&lt;&gt;IF(BA33=1,"",FW32)),"фаза не как у автомата группы ("&amp;IF(BA33=1,"",FW32)&amp;")","")))</f>
        <v/>
      </c>
      <c r="II33" s="6" t="str">
        <f>IF(OR(CG33=0,DQ33=""),"",_xlfn.LET(_xlpm.t,IFERROR(_xlfn.XLOOKUP(DQ33,Каталог!$U$4:$U$500,Каталог!$G$4:$G$500),""),_xlpm.k,SEARCH("кА",_xlpm.t),IFERROR(--TRIM(RIGHT(SUBSTITUTE(MID(_xlpm.t,MAX(1,_xlpm.k-4),_xlpm.k-MAX(1,_xlpm.k-4))," ",REPT(" ",9)),5)),"")))</f>
        <v/>
      </c>
      <c r="IJ33" t="str">
        <f>IF(OR(II33="",CG33=0),"",IF(_xlfn.XLOOKUP(A33,Щиты[Щит],Щиты[Iкз max на шинах, кА],"")="","",IF(II33&lt;_xlfn.XLOOKUP(A33,Щиты[Щит],Щиты[Iкз max на шинах, кА]),"Icu "&amp;II33&amp;" кА &lt; Iкз max","ok")))</f>
        <v/>
      </c>
      <c r="IK33" t="str">
        <f t="shared" si="113"/>
        <v/>
      </c>
      <c r="IL33" t="str">
        <f t="shared" si="114"/>
        <v>QF4|R.1 к.2|XT7</v>
      </c>
      <c r="IM33" t="str">
        <f t="shared" si="115"/>
        <v>QF4|R.1 к.2|XT7|кабель ВВГнг(А)-LS (3х1,5) → Группа освещения, пом. 02</v>
      </c>
      <c r="IN33" t="str" cm="1">
        <f t="array" ref="IN33">IF(IM33="","",_xlfn.LET(_xlpm.nd,_xlfn.TEXTSPLIT(IM33,"|"),IF(COLUMNS(_xlpm.nd)&gt;1,A33&amp;"¦"&amp;INDEX(_xlpm.nd,1)&amp;"¦"&amp;INDEX(_xlpm.nd,2),"")))</f>
        <v>ЩР-1¦QF4¦R.1 к.2</v>
      </c>
      <c r="IO33" t="str">
        <f t="shared" si="116"/>
        <v>L.1.02.2¦Группа освещения, пом. 02</v>
      </c>
      <c r="IP33" t="str" cm="1">
        <f t="array" ref="IP33">IF(IM33="","",_xlfn.LET(_xlpm.nd,_xlfn.TEXTSPLIT(IM33,"|"),IF(COLUMNS(_xlpm.nd)&gt;2,A33&amp;"¦"&amp;INDEX(_xlpm.nd,2)&amp;"¦"&amp;INDEX(_xlpm.nd,3),"")))</f>
        <v>ЩР-1¦R.1 к.2¦XT7</v>
      </c>
      <c r="IQ33" t="str">
        <f t="shared" si="117"/>
        <v>L.1.02.2¦Группа освещения, пом. 02</v>
      </c>
      <c r="IR33" t="str" cm="1">
        <f t="array" ref="IR33">IF(IM33="","",_xlfn.LET(_xlpm.nd,_xlfn.TEXTSPLIT(IM33,"|"),IF(COLUMNS(_xlpm.nd)&gt;3,A33&amp;"¦"&amp;INDEX(_xlpm.nd,3)&amp;"¦"&amp;INDEX(_xlpm.nd,4),"")))</f>
        <v>ЩР-1¦XT7¦кабель ВВГнг(А)-LS (3х1,5) → Группа освещения, пом. 02</v>
      </c>
      <c r="IS33" t="str">
        <f t="shared" si="118"/>
        <v>L.1.02.2¦Группа освещения, пом. 02</v>
      </c>
      <c r="IT33" t="str" cm="1">
        <f t="array" ref="IT33">IF(IM33="","",_xlfn.LET(_xlpm.nd,_xlfn.TEXTSPLIT(IM33,"|"),IF(COLUMNS(_xlpm.nd)&gt;4,A33&amp;"¦"&amp;INDEX(_xlpm.nd,4)&amp;"¦"&amp;INDEX(_xlpm.nd,5),"")))</f>
        <v/>
      </c>
      <c r="IU33" t="str">
        <f t="shared" si="119"/>
        <v/>
      </c>
      <c r="IV33" t="str" cm="1">
        <f t="array" ref="IV33">IF(IM33="","",_xlfn.LET(_xlpm.nd,_xlfn.TEXTSPLIT(IM33,"|"),IF(COLUMNS(_xlpm.nd)&gt;5,A33&amp;"¦"&amp;INDEX(_xlpm.nd,5)&amp;"¦"&amp;INDEX(_xlpm.nd,6),"")))</f>
        <v/>
      </c>
      <c r="IW33" t="str">
        <f t="shared" si="120"/>
        <v/>
      </c>
      <c r="IX33" t="str" cm="1">
        <f t="array" ref="IX33">IF(IM33="","",_xlfn.LET(_xlpm.nd,_xlfn.TEXTSPLIT(IM33,"|"),IF(COLUMNS(_xlpm.nd)&gt;6,A33&amp;"¦"&amp;INDEX(_xlpm.nd,6)&amp;"¦"&amp;INDEX(_xlpm.nd,7),"")))</f>
        <v/>
      </c>
      <c r="IY33" t="str">
        <f t="shared" si="121"/>
        <v/>
      </c>
      <c r="IZ33" t="str">
        <f t="shared" si="122"/>
        <v>ZIOMB16V3</v>
      </c>
      <c r="JA33" t="str">
        <f t="shared" si="123"/>
        <v>QF4 → R.1 к.2 → XT7</v>
      </c>
      <c r="JB33">
        <f t="shared" si="124"/>
        <v>0</v>
      </c>
      <c r="JC33">
        <f t="shared" si="125"/>
        <v>0</v>
      </c>
      <c r="JD33" t="str">
        <f t="shared" si="126"/>
        <v>=</v>
      </c>
      <c r="JE33" t="str">
        <f t="shared" si="127"/>
        <v/>
      </c>
      <c r="JF33" t="str">
        <f t="shared" si="128"/>
        <v/>
      </c>
      <c r="JG33" t="str">
        <f t="shared" si="129"/>
        <v/>
      </c>
      <c r="JH33" t="str">
        <f>IF(B33="","",IFERROR(_xlfn.XLOOKUP(B33,Коды_код,Коды_уго),IFERROR(_xlfn.XLOOKUP(BC33,Коды_код,Коды_уго),IFERROR(_xlfn.XLOOKUP(LEFT(BC33,2),Коды_код,Коды_уго),""))))</f>
        <v>Светильник</v>
      </c>
      <c r="JI33" t="str">
        <f>IF(B33="","",IF(OR(JH33="",JH33=0),"BOX",IFERROR(IF(VLOOKUP(JH33,УГО_блоки,3,FALSE)&amp;""&lt;&gt;"",VLOOKUP(JH33,УГО_блоки,3,FALSE),VLOOKUP(JH33,УГО_блоки,2,FALSE)),JH33)))</f>
        <v>LAMP</v>
      </c>
      <c r="JJ33">
        <f t="shared" si="130"/>
        <v>1</v>
      </c>
      <c r="JK33" t="str">
        <f>IF(DQ33="","",IF(COUNTIF(DQ$3:DQ33,DQ33)=1,MAX(JK$2:JK32)+1,""))</f>
        <v/>
      </c>
      <c r="JL33" t="str">
        <f>IF(DE33="","",IF(COUNTIF(DE$3:DE33,DE33)+COUNTIF(DF$2:DF32,DE33)+COUNTIF(DG$2:DG32,DE33)=1,MAX(JL$2:JN32)+1,""))</f>
        <v/>
      </c>
      <c r="JM33" t="str">
        <f>IF(DF33="","",IF(COUNTIF(DE$3:DE33,DF33)+COUNTIF(DF$3:DF33,DF33)+COUNTIF(DG$2:DG32,DF33)=1,MAX(JL$2:JN32,JL33)+1,""))</f>
        <v/>
      </c>
      <c r="JN33" t="str">
        <f>IF(DG33="","",IF(COUNTIF(DE$3:DE33,DG33)+COUNTIF(DF$3:DF33,DG33)+COUNTIF(DG$3:DG33,DG33)=1,MAX(JL$2:JN32,JL33,JM33)+1,""))</f>
        <v/>
      </c>
      <c r="JO33" t="str">
        <f t="shared" si="131"/>
        <v>3х1,5</v>
      </c>
      <c r="JP33" t="str">
        <f>IF(JO33="","",IF(COUNTIF(JO$3:JO33,JO33)=1,MAX(JP$2:JP32)+1,""))</f>
        <v/>
      </c>
      <c r="JQ33" t="str">
        <f>IF(HG33="","",COUNTIF(HG$3:HG33,"?*"))</f>
        <v/>
      </c>
      <c r="JR33" t="str">
        <f>IF(OR(HG33="",HI33=""),"",IF(COUNTIFS(HG$3:HG33,"?*",HI$3:HI33,HI33)=1,MAX(JR$2:JR32)+1,""))</f>
        <v/>
      </c>
      <c r="JS33">
        <f t="shared" si="132"/>
        <v>0</v>
      </c>
      <c r="JT33">
        <f>IF(B33="","",COUNTIF(B$3:B33,"?*"))</f>
        <v>31</v>
      </c>
      <c r="JU33">
        <f>IF(HL33&lt;&gt;1,0,_xlfn.LET(_xlpm.k,MAX(IFERROR(--_xlfn.XLOOKUP(B33,Коды_код,Коды_3L),0),IFERROR(--_xlfn.XLOOKUP(BC33,Коды_код,Коды_3L),0),IFERROR(--_xlfn.XLOOKUP(LEFT(BC33,2),Коды_код,Коды_3L),0)),IF(_xlpm.k&gt;0,_xlpm.k,IF(IFERROR(--LEFT(SUBSTITUTE(JO33,"x","х"),FIND("х",SUBSTITUTE(JO33,"x","х"))-1),3)&gt;3,Каталог!$S$9,1))))</f>
        <v>1</v>
      </c>
      <c r="JV33">
        <f t="shared" si="133"/>
        <v>0</v>
      </c>
      <c r="JW33" t="str">
        <f t="shared" si="134"/>
        <v/>
      </c>
      <c r="JX33" t="str">
        <f t="shared" si="135"/>
        <v/>
      </c>
      <c r="JY33" t="str">
        <f t="shared" si="136"/>
        <v/>
      </c>
      <c r="JZ33">
        <f t="shared" si="137"/>
        <v>1</v>
      </c>
    </row>
    <row r="34" spans="1:286" x14ac:dyDescent="0.3">
      <c r="A34" t="s">
        <v>947</v>
      </c>
      <c r="C34" t="str">
        <f>Линии[[#This Row],[_авто наименование]]</f>
        <v/>
      </c>
      <c r="E34" t="str">
        <f>Линии[[#This Row],[_авто Р]]</f>
        <v/>
      </c>
      <c r="G34" t="str">
        <f>Линии[[#This Row],[_авто автомат]]</f>
        <v/>
      </c>
      <c r="H34" t="str">
        <f>Линии[[#This Row],[_авто управление]]</f>
        <v/>
      </c>
      <c r="I34" t="str">
        <f>Линии[[#This Row],[_авто аппараты]]</f>
        <v/>
      </c>
      <c r="J34" t="str">
        <f>Линии[[#This Row],[_авто сечение]]</f>
        <v/>
      </c>
      <c r="K34" t="str">
        <f>Линии[[#This Row],[_авто длина по плану]]</f>
        <v/>
      </c>
      <c r="L34" t="str">
        <f>Линии[[#This Row],[_авто фаза]]</f>
        <v/>
      </c>
      <c r="M34" t="str">
        <f>Линии[[#This Row],[_авто клемма]]</f>
        <v/>
      </c>
      <c r="N34" t="str">
        <f t="shared" si="0"/>
        <v/>
      </c>
      <c r="O34" s="6" t="str" cm="1">
        <f t="array" ref="O34">IF(B34="","",IF(BH34&lt;&gt;"",IFERROR(_xlfn.XLOOKUP(BH34,Щиты[Щит],Щиты[Iр, А]),""),IF(BP34=1,IF(OR(N(_xlfn.XLOOKUP(A34,Щиты[Щит],Щиты[Вводов],1))&lt;=1,LOWER(TRIM(_xlfn.XLOOKUP(A34,Щиты[Щит],Щиты[АВР],"")&amp;""))="да"),IFERROR(_xlfn.XLOOKUP(A34,Щиты[Щит],Щиты[Iр, А]),""),IFERROR(N(BS34)*_xlfn.XLOOKUP(A34,Щиты[Щит],Щиты[Кс итог])/(SQRT(3)*Uн_лин*_xlfn.XLOOKUP(A34,Щиты[Щит],Щиты[cos φ])),"")),IF(BV34=1,IFERROR(BS34*1000/BU34,""),IFERROR(_xlfn.IFS(BX34=1,BS34/((Uн_лин/SQRT(3))*CE34),BX34=3,BS34/(SQRT(3)*Uн_лин*CE34)),"")))))</f>
        <v/>
      </c>
      <c r="P34" s="7" t="str">
        <f>IF(B34="","",IFERROR(IF(VLOOKUP(BC34,Потребители_обозначение,4,FALSE)=1,VLOOKUP(BC34,Потребители_обозначение,3,FALSE)*(MAX(1,N(D34))*2-1)+EI34+VLOOKUP(BE34,Этаж_обозначение,3,FALSE)+VLOOKUP(BE34,Этаж_обозначение,4,FALSE),VLOOKUP(BC34,Потребители_обозначение,3,FALSE)*(MAX(1,N(D34))*2-1)+EI34),EI34))</f>
        <v/>
      </c>
      <c r="Q34" s="6" t="str">
        <f t="shared" si="1"/>
        <v/>
      </c>
      <c r="R34" t="str">
        <f t="shared" si="2"/>
        <v/>
      </c>
      <c r="S34" t="str">
        <f>IF(BM34="","",IF(BN34="вводной узел","узел ","")&amp;"л."&amp;(INT((BM34-1)/Столбцов_на_лист)+1)&amp;" / "&amp;(MOD(BM34-1,Столбцов_на_лист)+1))</f>
        <v>л.1 / 11</v>
      </c>
      <c r="T34" s="119" t="str">
        <f t="shared" si="3"/>
        <v/>
      </c>
      <c r="U34" s="7" t="str">
        <f>IF(OR(CG34=0,N(BV34)+N(IB34)=0),"",ROUNDUP(Запас_БП*(N(HY34)+N(HZ34)),0))</f>
        <v/>
      </c>
      <c r="V34" s="119" t="str">
        <f t="shared" si="4"/>
        <v/>
      </c>
      <c r="W34" s="7" t="str">
        <f>IFERROR(IF(OR(B34="",BP34=1,BV34=1,NOT(ISNUMBER(EN34)),N(DT34)=0),"",MAX(0,ROUNDDOWN((c_min*(Uн_лин*1000/SQRT(3))/(HT34*N(DT34))-_xlfn.XLOOKUP(A34,Щиты[Щит],Щиты[Zпетли на шинах, Ом]))*EN34/(2*ρкз_Cu),0))),"")</f>
        <v/>
      </c>
      <c r="Y34" t="str">
        <f>Линии[[#This Row],[_авто утечка]]</f>
        <v/>
      </c>
      <c r="Z34" t="str">
        <f>Линии[[#This Row],[_авто фаз]]</f>
        <v/>
      </c>
      <c r="AA34" t="str">
        <f>Линии[[#This Row],[_авто U]]</f>
        <v/>
      </c>
      <c r="AB34" t="str">
        <f>Линии[[#This Row],[_авто группа Кс]]</f>
        <v/>
      </c>
      <c r="AK34" t="str">
        <f>Линии[[#This Row],[_авто модуль]]</f>
        <v/>
      </c>
      <c r="AL34" t="s">
        <v>1213</v>
      </c>
      <c r="AN34" t="str">
        <f>Линии[[#This Row],[_авто марка]]</f>
        <v/>
      </c>
      <c r="AO34" t="str">
        <f>Линии[[#This Row],[_авто жил]]</f>
        <v/>
      </c>
      <c r="BA34" cm="1">
        <f t="array" ref="BA34">ROW()-ROW(Линии[#Headers])</f>
        <v>32</v>
      </c>
      <c r="BC34" s="6" t="str">
        <f t="shared" si="5"/>
        <v/>
      </c>
      <c r="BD34" t="str">
        <f t="shared" si="6"/>
        <v/>
      </c>
      <c r="BE34" t="str">
        <f t="shared" si="7"/>
        <v/>
      </c>
      <c r="BF34" t="str">
        <f t="shared" si="8"/>
        <v/>
      </c>
      <c r="BG34" t="str">
        <f t="shared" si="9"/>
        <v/>
      </c>
      <c r="BH34" t="str">
        <f>IF(X34&lt;&gt;"",X34,IF(AND(B34&lt;&gt;"",B34&lt;&gt;A34,ISNUMBER(_xlfn.XMATCH(B34,Щиты[Щит]))),B34,""))</f>
        <v/>
      </c>
      <c r="BI34" t="str" cm="1">
        <f t="array" ref="BI34">IF(B34="","",IF(BH34&lt;&gt;"","Щит "&amp;BH34,_xlfn.LET(_xlpm.nm,IFERROR(_xlfn.XLOOKUP(BC34,Коды_код,Коды_имя)&amp;"",""),_xlpm.md,IFERROR(N(_xlfn.XLOOKUP(BC34,Коды_код,Коды_режим)),1),_xlpm.ex,IF(Имя_режим="по экспликации",IFERROR(_xlfn.XLOOKUP(BE34&amp;"|"&amp;BG34,Экспликация[Этаж]&amp;"|"&amp;Экспликация[Помещение],Экспликация[Название])&amp;"",""),""),_xlpm.rm,IF(BG34="","",IF(_xlpm.ex&lt;&gt;"",". "&amp;_xlpm.ex&amp;IF(Имя_пом="нет"," ("&amp;BG34&amp;")"," (пом. "&amp;BG34&amp;")"),IF(Имя_пом="нет"," ",", пом. ")&amp;BG34)),IF(_xlpm.nm="","",IF(_xlpm.md=2,_xlpm.nm&amp;" шлейф "&amp;BE34,_xlpm.nm&amp;_xlpm.rm)))))</f>
        <v/>
      </c>
      <c r="BJ34" t="str">
        <f t="shared" si="10"/>
        <v/>
      </c>
      <c r="BK34">
        <f>IFERROR(_xlfn.XMATCH(A34,Щиты[Щит]),0)</f>
        <v>4</v>
      </c>
      <c r="BL34">
        <f>_xlfn.LET(_xlpm.k,IFERROR(_xlfn.XLOOKUP(A34,Щиты[Щит],Щиты[Мест под вводной узел]),""),IF(_xlpm.k="",Столбцов_на_лист,N(_xlpm.k)))</f>
        <v>3</v>
      </c>
      <c r="BM34">
        <f t="shared" si="11"/>
        <v>11</v>
      </c>
      <c r="BN34" t="str">
        <f t="shared" si="12"/>
        <v>линии</v>
      </c>
      <c r="BO34" s="6">
        <f>IFERROR(N(_xlfn.XLOOKUP(BC34,Коды_код,Коды_квт)),0)</f>
        <v>0</v>
      </c>
      <c r="BP34">
        <f t="shared" si="13"/>
        <v>0</v>
      </c>
      <c r="BQ34" t="str">
        <f>IF(B34="","",IF(BH34&lt;&gt;"",IFERROR(_xlfn.XLOOKUP(BH34,Щиты[Щит],Щиты[Руст, кВт]),0),IF(BP34=1,IF(OR(N(_xlfn.XLOOKUP(A34,Щиты[Щит],Щиты[Вводов],1))&lt;=1,LOWER(TRIM(_xlfn.XLOOKUP(A34,Щиты[Щит],Щиты[АВР],"")&amp;""))="да"),IFERROR(_xlfn.XLOOKUP(A34,Щиты[Щит],Щиты[Руст, кВт]),0),SUMIFS(Линии[_Р для вводов],Линии[Щит],A34,Линии[Источник для режимов],GF34)),IF(BO34&gt;0,ROUND(BO34*MAX(1,N(D34)),3),""))))</f>
        <v/>
      </c>
      <c r="BR34" t="str">
        <f t="shared" si="14"/>
        <v/>
      </c>
      <c r="BS34" s="6" t="str">
        <f>IF(B34="","",IF(BH34&lt;&gt;"",IFERROR(_xlfn.XLOOKUP(BH34,Щиты[Щит],Щиты[Руст, кВт]),0),N(BR34)))</f>
        <v/>
      </c>
      <c r="BT34" t="str">
        <f>IF(B34="","",IFERROR(IF(VLOOKUP(BC34,Потребители_обозначение,8,FALSE)=0,"",VLOOKUP(BC34,Потребители_обозначение,8,FALSE)),""))</f>
        <v/>
      </c>
      <c r="BU34" t="str">
        <f t="shared" si="15"/>
        <v/>
      </c>
      <c r="BV34">
        <f t="shared" si="16"/>
        <v>0</v>
      </c>
      <c r="BW34" t="str">
        <f>IF(B34="","",IF(BH34&lt;&gt;"",3,IFERROR(IF(N(VLOOKUP(BC34,Потребители_обозначение,9,FALSE))=0,1,VLOOKUP(BC34,Потребители_обозначение,9,FALSE)),1)))</f>
        <v/>
      </c>
      <c r="BX34" t="str">
        <f t="shared" si="17"/>
        <v/>
      </c>
      <c r="BY34" t="str">
        <f>IF(B34="","",_xlfn.LET(_xlpm.bc,IFERROR(IF(VLOOKUP(BC34,Потребители_обозначение,6,FALSE)=0,"",VLOOKUP(BC34,Потребители_обозначение,6,FALSE)&amp;""),""),IF(AND(GA34="да",OR(_xlpm.bc="",_xlpm.bc="мс")),Марка_пож,IF(AND(_xlpm.bc="",BH34&lt;&gt;""),"мс",_xlpm.bc))))</f>
        <v/>
      </c>
      <c r="BZ34" t="str">
        <f t="shared" si="18"/>
        <v/>
      </c>
      <c r="CA34" t="str">
        <f>IF(B34="","",_xlfn.LET(_xlpm.cc,IFERROR(N(VLOOKUP(BC34,Потребители_обозначение,7,FALSE)),0),IF(_xlpm.cc&gt;0,_xlpm.cc,IF(BZ34="","",IF(BV34=1,2,IF(N(BX34)=3,5,3))))))</f>
        <v/>
      </c>
      <c r="CB34" t="str">
        <f t="shared" si="19"/>
        <v/>
      </c>
      <c r="CC34">
        <f>IFERROR(N(VLOOKUP(BC34,Потребители_обозначение,10,FALSE)),0)</f>
        <v>0</v>
      </c>
      <c r="CD34">
        <f>IFERROR(VLOOKUP(BC34,Потребители_обозначение,5,FALSE),0)</f>
        <v>0</v>
      </c>
      <c r="CE34" s="6" t="str" cm="1">
        <f t="array" ref="CE34">IF(B34="","",IF(BH34&lt;&gt;"",IFERROR(_xlfn.XLOOKUP(BH34,Щиты[Щит],Щиты[cos φ]),0.95),IF(BP34=1,IFERROR(_xlfn.XLOOKUP(A34,Щиты[Щит],Щиты[cos φ]),0.95),IF(ISNUMBER(AD34),AD34,IFERROR(IF(CD34=2,_xlfn.IFS(BX34=3,VLOOKUP(BS34,Справочная_двигатели,8,FALSE),BX34=1,VLOOKUP(BS34,Справочная_двигатели,10,TRUE)),IF(AND(Методика="нормы 2026",FG34="Сил"),0.8,0.95)),0.95)))))</f>
        <v/>
      </c>
      <c r="CF34">
        <f t="shared" si="20"/>
        <v>0</v>
      </c>
      <c r="CG34">
        <f t="shared" si="21"/>
        <v>0</v>
      </c>
      <c r="CH34">
        <f t="shared" si="22"/>
        <v>0</v>
      </c>
      <c r="CI34" t="str">
        <f>IF(B34="","",IF(BV34=1,IFERROR(BS34/((Uн_лин/SQRT(3))*MAX(0.5,N(CE34))),0),N(O34)))</f>
        <v/>
      </c>
      <c r="CJ34">
        <f t="shared" si="23"/>
        <v>1.1395071102426824</v>
      </c>
      <c r="CK34">
        <f t="shared" si="24"/>
        <v>0.25</v>
      </c>
      <c r="CL34">
        <f t="shared" si="25"/>
        <v>1</v>
      </c>
      <c r="CM34">
        <f t="shared" si="26"/>
        <v>10</v>
      </c>
      <c r="CN34">
        <f t="shared" si="27"/>
        <v>0</v>
      </c>
      <c r="CO34">
        <f>IF(BC34="",0,_xlfn.LET(_xlpm.v,IFERROR(_xlfn.XLOOKUP(B34,Коды_код,Коды_мА),IFERROR(_xlfn.XLOOKUP(BC34,Коды_код,Коды_мА),IFERROR(_xlfn.XLOOKUP(LEFT(BC34,2),Коды_код,Коды_мА),""))),IF(_xlpm.v="да",30,IF(ISNUMBER(_xlpm.v),_xlpm.v,0))))</f>
        <v>0</v>
      </c>
      <c r="CP34" t="str">
        <f t="shared" si="28"/>
        <v/>
      </c>
      <c r="CQ34" t="str">
        <f>_xlfn.LET(_xlpm.k,IFERROR(_xlfn.XLOOKUP(BC34,Коды_код,Коды_утечка)&amp;"",""),IF(_xlpm.k="","дифавтомат",_xlpm.k))</f>
        <v>дифавтомат</v>
      </c>
      <c r="CR34" t="str" cm="1">
        <f t="array" ref="CR34">IF(CG34=0,"",_xlfn.LET(_xlpm.sg,TRIM(_xlfn.TEXTSPLIT(DD34&amp;"",";")),_xlpm.f_,_xlfn._xlws.FILTER(_xlpm.sg,LEFT(_xlpm.sg,3)="УЗО",""),IFERROR(INDEX(_xlpm.f_,1)&amp;"","")))</f>
        <v/>
      </c>
      <c r="CS34" t="str">
        <f t="shared" si="29"/>
        <v/>
      </c>
      <c r="CT34" s="6" t="str" cm="1">
        <f t="array" ref="CT34">IF(CR34="","",_xlfn.LET(_xlpm.tk,_xlfn.TEXTSPLIT(UPPER(CR34)," ",,TRUE),_xlpm.a_,_xlfn._xlws.FILTER(_xlpm.tk,ISNUMBER(--LEFT(_xlpm.tk,1))*((ISNUMBER(SEARCH("А",_xlpm.tk))+ISNUMBER(SEARCH("A",_xlpm.tk)))&gt;0)*NOT(ISNUMBER(SEARCH("МА",_xlpm.tk)))*NOT(ISNUMBER(SEARCH("MA",_xlpm.tk))),""),IFERROR(--SUBSTITUTE(SUBSTITUTE(INDEX(_xlpm.a_,1),"А",""),"A",""),"")))</f>
        <v/>
      </c>
      <c r="CU34" t="str" cm="1">
        <f t="array" ref="CU34">IF(CR34="","",_xlfn.LET(_xlpm.tk,_xlfn.TEXTSPLIT(UPPER(CR34)," ",,TRUE),_xlpm.a_,_xlfn._xlws.FILTER(_xlpm.tk,ISNUMBER(--LEFT(_xlpm.tk,1))*((ISNUMBER(SEARCH("МА",_xlpm.tk))+ISNUMBER(SEARCH("MA",_xlpm.tk)))&gt;0),""),IFERROR(--SUBSTITUTE(SUBSTITUTE(INDEX(_xlpm.a_,1),"МА",""),"MA",""),30)))</f>
        <v/>
      </c>
      <c r="CV34" t="str">
        <f>IF(CS34="","",IFERROR(_xlfn.XLOOKUP(CS34,Линии[_n],Линии[_УЗО, мА]),30))</f>
        <v/>
      </c>
      <c r="CW34">
        <f>IF(CS34="",0,IF(ISNUMBER(SEARCH("4P",IFERROR(_xlfn.XLOOKUP(CS34,Линии[_n],Линии[_УЗО строки])&amp;"",""))),0,1))</f>
        <v>0</v>
      </c>
      <c r="CX34" t="str">
        <f>IF(AND(CS34&lt;&gt;"",CS34=BA34),SUMIFS(Линии[_ток на 230 В],Линии[_блок УЗО],BA34,Линии[Щит],A34),"")</f>
        <v/>
      </c>
      <c r="CY34" t="str">
        <f>IF(AND(CS34&lt;&gt;"",CS34=BA34),SUMIFS(Линии[_ток утечки линии, мА],Линии[_блок УЗО],BA34,Линии[Щит],A34),"")</f>
        <v/>
      </c>
      <c r="CZ34">
        <f t="shared" si="30"/>
        <v>0</v>
      </c>
      <c r="DA34" t="str">
        <f t="shared" si="31"/>
        <v/>
      </c>
      <c r="DB34">
        <f>IF(B34="",0,IFERROR(--_xlfn.XLOOKUP(B34,Коды_код,Коды_минавт),IFERROR(--_xlfn.XLOOKUP(BC34,Коды_код,Коды_минавт),IFERROR(--_xlfn.XLOOKUP(LEFT(BC34,2),Коды_код,Коды_минавт),0))))</f>
        <v>0</v>
      </c>
      <c r="DC34" t="str">
        <f>IF(B34="","",IFERROR(_xlfn.XLOOKUP(BC34,Коды_код,Коды_апп)&amp;"",""))</f>
        <v/>
      </c>
      <c r="DD34" t="str">
        <f t="shared" si="32"/>
        <v/>
      </c>
      <c r="DE34" t="str" cm="1">
        <f t="array" ref="DE34">IF(TRIM(DD34&amp;"")="","",IFERROR(TRIM(INDEX(_xlfn.TEXTSPLIT(DD34&amp;";;;",";"),1)),""))</f>
        <v/>
      </c>
      <c r="DF34" t="str" cm="1">
        <f t="array" ref="DF34">IF(TRIM(DD34&amp;"")="","",IFERROR(TRIM(INDEX(_xlfn.TEXTSPLIT(DD34&amp;";;;",";"),2)),""))</f>
        <v/>
      </c>
      <c r="DG34" t="str" cm="1">
        <f t="array" ref="DG34">IF(TRIM(DD34&amp;"")="","",IFERROR(TRIM(INDEX(_xlfn.TEXTSPLIT(DD34&amp;";;;",";"),3)),""))</f>
        <v/>
      </c>
      <c r="DH34">
        <f t="shared" si="33"/>
        <v>0</v>
      </c>
      <c r="DI34" t="str">
        <f>IF(B34="","",_xlfn.LET(_xlpm.t,LOWER(AZ34&amp;""),IF(ISNUMBER(SEARCH("dim",_xlpm.t)),"DIM",IF(ISNUMBER(SEARCH("dali",_xlpm.t)),"DALI",IF(OR(ISNUMBER(SEARCH("relay",_xlpm.t)),ISNUMBER(SEARCH("реле",_xlpm.t))),"Relay",IF(ISNUMBER(SEARCH("кнопк",_xlpm.t)),"",IFERROR(_xlfn.XLOOKUP(BC34,Коды_код,Коды_упр)&amp;"","")))))))</f>
        <v/>
      </c>
      <c r="DJ34" t="str">
        <f t="shared" si="34"/>
        <v/>
      </c>
      <c r="DK34" t="str">
        <f>IF(B34="","",_xlfn.LET(_xlpm.ig,IF(N(CX34)&gt;0,N(CX34),N(CI34)+IF(AJ34="вручную",0,N(CJ34))),_xlpm.n0,IFERROR(VLOOKUP(_xlpm.ig,Автомат_номиналы,2,TRUE),0),_xlpm.mn,MAX(DB34,IF(AJ34="вручную",0,N(CM34))),MAX(_xlpm.n0,_xlpm.mn,IF(DH34=1,Мин_автомат_БП,0))))</f>
        <v/>
      </c>
      <c r="DL34" t="str">
        <f t="shared" si="35"/>
        <v/>
      </c>
      <c r="DM34" t="str">
        <f t="shared" si="36"/>
        <v/>
      </c>
      <c r="DN34" t="str">
        <f>_xlfn.LET(_xlpm.cc,UPPER(TRIM(IFERROR(_xlfn.XLOOKUP(BC34,Коды_код,Коды_хар)&amp;"",""))),IF(OR(_xlpm.cc="B",_xlpm.cc="В"),"B",IF(_xlpm.cc="D","D","С")))</f>
        <v>С</v>
      </c>
      <c r="DO34" t="str">
        <f t="shared" si="37"/>
        <v/>
      </c>
      <c r="DP34" t="str">
        <f t="shared" si="38"/>
        <v/>
      </c>
      <c r="DQ34" t="str">
        <f t="shared" si="39"/>
        <v/>
      </c>
      <c r="DR34" t="str" cm="1">
        <f t="array" ref="DR34">IF(DQ34="","",_xlfn.LET(_xlpm.t,SUBSTITUTE(SUBSTITUTE(SUBSTITUTE(UPPER(DQ34),"С","C"),"А","A"),"В","B"),_xlpm.tk,_xlfn.TEXTSPLIT(_xlpm.t," "),_xlpm.f,_xlfn._xlws.FILTER(_xlpm.tk,ISNUMBER(--MID(_xlpm.tk,2,1))*ISNUMBER(SEARCH(LEFT(_xlpm.tk,1)&amp;"#","B#C#D#"))*(LEN(_xlpm.tk)&gt;1),""),_xlpm.x,INDEX(_xlpm.f,1),IFERROR(--SUBSTITUTE(MID(_xlpm.x,2,9),"A",""),IFERROR(--SUBSTITUTE(INDEX(_xlfn._xlws.FILTER(_xlpm.tk,ISNUMBER(--SUBSTITUTE(_xlpm.tk,"A","")),""),1),"A",""),""))))</f>
        <v/>
      </c>
      <c r="DS34" t="str">
        <f t="shared" si="40"/>
        <v>ok</v>
      </c>
      <c r="DT34">
        <f t="shared" si="41"/>
        <v>10</v>
      </c>
      <c r="DU34" t="str">
        <f t="shared" si="42"/>
        <v>1P С10А</v>
      </c>
      <c r="DV34">
        <f t="shared" si="43"/>
        <v>0</v>
      </c>
      <c r="DW34">
        <f t="shared" si="44"/>
        <v>0</v>
      </c>
      <c r="DX34">
        <f t="shared" si="45"/>
        <v>0</v>
      </c>
      <c r="DY34" t="str">
        <f t="shared" si="46"/>
        <v/>
      </c>
      <c r="DZ34">
        <f t="shared" si="47"/>
        <v>1</v>
      </c>
      <c r="EA34">
        <f>IF(ISNUMBER(AP34),AP34,К_прокл)</f>
        <v>1</v>
      </c>
      <c r="EB34">
        <f t="shared" si="48"/>
        <v>3</v>
      </c>
      <c r="EC34">
        <f>IFERROR(N(VLOOKUP(BZ34,Кабель_обозначение,3,FALSE)),1)</f>
        <v>1</v>
      </c>
      <c r="ED34">
        <f>IFERROR(N(_xlfn.XLOOKUP(A34,Щиты[Щит],Щиты[ΔU до шин, %])),0)</f>
        <v>1.0560288498727977</v>
      </c>
      <c r="EE34">
        <f>IFERROR(_xlfn.XLOOKUP(A34,Щиты[Щит],Щиты[Zпетли на шинах, Ом]),"")</f>
        <v>0.28247829354840204</v>
      </c>
      <c r="EF34">
        <f>IFERROR(N(_xlfn.XLOOKUP(A34,Щиты[Щит],Щиты[ΔU до шин (подбор), %])),0)</f>
        <v>1.0560288498727977</v>
      </c>
      <c r="EG34">
        <f>IFERROR(_xlfn.XLOOKUP(A34,Щиты[Щит],Щиты[Zпетли на шинах (подбор), Ом]),"")</f>
        <v>0.28247829354840204</v>
      </c>
      <c r="EH34" t="str">
        <f t="shared" si="49"/>
        <v/>
      </c>
      <c r="EI34" t="str">
        <f t="shared" si="50"/>
        <v/>
      </c>
      <c r="EJ34" t="str">
        <f t="shared" si="51"/>
        <v/>
      </c>
      <c r="EK34" t="str">
        <f t="shared" si="52"/>
        <v/>
      </c>
      <c r="EL34" s="6" t="str">
        <f>IF(B34="","",IF(BV34=1,dU_LED,IF(IFERROR(_xlfn.XLOOKUP(BC34,Коды_код,Коды_уго),"")="Светильник",3,4)+IF(Методика="нормы 2026",MIN(0.5,MAX(0,N(P34)-100)*0.005),0)))</f>
        <v/>
      </c>
      <c r="EM34" t="str" cm="1">
        <f t="array" ref="EM34">IF(OR(B34="",BZ34="",EC34&lt;&gt;1),"",_xlfn.LET(_xlpm.sz,Iдоп_S,_xlpm.t_,CHOOSE(EB34,Iдоп_1ж,Iдоп_2ж,Iдоп_3ж)*DZ34*EA34,_xlpm.dcx,BV34=1,_xlpm.inn,IF(_xlpm.dcx,N(O34),N(DT34)),_xlpm.smin,MAX(1.5,CC34),_xlpm.L_,N(P34)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34)/N(BU34)*100,999),IFERROR(N(EJ34)*(_xlpm.rho*_xlpm.L_/_xlpm.sz*N(CE34)+_xlpm.xx*_xlpm.L_*N(EK34)/1000)*N(O34)/((Uн_лин/SQRT(3))*1000)*100,999)),_xlpm.kz,IF(OR(_xlpm.dcx,DW34=1,NOT(ISNUMBER(EG34)),_xlpm.L_=0,_xlpm.inn=0),1,IFERROR(--(c_min*(Uн_лин*1000/SQRT(3))/(EG34+2*ρкз_Cu*_xlpm.L_/_xlpm.sz)&gt;=HT34*_xlpm.inn),0)),_xlpm.ok,IFERROR((_xlpm.sz&gt;=_xlpm.smin)*(_xlpm.t_&gt;=_xlpm.inn)*IF(_xlpm.L_&gt;0,(_xlpm.du_+IF(_xlpm.dcx,0,EF34)&lt;=EL34+0.00001),1)*_xlpm.kz,0),_xlpm.r_,_xlfn._xlws.FILTER(_xlpm.sz,_xlpm.ok,"не подобрано"),INDEX(_xlpm.r_,1)))</f>
        <v/>
      </c>
      <c r="EN34" t="str">
        <f t="shared" si="53"/>
        <v/>
      </c>
      <c r="EO34" t="str" cm="1">
        <f t="array" ref="EO34">IF(OR(B34="",BZ34="",EC34&lt;&gt;1),"",_xlfn.LET(_xlpm.sz,Iдоп_S,_xlpm.t_,CHOOSE(EB34,Iдоп_1ж,Iдоп_2ж,Iдоп_3ж)*DZ34*EA34,_xlpm.ok,IFERROR((_xlpm.sz&gt;=MAX(1.5,CC34))*(_xlpm.t_&gt;=N(DT34)),0),_xlpm.r_,_xlfn._xlws.FILTER(_xlpm.sz,_xlpm.ok,""),INDEX(_xlpm.r_,1)))</f>
        <v/>
      </c>
      <c r="EP34" s="6" t="str" cm="1">
        <f t="array" ref="EP34">IFERROR(ROUNDUP(N(EJ34)*(_xlfn.XLOOKUP(EO34,INDEX(Кабель_сопротивление,0,1),INDEX(Кабель_сопротивление,0,3))*N(P34)/EO34*N(CE34)+_xlfn.XLOOKUP(EO34,INDEX(Кабель_сопротивление,0,1),INDEX(Кабель_сопротивление,0,2))*N(P34)*N(EK34)/1000)*N(O34)/((Uн_лин/SQRT(3))*1000)*100,2),"")</f>
        <v/>
      </c>
      <c r="EQ34" t="str">
        <f>IFERROR(2*ρкз_Cu*N(P34)/EO34,"")</f>
        <v/>
      </c>
      <c r="ER34" t="str">
        <f>IFERROR(VLOOKUP(EN34,Кабель_сопротивление,3,FALSE),"")</f>
        <v/>
      </c>
      <c r="ES34" t="str">
        <f>IFERROR(VLOOKUP(EN34,Кабель_сопротивление,2,FALSE),"")</f>
        <v/>
      </c>
      <c r="ET34" t="str">
        <f t="shared" si="54"/>
        <v/>
      </c>
      <c r="EU34" t="str">
        <f t="shared" si="55"/>
        <v/>
      </c>
      <c r="EV34" t="str">
        <f t="shared" si="56"/>
        <v/>
      </c>
      <c r="EW34" s="6" t="str">
        <f>IFERROR(ROUNDUP(EV34/IF(BV34=1,BU34,(Uн_лин/SQRT(3))*1000)*100,2),"")</f>
        <v/>
      </c>
      <c r="EX34" t="str">
        <f>IFERROR(VLOOKUP(BZ34,Кабель_обозначение,2,FALSE),"")</f>
        <v/>
      </c>
      <c r="EY34" t="str">
        <f t="shared" si="57"/>
        <v/>
      </c>
      <c r="EZ34" t="str">
        <f t="shared" si="58"/>
        <v/>
      </c>
      <c r="FA34" t="str">
        <f>IFERROR(2*ρкз_Cu*P34/EN34,"")</f>
        <v/>
      </c>
      <c r="FB34" t="str">
        <f t="shared" si="59"/>
        <v/>
      </c>
      <c r="FC34" s="6" t="str">
        <f>IFERROR(IF(OR(B34="",BV34=1,NOT(ISNUMBER(EN34)),N(P34)=0),"",_xlfn.XLOOKUP(A34,Щиты[Щит],Щиты[Zпетли на шинах, Ом])+FA34),"")</f>
        <v/>
      </c>
      <c r="FD34" s="6" t="str">
        <f>IF(ISNUMBER(FC34),c_min*(Uн_лин*1000/SQRT(3))/FC34,"")</f>
        <v/>
      </c>
      <c r="FE34" s="6" t="str">
        <f>IFERROR(IF(OR(B34="",NOT(ISNUMBER(EN34))),"",1.05*(Uн_лин*1000/SQRT(3))/(_xlfn.XLOOKUP(A34,Щиты[Щит],Щиты[Zmax на шинах, Ом])+FB34)/1000),"")</f>
        <v/>
      </c>
      <c r="FF34" s="6" t="str">
        <f>IF(B34="","",IF(ISNUMBER(AC34),"Сил",IF(IFERROR(_xlfn.XLOOKUP(BC34,Коды_код,Коды_группа)&amp;"","")="","Быт",_xlfn.XLOOKUP(BC34,Коды_код,Коды_группа)&amp;"")))</f>
        <v/>
      </c>
      <c r="FG34" s="6" t="str">
        <f t="shared" si="60"/>
        <v/>
      </c>
      <c r="FH34" s="6" t="str">
        <f>IF(FG34="Щит","щит",IF(FG34="","",IF(FG34="Быт",IFERROR(_xlfn.XLOOKUP(A34,Щиты[Щит],Щиты[Кс быт]),1),IF(FG34="Сил",IF(ISNUMBER(AC34),AC34,IF(Методика="нормы 2026",IFERROR(_xlfn.XLOOKUP(A34,Щиты[Щит],Щиты[Кс силовых (табл. 7.5)]),1),1)),IF(OR(FG34="Пост",FG34="Отоп"),1,IF(FG34="ВНГ",0.7,0))))))</f>
        <v/>
      </c>
      <c r="FI34" t="str">
        <f>IF(FG34="","",IF(AND(BP34=1,TRIM(AE34&amp;"")=""),IF(COUNTIFS(Линии[Щит],A34,Линии[Секция (1/2/3)],"&gt;=2")&gt;0,MIN(3,MAX(1,IFERROR(--BD34,1))),1),IFERROR(MIN(3,MAX(1,INT(--AE34))),1)))</f>
        <v/>
      </c>
      <c r="FJ34">
        <f t="shared" si="61"/>
        <v>0</v>
      </c>
      <c r="FK34">
        <f t="shared" si="62"/>
        <v>0</v>
      </c>
      <c r="FL34">
        <f t="shared" si="63"/>
        <v>0</v>
      </c>
      <c r="FM34">
        <f t="shared" si="64"/>
        <v>0</v>
      </c>
      <c r="FN34">
        <f t="shared" si="65"/>
        <v>0</v>
      </c>
      <c r="FO34">
        <f t="shared" si="66"/>
        <v>0</v>
      </c>
      <c r="FP34">
        <f t="shared" si="67"/>
        <v>0</v>
      </c>
      <c r="FQ34">
        <f t="shared" si="68"/>
        <v>0</v>
      </c>
      <c r="FR34">
        <f t="shared" si="69"/>
        <v>0</v>
      </c>
      <c r="FS34">
        <f>IF(CG34=1,IF(AND(CH34=1,CW34=1),0,IF(AND(CS34&lt;&gt;"",CS34=BA34,CW34=1),SUMIFS(Линии[_Р линии, кВт],Линии[_блок УЗО],BA34,Линии[Щит],A34),N(BS34)+IF(AJ34="вручную",0,N(CK34)))),0)</f>
        <v>0</v>
      </c>
      <c r="FT34" t="str">
        <f t="shared" si="70"/>
        <v/>
      </c>
      <c r="FU34" t="str">
        <f>IF(B34="","",IF(CG34=0,IF(BA34=1,"",FW33),IF(AND(CH34=1,CW34=1,CS34&lt;&gt;""),IFERROR(_xlfn.XLOOKUP(CS34,Линии[_n],Линии[_фаза итог]),"L1"),IF(OR(N(DL34)&gt;=3,N(BX34)&gt;=3),"L1,L2,L3",IFERROR(_xlfn.TEXTBEFORE(_xlfn.TEXTAFTER(_xlfn.XLOOKUP(A34,Щиты[Щит],Щиты[_фазы авто]),";"&amp;BA34&amp;":"),";"),"L1")))))</f>
        <v/>
      </c>
      <c r="FV34" t="str">
        <f t="shared" si="71"/>
        <v/>
      </c>
      <c r="FW34" t="str">
        <f t="shared" si="72"/>
        <v>L3</v>
      </c>
      <c r="FX34" cm="1">
        <f t="array" ref="FX34">IFERROR(IF(CD34=2,_xlfn.IFS(BX34=3,VLOOKUP(BS34,Справочная_двигатели,3,FALSE),BX34=1,VLOOKUP(BS34,Справочная_двигатели,5,TRUE)),0),0)</f>
        <v>0</v>
      </c>
      <c r="FY34">
        <f>IFERROR(IF(CD34=3,VLOOKUP(BS34,Справочная_ЛЭД,2,TRUE),0),0)</f>
        <v>0</v>
      </c>
      <c r="FZ34" s="6" t="str">
        <f t="shared" si="73"/>
        <v/>
      </c>
      <c r="GA34" t="str">
        <f>IF(B34="","",IF(TRIM(AH34&amp;"")&lt;&gt;"",IF(LOWER(TRIM(AH34&amp;""))="да","да","нет"),IF(IFERROR(_xlfn.XLOOKUP(BC34,Коды_код,Коды_пожарная),"")="да","да","нет")))</f>
        <v/>
      </c>
      <c r="GB34" t="str">
        <f t="shared" si="74"/>
        <v/>
      </c>
      <c r="GC34" t="str">
        <f t="shared" si="75"/>
        <v/>
      </c>
      <c r="GD34">
        <f>IF(AND(BP34=1,TRIM(AE34&amp;"")=""),IF(COUNTIFS(Линии[Щит],A34,Линии[Секция (1/2/3)],"&gt;=2")&gt;0,MIN(3,MAX(1,IFERROR(--BD34,1))),1),IFERROR(MIN(3,MAX(1,INT(--AE34))),1))</f>
        <v>1</v>
      </c>
      <c r="GE34" t="str" cm="1">
        <f t="array" ref="GE34">IF(B34="","",_xlfn.LET(_xlpm.t,IFERROR(_xlfn.XLOOKUP(1,(Шины[Шина]=GC34)*(((Шины[Щит]=A34)+(Шины[Щит]=""))&gt;0),Шины[Тип]),"")&amp;"",IF(_xlpm.t&lt;&gt;"",_xlpm.t,IF(ISNUMBER(SEARCH("ИБП",GC34)),"ИБП",IF(ISNUMBER(SEARCH("ДГУ",GC34)),"ДГУ","Ввод "&amp;GD34)))))</f>
        <v/>
      </c>
      <c r="GF34" t="str">
        <f t="shared" si="76"/>
        <v/>
      </c>
      <c r="GG34" t="str">
        <f>IF(BP34=0,"",IF(TRIM(AG34&amp;"")&lt;&gt;"",TRIM(AG34&amp;""),IF(OR(GE34="ИБП",GE34="ДГУ"),"I особая",_xlfn.XLOOKUP(A34,Щиты[Щит],Щиты[Категория шины «Ввод»],"III"))))</f>
        <v/>
      </c>
      <c r="GH34" t="str">
        <f>IF(A34="","",_xlfn.XLOOKUP(A34,Щиты[Щит],Щиты[Путь],""))</f>
        <v>|ВРУ|ЩР-1|</v>
      </c>
      <c r="GI34" t="str">
        <f>IF(B34="","",IF(AI34&lt;&gt;"",AI34,IF(IFERROR(_xlfn.XLOOKUP(BC34,Коды_код,Коды_вид)&amp;"","")="","Прочее",_xlfn.XLOOKUP(BC34,Коды_код,Коды_вид)&amp;"")))</f>
        <v/>
      </c>
      <c r="GJ34">
        <f>IF(BM34="","",INT((BM34-1)/Столбцов_на_лист)+1)</f>
        <v>1</v>
      </c>
      <c r="GK34" t="str">
        <f t="shared" si="77"/>
        <v/>
      </c>
      <c r="GL34" t="str">
        <f t="shared" si="78"/>
        <v/>
      </c>
      <c r="GM34" t="str">
        <f t="shared" si="79"/>
        <v/>
      </c>
      <c r="GN34" t="str">
        <f t="shared" si="80"/>
        <v/>
      </c>
      <c r="GO34">
        <f t="shared" si="81"/>
        <v>0</v>
      </c>
      <c r="GP34">
        <f t="shared" si="82"/>
        <v>1</v>
      </c>
      <c r="GQ34">
        <f>IF(BM34="","",IF(AND(CG34=1,GP34=1),COUNTIFS(A$3:A34,A34,CG$3:CG34,1,GP$3:GP34,1),IF(OR(OR(BA34=1,A34&lt;&gt;A33),AJ34="вручную",GP34=0),"",IF(BA34=1,"",GR33))))</f>
        <v>4</v>
      </c>
      <c r="GR34">
        <f t="shared" si="83"/>
        <v>4</v>
      </c>
      <c r="GS34" t="str">
        <f>IF(B34="","",IFERROR(LOOKUP(INDEX(CHOOSE(EB34,Iдоп_1ж,Iдоп_2ж,Iдоп_3ж),MATCH(EN34,Iдоп_S,0))*DZ34*EA34,{6,10,16,20,25,32,40,50,63,80,100,125,160,200,250,315,400,500,630}),""))</f>
        <v/>
      </c>
      <c r="GT34" t="str">
        <f t="shared" si="84"/>
        <v/>
      </c>
      <c r="GU34" t="str">
        <f t="shared" si="85"/>
        <v>QF4</v>
      </c>
      <c r="GV34" t="str">
        <f t="shared" si="86"/>
        <v/>
      </c>
      <c r="GW34">
        <f t="shared" si="87"/>
        <v>0</v>
      </c>
      <c r="GX34" t="str">
        <f>IF(OR(B34="",DJ34=""),"",IFERROR(_xlfn.XLOOKUP(DJ34,Модули_умолч[Управление],Модули_умолч[Модель])&amp;"",""))</f>
        <v/>
      </c>
      <c r="GY34">
        <f>IF(DJ34="",1,IFERROR(MAX(0,N(_xlfn.XLOOKUP(DJ34,Модули_умолч[Управление],Модули_умолч[Каналов на линию]))),1))</f>
        <v>1</v>
      </c>
      <c r="GZ34" t="str">
        <f t="shared" si="88"/>
        <v/>
      </c>
      <c r="HA34" t="str">
        <f t="shared" si="89"/>
        <v>M</v>
      </c>
      <c r="HB34" t="str">
        <f t="shared" si="90"/>
        <v/>
      </c>
      <c r="HC34">
        <f>IF(HB34="",0,IFERROR(N(VLOOKUP(HB34,Модули_спр,3,FALSE)),0))</f>
        <v>0</v>
      </c>
      <c r="HD34" t="str">
        <f t="shared" si="91"/>
        <v/>
      </c>
      <c r="HE34" t="str">
        <f t="shared" si="92"/>
        <v/>
      </c>
      <c r="HF34" t="str">
        <f>IF(OR(HE34="",HE34="-"),"",IFERROR(VLOOKUP(HE34,Модули_спр,2,FALSE),"R"))</f>
        <v/>
      </c>
      <c r="HG34" t="str">
        <f>IF(HF34="","",HF34&amp;"."&amp;COUNTIFS(A$3:A34,A34,HF$3:HF34,HF34))</f>
        <v/>
      </c>
      <c r="HH34" t="str">
        <f t="shared" si="93"/>
        <v>R.1</v>
      </c>
      <c r="HI34" t="str">
        <f t="shared" si="94"/>
        <v>ZIOMB16V3</v>
      </c>
      <c r="HJ34">
        <f t="shared" si="95"/>
        <v>3</v>
      </c>
      <c r="HK34">
        <f t="shared" si="96"/>
        <v>3</v>
      </c>
      <c r="HL34">
        <f t="shared" si="97"/>
        <v>0</v>
      </c>
      <c r="HM34" t="str">
        <f>IF(HL34=1,"XT"&amp;COUNTIFS(A$3:A34,A34,HL$3:HL34,1),"")</f>
        <v/>
      </c>
      <c r="HN34" t="str">
        <f t="shared" si="98"/>
        <v/>
      </c>
      <c r="HO34" t="str">
        <f t="shared" si="99"/>
        <v>QF4</v>
      </c>
      <c r="HP34" t="str">
        <f t="shared" si="100"/>
        <v>R.1</v>
      </c>
      <c r="HQ34" t="str">
        <f t="shared" si="101"/>
        <v/>
      </c>
      <c r="HR34" t="str">
        <f>IF(OR(HJ34="",HH34=""),"",IF(HJ34+MAX(0,GY34-1)&gt;IFERROR(VLOOKUP(HI34,Модули_спр,3,FALSE),99),"ЛИШНИЙ КАНАЛ",IF(AND(AL34&lt;&gt;"=",GY34&gt;0,COUNTIFS(Линии[_модуль гр.],HH34,Линии[Канал (итог)],HJ34,Линии[Канал],"&lt;&gt;=",Линии[Щит],A34)&gt;1),"ДУБЛЬ КАНАЛА","")))</f>
        <v/>
      </c>
      <c r="HS34" s="6" t="str">
        <f t="shared" si="102"/>
        <v/>
      </c>
      <c r="HT34">
        <f t="shared" si="103"/>
        <v>10</v>
      </c>
      <c r="HU34" t="str">
        <f t="shared" si="104"/>
        <v/>
      </c>
      <c r="HV34">
        <f t="shared" si="105"/>
        <v>0</v>
      </c>
      <c r="HW34">
        <f t="shared" si="106"/>
        <v>0.57580284409707294</v>
      </c>
      <c r="HX34">
        <f t="shared" si="107"/>
        <v>0</v>
      </c>
      <c r="HY34">
        <f t="shared" si="108"/>
        <v>0</v>
      </c>
      <c r="HZ34">
        <f t="shared" si="109"/>
        <v>0</v>
      </c>
      <c r="IA34">
        <f t="shared" si="110"/>
        <v>0</v>
      </c>
      <c r="IB34">
        <f t="shared" si="111"/>
        <v>0</v>
      </c>
      <c r="IC34" t="str">
        <f t="shared" si="112"/>
        <v/>
      </c>
      <c r="ID34" t="str" cm="1">
        <f t="array" ref="ID34">IF(IC34="","",_xlfn.LET(_xlpm.tk,_xlfn.TEXTSPLIT(SUBSTITUTE(SUBSTITUTE(IC34,";"," "),"→"," ")," ",,TRUE),_xlpm.w_,_xlfn._xlws.FILTER(_xlpm.tk,ISNUMBER(--LEFT(_xlpm.tk,1))*((ISNUMBER(SEARCH("W",_xlpm.tk))+ISNUMBER(SEARCH("Вт",_xlpm.tk)))&gt;0),""),IFERROR(--SUBSTITUTE(SUBSTITUTE(UPPER(INDEX(_xlpm.w_,1)),"W",""),"ВТ",""),"")))</f>
        <v/>
      </c>
      <c r="IE34" t="str" cm="1">
        <f t="array" ref="IE34">IF(IC34="","",_xlfn.LET(_xlpm.tk,_xlfn.TEXTSPLIT(SUBSTITUTE(SUBSTITUTE(IC34,";"," "),"→"," ")," ",,TRUE),_xlpm.v_,_xlfn._xlws.FILTER(_xlpm.tk,ISNUMBER(--LEFT(_xlpm.tk,1))*((ISNUMBER(SEARCH("V",_xlpm.tk))+(RIGHT(UPPER(_xlpm.tk))="В"))&gt;0),""),IFERROR(--SUBSTITUTE(SUBSTITUTE(UPPER(INDEX(_xlpm.v_,1)),"V",""),"В",""),"")))</f>
        <v/>
      </c>
      <c r="IF34" s="6" t="str">
        <f>IF(OR(BV34=0,HI34="",HJ34=""),"",IFERROR(N(_xlfn.XLOOKUP(HI34,Каталог!$C$4:$C$500,Каталог!$Q$4:$Q$500)),""))</f>
        <v/>
      </c>
      <c r="IG34" s="6" t="str">
        <f>IF(N(IF34)=0,"",SUMIFS(Линии[Iр, А],Линии[Щит],A34,Линии[_модуль гр.],HH34,Линии[Канал (итог)],HJ34))</f>
        <v/>
      </c>
      <c r="IH34" t="str">
        <f>IF(AND(B34="",HO34=""),"",_xlfn.TEXTJOIN("; ",TRUE,IF(AND(B34&lt;&gt;"",FV34=""),"нет фазы",""),IF(AND(B34&lt;&gt;"",N(GL34)=0,FG34&lt;&gt;"Нет"),"нет мощности",""),IF(AND(HN34&lt;&gt;"",COUNTIFS(Линии[Щит],A34,Линии[Клемма (итог)],HN34)&gt;1),"дубль клеммы "&amp;HN34,""),IF(AND(HQ34&lt;&gt;"",HQ34&lt;&gt;"ok"),HQ34,""),IF(HR34&lt;&gt;"",HR34,""),IF(AND(N(CB34)&gt;=4,N(BX34)=1),CB34&amp;" жил на 1 фазе",""),IF(AND(BC34="R",CG34=1,IF(CS34&lt;&gt;"",N(CV34)&gt;30,OR(N(DA34)=0,N(DA34)&gt;30))),"розетка без дифзащиты до 30 мА",""),IF(AND(CG34=1,N(DA34)&gt;0,ISNUMBER(T34)),IF(T34&gt;N(DA34)/3,"ток утечки "&amp;FIXED(T34,1)&amp;" мА &gt; 1/3 уставки ("&amp;DA34&amp;" мА)",""),""),IF(AND(CH34=1,CS34=""),"«узо»: нет строки с УЗО выше (УЗО 2P 40А 30мА в «Аппаратах»)",""),IF(AND(CS34&lt;&gt;"",CS34=BA34),IF(CT34="","впишите номинал УЗО (УЗО 2P 40А 30мА)",IF(N(CT34)&lt;N(DT34),"УЗО "&amp;CT34&amp;" А &lt; автомата "&amp;DT34&amp;" А перед ним",IF(N(CT34)&lt;N(CX34),"УЗО "&amp;CT34&amp;" А &lt; тока блока "&amp;FIXED(CX34,1)&amp;" А",""))),""),IF(AND(CS34&lt;&gt;"",CS34=BA34,ISNUMBER(CY34)),IF(CY34&gt;N(CV34)/3,"ток утечки блока УЗО "&amp;FIXED(CY34,1)&amp;" мА &gt; 1/3 уставки ("&amp;CV34&amp;" мА)",""),""),IF(AND(CG34=1,N(BV34)+N(IB34)&gt;0,IC34=""),"линии до 50 В без БП: впишите в «Аппараты» (БП 24V 480W)",""),IF(AND(CG34=1,ISNUMBER(ID34),ISNUMBER(U34)),IF(U34&gt;ID34,"БП "&amp;ID34&amp;" Вт &lt; нужно "&amp;U34&amp;" Вт (×"&amp;Запас_БП&amp;")",""),""),IF(AND(CG34=1,ISNUMBER(IE34),N(BV34)=1),IF(IE34&lt;&gt;N(BU34),"БП на "&amp;IE34&amp;" В, линия "&amp;BU34&amp;" В",""),""),IF(AND(N(IF34)&gt;0,N(IG34)&gt;N(IF34)),HH34&amp;" канал "&amp;HJ34&amp;": "&amp;FIXED(IG34,1)&amp;" А &gt; "&amp;IF34&amp;" А",""),IFERROR(IF(AND(ISNUMBER(Q34),Q34&gt;EL34),"потери "&amp;FIXED(Q34,1)&amp;" % &gt; "&amp;EL34&amp;" %",""),""),IFERROR(IF(LEFT(HU34,4)="мало","Iкз мало — отключение &gt; 0,4 с",""),""),IF(AND(B34&lt;&gt;"",BM34=""),"не на схеме",""),IF(AND(CG34=0,B34&lt;&gt;"",FV34&lt;&gt;"",IF(BA34=1,"",FW33)&lt;&gt;"",FV34&lt;&gt;IF(BA34=1,"",FW33)),"фаза не как у автомата группы ("&amp;IF(BA34=1,"",FW33)&amp;")","")))</f>
        <v/>
      </c>
      <c r="II34" s="6" t="str">
        <f>IF(OR(CG34=0,DQ34=""),"",_xlfn.LET(_xlpm.t,IFERROR(_xlfn.XLOOKUP(DQ34,Каталог!$U$4:$U$500,Каталог!$G$4:$G$500),""),_xlpm.k,SEARCH("кА",_xlpm.t),IFERROR(--TRIM(RIGHT(SUBSTITUTE(MID(_xlpm.t,MAX(1,_xlpm.k-4),_xlpm.k-MAX(1,_xlpm.k-4))," ",REPT(" ",9)),5)),"")))</f>
        <v/>
      </c>
      <c r="IJ34" t="str">
        <f>IF(OR(II34="",CG34=0),"",IF(_xlfn.XLOOKUP(A34,Щиты[Щит],Щиты[Iкз max на шинах, кА],"")="","",IF(II34&lt;_xlfn.XLOOKUP(A34,Щиты[Щит],Щиты[Iкз max на шинах, кА]),"Icu "&amp;II34&amp;" кА &lt; Iкз max","ok")))</f>
        <v/>
      </c>
      <c r="IK34" t="str">
        <f t="shared" si="113"/>
        <v/>
      </c>
      <c r="IL34" t="str">
        <f t="shared" si="114"/>
        <v/>
      </c>
      <c r="IM34" t="str">
        <f t="shared" si="115"/>
        <v/>
      </c>
      <c r="IN34" t="str" cm="1">
        <f t="array" ref="IN34">IF(IM34="","",_xlfn.LET(_xlpm.nd,_xlfn.TEXTSPLIT(IM34,"|"),IF(COLUMNS(_xlpm.nd)&gt;1,A34&amp;"¦"&amp;INDEX(_xlpm.nd,1)&amp;"¦"&amp;INDEX(_xlpm.nd,2),"")))</f>
        <v/>
      </c>
      <c r="IO34" t="str">
        <f t="shared" si="116"/>
        <v/>
      </c>
      <c r="IP34" t="str" cm="1">
        <f t="array" ref="IP34">IF(IM34="","",_xlfn.LET(_xlpm.nd,_xlfn.TEXTSPLIT(IM34,"|"),IF(COLUMNS(_xlpm.nd)&gt;2,A34&amp;"¦"&amp;INDEX(_xlpm.nd,2)&amp;"¦"&amp;INDEX(_xlpm.nd,3),"")))</f>
        <v/>
      </c>
      <c r="IQ34" t="str">
        <f t="shared" si="117"/>
        <v/>
      </c>
      <c r="IR34" t="str" cm="1">
        <f t="array" ref="IR34">IF(IM34="","",_xlfn.LET(_xlpm.nd,_xlfn.TEXTSPLIT(IM34,"|"),IF(COLUMNS(_xlpm.nd)&gt;3,A34&amp;"¦"&amp;INDEX(_xlpm.nd,3)&amp;"¦"&amp;INDEX(_xlpm.nd,4),"")))</f>
        <v/>
      </c>
      <c r="IS34" t="str">
        <f t="shared" si="118"/>
        <v/>
      </c>
      <c r="IT34" t="str" cm="1">
        <f t="array" ref="IT34">IF(IM34="","",_xlfn.LET(_xlpm.nd,_xlfn.TEXTSPLIT(IM34,"|"),IF(COLUMNS(_xlpm.nd)&gt;4,A34&amp;"¦"&amp;INDEX(_xlpm.nd,4)&amp;"¦"&amp;INDEX(_xlpm.nd,5),"")))</f>
        <v/>
      </c>
      <c r="IU34" t="str">
        <f t="shared" si="119"/>
        <v/>
      </c>
      <c r="IV34" t="str" cm="1">
        <f t="array" ref="IV34">IF(IM34="","",_xlfn.LET(_xlpm.nd,_xlfn.TEXTSPLIT(IM34,"|"),IF(COLUMNS(_xlpm.nd)&gt;5,A34&amp;"¦"&amp;INDEX(_xlpm.nd,5)&amp;"¦"&amp;INDEX(_xlpm.nd,6),"")))</f>
        <v/>
      </c>
      <c r="IW34" t="str">
        <f t="shared" si="120"/>
        <v/>
      </c>
      <c r="IX34" t="str" cm="1">
        <f t="array" ref="IX34">IF(IM34="","",_xlfn.LET(_xlpm.nd,_xlfn.TEXTSPLIT(IM34,"|"),IF(COLUMNS(_xlpm.nd)&gt;6,A34&amp;"¦"&amp;INDEX(_xlpm.nd,6)&amp;"¦"&amp;INDEX(_xlpm.nd,7),"")))</f>
        <v/>
      </c>
      <c r="IY34" t="str">
        <f t="shared" si="121"/>
        <v/>
      </c>
      <c r="IZ34" t="str">
        <f t="shared" si="122"/>
        <v>ZIOMB16V3</v>
      </c>
      <c r="JA34" t="str">
        <f t="shared" si="123"/>
        <v>QF4 → R.1 к.3</v>
      </c>
      <c r="JB34">
        <f t="shared" si="124"/>
        <v>0</v>
      </c>
      <c r="JC34">
        <f t="shared" si="125"/>
        <v>0</v>
      </c>
      <c r="JD34" t="str">
        <f t="shared" si="126"/>
        <v>R</v>
      </c>
      <c r="JE34" t="str">
        <f t="shared" si="127"/>
        <v/>
      </c>
      <c r="JF34" t="str">
        <f t="shared" si="128"/>
        <v/>
      </c>
      <c r="JG34" t="str">
        <f t="shared" si="129"/>
        <v/>
      </c>
      <c r="JH34" t="str">
        <f>IF(B34="","",IFERROR(_xlfn.XLOOKUP(B34,Коды_код,Коды_уго),IFERROR(_xlfn.XLOOKUP(BC34,Коды_код,Коды_уго),IFERROR(_xlfn.XLOOKUP(LEFT(BC34,2),Коды_код,Коды_уго),""))))</f>
        <v/>
      </c>
      <c r="JI34" t="str">
        <f>IF(B34="","",IF(OR(JH34="",JH34=0),"BOX",IFERROR(IF(VLOOKUP(JH34,УГО_блоки,3,FALSE)&amp;""&lt;&gt;"",VLOOKUP(JH34,УГО_блоки,3,FALSE),VLOOKUP(JH34,УГО_блоки,2,FALSE)),JH34)))</f>
        <v/>
      </c>
      <c r="JJ34">
        <f t="shared" si="130"/>
        <v>0</v>
      </c>
      <c r="JK34" t="str">
        <f>IF(DQ34="","",IF(COUNTIF(DQ$3:DQ34,DQ34)=1,MAX(JK$2:JK33)+1,""))</f>
        <v/>
      </c>
      <c r="JL34" t="str">
        <f>IF(DE34="","",IF(COUNTIF(DE$3:DE34,DE34)+COUNTIF(DF$2:DF33,DE34)+COUNTIF(DG$2:DG33,DE34)=1,MAX(JL$2:JN33)+1,""))</f>
        <v/>
      </c>
      <c r="JM34" t="str">
        <f>IF(DF34="","",IF(COUNTIF(DE$3:DE34,DF34)+COUNTIF(DF$3:DF34,DF34)+COUNTIF(DG$2:DG33,DF34)=1,MAX(JL$2:JN33,JL34)+1,""))</f>
        <v/>
      </c>
      <c r="JN34" t="str">
        <f>IF(DG34="","",IF(COUNTIF(DE$3:DE34,DG34)+COUNTIF(DF$3:DF34,DG34)+COUNTIF(DG$3:DG34,DG34)=1,MAX(JL$2:JN33,JL34,JM34)+1,""))</f>
        <v/>
      </c>
      <c r="JO34" t="str">
        <f t="shared" si="131"/>
        <v/>
      </c>
      <c r="JP34" t="str">
        <f>IF(JO34="","",IF(COUNTIF(JO$3:JO34,JO34)=1,MAX(JP$2:JP33)+1,""))</f>
        <v/>
      </c>
      <c r="JQ34" t="str">
        <f>IF(HG34="","",COUNTIF(HG$3:HG34,"?*"))</f>
        <v/>
      </c>
      <c r="JR34" t="str">
        <f>IF(OR(HG34="",HI34=""),"",IF(COUNTIFS(HG$3:HG34,"?*",HI$3:HI34,HI34)=1,MAX(JR$2:JR33)+1,""))</f>
        <v/>
      </c>
      <c r="JS34">
        <f t="shared" si="132"/>
        <v>0</v>
      </c>
      <c r="JT34" t="str">
        <f>IF(B34="","",COUNTIF(B$3:B34,"?*"))</f>
        <v/>
      </c>
      <c r="JU34">
        <f>IF(HL34&lt;&gt;1,0,_xlfn.LET(_xlpm.k,MAX(IFERROR(--_xlfn.XLOOKUP(B34,Коды_код,Коды_3L),0),IFERROR(--_xlfn.XLOOKUP(BC34,Коды_код,Коды_3L),0),IFERROR(--_xlfn.XLOOKUP(LEFT(BC34,2),Коды_код,Коды_3L),0)),IF(_xlpm.k&gt;0,_xlpm.k,IF(IFERROR(--LEFT(SUBSTITUTE(JO34,"x","х"),FIND("х",SUBSTITUTE(JO34,"x","х"))-1),3)&gt;3,Каталог!$S$9,1))))</f>
        <v>0</v>
      </c>
      <c r="JV34">
        <f t="shared" si="133"/>
        <v>0</v>
      </c>
      <c r="JW34" t="str">
        <f t="shared" si="134"/>
        <v/>
      </c>
      <c r="JX34" t="str">
        <f t="shared" si="135"/>
        <v/>
      </c>
      <c r="JY34" t="str">
        <f t="shared" si="136"/>
        <v/>
      </c>
      <c r="JZ34">
        <f t="shared" si="137"/>
        <v>1</v>
      </c>
    </row>
    <row r="35" spans="1:286" x14ac:dyDescent="0.3">
      <c r="A35" t="s">
        <v>947</v>
      </c>
      <c r="B35" t="s">
        <v>1214</v>
      </c>
      <c r="C35" t="str">
        <f>Линии[[#This Row],[_авто наименование]]</f>
        <v>Группа освещения, пом. 03</v>
      </c>
      <c r="E35">
        <v>0.25</v>
      </c>
      <c r="F35" t="s">
        <v>1198</v>
      </c>
      <c r="G35" t="str">
        <f>Линии[[#This Row],[_авто автомат]]</f>
        <v>↑ 1P С10А</v>
      </c>
      <c r="H35" t="str">
        <f>Линии[[#This Row],[_авто управление]]</f>
        <v/>
      </c>
      <c r="I35" t="str">
        <f>Линии[[#This Row],[_авто аппараты]]</f>
        <v/>
      </c>
      <c r="J35">
        <f>Линии[[#This Row],[_авто сечение]]</f>
        <v>1.5</v>
      </c>
      <c r="K35">
        <v>11</v>
      </c>
      <c r="L35" t="str">
        <f>Линии[[#This Row],[_авто фаза]]</f>
        <v>L3</v>
      </c>
      <c r="M35" t="str">
        <f>Линии[[#This Row],[_авто клемма]]</f>
        <v>XT8</v>
      </c>
      <c r="N35" t="str">
        <f t="shared" ref="N35:N57" si="138">_xlfn.TEXTJOIN("; ",TRUE,IK35,IH35,IF(LEFT(IJ35,3)="Icu",IJ35,""),IF(AND(B35&lt;&gt;"",EN35="не подобрано"),"сечение не подобрано: проверьте длину и автомат или впишите сечение",""))</f>
        <v/>
      </c>
      <c r="O35" s="6" cm="1">
        <f t="array" ref="O35">IF(B35="","",IF(BH35&lt;&gt;"",IFERROR(_xlfn.XLOOKUP(BH35,Щиты[Щит],Щиты[Iр, А]),""),IF(BP35=1,IF(OR(N(_xlfn.XLOOKUP(A35,Щиты[Щит],Щиты[Вводов],1))&lt;=1,LOWER(TRIM(_xlfn.XLOOKUP(A35,Щиты[Щит],Щиты[АВР],"")&amp;""))="да"),IFERROR(_xlfn.XLOOKUP(A35,Щиты[Щит],Щиты[Iр, А]),""),IFERROR(N(BS35)*_xlfn.XLOOKUP(A35,Щиты[Щит],Щиты[Кс итог])/(SQRT(3)*Uн_лин*_xlfn.XLOOKUP(A35,Щиты[Щит],Щиты[cos φ])),"")),IF(BV35=1,IFERROR(BS35*1000/BU35,""),IFERROR(_xlfn.IFS(BX35=1,BS35/((Uн_лин/SQRT(3))*CE35),BX35=3,BS35/(SQRT(3)*Uн_лин*CE35)),"")))))</f>
        <v>1.1395071102426824</v>
      </c>
      <c r="P35" s="7">
        <f>IF(B35="","",IFERROR(IF(VLOOKUP(BC35,Потребители_обозначение,4,FALSE)=1,VLOOKUP(BC35,Потребители_обозначение,3,FALSE)*(MAX(1,N(D35))*2-1)+EI35+VLOOKUP(BE35,Этаж_обозначение,3,FALSE)+VLOOKUP(BE35,Этаж_обозначение,4,FALSE),VLOOKUP(BC35,Потребители_обозначение,3,FALSE)*(MAX(1,N(D35))*2-1)+EI35),EI35))</f>
        <v>12</v>
      </c>
      <c r="Q35" s="6">
        <f t="shared" ref="Q35:Q57" si="139">IF(ISNUMBER(EW35),EW35+IF(BV35=1,0,ED35),"")</f>
        <v>1.2260288498727976</v>
      </c>
      <c r="R35" t="str">
        <f t="shared" ref="R35:R57" si="140">IF(OR(B35="",EX35=""),"",IF(EN35="не подобрано",EX35&amp;" — сечение не подобрано",EY35))</f>
        <v>ВВГнг(А)-LS (3х1,5)</v>
      </c>
      <c r="S35" t="str">
        <f>IF(BM35="","",IF(BN35="вводной узел","узел ","")&amp;"л."&amp;(INT((BM35-1)/Столбцов_на_лист)+1)&amp;" / "&amp;(MOD(BM35-1,Столбцов_на_лист)+1))</f>
        <v>л.1 / 12</v>
      </c>
      <c r="T35" s="119" t="str">
        <f t="shared" ref="T35:T57" si="141">IF(OR(CG35=0,BH35&lt;&gt;"",BP35=1),"",IF(AND(CS35&lt;&gt;"",CS35=BA35),ROUND(N(CY35),1),ROUND(N(HV35)+N(HW35),1)))</f>
        <v/>
      </c>
      <c r="U35" s="7" t="str">
        <f>IF(OR(CG35=0,N(BV35)+N(IB35)=0),"",ROUNDUP(Запас_БП*(N(HY35)+N(HZ35)),0))</f>
        <v/>
      </c>
      <c r="V35" s="119" t="str">
        <f t="shared" ref="V35:V57" si="142">IF(OR(CG35=0,N(BV35)+N(IB35)=0),"",ROUND(MAX(N(HX35),N(IA35)),1))</f>
        <v/>
      </c>
      <c r="W35" s="7">
        <f>IFERROR(IF(OR(B35="",BP35=1,BV35=1,NOT(ISNUMBER(EN35)),N(DT35)=0),"",MAX(0,ROUNDDOWN((c_min*(Uн_лин*1000/SQRT(3))/(HT35*N(DT35))-_xlfn.XLOOKUP(A35,Щиты[Щит],Щиты[Zпетли на шинах, Ом]))*EN35/(2*ρкз_Cu),0))),"")</f>
        <v>54</v>
      </c>
      <c r="Y35" t="str">
        <f>Линии[[#This Row],[_авто утечка]]</f>
        <v/>
      </c>
      <c r="Z35">
        <v>1</v>
      </c>
      <c r="AA35">
        <v>230</v>
      </c>
      <c r="AB35" t="str">
        <f>Линии[[#This Row],[_авто группа Кс]]</f>
        <v>Быт</v>
      </c>
      <c r="AK35" t="str">
        <f>Линии[[#This Row],[_авто модуль]]</f>
        <v/>
      </c>
      <c r="AN35" t="s">
        <v>11</v>
      </c>
      <c r="AO35">
        <v>3</v>
      </c>
      <c r="AT35">
        <v>1</v>
      </c>
      <c r="BA35" cm="1">
        <f t="array" ref="BA35">ROW()-ROW(Линии[#Headers])</f>
        <v>33</v>
      </c>
      <c r="BC35" s="6" t="str">
        <f t="shared" ref="BC35:BC57" si="143">IF(B35="","",IFERROR(LEFT(B35,SEARCH(".",B35)-1),B35))</f>
        <v>L</v>
      </c>
      <c r="BD35" t="str">
        <f t="shared" ref="BD35:BD57" si="144">IFERROR(RIGHT(B35,LEN(B35)-SEARCH(".",B35)),"")</f>
        <v>1.03.1</v>
      </c>
      <c r="BE35" t="str">
        <f t="shared" ref="BE35:BE66" si="145">IFERROR(LEFT(BD35,SEARCH(".",BD35)-1),BD35)</f>
        <v>1</v>
      </c>
      <c r="BF35" t="str">
        <f t="shared" ref="BF35:BF57" si="146">IFERROR(RIGHT(BD35,LEN(BD35)-SEARCH(".",BD35)),"")</f>
        <v>03.1</v>
      </c>
      <c r="BG35" t="str">
        <f t="shared" ref="BG35:BG66" si="147">IFERROR(LEFT(BF35,SEARCH(".",BF35)-1),BF35)</f>
        <v>03</v>
      </c>
      <c r="BH35" t="str">
        <f>IF(X35&lt;&gt;"",X35,IF(AND(B35&lt;&gt;"",B35&lt;&gt;A35,ISNUMBER(_xlfn.XMATCH(B35,Щиты[Щит]))),B35,""))</f>
        <v/>
      </c>
      <c r="BI35" t="str" cm="1">
        <f t="array" ref="BI35">IF(B35="","",IF(BH35&lt;&gt;"","Щит "&amp;BH35,_xlfn.LET(_xlpm.nm,IFERROR(_xlfn.XLOOKUP(BC35,Коды_код,Коды_имя)&amp;"",""),_xlpm.md,IFERROR(N(_xlfn.XLOOKUP(BC35,Коды_код,Коды_режим)),1),_xlpm.ex,IF(Имя_режим="по экспликации",IFERROR(_xlfn.XLOOKUP(BE35&amp;"|"&amp;BG35,Экспликация[Этаж]&amp;"|"&amp;Экспликация[Помещение],Экспликация[Название])&amp;"",""),""),_xlpm.rm,IF(BG35="","",IF(_xlpm.ex&lt;&gt;"",". "&amp;_xlpm.ex&amp;IF(Имя_пом="нет"," ("&amp;BG35&amp;")"," (пом. "&amp;BG35&amp;")"),IF(Имя_пом="нет"," ",", пом. ")&amp;BG35)),IF(_xlpm.nm="","",IF(_xlpm.md=2,_xlpm.nm&amp;" шлейф "&amp;BE35,_xlpm.nm&amp;_xlpm.rm)))))</f>
        <v>Группа освещения, пом. 03</v>
      </c>
      <c r="BJ35" t="str">
        <f t="shared" ref="BJ35:BJ66" si="148">IF(TRIM(C35&amp;"")="",BI35,C35)</f>
        <v>Группа освещения, пом. 03</v>
      </c>
      <c r="BK35">
        <f>IFERROR(_xlfn.XMATCH(A35,Щиты[Щит]),0)</f>
        <v>4</v>
      </c>
      <c r="BL35">
        <f>_xlfn.LET(_xlpm.k,IFERROR(_xlfn.XLOOKUP(A35,Щиты[Щит],Щиты[Мест под вводной узел]),""),IF(_xlpm.k="",Столбцов_на_лист,N(_xlpm.k)))</f>
        <v>3</v>
      </c>
      <c r="BM35">
        <f t="shared" ref="BM35:BM66" si="149">IF(AM35="-","",IF(ISNUMBER(AM35),AM35,_xlfn.LET(_xlpm.prev,IF(OR(BA35=1,A35&lt;&gt;A34),0,N(IF(BA35=1,"",BM34))),_xlpm.nx,_xlpm.prev+1,IF(AND(AJ35&lt;&gt;"вручную",_xlpm.nx&lt;=BL35),BL35+1,_xlpm.nx))))</f>
        <v>12</v>
      </c>
      <c r="BN35" t="str">
        <f t="shared" ref="BN35:BN66" si="150">IF(BM35="","",IF(BM35&lt;=BL35,"вводной узел","линии"))</f>
        <v>линии</v>
      </c>
      <c r="BO35" s="6">
        <f>IFERROR(N(_xlfn.XLOOKUP(BC35,Коды_код,Коды_квт)),0)</f>
        <v>0</v>
      </c>
      <c r="BP35">
        <f t="shared" ref="BP35:BP57" si="151">IF(AND(B35&lt;&gt;"",BC35="Ввод"),1,0)</f>
        <v>0</v>
      </c>
      <c r="BQ35" t="str">
        <f>IF(B35="","",IF(BH35&lt;&gt;"",IFERROR(_xlfn.XLOOKUP(BH35,Щиты[Щит],Щиты[Руст, кВт]),0),IF(BP35=1,IF(OR(N(_xlfn.XLOOKUP(A35,Щиты[Щит],Щиты[Вводов],1))&lt;=1,LOWER(TRIM(_xlfn.XLOOKUP(A35,Щиты[Щит],Щиты[АВР],"")&amp;""))="да"),IFERROR(_xlfn.XLOOKUP(A35,Щиты[Щит],Щиты[Руст, кВт]),0),SUMIFS(Линии[_Р для вводов],Линии[Щит],A35,Линии[Источник для режимов],GF35)),IF(BO35&gt;0,ROUND(BO35*MAX(1,N(D35)),3),""))))</f>
        <v/>
      </c>
      <c r="BR35">
        <f t="shared" ref="BR35:BR66" si="152">IF(TRIM(E35&amp;"")="",BQ35,E35)</f>
        <v>0.25</v>
      </c>
      <c r="BS35" s="6">
        <f>IF(B35="","",IF(BH35&lt;&gt;"",IFERROR(_xlfn.XLOOKUP(BH35,Щиты[Щит],Щиты[Руст, кВт]),0),N(BR35)))</f>
        <v>0.25</v>
      </c>
      <c r="BT35">
        <f>IF(B35="","",IFERROR(IF(VLOOKUP(BC35,Потребители_обозначение,8,FALSE)=0,"",VLOOKUP(BC35,Потребители_обозначение,8,FALSE)),""))</f>
        <v>230</v>
      </c>
      <c r="BU35">
        <f t="shared" ref="BU35:BU66" si="153">IF(TRIM(AA35&amp;"")="",BT35,AA35)</f>
        <v>230</v>
      </c>
      <c r="BV35">
        <f t="shared" ref="BV35:BV66" si="154">IF(B35="",0,IF(AND(N(BU35)&gt;0,N(BU35)&lt;=50),1,0))</f>
        <v>0</v>
      </c>
      <c r="BW35">
        <f>IF(B35="","",IF(BH35&lt;&gt;"",3,IFERROR(IF(N(VLOOKUP(BC35,Потребители_обозначение,9,FALSE))=0,1,VLOOKUP(BC35,Потребители_обозначение,9,FALSE)),1)))</f>
        <v>1</v>
      </c>
      <c r="BX35">
        <f t="shared" ref="BX35:BX66" si="155">IF(B35="","",IF(TRIM(Z35&amp;"")="",BW35,N(Z35)))</f>
        <v>1</v>
      </c>
      <c r="BY35" t="str">
        <f>IF(B35="","",_xlfn.LET(_xlpm.bc,IFERROR(IF(VLOOKUP(BC35,Потребители_обозначение,6,FALSE)=0,"",VLOOKUP(BC35,Потребители_обозначение,6,FALSE)&amp;""),""),IF(AND(GA35="да",OR(_xlpm.bc="",_xlpm.bc="мс")),Марка_пож,IF(AND(_xlpm.bc="",BH35&lt;&gt;""),"мс",_xlpm.bc))))</f>
        <v>мс</v>
      </c>
      <c r="BZ35" t="str">
        <f t="shared" ref="BZ35:BZ66" si="156">IF(TRIM(AN35&amp;"")="",BY35,AN35)</f>
        <v>мс</v>
      </c>
      <c r="CA35">
        <f>IF(B35="","",_xlfn.LET(_xlpm.cc,IFERROR(N(VLOOKUP(BC35,Потребители_обозначение,7,FALSE)),0),IF(_xlpm.cc&gt;0,_xlpm.cc,IF(BZ35="","",IF(BV35=1,2,IF(N(BX35)=3,5,3))))))</f>
        <v>3</v>
      </c>
      <c r="CB35">
        <f t="shared" ref="CB35:CB66" si="157">IF(TRIM(AO35&amp;"")="",CA35,AO35)</f>
        <v>3</v>
      </c>
      <c r="CC35">
        <f>IFERROR(N(VLOOKUP(BC35,Потребители_обозначение,10,FALSE)),0)</f>
        <v>1.5</v>
      </c>
      <c r="CD35">
        <f>IFERROR(VLOOKUP(BC35,Потребители_обозначение,5,FALSE),0)</f>
        <v>1</v>
      </c>
      <c r="CE35" s="6" cm="1">
        <f t="array" ref="CE35">IF(B35="","",IF(BH35&lt;&gt;"",IFERROR(_xlfn.XLOOKUP(BH35,Щиты[Щит],Щиты[cos φ]),0.95),IF(BP35=1,IFERROR(_xlfn.XLOOKUP(A35,Щиты[Щит],Щиты[cos φ]),0.95),IF(ISNUMBER(AD35),AD35,IFERROR(IF(CD35=2,_xlfn.IFS(BX35=3,VLOOKUP(BS35,Справочная_двигатели,8,FALSE),BX35=1,VLOOKUP(BS35,Справочная_двигатели,10,TRUE)),IF(AND(Методика="нормы 2026",FG35="Сил"),0.8,0.95)),0.95)))))</f>
        <v>0.95</v>
      </c>
      <c r="CF35">
        <f t="shared" ref="CF35:CF57" si="158">IF(OR(TRIM(F35&amp;"")="гр",TRIM(F35&amp;"")="=",TRIM(F35&amp;"")="^",TRIM(F35&amp;"")="↑"),1,0)</f>
        <v>1</v>
      </c>
      <c r="CG35">
        <f t="shared" ref="CG35:CG66" si="159">IF(AND(B35&lt;&gt;"",CF35=0),1,0)</f>
        <v>0</v>
      </c>
      <c r="CH35">
        <f t="shared" ref="CH35:CH57" si="160">IF(B35="",0,IF(TRIM(F35&amp;"")="узо",1,0))</f>
        <v>0</v>
      </c>
      <c r="CI35">
        <f>IF(B35="","",IF(BV35=1,IFERROR(BS35/((Uн_лин/SQRT(3))*MAX(0.5,N(CE35))),0),N(O35)))</f>
        <v>1.1395071102426824</v>
      </c>
      <c r="CJ35">
        <f t="shared" ref="CJ35:CJ57" si="161">IF(AND(A36=A35,AJ36&lt;&gt;"вручную",OR(B36="",CF36=1)),IF(B36="",0,N(CI36))+N(CJ36),0)</f>
        <v>0</v>
      </c>
      <c r="CK35">
        <f t="shared" ref="CK35:CK57" si="162">IF(AND(A36=A35,AJ36&lt;&gt;"вручную",OR(B36="",CF36=1)),IF(B36="",0,N(BS36))+N(CK36),0)</f>
        <v>0</v>
      </c>
      <c r="CL35">
        <f t="shared" ref="CL35:CL57" si="163">IF(AND(A36=A35,AJ36&lt;&gt;"вручную",OR(B36="",CF36=1)),MAX(IF(B36="",0,N(BX36)),N(CL36)),0)</f>
        <v>0</v>
      </c>
      <c r="CM35">
        <f t="shared" ref="CM35:CM57" si="164">IF(AND(A36=A35,AJ36&lt;&gt;"вручную",OR(B36="",CF36=1)),MAX(IF(B36="",0,N(DB36)),N(CM36)),0)</f>
        <v>0</v>
      </c>
      <c r="CN35">
        <f t="shared" ref="CN35:CN57" si="165">IF(AND(A36=A35,AJ36&lt;&gt;"вручную",OR(B36="",CF36=1)),_xlfn.LET(_xlpm.a_,IF(B36="",0,N(CZ36)),_xlpm.b_,N(CN36),IF(_xlpm.a_=0,_xlpm.b_,IF(_xlpm.b_=0,_xlpm.a_,MIN(_xlpm.a_,_xlpm.b_)))),0)</f>
        <v>0</v>
      </c>
      <c r="CO35">
        <f>IF(BC35="",0,_xlfn.LET(_xlpm.v,IFERROR(_xlfn.XLOOKUP(B35,Коды_код,Коды_мА),IFERROR(_xlfn.XLOOKUP(BC35,Коды_код,Коды_мА),IFERROR(_xlfn.XLOOKUP(LEFT(BC35,2),Коды_код,Коды_мА),""))),IF(_xlpm.v="да",30,IF(ISNUMBER(_xlpm.v),_xlpm.v,0))))</f>
        <v>0</v>
      </c>
      <c r="CP35" t="str">
        <f t="shared" ref="CP35:CP66" si="166">IF(B35="","",IF(N(CO35)&gt;0,CO35,""))</f>
        <v/>
      </c>
      <c r="CQ35" t="str">
        <f>_xlfn.LET(_xlpm.k,IFERROR(_xlfn.XLOOKUP(BC35,Коды_код,Коды_утечка)&amp;"",""),IF(_xlpm.k="","дифавтомат",_xlpm.k))</f>
        <v>дифавтомат</v>
      </c>
      <c r="CR35" t="str" cm="1">
        <f t="array" ref="CR35">IF(CG35=0,"",_xlfn.LET(_xlpm.sg,TRIM(_xlfn.TEXTSPLIT(DD35&amp;"",";")),_xlpm.f_,_xlfn._xlws.FILTER(_xlpm.sg,LEFT(_xlpm.sg,3)="УЗО",""),IFERROR(INDEX(_xlpm.f_,1)&amp;"","")))</f>
        <v/>
      </c>
      <c r="CS35" t="str">
        <f t="shared" ref="CS35:CS66" si="167">IF(B35="",IF(OR(OR(BA35=1,A35&lt;&gt;A34),AJ35="вручную"),"",IF(BA35=1,"",CS34)),IF(CG35=1,IF(CH35=1,IF(OR(BA35=1,A35&lt;&gt;A34),"",IF(BA35=1,"",CS34)),IF(CR35&lt;&gt;"",BA35,"")),IF(AND(NOT(OR(BA35=1,A35&lt;&gt;A34)),AJ35&lt;&gt;"вручную",IF(BA35=1,"",DS34)="ok"),IF(BA35=1,"",CS34),"")))</f>
        <v/>
      </c>
      <c r="CT35" s="6" t="str" cm="1">
        <f t="array" ref="CT35">IF(CR35="","",_xlfn.LET(_xlpm.tk,_xlfn.TEXTSPLIT(UPPER(CR35)," ",,TRUE),_xlpm.a_,_xlfn._xlws.FILTER(_xlpm.tk,ISNUMBER(--LEFT(_xlpm.tk,1))*((ISNUMBER(SEARCH("А",_xlpm.tk))+ISNUMBER(SEARCH("A",_xlpm.tk)))&gt;0)*NOT(ISNUMBER(SEARCH("МА",_xlpm.tk)))*NOT(ISNUMBER(SEARCH("MA",_xlpm.tk))),""),IFERROR(--SUBSTITUTE(SUBSTITUTE(INDEX(_xlpm.a_,1),"А",""),"A",""),"")))</f>
        <v/>
      </c>
      <c r="CU35" t="str" cm="1">
        <f t="array" ref="CU35">IF(CR35="","",_xlfn.LET(_xlpm.tk,_xlfn.TEXTSPLIT(UPPER(CR35)," ",,TRUE),_xlpm.a_,_xlfn._xlws.FILTER(_xlpm.tk,ISNUMBER(--LEFT(_xlpm.tk,1))*((ISNUMBER(SEARCH("МА",_xlpm.tk))+ISNUMBER(SEARCH("MA",_xlpm.tk)))&gt;0),""),IFERROR(--SUBSTITUTE(SUBSTITUTE(INDEX(_xlpm.a_,1),"МА",""),"MA",""),30)))</f>
        <v/>
      </c>
      <c r="CV35" t="str">
        <f>IF(CS35="","",IFERROR(_xlfn.XLOOKUP(CS35,Линии[_n],Линии[_УЗО, мА]),30))</f>
        <v/>
      </c>
      <c r="CW35">
        <f>IF(CS35="",0,IF(ISNUMBER(SEARCH("4P",IFERROR(_xlfn.XLOOKUP(CS35,Линии[_n],Линии[_УЗО строки])&amp;"",""))),0,1))</f>
        <v>0</v>
      </c>
      <c r="CX35" t="str">
        <f>IF(AND(CS35&lt;&gt;"",CS35=BA35),SUMIFS(Линии[_ток на 230 В],Линии[_блок УЗО],BA35,Линии[Щит],A35),"")</f>
        <v/>
      </c>
      <c r="CY35" t="str">
        <f>IF(AND(CS35&lt;&gt;"",CS35=BA35),SUMIFS(Линии[_ток утечки линии, мА],Линии[_блок УЗО],BA35,Линии[Щит],A35),"")</f>
        <v/>
      </c>
      <c r="CZ35">
        <f t="shared" ref="CZ35:CZ57" si="168">IF(B35="",0,_xlfn.LET(_xlpm.v,IF(TRIM(Y35&amp;"")="",CP35,Y35),_xlpm.nm,IF(_xlpm.v&amp;""="нет",0,IF(_xlpm.v&amp;""="да",30,IFERROR(--_xlpm.v,0))),IF(OR(CQ35="УЗО на группу",CS35&lt;&gt;""),0,_xlpm.nm)))</f>
        <v>0</v>
      </c>
      <c r="DA35" t="str">
        <f t="shared" ref="DA35:DA66" si="169">IF(CG35=0,"",_xlfn.LET(_xlpm.a_,N(CZ35),_xlpm.b_,IF(AJ35="вручную",0,N(CN35)),IF(_xlpm.a_=0,_xlpm.b_,IF(_xlpm.b_=0,_xlpm.a_,MIN(_xlpm.a_,_xlpm.b_)))))</f>
        <v/>
      </c>
      <c r="DB35">
        <f>IF(B35="",0,IFERROR(--_xlfn.XLOOKUP(B35,Коды_код,Коды_минавт),IFERROR(--_xlfn.XLOOKUP(BC35,Коды_код,Коды_минавт),IFERROR(--_xlfn.XLOOKUP(LEFT(BC35,2),Коды_код,Коды_минавт),0))))</f>
        <v>10</v>
      </c>
      <c r="DC35" t="str">
        <f>IF(B35="","",IFERROR(_xlfn.XLOOKUP(BC35,Коды_код,Коды_апп)&amp;"",""))</f>
        <v/>
      </c>
      <c r="DD35" t="str">
        <f t="shared" ref="DD35:DD66" si="170">IF(TRIM(I35&amp;"")="",DC35,I35)</f>
        <v/>
      </c>
      <c r="DE35" t="str" cm="1">
        <f t="array" ref="DE35">IF(TRIM(DD35&amp;"")="","",IFERROR(TRIM(INDEX(_xlfn.TEXTSPLIT(DD35&amp;";;;",";"),1)),""))</f>
        <v/>
      </c>
      <c r="DF35" t="str" cm="1">
        <f t="array" ref="DF35">IF(TRIM(DD35&amp;"")="","",IFERROR(TRIM(INDEX(_xlfn.TEXTSPLIT(DD35&amp;";;;",";"),2)),""))</f>
        <v/>
      </c>
      <c r="DG35" t="str" cm="1">
        <f t="array" ref="DG35">IF(TRIM(DD35&amp;"")="","",IFERROR(TRIM(INDEX(_xlfn.TEXTSPLIT(DD35&amp;";;;",";"),3)),""))</f>
        <v/>
      </c>
      <c r="DH35">
        <f t="shared" ref="DH35:DH57" si="171">IF(DD35="",0,IF(OR(LEFT(DE35,2)="T ",LEFT(DE35,2)="Т ",ISNUMBER(SEARCH("БП",DD35)),ISNUMBER(SEARCH("; T ",DD35)),ISNUMBER(SEARCH("; Т ",DD35))),1,0))</f>
        <v>0</v>
      </c>
      <c r="DI35" t="str">
        <f>IF(B35="","",_xlfn.LET(_xlpm.t,LOWER(AZ35&amp;""),IF(ISNUMBER(SEARCH("dim",_xlpm.t)),"DIM",IF(ISNUMBER(SEARCH("dali",_xlpm.t)),"DALI",IF(OR(ISNUMBER(SEARCH("relay",_xlpm.t)),ISNUMBER(SEARCH("реле",_xlpm.t))),"Relay",IF(ISNUMBER(SEARCH("кнопк",_xlpm.t)),"",IFERROR(_xlfn.XLOOKUP(BC35,Коды_код,Коды_упр)&amp;"","")))))))</f>
        <v/>
      </c>
      <c r="DJ35" t="str">
        <f t="shared" ref="DJ35:DJ66" si="172">IF(TRIM(H35&amp;"")="",DI35,H35)</f>
        <v/>
      </c>
      <c r="DK35">
        <f>IF(B35="","",_xlfn.LET(_xlpm.ig,IF(N(CX35)&gt;0,N(CX35),N(CI35)+IF(AJ35="вручную",0,N(CJ35))),_xlpm.n0,IFERROR(VLOOKUP(_xlpm.ig,Автомат_номиналы,2,TRUE),0),_xlpm.mn,MAX(DB35,IF(AJ35="вручную",0,N(CM35))),MAX(_xlpm.n0,_xlpm.mn,IF(DH35=1,Мин_автомат_БП,0))))</f>
        <v>10</v>
      </c>
      <c r="DL35">
        <f t="shared" ref="DL35:DL57" si="173">IF(B35="","",MAX(N(BX35),IF(AJ35="вручную",0,N(CL35))))</f>
        <v>1</v>
      </c>
      <c r="DM35" t="str">
        <f t="shared" ref="DM35:DM66" si="174">IF(B35="","",IF(N(DL35)&gt;=3,IF(N(DA35)&gt;0,"4P","3P"),IF(N(DA35)&gt;0,"2P","1P")))</f>
        <v>1P</v>
      </c>
      <c r="DN35" t="str">
        <f>_xlfn.LET(_xlpm.cc,UPPER(TRIM(IFERROR(_xlfn.XLOOKUP(BC35,Коды_код,Коды_хар)&amp;"",""))),IF(OR(_xlpm.cc="B",_xlpm.cc="В"),"B",IF(_xlpm.cc="D","D","С")))</f>
        <v>С</v>
      </c>
      <c r="DO35" t="str">
        <f t="shared" ref="DO35:DO66" si="175">IF(B35="","",IF(CG35=0,IF(AND(AND(NOT(OR(BA35=1,A35&lt;&gt;A34)),AJ35&lt;&gt;"вручную",IF(BA35=1,"",DS34)="ok"),IF(BA35=1,"",DU34)&lt;&gt;""),"↑ "&amp;IF(BA35=1,"",DU34),""),IF(N(DK35)=0,"",DM35&amp;" "&amp;DN35&amp;DK35&amp;"А"&amp;IF(N(DA35)&gt;0," "&amp;DA35&amp;"мА",""))))</f>
        <v>↑ 1P С10А</v>
      </c>
      <c r="DP35" t="str">
        <f t="shared" ref="DP35:DP66" si="176">IF(TRIM(G35&amp;"")="",DO35,G35)</f>
        <v>↑ 1P С10А</v>
      </c>
      <c r="DQ35" t="str">
        <f t="shared" ref="DQ35:DQ66" si="177">IF(CG35=0,"",_xlfn.LET(_xlpm.v,TRIM(DP35&amp;""),IF(_xlpm.v="","",IF(ISNUMBER(--_xlpm.v),DM35&amp;" "&amp;DN35&amp;(--_xlpm.v)&amp;"А"&amp;IF(N(DA35)&gt;0," "&amp;DA35&amp;"мА",""),IF(ISNUMBER(SEARCH("P",UPPER(_xlpm.v))),_xlpm.v,DM35&amp;" "&amp;_xlpm.v)))))</f>
        <v/>
      </c>
      <c r="DR35" t="str" cm="1">
        <f t="array" ref="DR35">IF(DQ35="","",_xlfn.LET(_xlpm.t,SUBSTITUTE(SUBSTITUTE(SUBSTITUTE(UPPER(DQ35),"С","C"),"А","A"),"В","B"),_xlpm.tk,_xlfn.TEXTSPLIT(_xlpm.t," "),_xlpm.f,_xlfn._xlws.FILTER(_xlpm.tk,ISNUMBER(--MID(_xlpm.tk,2,1))*ISNUMBER(SEARCH(LEFT(_xlpm.tk,1)&amp;"#","B#C#D#"))*(LEN(_xlpm.tk)&gt;1),""),_xlpm.x,INDEX(_xlpm.f,1),IFERROR(--SUBSTITUTE(MID(_xlpm.x,2,9),"A",""),IFERROR(--SUBSTITUTE(INDEX(_xlfn._xlws.FILTER(_xlpm.tk,ISNUMBER(--SUBSTITUTE(_xlpm.tk,"A","")),""),1),"A",""),""))))</f>
        <v/>
      </c>
      <c r="DS35" t="str">
        <f t="shared" ref="DS35:DS57" si="178">IF(CG35=1,IF(AJ35="вручную","узел","ok"),IF(OR(OR(BA35=1,A35&lt;&gt;A34),AJ35="вручную"),"",IF(BA35=1,"",DS34)))</f>
        <v>ok</v>
      </c>
      <c r="DT35">
        <f t="shared" ref="DT35:DT57" si="179">IF(CG35=1,DR35,IF(AND(NOT(OR(BA35=1,A35&lt;&gt;A34)),AJ35&lt;&gt;"вручную",IF(BA35=1,"",DS34)="ok"),IF(BA35=1,"",DT34),""))</f>
        <v>10</v>
      </c>
      <c r="DU35" t="str">
        <f t="shared" ref="DU35:DU57" si="180">IF(CG35=1,DQ35,IF(AND(NOT(OR(BA35=1,A35&lt;&gt;A34)),AJ35&lt;&gt;"вручную",IF(BA35=1,"",DS34)="ok"),IF(BA35=1,"",DU34),""))</f>
        <v>1P С10А</v>
      </c>
      <c r="DV35">
        <f t="shared" ref="DV35:DV57" si="181">IF(CG35=1,DA35,IF(AND(NOT(OR(BA35=1,A35&lt;&gt;A34)),AJ35&lt;&gt;"вручную",IF(BA35=1,"",DS34)="ok"),IF(BA35=1,"",DV34),""))</f>
        <v>0</v>
      </c>
      <c r="DW35">
        <f t="shared" ref="DW35:DW66" si="182">IF(OR(N(DV35)&gt;0,CS35&lt;&gt;""),1,0)</f>
        <v>0</v>
      </c>
      <c r="DX35">
        <f t="shared" ref="DX35:DX57" si="183">IF(CG35=1,DH35,IF(AND(NOT(OR(BA35=1,A35&lt;&gt;A34)),AJ35&lt;&gt;"вручную",IF(BA35=1,"",DS34)="ok"),N(IF(BA35=1,"",DX34)),0))</f>
        <v>0</v>
      </c>
      <c r="DY35" t="str">
        <f t="shared" ref="DY35:DY57" si="184">IF(CG35=1,IF(N(CX35)&gt;0,N(CX35),N(CI35)+IF(AJ35="вручную",0,N(CJ35))),"")</f>
        <v/>
      </c>
      <c r="DZ35">
        <f t="shared" ref="DZ35:DZ57" si="185">IF(N(CB35)=1,1,IF(BX35=1,1,IF(N(CB35)&gt;=4,0.92,1)))</f>
        <v>1</v>
      </c>
      <c r="EA35">
        <f>IF(ISNUMBER(AP35),AP35,К_прокл)</f>
        <v>1</v>
      </c>
      <c r="EB35">
        <f t="shared" ref="EB35:EB57" si="186">IF(N(CB35)=1,1,IF(BX35=1,2,3))</f>
        <v>2</v>
      </c>
      <c r="EC35">
        <f>IFERROR(N(VLOOKUP(BZ35,Кабель_обозначение,3,FALSE)),1)</f>
        <v>1</v>
      </c>
      <c r="ED35">
        <f>IFERROR(N(_xlfn.XLOOKUP(A35,Щиты[Щит],Щиты[ΔU до шин, %])),0)</f>
        <v>1.0560288498727977</v>
      </c>
      <c r="EE35">
        <f>IFERROR(_xlfn.XLOOKUP(A35,Щиты[Щит],Щиты[Zпетли на шинах, Ом]),"")</f>
        <v>0.28247829354840204</v>
      </c>
      <c r="EF35">
        <f>IFERROR(N(_xlfn.XLOOKUP(A35,Щиты[Щит],Щиты[ΔU до шин (подбор), %])),0)</f>
        <v>1.0560288498727977</v>
      </c>
      <c r="EG35">
        <f>IFERROR(_xlfn.XLOOKUP(A35,Щиты[Щит],Щиты[Zпетли на шинах (подбор), Ом]),"")</f>
        <v>0.28247829354840204</v>
      </c>
      <c r="EH35" t="str">
        <f t="shared" ref="EH35:EH57" si="187">IF(COUNT(AV35,AW35)=0,"",ROUNDUP(SUM(AV35,AW35),0))</f>
        <v/>
      </c>
      <c r="EI35">
        <f t="shared" ref="EI35:EI66" si="188">IF(TRIM(K35&amp;"")="",EH35,K35)</f>
        <v>11</v>
      </c>
      <c r="EJ35">
        <f t="shared" ref="EJ35:EJ57" si="189">IF(BX35=1,2,IF(BX35=3,1,""))</f>
        <v>2</v>
      </c>
      <c r="EK35">
        <f t="shared" ref="EK35:EK57" si="190">IFERROR(ROUND(SIN(ACOS(CE35)),2),"")</f>
        <v>0.31</v>
      </c>
      <c r="EL35" s="6">
        <f>IF(B35="","",IF(BV35=1,dU_LED,IF(IFERROR(_xlfn.XLOOKUP(BC35,Коды_код,Коды_уго),"")="Светильник",3,4)+IF(Методика="нормы 2026",MIN(0.5,MAX(0,N(P35)-100)*0.005),0)))</f>
        <v>3</v>
      </c>
      <c r="EM35" cm="1">
        <f t="array" ref="EM35">IF(OR(B35="",BZ35="",EC35&lt;&gt;1),"",_xlfn.LET(_xlpm.sz,Iдоп_S,_xlpm.t_,CHOOSE(EB35,Iдоп_1ж,Iдоп_2ж,Iдоп_3ж)*DZ35*EA35,_xlpm.dcx,BV35=1,_xlpm.inn,IF(_xlpm.dcx,N(O35),N(DT35)),_xlpm.smin,MAX(1.5,CC35),_xlpm.L_,N(P35)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35)/N(BU35)*100,999),IFERROR(N(EJ35)*(_xlpm.rho*_xlpm.L_/_xlpm.sz*N(CE35)+_xlpm.xx*_xlpm.L_*N(EK35)/1000)*N(O35)/((Uн_лин/SQRT(3))*1000)*100,999)),_xlpm.kz,IF(OR(_xlpm.dcx,DW35=1,NOT(ISNUMBER(EG35)),_xlpm.L_=0,_xlpm.inn=0),1,IFERROR(--(c_min*(Uн_лин*1000/SQRT(3))/(EG35+2*ρкз_Cu*_xlpm.L_/_xlpm.sz)&gt;=HT35*_xlpm.inn),0)),_xlpm.ok,IFERROR((_xlpm.sz&gt;=_xlpm.smin)*(_xlpm.t_&gt;=_xlpm.inn)*IF(_xlpm.L_&gt;0,(_xlpm.du_+IF(_xlpm.dcx,0,EF35)&lt;=EL35+0.00001),1)*_xlpm.kz,0),_xlpm.r_,_xlfn._xlws.FILTER(_xlpm.sz,_xlpm.ok,"не подобрано"),INDEX(_xlpm.r_,1)))</f>
        <v>1.5</v>
      </c>
      <c r="EN35">
        <f t="shared" ref="EN35:EN66" si="191">IF(B35="","",IF(TRIM(J35&amp;"")="",EM35,J35))</f>
        <v>1.5</v>
      </c>
      <c r="EO35" cm="1">
        <f t="array" ref="EO35">IF(OR(B35="",BZ35="",EC35&lt;&gt;1),"",_xlfn.LET(_xlpm.sz,Iдоп_S,_xlpm.t_,CHOOSE(EB35,Iдоп_1ж,Iдоп_2ж,Iдоп_3ж)*DZ35*EA35,_xlpm.ok,IFERROR((_xlpm.sz&gt;=MAX(1.5,CC35))*(_xlpm.t_&gt;=N(DT35)),0),_xlpm.r_,_xlfn._xlws.FILTER(_xlpm.sz,_xlpm.ok,""),INDEX(_xlpm.r_,1)))</f>
        <v>1.5</v>
      </c>
      <c r="EP35" s="6" cm="1">
        <f t="array" ref="EP35">IFERROR(ROUNDUP(N(EJ35)*(_xlfn.XLOOKUP(EO35,INDEX(Кабель_сопротивление,0,1),INDEX(Кабель_сопротивление,0,3))*N(P35)/EO35*N(CE35)+_xlfn.XLOOKUP(EO35,INDEX(Кабель_сопротивление,0,1),INDEX(Кабель_сопротивление,0,2))*N(P35)*N(EK35)/1000)*N(O35)/((Uн_лин/SQRT(3))*1000)*100,2),"")</f>
        <v>0.17</v>
      </c>
      <c r="EQ35">
        <f>IFERROR(2*ρкз_Cu*N(P35)/EO35,"")</f>
        <v>0.42080000000000001</v>
      </c>
      <c r="ER35">
        <f>IFERROR(VLOOKUP(EN35,Кабель_сопротивление,3,FALSE),"")</f>
        <v>2.2499999999999999E-2</v>
      </c>
      <c r="ES35">
        <f>IFERROR(VLOOKUP(EN35,Кабель_сопротивление,2,FALSE),"")</f>
        <v>0.11</v>
      </c>
      <c r="ET35">
        <f t="shared" ref="ET35:ET57" si="192">IF(AR35&lt;&gt;"",AR35,IF(OR(EI35="",AT35=""),"",IF(AT35=1,MAX(0,P35-ROUNDUP(N(AW35),0)-4),ROUNDUP(N(AV35),0))))</f>
        <v>8</v>
      </c>
      <c r="EU35">
        <f t="shared" ref="EU35:EU57" si="193">IF(AS35&lt;&gt;"",AS35,IF(OR(EI35="",AT35=""),"",IF(AT35=2,MAX(0,P35-ROUNDUP(N(AV35),0)-4),ROUNDUP(N(AW35),0))))</f>
        <v>0</v>
      </c>
      <c r="EV35">
        <f t="shared" ref="EV35:EV57" si="194">IFERROR(IF(BV35=1,2*ER35*P35/EN35*O35,EJ35*(ER35*P35/EN35*CE35+ES35*P35*EK35/1000)*O35),"")</f>
        <v>0.39064400432202001</v>
      </c>
      <c r="EW35" s="6">
        <f>IFERROR(ROUNDUP(EV35/IF(BV35=1,BU35,(Uн_лин/SQRT(3))*1000)*100,2),"")</f>
        <v>0.17</v>
      </c>
      <c r="EX35" t="str">
        <f>IFERROR(VLOOKUP(BZ35,Кабель_обозначение,2,FALSE),"")</f>
        <v>ВВГнг(А)-LS</v>
      </c>
      <c r="EY35" t="str">
        <f t="shared" ref="EY35:EY66" si="195">IFERROR(IF(EC35=1,IF(ISNUMBER(EN35),EX35&amp;" ("&amp;CB35&amp;"х"&amp;EN35&amp;")",EX35),EX35),"")</f>
        <v>ВВГнг(А)-LS (3х1,5)</v>
      </c>
      <c r="EZ35" t="str">
        <f t="shared" ref="EZ35:EZ66" si="196">IF(OR(B35="",EX35="",AND(BR35&lt;&gt;"",NOT(ISNUMBER(BR35)))),"",IF(N(EN35)=0,EX35,EY35&amp;IF(N(P35)=0,"",CHAR(10)&amp;"L="&amp;P35&amp;"-"&amp;EW35&amp;"%")))</f>
        <v>ВВГнг(А)-LS (3х1,5)
L=12-0,17%</v>
      </c>
      <c r="FA35">
        <f>IFERROR(2*ρкз_Cu*P35/EN35,"")</f>
        <v>0.42080000000000001</v>
      </c>
      <c r="FB35">
        <f t="shared" ref="FB35:FB57" si="197">IFERROR(0.0175*N(P35)/EN35,"")</f>
        <v>0.14000000000000001</v>
      </c>
      <c r="FC35" s="6">
        <f>IFERROR(IF(OR(B35="",BV35=1,NOT(ISNUMBER(EN35)),N(P35)=0),"",_xlfn.XLOOKUP(A35,Щиты[Щит],Щиты[Zпетли на шинах, Ом])+FA35),"")</f>
        <v>0.7032782935484021</v>
      </c>
      <c r="FD35" s="6">
        <f>IF(ISNUMBER(FC35),c_min*(Uн_лин*1000/SQRT(3))/FC35,"")</f>
        <v>311.9577332397198</v>
      </c>
      <c r="FE35" s="6">
        <f>IFERROR(IF(OR(B35="",NOT(ISNUMBER(EN35))),"",1.05*(Uн_лин*1000/SQRT(3))/(_xlfn.XLOOKUP(A35,Щиты[Щит],Щиты[Zmax на шинах, Ом])+FB35)/1000),"")</f>
        <v>1.0771770273652874</v>
      </c>
      <c r="FF35" s="6" t="str">
        <f>IF(B35="","",IF(ISNUMBER(AC35),"Сил",IF(IFERROR(_xlfn.XLOOKUP(BC35,Коды_код,Коды_группа)&amp;"","")="","Быт",_xlfn.XLOOKUP(BC35,Коды_код,Коды_группа)&amp;"")))</f>
        <v>Быт</v>
      </c>
      <c r="FG35" s="6" t="str">
        <f t="shared" ref="FG35:FG66" si="198">IF(B35="","",IF(BH35&lt;&gt;"","Щит",IF(TRIM(AB35&amp;"")="",FF35,AB35)))</f>
        <v>Быт</v>
      </c>
      <c r="FH35" s="6">
        <f>IF(FG35="Щит","щит",IF(FG35="","",IF(FG35="Быт",IFERROR(_xlfn.XLOOKUP(A35,Щиты[Щит],Щиты[Кс быт]),1),IF(FG35="Сил",IF(ISNUMBER(AC35),AC35,IF(Методика="нормы 2026",IFERROR(_xlfn.XLOOKUP(A35,Щиты[Щит],Щиты[Кс силовых (табл. 7.5)]),1),1)),IF(OR(FG35="Пост",FG35="Отоп"),1,IF(FG35="ВНГ",0.7,0))))))</f>
        <v>0.8</v>
      </c>
      <c r="FI35">
        <f>IF(FG35="","",IF(AND(BP35=1,TRIM(AE35&amp;"")=""),IF(COUNTIFS(Линии[Щит],A35,Линии[Секция (1/2/3)],"&gt;=2")&gt;0,MIN(3,MAX(1,IFERROR(--BD35,1))),1),IFERROR(MIN(3,MAX(1,INT(--AE35))),1)))</f>
        <v>1</v>
      </c>
      <c r="FJ35">
        <f t="shared" ref="FJ35:FJ57" si="199">IF(OR(FG35="",FG35="Нет",FG35="Щит"),0,N(BS35))</f>
        <v>0.25</v>
      </c>
      <c r="FK35">
        <f t="shared" ref="FK35:FK57" si="200">IF(FG35="Быт",N(BS35),0)</f>
        <v>0.25</v>
      </c>
      <c r="FL35">
        <f t="shared" ref="FL35:FL57" si="201">IF(FG35="Сил",N(BS35)*N(FH35),0)</f>
        <v>0</v>
      </c>
      <c r="FM35">
        <f t="shared" ref="FM35:FM57" si="202">IF(FG35="Пост",N(BS35),0)</f>
        <v>0</v>
      </c>
      <c r="FN35">
        <f t="shared" ref="FN35:FN57" si="203">IF(FG35="Отоп",N(BS35),0)</f>
        <v>0</v>
      </c>
      <c r="FO35">
        <f t="shared" ref="FO35:FO57" si="204">IF(FG35="ВНГ",N(BS35)*0.7,0)</f>
        <v>0</v>
      </c>
      <c r="FP35">
        <f t="shared" ref="FP35:FP57" si="205">IF(OR(B35="",FG35="Нет"),0,N(BS35))</f>
        <v>0.25</v>
      </c>
      <c r="FQ35">
        <f t="shared" ref="FQ35:FQ57" si="206">IF(OR(B35="",FG35="Щит",FG35="Нет"),0,N(BS35))</f>
        <v>0.25</v>
      </c>
      <c r="FR35">
        <f t="shared" ref="FR35:FR57" si="207">IF(OR(B35="",FG35="Щит",FG35="Нет"),0,N(BS35)*N(CE35))</f>
        <v>0.23749999999999999</v>
      </c>
      <c r="FS35">
        <f>IF(CG35=1,IF(AND(CH35=1,CW35=1),0,IF(AND(CS35&lt;&gt;"",CS35=BA35,CW35=1),SUMIFS(Линии[_Р линии, кВт],Линии[_блок УЗО],BA35,Линии[Щит],A35),N(BS35)+IF(AJ35="вручную",0,N(CK35)))),0)</f>
        <v>0</v>
      </c>
      <c r="FT35" t="str">
        <f t="shared" ref="FT35:FT57" si="208">IF(B35="","",IF(_xlfn.ISFORMULA(L35),"",_xlfn.LET(_xlpm.v,UPPER(SUBSTITUTE(TRIM(L35&amp;"")," ","")),IF(_xlpm.v="","",IF(OR(_xlpm.v="1,2,3",_xlpm.v="L1,L2,L3",_xlpm.v="123",_xlpm.v="3Ф"),"L1,L2,L3",IF(OR(_xlpm.v="1",_xlpm.v="2",_xlpm.v="3"),"L"&amp;_xlpm.v,IF(OR(_xlpm.v="L1",_xlpm.v="L2",_xlpm.v="L3"),_xlpm.v,"")))))))</f>
        <v/>
      </c>
      <c r="FU35" t="str">
        <f>IF(B35="","",IF(CG35=0,IF(BA35=1,"",FW34),IF(AND(CH35=1,CW35=1,CS35&lt;&gt;""),IFERROR(_xlfn.XLOOKUP(CS35,Линии[_n],Линии[_фаза итог]),"L1"),IF(OR(N(DL35)&gt;=3,N(BX35)&gt;=3),"L1,L2,L3",IFERROR(_xlfn.TEXTBEFORE(_xlfn.TEXTAFTER(_xlfn.XLOOKUP(A35,Щиты[Щит],Щиты[_фазы авто]),";"&amp;BA35&amp;":"),";"),"L1")))))</f>
        <v>L3</v>
      </c>
      <c r="FV35" t="str">
        <f t="shared" ref="FV35:FV66" si="209">IF(B35="","",_xlfn.LET(_xlpm.v,UPPER(SUBSTITUTE(TRIM(L35&amp;"")," ","")),IF(_xlpm.v="",FU35,IF(OR(_xlpm.v="1,2,3",_xlpm.v="L1,L2,L3",_xlpm.v="123",_xlpm.v="3Ф"),"L1,L2,L3",IF(OR(_xlpm.v="1",_xlpm.v="2",_xlpm.v="3"),"L"&amp;_xlpm.v,IF(OR(_xlpm.v="L1",_xlpm.v="L2",_xlpm.v="L3"),_xlpm.v,IF(_xlpm.v="УПР","",_xlpm.v)))))))</f>
        <v>L3</v>
      </c>
      <c r="FW35" t="str">
        <f t="shared" ref="FW35:FW66" si="210">IF(CG35=1,FV35,IF(AND(NOT(OR(BA35=1,A35&lt;&gt;A34)),AJ35&lt;&gt;"вручную",IF(BA35=1,"",DS34)="ok"),IF(BA35=1,"",FW34),""))</f>
        <v>L3</v>
      </c>
      <c r="FX35" cm="1">
        <f t="array" ref="FX35">IFERROR(IF(CD35=2,_xlfn.IFS(BX35=3,VLOOKUP(BS35,Справочная_двигатели,3,FALSE),BX35=1,VLOOKUP(BS35,Справочная_двигатели,5,TRUE)),0),0)</f>
        <v>0</v>
      </c>
      <c r="FY35">
        <f>IFERROR(IF(CD35=3,VLOOKUP(BS35,Справочная_ЛЭД,2,TRUE),0),0)</f>
        <v>0</v>
      </c>
      <c r="FZ35" s="6">
        <f t="shared" ref="FZ35:FZ66" si="211">IF(B35="","",IF(FX35=0,FY35,FX35))</f>
        <v>0</v>
      </c>
      <c r="GA35" t="str">
        <f>IF(B35="","",IF(TRIM(AH35&amp;"")&lt;&gt;"",IF(LOWER(TRIM(AH35&amp;""))="да","да","нет"),IF(IFERROR(_xlfn.XLOOKUP(BC35,Коды_код,Коды_пожарная),"")="да","да","нет")))</f>
        <v>нет</v>
      </c>
      <c r="GB35" t="str">
        <f t="shared" ref="GB35:GB57" si="212">IF(AF35&lt;&gt;"",AF35,IF(CG35=1,"",IF(GU35="","",IF(BA35=1,"",GB34))))</f>
        <v/>
      </c>
      <c r="GC35" t="str">
        <f t="shared" ref="GC35:GC66" si="213">IF(B35="","",IF(GB35="","основная",GB35))</f>
        <v>основная</v>
      </c>
      <c r="GD35">
        <f>IF(AND(BP35=1,TRIM(AE35&amp;"")=""),IF(COUNTIFS(Линии[Щит],A35,Линии[Секция (1/2/3)],"&gt;=2")&gt;0,MIN(3,MAX(1,IFERROR(--BD35,1))),1),IFERROR(MIN(3,MAX(1,INT(--AE35))),1))</f>
        <v>1</v>
      </c>
      <c r="GE35" t="str" cm="1">
        <f t="array" ref="GE35">IF(B35="","",_xlfn.LET(_xlpm.t,IFERROR(_xlfn.XLOOKUP(1,(Шины[Шина]=GC35)*(((Шины[Щит]=A35)+(Шины[Щит]=""))&gt;0),Шины[Тип]),"")&amp;"",IF(_xlpm.t&lt;&gt;"",_xlpm.t,IF(ISNUMBER(SEARCH("ИБП",GC35)),"ИБП",IF(ISNUMBER(SEARCH("ДГУ",GC35)),"ДГУ","Ввод "&amp;GD35)))))</f>
        <v>Ввод 1</v>
      </c>
      <c r="GF35" t="str">
        <f t="shared" ref="GF35:GF66" si="214">IF(B35="","",IF(OR(GE35="ИБП",GE35="ДГУ"),GE35,IF(LEFT(GE35,5)="Ввод ",GE35,"Ввод "&amp;GD35)))</f>
        <v>Ввод 1</v>
      </c>
      <c r="GG35" t="str">
        <f>IF(BP35=0,"",IF(TRIM(AG35&amp;"")&lt;&gt;"",TRIM(AG35&amp;""),IF(OR(GE35="ИБП",GE35="ДГУ"),"I особая",_xlfn.XLOOKUP(A35,Щиты[Щит],Щиты[Категория шины «Ввод»],"III"))))</f>
        <v/>
      </c>
      <c r="GH35" t="str">
        <f>IF(A35="","",_xlfn.XLOOKUP(A35,Щиты[Щит],Щиты[Путь],""))</f>
        <v>|ВРУ|ЩР-1|</v>
      </c>
      <c r="GI35" t="str">
        <f>IF(B35="","",IF(AI35&lt;&gt;"",AI35,IF(IFERROR(_xlfn.XLOOKUP(BC35,Коды_код,Коды_вид)&amp;"","")="","Прочее",_xlfn.XLOOKUP(BC35,Коды_код,Коды_вид)&amp;"")))</f>
        <v>Рабочее освещение</v>
      </c>
      <c r="GJ35">
        <f>IF(BM35="","",INT((BM35-1)/Столбцов_на_лист)+1)</f>
        <v>1</v>
      </c>
      <c r="GK35" t="str">
        <f t="shared" ref="GK35:GK57" si="215">IF(B35="","",SUBSTITUTE(EZ35,CHAR(10)," "))</f>
        <v>ВВГнг(А)-LS (3х1,5) L=12-0,17%</v>
      </c>
      <c r="GL35">
        <f t="shared" ref="GL35:GL57" si="216">IF(B35="","",IFERROR(--BS35,""))</f>
        <v>0.25</v>
      </c>
      <c r="GM35">
        <f t="shared" ref="GM35:GM57" si="217">IF(B35="","",IFERROR(ROUNDUP(O35,2),""))</f>
        <v>1.1399999999999999</v>
      </c>
      <c r="GN35">
        <f t="shared" ref="GN35:GN57" si="218">IF(B35="","",IFERROR(--BX35,1))</f>
        <v>1</v>
      </c>
      <c r="GO35">
        <f t="shared" ref="GO35:GO57" si="219">IF(OR(AL35="+",AND(B35&lt;&gt;"",B35=IF(BA35=1,"",B34))),1,0)</f>
        <v>0</v>
      </c>
      <c r="GP35">
        <f t="shared" ref="GP35:GP57" si="220">IF(OR(BM35="",AJ35="вручную",AND(BN35="вводной узел",AJ35&lt;&gt;"рисовать")),0,1)</f>
        <v>1</v>
      </c>
      <c r="GQ35">
        <f>IF(BM35="","",IF(AND(CG35=1,GP35=1),COUNTIFS(A$3:A35,A35,CG$3:CG35,1,GP$3:GP35,1),IF(OR(OR(BA35=1,A35&lt;&gt;A34),AJ35="вручную",GP35=0),"",IF(BA35=1,"",GR34))))</f>
        <v>4</v>
      </c>
      <c r="GR35">
        <f t="shared" ref="GR35:GR66" si="221">IF(BM35="",IF(OR(BA35=1,A35&lt;&gt;A34),"",IF(BA35=1,"",GR34)),GQ35)</f>
        <v>4</v>
      </c>
      <c r="GS35">
        <f>IF(B35="","",IFERROR(LOOKUP(INDEX(CHOOSE(EB35,Iдоп_1ж,Iдоп_2ж,Iдоп_3ж),MATCH(EN35,Iдоп_S,0))*DZ35*EA35,{6,10,16,20,25,32,40,50,63,80,100,125,160,200,250,315,400,500,630}),""))</f>
        <v>16</v>
      </c>
      <c r="GT35" t="str">
        <f t="shared" ref="GT35:GT57" si="222">IF(AND(CG35=1,GP35=1,GQ35&lt;&gt;""),IF(N(DA35)&gt;0,"QFD","QF")&amp;GQ35,"")</f>
        <v/>
      </c>
      <c r="GU35" t="str">
        <f t="shared" ref="GU35:GU66" si="223">IF(GT35&lt;&gt;"",GT35,IF(OR(OR(BA35=1,A35&lt;&gt;A34),AJ35="вручную"),"",IF(BA35=1,"",GU34)))</f>
        <v>QF4</v>
      </c>
      <c r="GV35" t="str">
        <f t="shared" ref="GV35:GV66" si="224">IF(GT35&lt;&gt;"",_xlfn.TEXTJOIN(" → ",TRUE,DE35,DF35,DG35),IF(GU35="","",IF(BA35=1,"",GV34)))</f>
        <v/>
      </c>
      <c r="GW35">
        <f t="shared" ref="GW35:GW66" si="225">IF(GV35="",0,IF(OR(LEFT(GV35,2)="T ",LEFT(GV35,2)="Т ",ISNUMBER(SEARCH("→ T ",GV35)),ISNUMBER(SEARCH("→ Т ",GV35)),ISNUMBER(SEARCH("БП",GV35))),1,0))</f>
        <v>0</v>
      </c>
      <c r="GX35" t="str">
        <f>IF(OR(B35="",DJ35=""),"",IFERROR(_xlfn.XLOOKUP(DJ35,Модули_умолч[Управление],Модули_умолч[Модель])&amp;"",""))</f>
        <v/>
      </c>
      <c r="GY35">
        <f>IF(DJ35="",1,IFERROR(MAX(0,N(_xlfn.XLOOKUP(DJ35,Модули_умолч[Управление],Модули_умолч[Каналов на линию]))),1))</f>
        <v>1</v>
      </c>
      <c r="GZ35" t="str">
        <f t="shared" ref="GZ35:GZ57" si="226">IF(_xlfn.ISFORMULA(AK35),"",TRIM(AK35&amp;""))</f>
        <v/>
      </c>
      <c r="HA35" t="str">
        <f t="shared" ref="HA35:HA66" si="227">IF(GZ35="-","",IF(GZ35&lt;&gt;"","M",IF(AND(NOT(OR(BA35=1,A35&lt;&gt;A34)),IF(BA35=1,"",HA34)="M"),"M",IF(GX35&lt;&gt;"","A",IF(AND(NOT(OR(BA35=1,A35&lt;&gt;A34)),IF(BA35=1,"",HA34)="A",B35="",OR(AL35="р",AL35="+",AL35="=")),"A","")))))</f>
        <v>M</v>
      </c>
      <c r="HB35" t="str">
        <f t="shared" ref="HB35:HB66" si="228">IF(HA35="A",IF(GX35&lt;&gt;"",GX35,IF(BA35=1,"",HB34)),"")</f>
        <v/>
      </c>
      <c r="HC35">
        <f>IF(HB35="",0,IFERROR(N(VLOOKUP(HB35,Модули_спр,3,FALSE)),0))</f>
        <v>0</v>
      </c>
      <c r="HD35" t="str">
        <f t="shared" ref="HD35:HD66" si="229">IF(HA35="A",IF(OR(OR(BA35=1,A35&lt;&gt;A34),IF(BA35=1,"",HA34)&lt;&gt;"A",IF(BA35=1,"",HB34)&lt;&gt;HB35,AND(HC35&gt;0,GY35&gt;0,N(IF(BA35=1,"",HK34))+GY35&gt;HC35)),HB35,""),IF(AND(HA35="",NOT(OR(BA35=1,A35&lt;&gt;A34)),IF(BA35=1,"",HA34)="A",GZ35=""),"-",""))</f>
        <v/>
      </c>
      <c r="HE35" t="str">
        <f t="shared" ref="HE35:HE66" si="230">IF(GZ35&lt;&gt;"",GZ35,HD35)</f>
        <v/>
      </c>
      <c r="HF35" t="str">
        <f>IF(OR(HE35="",HE35="-"),"",IFERROR(VLOOKUP(HE35,Модули_спр,2,FALSE),"R"))</f>
        <v/>
      </c>
      <c r="HG35" t="str">
        <f>IF(HF35="","",HF35&amp;"."&amp;COUNTIFS(A$3:A35,A35,HF$3:HF35,HF35))</f>
        <v/>
      </c>
      <c r="HH35" t="str">
        <f t="shared" ref="HH35:HH66" si="231">IF(HE35="-","",IF(HG35&lt;&gt;"",HG35,IF(OR(BA35=1,A35&lt;&gt;A34),"",IF(BA35=1,"",HH34))))</f>
        <v>R.1</v>
      </c>
      <c r="HI35" t="str">
        <f t="shared" ref="HI35:HI66" si="232">IF(HH35="","",IF(AND(HE35&lt;&gt;"",HE35&lt;&gt;"-"),HE35,IF(BA35=1,"",HI34)))</f>
        <v>ZIOMB16V3</v>
      </c>
      <c r="HJ35">
        <f t="shared" ref="HJ35:HJ57" si="233">IF(AL35="=",IF(BA35=1,"",HK34),IF(ISNUMBER(AL35),AL35,IF(HH35="","",IF(OR(B35&lt;&gt;"",AL35="+",AL35="р"),IF(OR(HG35&lt;&gt;"",IF(BA35=1,"",HK34)=""),1,IF(BA35=1,"",HK34)+IF(GY35=0,0,1)),""))))</f>
        <v>4</v>
      </c>
      <c r="HK35">
        <f t="shared" ref="HK35:HK66" si="234">IF(HJ35&lt;&gt;"",MAX(HJ35,HJ35+GY35-1),IF(OR(OR(BA35=1,A35&lt;&gt;A34),HE35="-",HG35&lt;&gt;""),"",IF(BA35=1,"",HK34)))</f>
        <v>4</v>
      </c>
      <c r="HL35">
        <f t="shared" ref="HL35:HL57" si="235">IF(OR(AL35="б/к",AJ35="вручную"),0,IF(OR(EZ35&lt;&gt;"",AL35="+",AL35="="),1,0))</f>
        <v>1</v>
      </c>
      <c r="HM35" t="str">
        <f>IF(HL35=1,"XT"&amp;COUNTIFS(A$3:A35,A35,HL$3:HL35,1),"")</f>
        <v>XT8</v>
      </c>
      <c r="HN35" t="str">
        <f t="shared" ref="HN35:HN66" si="236">_xlfn.LET(_xlpm.v,TRIM(M35&amp;""),IF(_xlpm.v="нет","",IF(_xlpm.v="",HM35,_xlpm.v)))</f>
        <v>XT8</v>
      </c>
      <c r="HO35" t="str">
        <f t="shared" ref="HO35:HO57" si="237">IF(OR(B35&lt;&gt;"",HJ35&lt;&gt;"",HL35=1),GU35,"")</f>
        <v>QF4</v>
      </c>
      <c r="HP35" t="str">
        <f t="shared" ref="HP35:HP57" si="238">IF(OR(HJ35&lt;&gt;"",AND(HE35&lt;&gt;"",HE35&lt;&gt;"-")),HH35,"")</f>
        <v>R.1</v>
      </c>
      <c r="HQ35" t="str">
        <f t="shared" ref="HQ35:HQ57" si="239">IF(B35="","",IF(AND(CG35=1,DQ35&lt;&gt;"",DR35=""),"номинал автомата не распознан",IF(DT35="",IF(CF35=1,"«гр»: нет автомата выше",""),IF(AND(CG35=1,N(DY35)&gt;N(DT35)),"ПЕРЕГРУЗ",IF(AND(N(DX35)=0,ISNUMBER(GS35),N(GS35)&lt;N(DT35)),"КАБЕЛЬ НЕ ЗАЩИЩЁН","ok")))))</f>
        <v>ok</v>
      </c>
      <c r="HR35" t="str">
        <f>IF(OR(HJ35="",HH35=""),"",IF(HJ35+MAX(0,GY35-1)&gt;IFERROR(VLOOKUP(HI35,Модули_спр,3,FALSE),99),"ЛИШНИЙ КАНАЛ",IF(AND(AL35&lt;&gt;"=",GY35&gt;0,COUNTIFS(Линии[_модуль гр.],HH35,Линии[Канал (итог)],HJ35,Линии[Канал],"&lt;&gt;=",Линии[Щит],A35)&gt;1),"ДУБЛЬ КАНАЛА","")))</f>
        <v/>
      </c>
      <c r="HS35" s="6">
        <f t="shared" ref="HS35:HS57" si="240">IFERROR(IF(ISNUMBER(FD35),FD35/N(DT35),""),"")</f>
        <v>31.195773323971981</v>
      </c>
      <c r="HT35">
        <f t="shared" ref="HT35:HT57" si="241">IF(OR(ISNUMBER(SEARCH(" B"," "&amp;DU35)),ISNUMBER(SEARCH(" В"," "&amp;DU35))),5,IF(ISNUMBER(SEARCH(" D"," "&amp;DU35)),20,10))</f>
        <v>10</v>
      </c>
      <c r="HU35" t="str">
        <f t="shared" ref="HU35:HU66" si="242">IF(NOT(ISNUMBER(HS35)),"",IF(HS35&gt;=HT35,"ok",IF(N(DW35)=1,"ok (дифзащита "&amp;IF(CS35&lt;&gt;"",CV35,DV35)&amp;" мА)","мало: Iкз &lt; "&amp;HT35&amp;"·In")))</f>
        <v>ok</v>
      </c>
      <c r="HV35">
        <f t="shared" ref="HV35:HV57" si="243">IF(OR(B35="",BH35&lt;&gt;"",BP35=1),0,0.4*N(CI35)+IF(BV35=1,0,0.01*N(P35)))</f>
        <v>0.57580284409707294</v>
      </c>
      <c r="HW35">
        <f t="shared" ref="HW35:HW57" si="244">IF(AND(A36=A35,AJ36&lt;&gt;"вручную",OR(B36="",CF36=1)),IF(B36="",0,N(HV36))+N(HW36),0)</f>
        <v>0</v>
      </c>
      <c r="HX35">
        <f t="shared" ref="HX35:HX57" si="245">IF(BV35=1,N(BU35)+N(EV35),0)</f>
        <v>0</v>
      </c>
      <c r="HY35">
        <f t="shared" ref="HY35:HY57" si="246">IF(BV35=1,(N(BU35)+N(EV35))*N(O35),0)</f>
        <v>0</v>
      </c>
      <c r="HZ35">
        <f t="shared" ref="HZ35:HZ57" si="247">IF(AND(A36=A35,AJ36&lt;&gt;"вручную",OR(B36="",CF36=1)),IF(B36="",0,N(HY36))+N(HZ36),0)</f>
        <v>0</v>
      </c>
      <c r="IA35">
        <f t="shared" ref="IA35:IA57" si="248">IF(AND(A36=A35,AJ36&lt;&gt;"вручную",OR(B36="",CF36=1)),MAX(IF(B36="",0,N(HX36)),N(IA36)),0)</f>
        <v>0</v>
      </c>
      <c r="IB35">
        <f t="shared" ref="IB35:IB57" si="249">IF(AND(A36=A35,AJ36&lt;&gt;"вручную",OR(B36="",CF36=1)),IF(B36="",0,N(BV36))+N(IB36),0)</f>
        <v>0</v>
      </c>
      <c r="IC35" t="str">
        <f t="shared" ref="IC35:IC57" si="250">IF(CG35=0,"",IFERROR(TRIM(MID(DD35,SEARCH("БП",DD35),40)),""))</f>
        <v/>
      </c>
      <c r="ID35" t="str" cm="1">
        <f t="array" ref="ID35">IF(IC35="","",_xlfn.LET(_xlpm.tk,_xlfn.TEXTSPLIT(SUBSTITUTE(SUBSTITUTE(IC35,";"," "),"→"," ")," ",,TRUE),_xlpm.w_,_xlfn._xlws.FILTER(_xlpm.tk,ISNUMBER(--LEFT(_xlpm.tk,1))*((ISNUMBER(SEARCH("W",_xlpm.tk))+ISNUMBER(SEARCH("Вт",_xlpm.tk)))&gt;0),""),IFERROR(--SUBSTITUTE(SUBSTITUTE(UPPER(INDEX(_xlpm.w_,1)),"W",""),"ВТ",""),"")))</f>
        <v/>
      </c>
      <c r="IE35" t="str" cm="1">
        <f t="array" ref="IE35">IF(IC35="","",_xlfn.LET(_xlpm.tk,_xlfn.TEXTSPLIT(SUBSTITUTE(SUBSTITUTE(IC35,";"," "),"→"," ")," ",,TRUE),_xlpm.v_,_xlfn._xlws.FILTER(_xlpm.tk,ISNUMBER(--LEFT(_xlpm.tk,1))*((ISNUMBER(SEARCH("V",_xlpm.tk))+(RIGHT(UPPER(_xlpm.tk))="В"))&gt;0),""),IFERROR(--SUBSTITUTE(SUBSTITUTE(UPPER(INDEX(_xlpm.v_,1)),"V",""),"В",""),"")))</f>
        <v/>
      </c>
      <c r="IF35" s="6" t="str">
        <f>IF(OR(BV35=0,HI35="",HJ35=""),"",IFERROR(N(_xlfn.XLOOKUP(HI35,Каталог!$C$4:$C$500,Каталог!$Q$4:$Q$500)),""))</f>
        <v/>
      </c>
      <c r="IG35" s="6" t="str">
        <f>IF(N(IF35)=0,"",SUMIFS(Линии[Iр, А],Линии[Щит],A35,Линии[_модуль гр.],HH35,Линии[Канал (итог)],HJ35))</f>
        <v/>
      </c>
      <c r="IH35" t="str">
        <f>IF(AND(B35="",HO35=""),"",_xlfn.TEXTJOIN("; ",TRUE,IF(AND(B35&lt;&gt;"",FV35=""),"нет фазы",""),IF(AND(B35&lt;&gt;"",N(GL35)=0,FG35&lt;&gt;"Нет"),"нет мощности",""),IF(AND(HN35&lt;&gt;"",COUNTIFS(Линии[Щит],A35,Линии[Клемма (итог)],HN35)&gt;1),"дубль клеммы "&amp;HN35,""),IF(AND(HQ35&lt;&gt;"",HQ35&lt;&gt;"ok"),HQ35,""),IF(HR35&lt;&gt;"",HR35,""),IF(AND(N(CB35)&gt;=4,N(BX35)=1),CB35&amp;" жил на 1 фазе",""),IF(AND(BC35="R",CG35=1,IF(CS35&lt;&gt;"",N(CV35)&gt;30,OR(N(DA35)=0,N(DA35)&gt;30))),"розетка без дифзащиты до 30 мА",""),IF(AND(CG35=1,N(DA35)&gt;0,ISNUMBER(T35)),IF(T35&gt;N(DA35)/3,"ток утечки "&amp;FIXED(T35,1)&amp;" мА &gt; 1/3 уставки ("&amp;DA35&amp;" мА)",""),""),IF(AND(CH35=1,CS35=""),"«узо»: нет строки с УЗО выше (УЗО 2P 40А 30мА в «Аппаратах»)",""),IF(AND(CS35&lt;&gt;"",CS35=BA35),IF(CT35="","впишите номинал УЗО (УЗО 2P 40А 30мА)",IF(N(CT35)&lt;N(DT35),"УЗО "&amp;CT35&amp;" А &lt; автомата "&amp;DT35&amp;" А перед ним",IF(N(CT35)&lt;N(CX35),"УЗО "&amp;CT35&amp;" А &lt; тока блока "&amp;FIXED(CX35,1)&amp;" А",""))),""),IF(AND(CS35&lt;&gt;"",CS35=BA35,ISNUMBER(CY35)),IF(CY35&gt;N(CV35)/3,"ток утечки блока УЗО "&amp;FIXED(CY35,1)&amp;" мА &gt; 1/3 уставки ("&amp;CV35&amp;" мА)",""),""),IF(AND(CG35=1,N(BV35)+N(IB35)&gt;0,IC35=""),"линии до 50 В без БП: впишите в «Аппараты» (БП 24V 480W)",""),IF(AND(CG35=1,ISNUMBER(ID35),ISNUMBER(U35)),IF(U35&gt;ID35,"БП "&amp;ID35&amp;" Вт &lt; нужно "&amp;U35&amp;" Вт (×"&amp;Запас_БП&amp;")",""),""),IF(AND(CG35=1,ISNUMBER(IE35),N(BV35)=1),IF(IE35&lt;&gt;N(BU35),"БП на "&amp;IE35&amp;" В, линия "&amp;BU35&amp;" В",""),""),IF(AND(N(IF35)&gt;0,N(IG35)&gt;N(IF35)),HH35&amp;" канал "&amp;HJ35&amp;": "&amp;FIXED(IG35,1)&amp;" А &gt; "&amp;IF35&amp;" А",""),IFERROR(IF(AND(ISNUMBER(Q35),Q35&gt;EL35),"потери "&amp;FIXED(Q35,1)&amp;" % &gt; "&amp;EL35&amp;" %",""),""),IFERROR(IF(LEFT(HU35,4)="мало","Iкз мало — отключение &gt; 0,4 с",""),""),IF(AND(B35&lt;&gt;"",BM35=""),"не на схеме",""),IF(AND(CG35=0,B35&lt;&gt;"",FV35&lt;&gt;"",IF(BA35=1,"",FW34)&lt;&gt;"",FV35&lt;&gt;IF(BA35=1,"",FW34)),"фаза не как у автомата группы ("&amp;IF(BA35=1,"",FW34)&amp;")","")))</f>
        <v/>
      </c>
      <c r="II35" s="6" t="str">
        <f>IF(OR(CG35=0,DQ35=""),"",_xlfn.LET(_xlpm.t,IFERROR(_xlfn.XLOOKUP(DQ35,Каталог!$U$4:$U$500,Каталог!$G$4:$G$500),""),_xlpm.k,SEARCH("кА",_xlpm.t),IFERROR(--TRIM(RIGHT(SUBSTITUTE(MID(_xlpm.t,MAX(1,_xlpm.k-4),_xlpm.k-MAX(1,_xlpm.k-4))," ",REPT(" ",9)),5)),"")))</f>
        <v/>
      </c>
      <c r="IJ35" t="str">
        <f>IF(OR(II35="",CG35=0),"",IF(_xlfn.XLOOKUP(A35,Щиты[Щит],Щиты[Iкз max на шинах, кА],"")="","",IF(II35&lt;_xlfn.XLOOKUP(A35,Щиты[Щит],Щиты[Iкз max на шинах, кА]),"Icu "&amp;II35&amp;" кА &lt; Iкз max","ok")))</f>
        <v/>
      </c>
      <c r="IK35" t="str">
        <f t="shared" ref="IK35:IK57" si="251">IF(OR(AND(BA35&gt;1,N(BA34)&lt;&gt;BA35-1),AND(BA36&lt;&gt;"",N(BA36)&lt;&gt;BA35+1)),"строки сдвинуты (вставка или удаление) — нажмите «Починить формулы»","")</f>
        <v/>
      </c>
      <c r="IL35" t="str">
        <f t="shared" ref="IL35:IL57" si="252">IF(OR(AJ35="вручную",BM35="",AND(B35="",HN35="")),"",_xlfn.TEXTJOIN("|",TRUE,GU35,SUBSTITUTE(GV35," → ","|"),IF(HH35&lt;&gt;"",HH35&amp;IF(HJ35&lt;&gt;""," к."&amp;HJ35,""),""),HN35))</f>
        <v>QF4|R.1 к.4|XT8</v>
      </c>
      <c r="IM35" t="str">
        <f t="shared" ref="IM35:IM66" si="253">IF(IL35="","",IL35&amp;IF(B35&lt;&gt;"","|кабель "&amp;EY35&amp;" → "&amp;BJ35,""))</f>
        <v>QF4|R.1 к.4|XT8|кабель ВВГнг(А)-LS (3х1,5) → Группа освещения, пом. 03</v>
      </c>
      <c r="IN35" t="str" cm="1">
        <f t="array" ref="IN35">IF(IM35="","",_xlfn.LET(_xlpm.nd,_xlfn.TEXTSPLIT(IM35,"|"),IF(COLUMNS(_xlpm.nd)&gt;1,A35&amp;"¦"&amp;INDEX(_xlpm.nd,1)&amp;"¦"&amp;INDEX(_xlpm.nd,2),"")))</f>
        <v>ЩР-1¦QF4¦R.1 к.4</v>
      </c>
      <c r="IO35" t="str">
        <f t="shared" ref="IO35:IO66" si="254">IF(IN35="","",B35&amp;"¦"&amp;BJ35)</f>
        <v>L.1.03.1¦Группа освещения, пом. 03</v>
      </c>
      <c r="IP35" t="str" cm="1">
        <f t="array" ref="IP35">IF(IM35="","",_xlfn.LET(_xlpm.nd,_xlfn.TEXTSPLIT(IM35,"|"),IF(COLUMNS(_xlpm.nd)&gt;2,A35&amp;"¦"&amp;INDEX(_xlpm.nd,2)&amp;"¦"&amp;INDEX(_xlpm.nd,3),"")))</f>
        <v>ЩР-1¦R.1 к.4¦XT8</v>
      </c>
      <c r="IQ35" t="str">
        <f t="shared" ref="IQ35:IQ66" si="255">IF(IP35="","",B35&amp;"¦"&amp;BJ35)</f>
        <v>L.1.03.1¦Группа освещения, пом. 03</v>
      </c>
      <c r="IR35" t="str" cm="1">
        <f t="array" ref="IR35">IF(IM35="","",_xlfn.LET(_xlpm.nd,_xlfn.TEXTSPLIT(IM35,"|"),IF(COLUMNS(_xlpm.nd)&gt;3,A35&amp;"¦"&amp;INDEX(_xlpm.nd,3)&amp;"¦"&amp;INDEX(_xlpm.nd,4),"")))</f>
        <v>ЩР-1¦XT8¦кабель ВВГнг(А)-LS (3х1,5) → Группа освещения, пом. 03</v>
      </c>
      <c r="IS35" t="str">
        <f t="shared" ref="IS35:IS66" si="256">IF(IR35="","",B35&amp;"¦"&amp;BJ35)</f>
        <v>L.1.03.1¦Группа освещения, пом. 03</v>
      </c>
      <c r="IT35" t="str" cm="1">
        <f t="array" ref="IT35">IF(IM35="","",_xlfn.LET(_xlpm.nd,_xlfn.TEXTSPLIT(IM35,"|"),IF(COLUMNS(_xlpm.nd)&gt;4,A35&amp;"¦"&amp;INDEX(_xlpm.nd,4)&amp;"¦"&amp;INDEX(_xlpm.nd,5),"")))</f>
        <v/>
      </c>
      <c r="IU35" t="str">
        <f t="shared" ref="IU35:IU66" si="257">IF(IT35="","",B35&amp;"¦"&amp;BJ35)</f>
        <v/>
      </c>
      <c r="IV35" t="str" cm="1">
        <f t="array" ref="IV35">IF(IM35="","",_xlfn.LET(_xlpm.nd,_xlfn.TEXTSPLIT(IM35,"|"),IF(COLUMNS(_xlpm.nd)&gt;5,A35&amp;"¦"&amp;INDEX(_xlpm.nd,5)&amp;"¦"&amp;INDEX(_xlpm.nd,6),"")))</f>
        <v/>
      </c>
      <c r="IW35" t="str">
        <f t="shared" ref="IW35:IW66" si="258">IF(IV35="","",B35&amp;"¦"&amp;BJ35)</f>
        <v/>
      </c>
      <c r="IX35" t="str" cm="1">
        <f t="array" ref="IX35">IF(IM35="","",_xlfn.LET(_xlpm.nd,_xlfn.TEXTSPLIT(IM35,"|"),IF(COLUMNS(_xlpm.nd)&gt;6,A35&amp;"¦"&amp;INDEX(_xlpm.nd,6)&amp;"¦"&amp;INDEX(_xlpm.nd,7),"")))</f>
        <v/>
      </c>
      <c r="IY35" t="str">
        <f t="shared" ref="IY35:IY66" si="259">IF(IX35="","",B35&amp;"¦"&amp;BJ35)</f>
        <v/>
      </c>
      <c r="IZ35" t="str">
        <f t="shared" ref="IZ35:IZ57" si="260">IF(HP35="","",HI35)</f>
        <v>ZIOMB16V3</v>
      </c>
      <c r="JA35" t="str">
        <f t="shared" ref="JA35:JA57" si="261">IF(AND(B35="",HJ35="",HN35=""),"",_xlfn.TEXTJOIN(" → ",TRUE,GU35,GV35,IF(HH35&lt;&gt;"",HH35&amp;IF(HJ35&lt;&gt;""," к."&amp;HJ35,""),IF(HJ35&lt;&gt;"","к."&amp;HJ35,"")),HN35,IF(GO35=1,"(в кабель выше)","")))</f>
        <v>QF4 → R.1 к.4 → XT8</v>
      </c>
      <c r="JB35">
        <f t="shared" ref="JB35:JB57" si="262">IF(AF35="",0,1)</f>
        <v>0</v>
      </c>
      <c r="JC35">
        <f t="shared" ref="JC35:JC57" si="263">IF(GT35="",0,IF(LEFT(GT35,3)="QFD",1,0))</f>
        <v>0</v>
      </c>
      <c r="JD35" t="str">
        <f t="shared" ref="JD35:JD57" si="264">IF(AL35="=","=",IF(AL35="+","+",IF(AL35="р","R","")))</f>
        <v/>
      </c>
      <c r="JE35" t="str">
        <f t="shared" ref="JE35:JE57" si="265">IF(DE35="","",IF(OR(LEFT(DE35,1)="T",LEFT(DE35,1)="Т"),"T",IF(LEFT(UPPER(DE35),2)="БП","PS",IF(OR(LEFT(UPPER(DE35),2)="МК",LEFT(UPPER(DE35),2)="MK"),"MK",IF(OR(LEFT(UPPER(DE35),2)="КМ",LEFT(UPPER(DE35),2)="KM"),"KM","X")))))</f>
        <v/>
      </c>
      <c r="JF35" t="str">
        <f t="shared" ref="JF35:JF57" si="266">IF(DF35="","",IF(OR(LEFT(DF35,1)="T",LEFT(DF35,1)="Т"),"T",IF(LEFT(UPPER(DF35),2)="БП","PS",IF(OR(LEFT(UPPER(DF35),2)="МК",LEFT(UPPER(DF35),2)="MK"),"MK",IF(OR(LEFT(UPPER(DF35),2)="КМ",LEFT(UPPER(DF35),2)="KM"),"KM","X")))))</f>
        <v/>
      </c>
      <c r="JG35" t="str">
        <f t="shared" ref="JG35:JG57" si="267">IF(DG35="","",IF(OR(LEFT(DG35,1)="T",LEFT(DG35,1)="Т"),"T",IF(LEFT(UPPER(DG35),2)="БП","PS",IF(OR(LEFT(UPPER(DG35),2)="МК",LEFT(UPPER(DG35),2)="MK"),"MK",IF(OR(LEFT(UPPER(DG35),2)="КМ",LEFT(UPPER(DG35),2)="KM"),"KM","X")))))</f>
        <v/>
      </c>
      <c r="JH35" t="str">
        <f>IF(B35="","",IFERROR(_xlfn.XLOOKUP(B35,Коды_код,Коды_уго),IFERROR(_xlfn.XLOOKUP(BC35,Коды_код,Коды_уго),IFERROR(_xlfn.XLOOKUP(LEFT(BC35,2),Коды_код,Коды_уго),""))))</f>
        <v>Светильник</v>
      </c>
      <c r="JI35" t="str">
        <f>IF(B35="","",IF(OR(JH35="",JH35=0),"BOX",IFERROR(IF(VLOOKUP(JH35,УГО_блоки,3,FALSE)&amp;""&lt;&gt;"",VLOOKUP(JH35,УГО_блоки,3,FALSE),VLOOKUP(JH35,УГО_блоки,2,FALSE)),JH35)))</f>
        <v>LAMP</v>
      </c>
      <c r="JJ35">
        <f t="shared" ref="JJ35:JJ57" si="268">IF(B35="",0,1)</f>
        <v>1</v>
      </c>
      <c r="JK35" t="str">
        <f>IF(DQ35="","",IF(COUNTIF(DQ$3:DQ35,DQ35)=1,MAX(JK$2:JK34)+1,""))</f>
        <v/>
      </c>
      <c r="JL35" t="str">
        <f>IF(DE35="","",IF(COUNTIF(DE$3:DE35,DE35)+COUNTIF(DF$2:DF34,DE35)+COUNTIF(DG$2:DG34,DE35)=1,MAX(JL$2:JN34)+1,""))</f>
        <v/>
      </c>
      <c r="JM35" t="str">
        <f>IF(DF35="","",IF(COUNTIF(DE$3:DE35,DF35)+COUNTIF(DF$3:DF35,DF35)+COUNTIF(DG$2:DG34,DF35)=1,MAX(JL$2:JN34,JL35)+1,""))</f>
        <v/>
      </c>
      <c r="JN35" t="str">
        <f>IF(DG35="","",IF(COUNTIF(DE$3:DE35,DG35)+COUNTIF(DF$3:DF35,DG35)+COUNTIF(DG$3:DG35,DG35)=1,MAX(JL$2:JN34,JL35,JM35)+1,""))</f>
        <v/>
      </c>
      <c r="JO35" t="str">
        <f t="shared" ref="JO35:JO57" si="269">IF(HL35=1,IFERROR(MID(GK35,FIND(" (",GK35)+2,FIND(")",GK35,FIND(" (",GK35))-FIND(" (",GK35)-2),"?"),"")</f>
        <v>3х1,5</v>
      </c>
      <c r="JP35" t="str">
        <f>IF(JO35="","",IF(COUNTIF(JO$3:JO35,JO35)=1,MAX(JP$2:JP34)+1,""))</f>
        <v/>
      </c>
      <c r="JQ35" t="str">
        <f>IF(HG35="","",COUNTIF(HG$3:HG35,"?*"))</f>
        <v/>
      </c>
      <c r="JR35" t="str">
        <f>IF(OR(HG35="",HI35=""),"",IF(COUNTIFS(HG$3:HG35,"?*",HI$3:HI35,HI35)=1,MAX(JR$2:JR34)+1,""))</f>
        <v/>
      </c>
      <c r="JS35">
        <f t="shared" ref="JS35:JS57" si="270">IF(IH35="",0,IF(OR(ISNUMBER(SEARCH("дубль",IH35)),ISNUMBER(SEARCH("ПЕРЕГРУЗ",IH35)),ISNUMBER(SEARCH("ЗАЩИЩ",IH35)),ISNUMBER(SEARCH("КАНАЛ",IH35)),ISNUMBER(SEARCH("без диф",IH35))),2,1))</f>
        <v>0</v>
      </c>
      <c r="JT35">
        <f>IF(B35="","",COUNTIF(B$3:B35,"?*"))</f>
        <v>32</v>
      </c>
      <c r="JU35">
        <f>IF(HL35&lt;&gt;1,0,_xlfn.LET(_xlpm.k,MAX(IFERROR(--_xlfn.XLOOKUP(B35,Коды_код,Коды_3L),0),IFERROR(--_xlfn.XLOOKUP(BC35,Коды_код,Коды_3L),0),IFERROR(--_xlfn.XLOOKUP(LEFT(BC35,2),Коды_код,Коды_3L),0)),IF(_xlpm.k&gt;0,_xlpm.k,IF(IFERROR(--LEFT(SUBSTITUTE(JO35,"x","х"),FIND("х",SUBSTITUTE(JO35,"x","х"))-1),3)&gt;3,Каталог!$S$9,1))))</f>
        <v>1</v>
      </c>
      <c r="JV35">
        <f t="shared" ref="JV35:JV66" si="271">IF(HL35&lt;&gt;1,0,MAX(0,IFERROR(--LEFT(SUBSTITUTE(JO35,"x","х"),FIND("х",SUBSTITUTE(JO35,"x","х"))-1),3)-3*JU35))</f>
        <v>0</v>
      </c>
      <c r="JW35" t="str">
        <f t="shared" ref="JW35:JW57" si="272">IF(CG35=1,"авто","")</f>
        <v/>
      </c>
      <c r="JX35" t="str">
        <f t="shared" ref="JX35:JX57" si="273">IF(CG35=1,IF(N(DA35)&gt;0,DA35,""),"")</f>
        <v/>
      </c>
      <c r="JY35" t="str">
        <f t="shared" ref="JY35:JY57" si="274">IF(CG35=1,IF(N(DA35)&gt;0,1,0),"")</f>
        <v/>
      </c>
      <c r="JZ35">
        <f t="shared" ref="JZ35:JZ57" si="275">SUBTOTAL(103,A35)</f>
        <v>1</v>
      </c>
    </row>
    <row r="36" spans="1:286" x14ac:dyDescent="0.3">
      <c r="A36" t="s">
        <v>947</v>
      </c>
      <c r="B36" t="s">
        <v>1215</v>
      </c>
      <c r="C36" t="str">
        <f>Линии[[#This Row],[_авто наименование]]</f>
        <v>Светодиодное освещение, пом. 01</v>
      </c>
      <c r="E36">
        <v>7.0000000000000007E-2</v>
      </c>
      <c r="G36" t="str">
        <f>Линии[[#This Row],[_авто автомат]]</f>
        <v>1P С10А</v>
      </c>
      <c r="H36" t="str">
        <f>Линии[[#This Row],[_авто управление]]</f>
        <v/>
      </c>
      <c r="I36" t="s">
        <v>700</v>
      </c>
      <c r="J36">
        <v>1.5</v>
      </c>
      <c r="K36">
        <v>8</v>
      </c>
      <c r="L36" t="str">
        <f>Линии[[#This Row],[_авто фаза]]</f>
        <v>L1</v>
      </c>
      <c r="M36" t="str">
        <f>Линии[[#This Row],[_авто клемма]]</f>
        <v>XT9</v>
      </c>
      <c r="N36" t="str">
        <f t="shared" si="138"/>
        <v/>
      </c>
      <c r="O36" s="6" cm="1">
        <f t="array" ref="O36">IF(B36="","",IF(BH36&lt;&gt;"",IFERROR(_xlfn.XLOOKUP(BH36,Щиты[Щит],Щиты[Iр, А]),""),IF(BP36=1,IF(OR(N(_xlfn.XLOOKUP(A36,Щиты[Щит],Щиты[Вводов],1))&lt;=1,LOWER(TRIM(_xlfn.XLOOKUP(A36,Щиты[Щит],Щиты[АВР],"")&amp;""))="да"),IFERROR(_xlfn.XLOOKUP(A36,Щиты[Щит],Щиты[Iр, А]),""),IFERROR(N(BS36)*_xlfn.XLOOKUP(A36,Щиты[Щит],Щиты[Кс итог])/(SQRT(3)*Uн_лин*_xlfn.XLOOKUP(A36,Щиты[Щит],Щиты[cos φ])),"")),IF(BV36=1,IFERROR(BS36*1000/BU36,""),IFERROR(_xlfn.IFS(BX36=1,BS36/((Uн_лин/SQRT(3))*CE36),BX36=3,BS36/(SQRT(3)*Uн_лин*CE36)),"")))))</f>
        <v>0.31906199086795112</v>
      </c>
      <c r="P36" s="7">
        <f>IF(B36="","",IFERROR(IF(VLOOKUP(BC36,Потребители_обозначение,4,FALSE)=1,VLOOKUP(BC36,Потребители_обозначение,3,FALSE)*(MAX(1,N(D36))*2-1)+EI36+VLOOKUP(BE36,Этаж_обозначение,3,FALSE)+VLOOKUP(BE36,Этаж_обозначение,4,FALSE),VLOOKUP(BC36,Потребители_обозначение,3,FALSE)*(MAX(1,N(D36))*2-1)+EI36),EI36))</f>
        <v>9</v>
      </c>
      <c r="Q36" s="6">
        <f t="shared" si="139"/>
        <v>1.0960288498727977</v>
      </c>
      <c r="R36" t="str">
        <f t="shared" si="140"/>
        <v>ВВГнг(А)-LS (3х1,5)</v>
      </c>
      <c r="S36" t="str">
        <f>IF(BM36="","",IF(BN36="вводной узел","узел ","")&amp;"л."&amp;(INT((BM36-1)/Столбцов_на_лист)+1)&amp;" / "&amp;(MOD(BM36-1,Столбцов_на_лист)+1))</f>
        <v>л.1 / 13</v>
      </c>
      <c r="T36" s="119">
        <f t="shared" si="141"/>
        <v>0.2</v>
      </c>
      <c r="U36" s="7" t="str">
        <f>IF(OR(CG36=0,N(BV36)+N(IB36)=0),"",ROUNDUP(Запас_БП*(N(HY36)+N(HZ36)),0))</f>
        <v/>
      </c>
      <c r="V36" s="119" t="str">
        <f t="shared" si="142"/>
        <v/>
      </c>
      <c r="W36" s="7">
        <f>IFERROR(IF(OR(B36="",BP36=1,BV36=1,NOT(ISNUMBER(EN36)),N(DT36)=0),"",MAX(0,ROUNDDOWN((c_min*(Uн_лин*1000/SQRT(3))/(HT36*N(DT36))-_xlfn.XLOOKUP(A36,Щиты[Щит],Щиты[Zпетли на шинах, Ом]))*EN36/(2*ρкз_Cu),0))),"")</f>
        <v>54</v>
      </c>
      <c r="Y36" t="str">
        <f>Линии[[#This Row],[_авто утечка]]</f>
        <v/>
      </c>
      <c r="Z36">
        <v>1</v>
      </c>
      <c r="AA36">
        <v>230</v>
      </c>
      <c r="AB36" t="str">
        <f>Линии[[#This Row],[_авто группа Кс]]</f>
        <v>Быт</v>
      </c>
      <c r="AK36" t="s">
        <v>536</v>
      </c>
      <c r="AN36" t="s">
        <v>11</v>
      </c>
      <c r="AO36">
        <v>3</v>
      </c>
      <c r="BA36" cm="1">
        <f t="array" ref="BA36">ROW()-ROW(Линии[#Headers])</f>
        <v>34</v>
      </c>
      <c r="BC36" s="6" t="str">
        <f t="shared" si="143"/>
        <v>LED</v>
      </c>
      <c r="BD36" t="str">
        <f t="shared" si="144"/>
        <v>1.01.1</v>
      </c>
      <c r="BE36" t="str">
        <f t="shared" si="145"/>
        <v>1</v>
      </c>
      <c r="BF36" t="str">
        <f t="shared" si="146"/>
        <v>01.1</v>
      </c>
      <c r="BG36" t="str">
        <f t="shared" si="147"/>
        <v>01</v>
      </c>
      <c r="BH36" t="str">
        <f>IF(X36&lt;&gt;"",X36,IF(AND(B36&lt;&gt;"",B36&lt;&gt;A36,ISNUMBER(_xlfn.XMATCH(B36,Щиты[Щит]))),B36,""))</f>
        <v/>
      </c>
      <c r="BI36" t="str" cm="1">
        <f t="array" ref="BI36">IF(B36="","",IF(BH36&lt;&gt;"","Щит "&amp;BH36,_xlfn.LET(_xlpm.nm,IFERROR(_xlfn.XLOOKUP(BC36,Коды_код,Коды_имя)&amp;"",""),_xlpm.md,IFERROR(N(_xlfn.XLOOKUP(BC36,Коды_код,Коды_режим)),1),_xlpm.ex,IF(Имя_режим="по экспликации",IFERROR(_xlfn.XLOOKUP(BE36&amp;"|"&amp;BG36,Экспликация[Этаж]&amp;"|"&amp;Экспликация[Помещение],Экспликация[Название])&amp;"",""),""),_xlpm.rm,IF(BG36="","",IF(_xlpm.ex&lt;&gt;"",". "&amp;_xlpm.ex&amp;IF(Имя_пом="нет"," ("&amp;BG36&amp;")"," (пом. "&amp;BG36&amp;")"),IF(Имя_пом="нет"," ",", пом. ")&amp;BG36)),IF(_xlpm.nm="","",IF(_xlpm.md=2,_xlpm.nm&amp;" шлейф "&amp;BE36,_xlpm.nm&amp;_xlpm.rm)))))</f>
        <v>Светодиодное освещение, пом. 01</v>
      </c>
      <c r="BJ36" t="str">
        <f t="shared" si="148"/>
        <v>Светодиодное освещение, пом. 01</v>
      </c>
      <c r="BK36">
        <f>IFERROR(_xlfn.XMATCH(A36,Щиты[Щит]),0)</f>
        <v>4</v>
      </c>
      <c r="BL36">
        <f>_xlfn.LET(_xlpm.k,IFERROR(_xlfn.XLOOKUP(A36,Щиты[Щит],Щиты[Мест под вводной узел]),""),IF(_xlpm.k="",Столбцов_на_лист,N(_xlpm.k)))</f>
        <v>3</v>
      </c>
      <c r="BM36">
        <f t="shared" si="149"/>
        <v>13</v>
      </c>
      <c r="BN36" t="str">
        <f t="shared" si="150"/>
        <v>линии</v>
      </c>
      <c r="BO36" s="6">
        <f>IFERROR(N(_xlfn.XLOOKUP(BC36,Коды_код,Коды_квт)),0)</f>
        <v>0</v>
      </c>
      <c r="BP36">
        <f t="shared" si="151"/>
        <v>0</v>
      </c>
      <c r="BQ36" t="str">
        <f>IF(B36="","",IF(BH36&lt;&gt;"",IFERROR(_xlfn.XLOOKUP(BH36,Щиты[Щит],Щиты[Руст, кВт]),0),IF(BP36=1,IF(OR(N(_xlfn.XLOOKUP(A36,Щиты[Щит],Щиты[Вводов],1))&lt;=1,LOWER(TRIM(_xlfn.XLOOKUP(A36,Щиты[Щит],Щиты[АВР],"")&amp;""))="да"),IFERROR(_xlfn.XLOOKUP(A36,Щиты[Щит],Щиты[Руст, кВт]),0),SUMIFS(Линии[_Р для вводов],Линии[Щит],A36,Линии[Источник для режимов],GF36)),IF(BO36&gt;0,ROUND(BO36*MAX(1,N(D36)),3),""))))</f>
        <v/>
      </c>
      <c r="BR36">
        <f t="shared" si="152"/>
        <v>7.0000000000000007E-2</v>
      </c>
      <c r="BS36" s="6">
        <f>IF(B36="","",IF(BH36&lt;&gt;"",IFERROR(_xlfn.XLOOKUP(BH36,Щиты[Щит],Щиты[Руст, кВт]),0),N(BR36)))</f>
        <v>7.0000000000000007E-2</v>
      </c>
      <c r="BT36" t="str">
        <f>IF(B36="","",IFERROR(IF(VLOOKUP(BC36,Потребители_обозначение,8,FALSE)=0,"",VLOOKUP(BC36,Потребители_обозначение,8,FALSE)),""))</f>
        <v/>
      </c>
      <c r="BU36">
        <f t="shared" si="153"/>
        <v>230</v>
      </c>
      <c r="BV36">
        <f t="shared" si="154"/>
        <v>0</v>
      </c>
      <c r="BW36">
        <f>IF(B36="","",IF(BH36&lt;&gt;"",3,IFERROR(IF(N(VLOOKUP(BC36,Потребители_обозначение,9,FALSE))=0,1,VLOOKUP(BC36,Потребители_обозначение,9,FALSE)),1)))</f>
        <v>1</v>
      </c>
      <c r="BX36">
        <f t="shared" si="155"/>
        <v>1</v>
      </c>
      <c r="BY36" t="str">
        <f>IF(B36="","",_xlfn.LET(_xlpm.bc,IFERROR(IF(VLOOKUP(BC36,Потребители_обозначение,6,FALSE)=0,"",VLOOKUP(BC36,Потребители_обозначение,6,FALSE)&amp;""),""),IF(AND(GA36="да",OR(_xlpm.bc="",_xlpm.bc="мс")),Марка_пож,IF(AND(_xlpm.bc="",BH36&lt;&gt;""),"мс",_xlpm.bc))))</f>
        <v>мс</v>
      </c>
      <c r="BZ36" t="str">
        <f t="shared" si="156"/>
        <v>мс</v>
      </c>
      <c r="CA36">
        <f>IF(B36="","",_xlfn.LET(_xlpm.cc,IFERROR(N(VLOOKUP(BC36,Потребители_обозначение,7,FALSE)),0),IF(_xlpm.cc&gt;0,_xlpm.cc,IF(BZ36="","",IF(BV36=1,2,IF(N(BX36)=3,5,3))))))</f>
        <v>3</v>
      </c>
      <c r="CB36">
        <f t="shared" si="157"/>
        <v>3</v>
      </c>
      <c r="CC36">
        <f>IFERROR(N(VLOOKUP(BC36,Потребители_обозначение,10,FALSE)),0)</f>
        <v>0</v>
      </c>
      <c r="CD36">
        <f>IFERROR(VLOOKUP(BC36,Потребители_обозначение,5,FALSE),0)</f>
        <v>1</v>
      </c>
      <c r="CE36" s="6" cm="1">
        <f t="array" ref="CE36">IF(B36="","",IF(BH36&lt;&gt;"",IFERROR(_xlfn.XLOOKUP(BH36,Щиты[Щит],Щиты[cos φ]),0.95),IF(BP36=1,IFERROR(_xlfn.XLOOKUP(A36,Щиты[Щит],Щиты[cos φ]),0.95),IF(ISNUMBER(AD36),AD36,IFERROR(IF(CD36=2,_xlfn.IFS(BX36=3,VLOOKUP(BS36,Справочная_двигатели,8,FALSE),BX36=1,VLOOKUP(BS36,Справочная_двигатели,10,TRUE)),IF(AND(Методика="нормы 2026",FG36="Сил"),0.8,0.95)),0.95)))))</f>
        <v>0.95</v>
      </c>
      <c r="CF36">
        <f t="shared" si="158"/>
        <v>0</v>
      </c>
      <c r="CG36">
        <f t="shared" si="159"/>
        <v>1</v>
      </c>
      <c r="CH36">
        <f t="shared" si="160"/>
        <v>0</v>
      </c>
      <c r="CI36">
        <f>IF(B36="","",IF(BV36=1,IFERROR(BS36/((Uн_лин/SQRT(3))*MAX(0.5,N(CE36))),0),N(O36)))</f>
        <v>0.31906199086795112</v>
      </c>
      <c r="CJ36">
        <f t="shared" si="161"/>
        <v>0</v>
      </c>
      <c r="CK36">
        <f t="shared" si="162"/>
        <v>0</v>
      </c>
      <c r="CL36">
        <f t="shared" si="163"/>
        <v>0</v>
      </c>
      <c r="CM36">
        <f t="shared" si="164"/>
        <v>0</v>
      </c>
      <c r="CN36">
        <f t="shared" si="165"/>
        <v>0</v>
      </c>
      <c r="CO36">
        <f>IF(BC36="",0,_xlfn.LET(_xlpm.v,IFERROR(_xlfn.XLOOKUP(B36,Коды_код,Коды_мА),IFERROR(_xlfn.XLOOKUP(BC36,Коды_код,Коды_мА),IFERROR(_xlfn.XLOOKUP(LEFT(BC36,2),Коды_код,Коды_мА),""))),IF(_xlpm.v="да",30,IF(ISNUMBER(_xlpm.v),_xlpm.v,0))))</f>
        <v>0</v>
      </c>
      <c r="CP36" t="str">
        <f t="shared" si="166"/>
        <v/>
      </c>
      <c r="CQ36" t="str">
        <f>_xlfn.LET(_xlpm.k,IFERROR(_xlfn.XLOOKUP(BC36,Коды_код,Коды_утечка)&amp;"",""),IF(_xlpm.k="","дифавтомат",_xlpm.k))</f>
        <v>дифавтомат</v>
      </c>
      <c r="CR36" t="str" cm="1">
        <f t="array" ref="CR36">IF(CG36=0,"",_xlfn.LET(_xlpm.sg,TRIM(_xlfn.TEXTSPLIT(DD36&amp;"",";")),_xlpm.f_,_xlfn._xlws.FILTER(_xlpm.sg,LEFT(_xlpm.sg,3)="УЗО",""),IFERROR(INDEX(_xlpm.f_,1)&amp;"","")))</f>
        <v/>
      </c>
      <c r="CS36" t="str">
        <f t="shared" si="167"/>
        <v/>
      </c>
      <c r="CT36" s="6" t="str" cm="1">
        <f t="array" ref="CT36">IF(CR36="","",_xlfn.LET(_xlpm.tk,_xlfn.TEXTSPLIT(UPPER(CR36)," ",,TRUE),_xlpm.a_,_xlfn._xlws.FILTER(_xlpm.tk,ISNUMBER(--LEFT(_xlpm.tk,1))*((ISNUMBER(SEARCH("А",_xlpm.tk))+ISNUMBER(SEARCH("A",_xlpm.tk)))&gt;0)*NOT(ISNUMBER(SEARCH("МА",_xlpm.tk)))*NOT(ISNUMBER(SEARCH("MA",_xlpm.tk))),""),IFERROR(--SUBSTITUTE(SUBSTITUTE(INDEX(_xlpm.a_,1),"А",""),"A",""),"")))</f>
        <v/>
      </c>
      <c r="CU36" t="str" cm="1">
        <f t="array" ref="CU36">IF(CR36="","",_xlfn.LET(_xlpm.tk,_xlfn.TEXTSPLIT(UPPER(CR36)," ",,TRUE),_xlpm.a_,_xlfn._xlws.FILTER(_xlpm.tk,ISNUMBER(--LEFT(_xlpm.tk,1))*((ISNUMBER(SEARCH("МА",_xlpm.tk))+ISNUMBER(SEARCH("MA",_xlpm.tk)))&gt;0),""),IFERROR(--SUBSTITUTE(SUBSTITUTE(INDEX(_xlpm.a_,1),"МА",""),"MA",""),30)))</f>
        <v/>
      </c>
      <c r="CV36" t="str">
        <f>IF(CS36="","",IFERROR(_xlfn.XLOOKUP(CS36,Линии[_n],Линии[_УЗО, мА]),30))</f>
        <v/>
      </c>
      <c r="CW36">
        <f>IF(CS36="",0,IF(ISNUMBER(SEARCH("4P",IFERROR(_xlfn.XLOOKUP(CS36,Линии[_n],Линии[_УЗО строки])&amp;"",""))),0,1))</f>
        <v>0</v>
      </c>
      <c r="CX36" t="str">
        <f>IF(AND(CS36&lt;&gt;"",CS36=BA36),SUMIFS(Линии[_ток на 230 В],Линии[_блок УЗО],BA36,Линии[Щит],A36),"")</f>
        <v/>
      </c>
      <c r="CY36" t="str">
        <f>IF(AND(CS36&lt;&gt;"",CS36=BA36),SUMIFS(Линии[_ток утечки линии, мА],Линии[_блок УЗО],BA36,Линии[Щит],A36),"")</f>
        <v/>
      </c>
      <c r="CZ36">
        <f t="shared" si="168"/>
        <v>0</v>
      </c>
      <c r="DA36">
        <f t="shared" si="169"/>
        <v>0</v>
      </c>
      <c r="DB36">
        <f>IF(B36="",0,IFERROR(--_xlfn.XLOOKUP(B36,Коды_код,Коды_минавт),IFERROR(--_xlfn.XLOOKUP(BC36,Коды_код,Коды_минавт),IFERROR(--_xlfn.XLOOKUP(LEFT(BC36,2),Коды_код,Коды_минавт),0))))</f>
        <v>10</v>
      </c>
      <c r="DC36" t="str">
        <f>IF(B36="","",IFERROR(_xlfn.XLOOKUP(BC36,Коды_код,Коды_апп)&amp;"",""))</f>
        <v/>
      </c>
      <c r="DD36" t="str">
        <f t="shared" si="170"/>
        <v>БП 24V 75W</v>
      </c>
      <c r="DE36" t="str" cm="1">
        <f t="array" ref="DE36">IF(TRIM(DD36&amp;"")="","",IFERROR(TRIM(INDEX(_xlfn.TEXTSPLIT(DD36&amp;";;;",";"),1)),""))</f>
        <v>БП 24V 75W</v>
      </c>
      <c r="DF36" t="str" cm="1">
        <f t="array" ref="DF36">IF(TRIM(DD36&amp;"")="","",IFERROR(TRIM(INDEX(_xlfn.TEXTSPLIT(DD36&amp;";;;",";"),2)),""))</f>
        <v/>
      </c>
      <c r="DG36" t="str" cm="1">
        <f t="array" ref="DG36">IF(TRIM(DD36&amp;"")="","",IFERROR(TRIM(INDEX(_xlfn.TEXTSPLIT(DD36&amp;";;;",";"),3)),""))</f>
        <v/>
      </c>
      <c r="DH36">
        <f t="shared" si="171"/>
        <v>1</v>
      </c>
      <c r="DI36" t="str">
        <f>IF(B36="","",_xlfn.LET(_xlpm.t,LOWER(AZ36&amp;""),IF(ISNUMBER(SEARCH("dim",_xlpm.t)),"DIM",IF(ISNUMBER(SEARCH("dali",_xlpm.t)),"DALI",IF(OR(ISNUMBER(SEARCH("relay",_xlpm.t)),ISNUMBER(SEARCH("реле",_xlpm.t))),"Relay",IF(ISNUMBER(SEARCH("кнопк",_xlpm.t)),"",IFERROR(_xlfn.XLOOKUP(BC36,Коды_код,Коды_упр)&amp;"","")))))))</f>
        <v/>
      </c>
      <c r="DJ36" t="str">
        <f t="shared" si="172"/>
        <v/>
      </c>
      <c r="DK36">
        <f>IF(B36="","",_xlfn.LET(_xlpm.ig,IF(N(CX36)&gt;0,N(CX36),N(CI36)+IF(AJ36="вручную",0,N(CJ36))),_xlpm.n0,IFERROR(VLOOKUP(_xlpm.ig,Автомат_номиналы,2,TRUE),0),_xlpm.mn,MAX(DB36,IF(AJ36="вручную",0,N(CM36))),MAX(_xlpm.n0,_xlpm.mn,IF(DH36=1,Мин_автомат_БП,0))))</f>
        <v>10</v>
      </c>
      <c r="DL36">
        <f t="shared" si="173"/>
        <v>1</v>
      </c>
      <c r="DM36" t="str">
        <f t="shared" si="174"/>
        <v>1P</v>
      </c>
      <c r="DN36" t="str">
        <f>_xlfn.LET(_xlpm.cc,UPPER(TRIM(IFERROR(_xlfn.XLOOKUP(BC36,Коды_код,Коды_хар)&amp;"",""))),IF(OR(_xlpm.cc="B",_xlpm.cc="В"),"B",IF(_xlpm.cc="D","D","С")))</f>
        <v>С</v>
      </c>
      <c r="DO36" t="str">
        <f t="shared" si="175"/>
        <v>1P С10А</v>
      </c>
      <c r="DP36" t="str">
        <f t="shared" si="176"/>
        <v>1P С10А</v>
      </c>
      <c r="DQ36" t="str">
        <f t="shared" si="177"/>
        <v>1P С10А</v>
      </c>
      <c r="DR36" cm="1">
        <f t="array" ref="DR36">IF(DQ36="","",_xlfn.LET(_xlpm.t,SUBSTITUTE(SUBSTITUTE(SUBSTITUTE(UPPER(DQ36),"С","C"),"А","A"),"В","B"),_xlpm.tk,_xlfn.TEXTSPLIT(_xlpm.t," "),_xlpm.f,_xlfn._xlws.FILTER(_xlpm.tk,ISNUMBER(--MID(_xlpm.tk,2,1))*ISNUMBER(SEARCH(LEFT(_xlpm.tk,1)&amp;"#","B#C#D#"))*(LEN(_xlpm.tk)&gt;1),""),_xlpm.x,INDEX(_xlpm.f,1),IFERROR(--SUBSTITUTE(MID(_xlpm.x,2,9),"A",""),IFERROR(--SUBSTITUTE(INDEX(_xlfn._xlws.FILTER(_xlpm.tk,ISNUMBER(--SUBSTITUTE(_xlpm.tk,"A","")),""),1),"A",""),""))))</f>
        <v>10</v>
      </c>
      <c r="DS36" t="str">
        <f t="shared" si="178"/>
        <v>ok</v>
      </c>
      <c r="DT36">
        <f t="shared" si="179"/>
        <v>10</v>
      </c>
      <c r="DU36" t="str">
        <f t="shared" si="180"/>
        <v>1P С10А</v>
      </c>
      <c r="DV36">
        <f t="shared" si="181"/>
        <v>0</v>
      </c>
      <c r="DW36">
        <f t="shared" si="182"/>
        <v>0</v>
      </c>
      <c r="DX36">
        <f t="shared" si="183"/>
        <v>1</v>
      </c>
      <c r="DY36">
        <f t="shared" si="184"/>
        <v>0.31906199086795112</v>
      </c>
      <c r="DZ36">
        <f t="shared" si="185"/>
        <v>1</v>
      </c>
      <c r="EA36">
        <f>IF(ISNUMBER(AP36),AP36,К_прокл)</f>
        <v>1</v>
      </c>
      <c r="EB36">
        <f t="shared" si="186"/>
        <v>2</v>
      </c>
      <c r="EC36">
        <f>IFERROR(N(VLOOKUP(BZ36,Кабель_обозначение,3,FALSE)),1)</f>
        <v>1</v>
      </c>
      <c r="ED36">
        <f>IFERROR(N(_xlfn.XLOOKUP(A36,Щиты[Щит],Щиты[ΔU до шин, %])),0)</f>
        <v>1.0560288498727977</v>
      </c>
      <c r="EE36">
        <f>IFERROR(_xlfn.XLOOKUP(A36,Щиты[Щит],Щиты[Zпетли на шинах, Ом]),"")</f>
        <v>0.28247829354840204</v>
      </c>
      <c r="EF36">
        <f>IFERROR(N(_xlfn.XLOOKUP(A36,Щиты[Щит],Щиты[ΔU до шин (подбор), %])),0)</f>
        <v>1.0560288498727977</v>
      </c>
      <c r="EG36">
        <f>IFERROR(_xlfn.XLOOKUP(A36,Щиты[Щит],Щиты[Zпетли на шинах (подбор), Ом]),"")</f>
        <v>0.28247829354840204</v>
      </c>
      <c r="EH36" t="str">
        <f t="shared" si="187"/>
        <v/>
      </c>
      <c r="EI36">
        <f t="shared" si="188"/>
        <v>8</v>
      </c>
      <c r="EJ36">
        <f t="shared" si="189"/>
        <v>2</v>
      </c>
      <c r="EK36">
        <f t="shared" si="190"/>
        <v>0.31</v>
      </c>
      <c r="EL36" s="6">
        <f>IF(B36="","",IF(BV36=1,dU_LED,IF(IFERROR(_xlfn.XLOOKUP(BC36,Коды_код,Коды_уго),"")="Светильник",3,4)+IF(Методика="нормы 2026",MIN(0.5,MAX(0,N(P36)-100)*0.005),0)))</f>
        <v>3</v>
      </c>
      <c r="EM36" cm="1">
        <f t="array" ref="EM36">IF(OR(B36="",BZ36="",EC36&lt;&gt;1),"",_xlfn.LET(_xlpm.sz,Iдоп_S,_xlpm.t_,CHOOSE(EB36,Iдоп_1ж,Iдоп_2ж,Iдоп_3ж)*DZ36*EA36,_xlpm.dcx,BV36=1,_xlpm.inn,IF(_xlpm.dcx,N(O36),N(DT36)),_xlpm.smin,MAX(1.5,CC36),_xlpm.L_,N(P36)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36)/N(BU36)*100,999),IFERROR(N(EJ36)*(_xlpm.rho*_xlpm.L_/_xlpm.sz*N(CE36)+_xlpm.xx*_xlpm.L_*N(EK36)/1000)*N(O36)/((Uн_лин/SQRT(3))*1000)*100,999)),_xlpm.kz,IF(OR(_xlpm.dcx,DW36=1,NOT(ISNUMBER(EG36)),_xlpm.L_=0,_xlpm.inn=0),1,IFERROR(--(c_min*(Uн_лин*1000/SQRT(3))/(EG36+2*ρкз_Cu*_xlpm.L_/_xlpm.sz)&gt;=HT36*_xlpm.inn),0)),_xlpm.ok,IFERROR((_xlpm.sz&gt;=_xlpm.smin)*(_xlpm.t_&gt;=_xlpm.inn)*IF(_xlpm.L_&gt;0,(_xlpm.du_+IF(_xlpm.dcx,0,EF36)&lt;=EL36+0.00001),1)*_xlpm.kz,0),_xlpm.r_,_xlfn._xlws.FILTER(_xlpm.sz,_xlpm.ok,"не подобрано"),INDEX(_xlpm.r_,1)))</f>
        <v>1.5</v>
      </c>
      <c r="EN36">
        <f t="shared" si="191"/>
        <v>1.5</v>
      </c>
      <c r="EO36" cm="1">
        <f t="array" ref="EO36">IF(OR(B36="",BZ36="",EC36&lt;&gt;1),"",_xlfn.LET(_xlpm.sz,Iдоп_S,_xlpm.t_,CHOOSE(EB36,Iдоп_1ж,Iдоп_2ж,Iдоп_3ж)*DZ36*EA36,_xlpm.ok,IFERROR((_xlpm.sz&gt;=MAX(1.5,CC36))*(_xlpm.t_&gt;=N(DT36)),0),_xlpm.r_,_xlfn._xlws.FILTER(_xlpm.sz,_xlpm.ok,""),INDEX(_xlpm.r_,1)))</f>
        <v>1.5</v>
      </c>
      <c r="EP36" s="6" cm="1">
        <f t="array" ref="EP36">IFERROR(ROUNDUP(N(EJ36)*(_xlfn.XLOOKUP(EO36,INDEX(Кабель_сопротивление,0,1),INDEX(Кабель_сопротивление,0,3))*N(P36)/EO36*N(CE36)+_xlfn.XLOOKUP(EO36,INDEX(Кабель_сопротивление,0,1),INDEX(Кабель_сопротивление,0,2))*N(P36)*N(EK36)/1000)*N(O36)/((Uн_лин/SQRT(3))*1000)*100,2),"")</f>
        <v>0.04</v>
      </c>
      <c r="EQ36">
        <f>IFERROR(2*ρкз_Cu*N(P36)/EO36,"")</f>
        <v>0.31559999999999999</v>
      </c>
      <c r="ER36">
        <f>IFERROR(VLOOKUP(EN36,Кабель_сопротивление,3,FALSE),"")</f>
        <v>2.2499999999999999E-2</v>
      </c>
      <c r="ES36">
        <f>IFERROR(VLOOKUP(EN36,Кабель_сопротивление,2,FALSE),"")</f>
        <v>0.11</v>
      </c>
      <c r="ET36" t="str">
        <f t="shared" si="192"/>
        <v/>
      </c>
      <c r="EU36" t="str">
        <f t="shared" si="193"/>
        <v/>
      </c>
      <c r="EV36">
        <f t="shared" si="194"/>
        <v>8.2035240907624193E-2</v>
      </c>
      <c r="EW36" s="6">
        <f>IFERROR(ROUNDUP(EV36/IF(BV36=1,BU36,(Uн_лин/SQRT(3))*1000)*100,2),"")</f>
        <v>0.04</v>
      </c>
      <c r="EX36" t="str">
        <f>IFERROR(VLOOKUP(BZ36,Кабель_обозначение,2,FALSE),"")</f>
        <v>ВВГнг(А)-LS</v>
      </c>
      <c r="EY36" t="str">
        <f t="shared" si="195"/>
        <v>ВВГнг(А)-LS (3х1,5)</v>
      </c>
      <c r="EZ36" t="str">
        <f t="shared" si="196"/>
        <v>ВВГнг(А)-LS (3х1,5)
L=9-0,04%</v>
      </c>
      <c r="FA36">
        <f>IFERROR(2*ρкз_Cu*P36/EN36,"")</f>
        <v>0.31559999999999999</v>
      </c>
      <c r="FB36">
        <f t="shared" si="197"/>
        <v>0.10500000000000002</v>
      </c>
      <c r="FC36" s="6">
        <f>IFERROR(IF(OR(B36="",BV36=1,NOT(ISNUMBER(EN36)),N(P36)=0),"",_xlfn.XLOOKUP(A36,Щиты[Щит],Щиты[Zпетли на шинах, Ом])+FA36),"")</f>
        <v>0.59807829354840203</v>
      </c>
      <c r="FD36" s="6">
        <f>IF(ISNUMBER(FC36),c_min*(Uн_лин*1000/SQRT(3))/FC36,"")</f>
        <v>366.83007000705078</v>
      </c>
      <c r="FE36" s="6">
        <f>IFERROR(IF(OR(B36="",NOT(ISNUMBER(EN36))),"",1.05*(Uн_лин*1000/SQRT(3))/(_xlfn.XLOOKUP(A36,Щиты[Щит],Щиты[Zmax на шинах, Ом])+FB36)/1000),"")</f>
        <v>1.2754858894425747</v>
      </c>
      <c r="FF36" s="6" t="str">
        <f>IF(B36="","",IF(ISNUMBER(AC36),"Сил",IF(IFERROR(_xlfn.XLOOKUP(BC36,Коды_код,Коды_группа)&amp;"","")="","Быт",_xlfn.XLOOKUP(BC36,Коды_код,Коды_группа)&amp;"")))</f>
        <v>Быт</v>
      </c>
      <c r="FG36" s="6" t="str">
        <f t="shared" si="198"/>
        <v>Быт</v>
      </c>
      <c r="FH36" s="6">
        <f>IF(FG36="Щит","щит",IF(FG36="","",IF(FG36="Быт",IFERROR(_xlfn.XLOOKUP(A36,Щиты[Щит],Щиты[Кс быт]),1),IF(FG36="Сил",IF(ISNUMBER(AC36),AC36,IF(Методика="нормы 2026",IFERROR(_xlfn.XLOOKUP(A36,Щиты[Щит],Щиты[Кс силовых (табл. 7.5)]),1),1)),IF(OR(FG36="Пост",FG36="Отоп"),1,IF(FG36="ВНГ",0.7,0))))))</f>
        <v>0.8</v>
      </c>
      <c r="FI36">
        <f>IF(FG36="","",IF(AND(BP36=1,TRIM(AE36&amp;"")=""),IF(COUNTIFS(Линии[Щит],A36,Линии[Секция (1/2/3)],"&gt;=2")&gt;0,MIN(3,MAX(1,IFERROR(--BD36,1))),1),IFERROR(MIN(3,MAX(1,INT(--AE36))),1)))</f>
        <v>1</v>
      </c>
      <c r="FJ36">
        <f t="shared" si="199"/>
        <v>7.0000000000000007E-2</v>
      </c>
      <c r="FK36">
        <f t="shared" si="200"/>
        <v>7.0000000000000007E-2</v>
      </c>
      <c r="FL36">
        <f t="shared" si="201"/>
        <v>0</v>
      </c>
      <c r="FM36">
        <f t="shared" si="202"/>
        <v>0</v>
      </c>
      <c r="FN36">
        <f t="shared" si="203"/>
        <v>0</v>
      </c>
      <c r="FO36">
        <f t="shared" si="204"/>
        <v>0</v>
      </c>
      <c r="FP36">
        <f t="shared" si="205"/>
        <v>7.0000000000000007E-2</v>
      </c>
      <c r="FQ36">
        <f t="shared" si="206"/>
        <v>7.0000000000000007E-2</v>
      </c>
      <c r="FR36">
        <f t="shared" si="207"/>
        <v>6.6500000000000004E-2</v>
      </c>
      <c r="FS36">
        <f>IF(CG36=1,IF(AND(CH36=1,CW36=1),0,IF(AND(CS36&lt;&gt;"",CS36=BA36,CW36=1),SUMIFS(Линии[_Р линии, кВт],Линии[_блок УЗО],BA36,Линии[Щит],A36),N(BS36)+IF(AJ36="вручную",0,N(CK36)))),0)</f>
        <v>7.0000000000000007E-2</v>
      </c>
      <c r="FT36" t="str">
        <f t="shared" si="208"/>
        <v/>
      </c>
      <c r="FU36" t="str">
        <f>IF(B36="","",IF(CG36=0,IF(BA36=1,"",FW35),IF(AND(CH36=1,CW36=1,CS36&lt;&gt;""),IFERROR(_xlfn.XLOOKUP(CS36,Линии[_n],Линии[_фаза итог]),"L1"),IF(OR(N(DL36)&gt;=3,N(BX36)&gt;=3),"L1,L2,L3",IFERROR(_xlfn.TEXTBEFORE(_xlfn.TEXTAFTER(_xlfn.XLOOKUP(A36,Щиты[Щит],Щиты[_фазы авто]),";"&amp;BA36&amp;":"),";"),"L1")))))</f>
        <v>L1</v>
      </c>
      <c r="FV36" t="str">
        <f t="shared" si="209"/>
        <v>L1</v>
      </c>
      <c r="FW36" t="str">
        <f t="shared" si="210"/>
        <v>L1</v>
      </c>
      <c r="FX36" cm="1">
        <f t="array" ref="FX36">IFERROR(IF(CD36=2,_xlfn.IFS(BX36=3,VLOOKUP(BS36,Справочная_двигатели,3,FALSE),BX36=1,VLOOKUP(BS36,Справочная_двигатели,5,TRUE)),0),0)</f>
        <v>0</v>
      </c>
      <c r="FY36">
        <f>IFERROR(IF(CD36=3,VLOOKUP(BS36,Справочная_ЛЭД,2,TRUE),0),0)</f>
        <v>0</v>
      </c>
      <c r="FZ36" s="6">
        <f t="shared" si="211"/>
        <v>0</v>
      </c>
      <c r="GA36" t="str">
        <f>IF(B36="","",IF(TRIM(AH36&amp;"")&lt;&gt;"",IF(LOWER(TRIM(AH36&amp;""))="да","да","нет"),IF(IFERROR(_xlfn.XLOOKUP(BC36,Коды_код,Коды_пожарная),"")="да","да","нет")))</f>
        <v>нет</v>
      </c>
      <c r="GB36" t="str">
        <f t="shared" si="212"/>
        <v/>
      </c>
      <c r="GC36" t="str">
        <f t="shared" si="213"/>
        <v>основная</v>
      </c>
      <c r="GD36">
        <f>IF(AND(BP36=1,TRIM(AE36&amp;"")=""),IF(COUNTIFS(Линии[Щит],A36,Линии[Секция (1/2/3)],"&gt;=2")&gt;0,MIN(3,MAX(1,IFERROR(--BD36,1))),1),IFERROR(MIN(3,MAX(1,INT(--AE36))),1))</f>
        <v>1</v>
      </c>
      <c r="GE36" t="str" cm="1">
        <f t="array" ref="GE36">IF(B36="","",_xlfn.LET(_xlpm.t,IFERROR(_xlfn.XLOOKUP(1,(Шины[Шина]=GC36)*(((Шины[Щит]=A36)+(Шины[Щит]=""))&gt;0),Шины[Тип]),"")&amp;"",IF(_xlpm.t&lt;&gt;"",_xlpm.t,IF(ISNUMBER(SEARCH("ИБП",GC36)),"ИБП",IF(ISNUMBER(SEARCH("ДГУ",GC36)),"ДГУ","Ввод "&amp;GD36)))))</f>
        <v>Ввод 1</v>
      </c>
      <c r="GF36" t="str">
        <f t="shared" si="214"/>
        <v>Ввод 1</v>
      </c>
      <c r="GG36" t="str">
        <f>IF(BP36=0,"",IF(TRIM(AG36&amp;"")&lt;&gt;"",TRIM(AG36&amp;""),IF(OR(GE36="ИБП",GE36="ДГУ"),"I особая",_xlfn.XLOOKUP(A36,Щиты[Щит],Щиты[Категория шины «Ввод»],"III"))))</f>
        <v/>
      </c>
      <c r="GH36" t="str">
        <f>IF(A36="","",_xlfn.XLOOKUP(A36,Щиты[Щит],Щиты[Путь],""))</f>
        <v>|ВРУ|ЩР-1|</v>
      </c>
      <c r="GI36" t="str">
        <f>IF(B36="","",IF(AI36&lt;&gt;"",AI36,IF(IFERROR(_xlfn.XLOOKUP(BC36,Коды_код,Коды_вид)&amp;"","")="","Прочее",_xlfn.XLOOKUP(BC36,Коды_код,Коды_вид)&amp;"")))</f>
        <v>Рабочее освещение</v>
      </c>
      <c r="GJ36">
        <f>IF(BM36="","",INT((BM36-1)/Столбцов_на_лист)+1)</f>
        <v>1</v>
      </c>
      <c r="GK36" t="str">
        <f t="shared" si="215"/>
        <v>ВВГнг(А)-LS (3х1,5) L=9-0,04%</v>
      </c>
      <c r="GL36">
        <f t="shared" si="216"/>
        <v>7.0000000000000007E-2</v>
      </c>
      <c r="GM36">
        <f t="shared" si="217"/>
        <v>0.32</v>
      </c>
      <c r="GN36">
        <f t="shared" si="218"/>
        <v>1</v>
      </c>
      <c r="GO36">
        <f t="shared" si="219"/>
        <v>0</v>
      </c>
      <c r="GP36">
        <f t="shared" si="220"/>
        <v>1</v>
      </c>
      <c r="GQ36">
        <f>IF(BM36="","",IF(AND(CG36=1,GP36=1),COUNTIFS(A$3:A36,A36,CG$3:CG36,1,GP$3:GP36,1),IF(OR(OR(BA36=1,A36&lt;&gt;A35),AJ36="вручную",GP36=0),"",IF(BA36=1,"",GR35))))</f>
        <v>5</v>
      </c>
      <c r="GR36">
        <f t="shared" si="221"/>
        <v>5</v>
      </c>
      <c r="GS36">
        <f>IF(B36="","",IFERROR(LOOKUP(INDEX(CHOOSE(EB36,Iдоп_1ж,Iдоп_2ж,Iдоп_3ж),MATCH(EN36,Iдоп_S,0))*DZ36*EA36,{6,10,16,20,25,32,40,50,63,80,100,125,160,200,250,315,400,500,630}),""))</f>
        <v>16</v>
      </c>
      <c r="GT36" t="str">
        <f t="shared" si="222"/>
        <v>QF5</v>
      </c>
      <c r="GU36" t="str">
        <f t="shared" si="223"/>
        <v>QF5</v>
      </c>
      <c r="GV36" t="str">
        <f t="shared" si="224"/>
        <v>БП 24V 75W</v>
      </c>
      <c r="GW36">
        <f t="shared" si="225"/>
        <v>1</v>
      </c>
      <c r="GX36" t="str">
        <f>IF(OR(B36="",DJ36=""),"",IFERROR(_xlfn.XLOOKUP(DJ36,Модули_умолч[Управление],Модули_умолч[Модель])&amp;"",""))</f>
        <v/>
      </c>
      <c r="GY36">
        <f>IF(DJ36="",1,IFERROR(MAX(0,N(_xlfn.XLOOKUP(DJ36,Модули_умолч[Управление],Модули_умолч[Каналов на линию]))),1))</f>
        <v>1</v>
      </c>
      <c r="GZ36" t="str">
        <f t="shared" si="226"/>
        <v>-</v>
      </c>
      <c r="HA36" t="str">
        <f t="shared" si="227"/>
        <v/>
      </c>
      <c r="HB36" t="str">
        <f t="shared" si="228"/>
        <v/>
      </c>
      <c r="HC36">
        <f>IF(HB36="",0,IFERROR(N(VLOOKUP(HB36,Модули_спр,3,FALSE)),0))</f>
        <v>0</v>
      </c>
      <c r="HD36" t="str">
        <f t="shared" si="229"/>
        <v/>
      </c>
      <c r="HE36" t="str">
        <f t="shared" si="230"/>
        <v>-</v>
      </c>
      <c r="HF36" t="str">
        <f>IF(OR(HE36="",HE36="-"),"",IFERROR(VLOOKUP(HE36,Модули_спр,2,FALSE),"R"))</f>
        <v/>
      </c>
      <c r="HG36" t="str">
        <f>IF(HF36="","",HF36&amp;"."&amp;COUNTIFS(A$3:A36,A36,HF$3:HF36,HF36))</f>
        <v/>
      </c>
      <c r="HH36" t="str">
        <f t="shared" si="231"/>
        <v/>
      </c>
      <c r="HI36" t="str">
        <f t="shared" si="232"/>
        <v/>
      </c>
      <c r="HJ36" t="str">
        <f t="shared" si="233"/>
        <v/>
      </c>
      <c r="HK36" t="str">
        <f t="shared" si="234"/>
        <v/>
      </c>
      <c r="HL36">
        <f t="shared" si="235"/>
        <v>1</v>
      </c>
      <c r="HM36" t="str">
        <f>IF(HL36=1,"XT"&amp;COUNTIFS(A$3:A36,A36,HL$3:HL36,1),"")</f>
        <v>XT9</v>
      </c>
      <c r="HN36" t="str">
        <f t="shared" si="236"/>
        <v>XT9</v>
      </c>
      <c r="HO36" t="str">
        <f t="shared" si="237"/>
        <v>QF5</v>
      </c>
      <c r="HP36" t="str">
        <f t="shared" si="238"/>
        <v/>
      </c>
      <c r="HQ36" t="str">
        <f t="shared" si="239"/>
        <v>ok</v>
      </c>
      <c r="HR36" t="str">
        <f>IF(OR(HJ36="",HH36=""),"",IF(HJ36+MAX(0,GY36-1)&gt;IFERROR(VLOOKUP(HI36,Модули_спр,3,FALSE),99),"ЛИШНИЙ КАНАЛ",IF(AND(AL36&lt;&gt;"=",GY36&gt;0,COUNTIFS(Линии[_модуль гр.],HH36,Линии[Канал (итог)],HJ36,Линии[Канал],"&lt;&gt;=",Линии[Щит],A36)&gt;1),"ДУБЛЬ КАНАЛА","")))</f>
        <v/>
      </c>
      <c r="HS36" s="6">
        <f t="shared" si="240"/>
        <v>36.683007000705075</v>
      </c>
      <c r="HT36">
        <f t="shared" si="241"/>
        <v>10</v>
      </c>
      <c r="HU36" t="str">
        <f t="shared" si="242"/>
        <v>ok</v>
      </c>
      <c r="HV36">
        <f t="shared" si="243"/>
        <v>0.21762479634718046</v>
      </c>
      <c r="HW36">
        <f t="shared" si="244"/>
        <v>0</v>
      </c>
      <c r="HX36">
        <f t="shared" si="245"/>
        <v>0</v>
      </c>
      <c r="HY36">
        <f t="shared" si="246"/>
        <v>0</v>
      </c>
      <c r="HZ36">
        <f t="shared" si="247"/>
        <v>0</v>
      </c>
      <c r="IA36">
        <f t="shared" si="248"/>
        <v>0</v>
      </c>
      <c r="IB36">
        <f t="shared" si="249"/>
        <v>0</v>
      </c>
      <c r="IC36" t="str">
        <f t="shared" si="250"/>
        <v>БП 24V 75W</v>
      </c>
      <c r="ID36" cm="1">
        <f t="array" ref="ID36">IF(IC36="","",_xlfn.LET(_xlpm.tk,_xlfn.TEXTSPLIT(SUBSTITUTE(SUBSTITUTE(IC36,";"," "),"→"," ")," ",,TRUE),_xlpm.w_,_xlfn._xlws.FILTER(_xlpm.tk,ISNUMBER(--LEFT(_xlpm.tk,1))*((ISNUMBER(SEARCH("W",_xlpm.tk))+ISNUMBER(SEARCH("Вт",_xlpm.tk)))&gt;0),""),IFERROR(--SUBSTITUTE(SUBSTITUTE(UPPER(INDEX(_xlpm.w_,1)),"W",""),"ВТ",""),"")))</f>
        <v>75</v>
      </c>
      <c r="IE36" cm="1">
        <f t="array" ref="IE36">IF(IC36="","",_xlfn.LET(_xlpm.tk,_xlfn.TEXTSPLIT(SUBSTITUTE(SUBSTITUTE(IC36,";"," "),"→"," ")," ",,TRUE),_xlpm.v_,_xlfn._xlws.FILTER(_xlpm.tk,ISNUMBER(--LEFT(_xlpm.tk,1))*((ISNUMBER(SEARCH("V",_xlpm.tk))+(RIGHT(UPPER(_xlpm.tk))="В"))&gt;0),""),IFERROR(--SUBSTITUTE(SUBSTITUTE(UPPER(INDEX(_xlpm.v_,1)),"V",""),"В",""),"")))</f>
        <v>24</v>
      </c>
      <c r="IF36" s="6" t="str">
        <f>IF(OR(BV36=0,HI36="",HJ36=""),"",IFERROR(N(_xlfn.XLOOKUP(HI36,Каталог!$C$4:$C$500,Каталог!$Q$4:$Q$500)),""))</f>
        <v/>
      </c>
      <c r="IG36" s="6" t="str">
        <f>IF(N(IF36)=0,"",SUMIFS(Линии[Iр, А],Линии[Щит],A36,Линии[_модуль гр.],HH36,Линии[Канал (итог)],HJ36))</f>
        <v/>
      </c>
      <c r="IH36" t="str">
        <f>IF(AND(B36="",HO36=""),"",_xlfn.TEXTJOIN("; ",TRUE,IF(AND(B36&lt;&gt;"",FV36=""),"нет фазы",""),IF(AND(B36&lt;&gt;"",N(GL36)=0,FG36&lt;&gt;"Нет"),"нет мощности",""),IF(AND(HN36&lt;&gt;"",COUNTIFS(Линии[Щит],A36,Линии[Клемма (итог)],HN36)&gt;1),"дубль клеммы "&amp;HN36,""),IF(AND(HQ36&lt;&gt;"",HQ36&lt;&gt;"ok"),HQ36,""),IF(HR36&lt;&gt;"",HR36,""),IF(AND(N(CB36)&gt;=4,N(BX36)=1),CB36&amp;" жил на 1 фазе",""),IF(AND(BC36="R",CG36=1,IF(CS36&lt;&gt;"",N(CV36)&gt;30,OR(N(DA36)=0,N(DA36)&gt;30))),"розетка без дифзащиты до 30 мА",""),IF(AND(CG36=1,N(DA36)&gt;0,ISNUMBER(T36)),IF(T36&gt;N(DA36)/3,"ток утечки "&amp;FIXED(T36,1)&amp;" мА &gt; 1/3 уставки ("&amp;DA36&amp;" мА)",""),""),IF(AND(CH36=1,CS36=""),"«узо»: нет строки с УЗО выше (УЗО 2P 40А 30мА в «Аппаратах»)",""),IF(AND(CS36&lt;&gt;"",CS36=BA36),IF(CT36="","впишите номинал УЗО (УЗО 2P 40А 30мА)",IF(N(CT36)&lt;N(DT36),"УЗО "&amp;CT36&amp;" А &lt; автомата "&amp;DT36&amp;" А перед ним",IF(N(CT36)&lt;N(CX36),"УЗО "&amp;CT36&amp;" А &lt; тока блока "&amp;FIXED(CX36,1)&amp;" А",""))),""),IF(AND(CS36&lt;&gt;"",CS36=BA36,ISNUMBER(CY36)),IF(CY36&gt;N(CV36)/3,"ток утечки блока УЗО "&amp;FIXED(CY36,1)&amp;" мА &gt; 1/3 уставки ("&amp;CV36&amp;" мА)",""),""),IF(AND(CG36=1,N(BV36)+N(IB36)&gt;0,IC36=""),"линии до 50 В без БП: впишите в «Аппараты» (БП 24V 480W)",""),IF(AND(CG36=1,ISNUMBER(ID36),ISNUMBER(U36)),IF(U36&gt;ID36,"БП "&amp;ID36&amp;" Вт &lt; нужно "&amp;U36&amp;" Вт (×"&amp;Запас_БП&amp;")",""),""),IF(AND(CG36=1,ISNUMBER(IE36),N(BV36)=1),IF(IE36&lt;&gt;N(BU36),"БП на "&amp;IE36&amp;" В, линия "&amp;BU36&amp;" В",""),""),IF(AND(N(IF36)&gt;0,N(IG36)&gt;N(IF36)),HH36&amp;" канал "&amp;HJ36&amp;": "&amp;FIXED(IG36,1)&amp;" А &gt; "&amp;IF36&amp;" А",""),IFERROR(IF(AND(ISNUMBER(Q36),Q36&gt;EL36),"потери "&amp;FIXED(Q36,1)&amp;" % &gt; "&amp;EL36&amp;" %",""),""),IFERROR(IF(LEFT(HU36,4)="мало","Iкз мало — отключение &gt; 0,4 с",""),""),IF(AND(B36&lt;&gt;"",BM36=""),"не на схеме",""),IF(AND(CG36=0,B36&lt;&gt;"",FV36&lt;&gt;"",IF(BA36=1,"",FW35)&lt;&gt;"",FV36&lt;&gt;IF(BA36=1,"",FW35)),"фаза не как у автомата группы ("&amp;IF(BA36=1,"",FW35)&amp;")","")))</f>
        <v/>
      </c>
      <c r="II36" s="6">
        <f>IF(OR(CG36=0,DQ36=""),"",_xlfn.LET(_xlpm.t,IFERROR(_xlfn.XLOOKUP(DQ36,Каталог!$U$4:$U$500,Каталог!$G$4:$G$500),""),_xlpm.k,SEARCH("кА",_xlpm.t),IFERROR(--TRIM(RIGHT(SUBSTITUTE(MID(_xlpm.t,MAX(1,_xlpm.k-4),_xlpm.k-MAX(1,_xlpm.k-4))," ",REPT(" ",9)),5)),"")))</f>
        <v>6</v>
      </c>
      <c r="IJ36" t="str">
        <f>IF(OR(II36="",CG36=0),"",IF(_xlfn.XLOOKUP(A36,Щиты[Щит],Щиты[Iкз max на шинах, кА],"")="","",IF(II36&lt;_xlfn.XLOOKUP(A36,Щиты[Щит],Щиты[Iкз max на шинах, кА]),"Icu "&amp;II36&amp;" кА &lt; Iкз max","ok")))</f>
        <v>ok</v>
      </c>
      <c r="IK36" t="str">
        <f t="shared" si="251"/>
        <v/>
      </c>
      <c r="IL36" t="str">
        <f t="shared" si="252"/>
        <v>QF5|БП 24V 75W|XT9</v>
      </c>
      <c r="IM36" t="str">
        <f t="shared" si="253"/>
        <v>QF5|БП 24V 75W|XT9|кабель ВВГнг(А)-LS (3х1,5) → Светодиодное освещение, пом. 01</v>
      </c>
      <c r="IN36" t="str" cm="1">
        <f t="array" ref="IN36">IF(IM36="","",_xlfn.LET(_xlpm.nd,_xlfn.TEXTSPLIT(IM36,"|"),IF(COLUMNS(_xlpm.nd)&gt;1,A36&amp;"¦"&amp;INDEX(_xlpm.nd,1)&amp;"¦"&amp;INDEX(_xlpm.nd,2),"")))</f>
        <v>ЩР-1¦QF5¦БП 24V 75W</v>
      </c>
      <c r="IO36" t="str">
        <f t="shared" si="254"/>
        <v>LED.1.01.1¦Светодиодное освещение, пом. 01</v>
      </c>
      <c r="IP36" t="str" cm="1">
        <f t="array" ref="IP36">IF(IM36="","",_xlfn.LET(_xlpm.nd,_xlfn.TEXTSPLIT(IM36,"|"),IF(COLUMNS(_xlpm.nd)&gt;2,A36&amp;"¦"&amp;INDEX(_xlpm.nd,2)&amp;"¦"&amp;INDEX(_xlpm.nd,3),"")))</f>
        <v>ЩР-1¦БП 24V 75W¦XT9</v>
      </c>
      <c r="IQ36" t="str">
        <f t="shared" si="255"/>
        <v>LED.1.01.1¦Светодиодное освещение, пом. 01</v>
      </c>
      <c r="IR36" t="str" cm="1">
        <f t="array" ref="IR36">IF(IM36="","",_xlfn.LET(_xlpm.nd,_xlfn.TEXTSPLIT(IM36,"|"),IF(COLUMNS(_xlpm.nd)&gt;3,A36&amp;"¦"&amp;INDEX(_xlpm.nd,3)&amp;"¦"&amp;INDEX(_xlpm.nd,4),"")))</f>
        <v>ЩР-1¦XT9¦кабель ВВГнг(А)-LS (3х1,5) → Светодиодное освещение, пом. 01</v>
      </c>
      <c r="IS36" t="str">
        <f t="shared" si="256"/>
        <v>LED.1.01.1¦Светодиодное освещение, пом. 01</v>
      </c>
      <c r="IT36" t="str" cm="1">
        <f t="array" ref="IT36">IF(IM36="","",_xlfn.LET(_xlpm.nd,_xlfn.TEXTSPLIT(IM36,"|"),IF(COLUMNS(_xlpm.nd)&gt;4,A36&amp;"¦"&amp;INDEX(_xlpm.nd,4)&amp;"¦"&amp;INDEX(_xlpm.nd,5),"")))</f>
        <v/>
      </c>
      <c r="IU36" t="str">
        <f t="shared" si="257"/>
        <v/>
      </c>
      <c r="IV36" t="str" cm="1">
        <f t="array" ref="IV36">IF(IM36="","",_xlfn.LET(_xlpm.nd,_xlfn.TEXTSPLIT(IM36,"|"),IF(COLUMNS(_xlpm.nd)&gt;5,A36&amp;"¦"&amp;INDEX(_xlpm.nd,5)&amp;"¦"&amp;INDEX(_xlpm.nd,6),"")))</f>
        <v/>
      </c>
      <c r="IW36" t="str">
        <f t="shared" si="258"/>
        <v/>
      </c>
      <c r="IX36" t="str" cm="1">
        <f t="array" ref="IX36">IF(IM36="","",_xlfn.LET(_xlpm.nd,_xlfn.TEXTSPLIT(IM36,"|"),IF(COLUMNS(_xlpm.nd)&gt;6,A36&amp;"¦"&amp;INDEX(_xlpm.nd,6)&amp;"¦"&amp;INDEX(_xlpm.nd,7),"")))</f>
        <v/>
      </c>
      <c r="IY36" t="str">
        <f t="shared" si="259"/>
        <v/>
      </c>
      <c r="IZ36" t="str">
        <f t="shared" si="260"/>
        <v/>
      </c>
      <c r="JA36" t="str">
        <f t="shared" si="261"/>
        <v>QF5 → БП 24V 75W → XT9</v>
      </c>
      <c r="JB36">
        <f t="shared" si="262"/>
        <v>0</v>
      </c>
      <c r="JC36">
        <f t="shared" si="263"/>
        <v>0</v>
      </c>
      <c r="JD36" t="str">
        <f t="shared" si="264"/>
        <v/>
      </c>
      <c r="JE36" t="str">
        <f t="shared" si="265"/>
        <v>PS</v>
      </c>
      <c r="JF36" t="str">
        <f t="shared" si="266"/>
        <v/>
      </c>
      <c r="JG36" t="str">
        <f t="shared" si="267"/>
        <v/>
      </c>
      <c r="JH36" t="str">
        <f>IF(B36="","",IFERROR(_xlfn.XLOOKUP(B36,Коды_код,Коды_уго),IFERROR(_xlfn.XLOOKUP(BC36,Коды_код,Коды_уго),IFERROR(_xlfn.XLOOKUP(LEFT(BC36,2),Коды_код,Коды_уго),""))))</f>
        <v>Светильник</v>
      </c>
      <c r="JI36" t="str">
        <f>IF(B36="","",IF(OR(JH36="",JH36=0),"BOX",IFERROR(IF(VLOOKUP(JH36,УГО_блоки,3,FALSE)&amp;""&lt;&gt;"",VLOOKUP(JH36,УГО_блоки,3,FALSE),VLOOKUP(JH36,УГО_блоки,2,FALSE)),JH36)))</f>
        <v>LAMP</v>
      </c>
      <c r="JJ36">
        <f t="shared" si="268"/>
        <v>1</v>
      </c>
      <c r="JK36" t="str">
        <f>IF(DQ36="","",IF(COUNTIF(DQ$3:DQ36,DQ36)=1,MAX(JK$2:JK35)+1,""))</f>
        <v/>
      </c>
      <c r="JL36" t="str">
        <f>IF(DE36="","",IF(COUNTIF(DE$3:DE36,DE36)+COUNTIF(DF$2:DF35,DE36)+COUNTIF(DG$2:DG35,DE36)=1,MAX(JL$2:JN35)+1,""))</f>
        <v/>
      </c>
      <c r="JM36" t="str">
        <f>IF(DF36="","",IF(COUNTIF(DE$3:DE36,DF36)+COUNTIF(DF$3:DF36,DF36)+COUNTIF(DG$2:DG35,DF36)=1,MAX(JL$2:JN35,JL36)+1,""))</f>
        <v/>
      </c>
      <c r="JN36" t="str">
        <f>IF(DG36="","",IF(COUNTIF(DE$3:DE36,DG36)+COUNTIF(DF$3:DF36,DG36)+COUNTIF(DG$3:DG36,DG36)=1,MAX(JL$2:JN35,JL36,JM36)+1,""))</f>
        <v/>
      </c>
      <c r="JO36" t="str">
        <f t="shared" si="269"/>
        <v>3х1,5</v>
      </c>
      <c r="JP36" t="str">
        <f>IF(JO36="","",IF(COUNTIF(JO$3:JO36,JO36)=1,MAX(JP$2:JP35)+1,""))</f>
        <v/>
      </c>
      <c r="JQ36" t="str">
        <f>IF(HG36="","",COUNTIF(HG$3:HG36,"?*"))</f>
        <v/>
      </c>
      <c r="JR36" t="str">
        <f>IF(OR(HG36="",HI36=""),"",IF(COUNTIFS(HG$3:HG36,"?*",HI$3:HI36,HI36)=1,MAX(JR$2:JR35)+1,""))</f>
        <v/>
      </c>
      <c r="JS36">
        <f t="shared" si="270"/>
        <v>0</v>
      </c>
      <c r="JT36">
        <f>IF(B36="","",COUNTIF(B$3:B36,"?*"))</f>
        <v>33</v>
      </c>
      <c r="JU36">
        <f>IF(HL36&lt;&gt;1,0,_xlfn.LET(_xlpm.k,MAX(IFERROR(--_xlfn.XLOOKUP(B36,Коды_код,Коды_3L),0),IFERROR(--_xlfn.XLOOKUP(BC36,Коды_код,Коды_3L),0),IFERROR(--_xlfn.XLOOKUP(LEFT(BC36,2),Коды_код,Коды_3L),0)),IF(_xlpm.k&gt;0,_xlpm.k,IF(IFERROR(--LEFT(SUBSTITUTE(JO36,"x","х"),FIND("х",SUBSTITUTE(JO36,"x","х"))-1),3)&gt;3,Каталог!$S$9,1))))</f>
        <v>1</v>
      </c>
      <c r="JV36">
        <f t="shared" si="271"/>
        <v>0</v>
      </c>
      <c r="JW36" t="str">
        <f t="shared" si="272"/>
        <v>авто</v>
      </c>
      <c r="JX36" t="str">
        <f t="shared" si="273"/>
        <v/>
      </c>
      <c r="JY36">
        <f t="shared" si="274"/>
        <v>0</v>
      </c>
      <c r="JZ36">
        <f t="shared" si="275"/>
        <v>1</v>
      </c>
    </row>
    <row r="37" spans="1:286" x14ac:dyDescent="0.3">
      <c r="A37" t="s">
        <v>947</v>
      </c>
      <c r="B37" t="s">
        <v>1216</v>
      </c>
      <c r="C37" t="str">
        <f>Линии[[#This Row],[_авто наименование]]</f>
        <v>Теплый пол, пом. 01</v>
      </c>
      <c r="E37">
        <v>2.5</v>
      </c>
      <c r="G37" t="str">
        <f>Линии[[#This Row],[_авто автомат]]</f>
        <v>2P С16А 30мА</v>
      </c>
      <c r="H37" t="str">
        <f>Линии[[#This Row],[_авто управление]]</f>
        <v/>
      </c>
      <c r="I37" t="s">
        <v>692</v>
      </c>
      <c r="J37">
        <f>Линии[[#This Row],[_авто сечение]]</f>
        <v>1.5</v>
      </c>
      <c r="K37">
        <v>14</v>
      </c>
      <c r="L37" t="str">
        <f>Линии[[#This Row],[_авто фаза]]</f>
        <v>L3</v>
      </c>
      <c r="M37" t="str">
        <f>Линии[[#This Row],[_авто клемма]]</f>
        <v>XT10</v>
      </c>
      <c r="N37" t="str">
        <f t="shared" si="138"/>
        <v/>
      </c>
      <c r="O37" s="6" cm="1">
        <f t="array" ref="O37">IF(B37="","",IF(BH37&lt;&gt;"",IFERROR(_xlfn.XLOOKUP(BH37,Щиты[Щит],Щиты[Iр, А]),""),IF(BP37=1,IF(OR(N(_xlfn.XLOOKUP(A37,Щиты[Щит],Щиты[Вводов],1))&lt;=1,LOWER(TRIM(_xlfn.XLOOKUP(A37,Щиты[Щит],Щиты[АВР],"")&amp;""))="да"),IFERROR(_xlfn.XLOOKUP(A37,Щиты[Щит],Щиты[Iр, А]),""),IFERROR(N(BS37)*_xlfn.XLOOKUP(A37,Щиты[Щит],Щиты[Кс итог])/(SQRT(3)*Uн_лин*_xlfn.XLOOKUP(A37,Щиты[Щит],Щиты[cos φ])),"")),IF(BV37=1,IFERROR(BS37*1000/BU37,""),IFERROR(_xlfn.IFS(BX37=1,BS37/((Uн_лин/SQRT(3))*CE37),BX37=3,BS37/(SQRT(3)*Uн_лин*CE37)),"")))))</f>
        <v>11.395071102426824</v>
      </c>
      <c r="P37" s="7">
        <f>IF(B37="","",IFERROR(IF(VLOOKUP(BC37,Потребители_обозначение,4,FALSE)=1,VLOOKUP(BC37,Потребители_обозначение,3,FALSE)*(MAX(1,N(D37))*2-1)+EI37+VLOOKUP(BE37,Этаж_обозначение,3,FALSE)+VLOOKUP(BE37,Этаж_обозначение,4,FALSE),VLOOKUP(BC37,Потребители_обозначение,3,FALSE)*(MAX(1,N(D37))*2-1)+EI37),EI37))</f>
        <v>16</v>
      </c>
      <c r="Q37" s="6">
        <f t="shared" si="139"/>
        <v>3.3160288498727972</v>
      </c>
      <c r="R37" t="str">
        <f t="shared" si="140"/>
        <v>ВВГнг(А)-LS (3х1,5)</v>
      </c>
      <c r="S37" t="str">
        <f>IF(BM37="","",IF(BN37="вводной узел","узел ","")&amp;"л."&amp;(INT((BM37-1)/Столбцов_на_лист)+1)&amp;" / "&amp;(MOD(BM37-1,Столбцов_на_лист)+1))</f>
        <v>л.1 / 14</v>
      </c>
      <c r="T37" s="119">
        <f t="shared" si="141"/>
        <v>4.7</v>
      </c>
      <c r="U37" s="7" t="str">
        <f>IF(OR(CG37=0,N(BV37)+N(IB37)=0),"",ROUNDUP(Запас_БП*(N(HY37)+N(HZ37)),0))</f>
        <v/>
      </c>
      <c r="V37" s="119" t="str">
        <f t="shared" si="142"/>
        <v/>
      </c>
      <c r="W37" s="7">
        <f>IFERROR(IF(OR(B37="",BP37=1,BV37=1,NOT(ISNUMBER(EN37)),N(DT37)=0),"",MAX(0,ROUNDDOWN((c_min*(Uн_лин*1000/SQRT(3))/(HT37*N(DT37))-_xlfn.XLOOKUP(A37,Щиты[Щит],Щиты[Zпетли на шинах, Ом]))*EN37/(2*ρкз_Cu),0))),"")</f>
        <v>31</v>
      </c>
      <c r="Y37">
        <f>Линии[[#This Row],[_авто утечка]]</f>
        <v>30</v>
      </c>
      <c r="Z37">
        <v>1</v>
      </c>
      <c r="AA37">
        <v>230</v>
      </c>
      <c r="AB37" t="s">
        <v>1260</v>
      </c>
      <c r="AK37" t="str">
        <f>Линии[[#This Row],[_авто модуль]]</f>
        <v/>
      </c>
      <c r="AN37" t="s">
        <v>11</v>
      </c>
      <c r="AO37">
        <v>3</v>
      </c>
      <c r="BA37" cm="1">
        <f t="array" ref="BA37">ROW()-ROW(Линии[#Headers])</f>
        <v>35</v>
      </c>
      <c r="BC37" s="6" t="str">
        <f t="shared" si="143"/>
        <v>ТП</v>
      </c>
      <c r="BD37" t="str">
        <f t="shared" si="144"/>
        <v>1.01.1</v>
      </c>
      <c r="BE37" t="str">
        <f t="shared" si="145"/>
        <v>1</v>
      </c>
      <c r="BF37" t="str">
        <f t="shared" si="146"/>
        <v>01.1</v>
      </c>
      <c r="BG37" t="str">
        <f t="shared" si="147"/>
        <v>01</v>
      </c>
      <c r="BH37" t="str">
        <f>IF(X37&lt;&gt;"",X37,IF(AND(B37&lt;&gt;"",B37&lt;&gt;A37,ISNUMBER(_xlfn.XMATCH(B37,Щиты[Щит]))),B37,""))</f>
        <v/>
      </c>
      <c r="BI37" t="str" cm="1">
        <f t="array" ref="BI37">IF(B37="","",IF(BH37&lt;&gt;"","Щит "&amp;BH37,_xlfn.LET(_xlpm.nm,IFERROR(_xlfn.XLOOKUP(BC37,Коды_код,Коды_имя)&amp;"",""),_xlpm.md,IFERROR(N(_xlfn.XLOOKUP(BC37,Коды_код,Коды_режим)),1),_xlpm.ex,IF(Имя_режим="по экспликации",IFERROR(_xlfn.XLOOKUP(BE37&amp;"|"&amp;BG37,Экспликация[Этаж]&amp;"|"&amp;Экспликация[Помещение],Экспликация[Название])&amp;"",""),""),_xlpm.rm,IF(BG37="","",IF(_xlpm.ex&lt;&gt;"",". "&amp;_xlpm.ex&amp;IF(Имя_пом="нет"," ("&amp;BG37&amp;")"," (пом. "&amp;BG37&amp;")"),IF(Имя_пом="нет"," ",", пом. ")&amp;BG37)),IF(_xlpm.nm="","",IF(_xlpm.md=2,_xlpm.nm&amp;" шлейф "&amp;BE37,_xlpm.nm&amp;_xlpm.rm)))))</f>
        <v>Теплый пол, пом. 01</v>
      </c>
      <c r="BJ37" t="str">
        <f t="shared" si="148"/>
        <v>Теплый пол, пом. 01</v>
      </c>
      <c r="BK37">
        <f>IFERROR(_xlfn.XMATCH(A37,Щиты[Щит]),0)</f>
        <v>4</v>
      </c>
      <c r="BL37">
        <f>_xlfn.LET(_xlpm.k,IFERROR(_xlfn.XLOOKUP(A37,Щиты[Щит],Щиты[Мест под вводной узел]),""),IF(_xlpm.k="",Столбцов_на_лист,N(_xlpm.k)))</f>
        <v>3</v>
      </c>
      <c r="BM37">
        <f t="shared" si="149"/>
        <v>14</v>
      </c>
      <c r="BN37" t="str">
        <f t="shared" si="150"/>
        <v>линии</v>
      </c>
      <c r="BO37" s="6">
        <f>IFERROR(N(_xlfn.XLOOKUP(BC37,Коды_код,Коды_квт)),0)</f>
        <v>0</v>
      </c>
      <c r="BP37">
        <f t="shared" si="151"/>
        <v>0</v>
      </c>
      <c r="BQ37" t="str">
        <f>IF(B37="","",IF(BH37&lt;&gt;"",IFERROR(_xlfn.XLOOKUP(BH37,Щиты[Щит],Щиты[Руст, кВт]),0),IF(BP37=1,IF(OR(N(_xlfn.XLOOKUP(A37,Щиты[Щит],Щиты[Вводов],1))&lt;=1,LOWER(TRIM(_xlfn.XLOOKUP(A37,Щиты[Щит],Щиты[АВР],"")&amp;""))="да"),IFERROR(_xlfn.XLOOKUP(A37,Щиты[Щит],Щиты[Руст, кВт]),0),SUMIFS(Линии[_Р для вводов],Линии[Щит],A37,Линии[Источник для режимов],GF37)),IF(BO37&gt;0,ROUND(BO37*MAX(1,N(D37)),3),""))))</f>
        <v/>
      </c>
      <c r="BR37">
        <f t="shared" si="152"/>
        <v>2.5</v>
      </c>
      <c r="BS37" s="6">
        <f>IF(B37="","",IF(BH37&lt;&gt;"",IFERROR(_xlfn.XLOOKUP(BH37,Щиты[Щит],Щиты[Руст, кВт]),0),N(BR37)))</f>
        <v>2.5</v>
      </c>
      <c r="BT37" t="str">
        <f>IF(B37="","",IFERROR(IF(VLOOKUP(BC37,Потребители_обозначение,8,FALSE)=0,"",VLOOKUP(BC37,Потребители_обозначение,8,FALSE)),""))</f>
        <v/>
      </c>
      <c r="BU37">
        <f t="shared" si="153"/>
        <v>230</v>
      </c>
      <c r="BV37">
        <f t="shared" si="154"/>
        <v>0</v>
      </c>
      <c r="BW37">
        <f>IF(B37="","",IF(BH37&lt;&gt;"",3,IFERROR(IF(N(VLOOKUP(BC37,Потребители_обозначение,9,FALSE))=0,1,VLOOKUP(BC37,Потребители_обозначение,9,FALSE)),1)))</f>
        <v>1</v>
      </c>
      <c r="BX37">
        <f t="shared" si="155"/>
        <v>1</v>
      </c>
      <c r="BY37" t="str">
        <f>IF(B37="","",_xlfn.LET(_xlpm.bc,IFERROR(IF(VLOOKUP(BC37,Потребители_обозначение,6,FALSE)=0,"",VLOOKUP(BC37,Потребители_обозначение,6,FALSE)&amp;""),""),IF(AND(GA37="да",OR(_xlpm.bc="",_xlpm.bc="мс")),Марка_пож,IF(AND(_xlpm.bc="",BH37&lt;&gt;""),"мс",_xlpm.bc))))</f>
        <v>мс</v>
      </c>
      <c r="BZ37" t="str">
        <f t="shared" si="156"/>
        <v>мс</v>
      </c>
      <c r="CA37">
        <f>IF(B37="","",_xlfn.LET(_xlpm.cc,IFERROR(N(VLOOKUP(BC37,Потребители_обозначение,7,FALSE)),0),IF(_xlpm.cc&gt;0,_xlpm.cc,IF(BZ37="","",IF(BV37=1,2,IF(N(BX37)=3,5,3))))))</f>
        <v>3</v>
      </c>
      <c r="CB37">
        <f t="shared" si="157"/>
        <v>3</v>
      </c>
      <c r="CC37">
        <f>IFERROR(N(VLOOKUP(BC37,Потребители_обозначение,10,FALSE)),0)</f>
        <v>0</v>
      </c>
      <c r="CD37">
        <f>IFERROR(VLOOKUP(BC37,Потребители_обозначение,5,FALSE),0)</f>
        <v>1</v>
      </c>
      <c r="CE37" s="6" cm="1">
        <f t="array" ref="CE37">IF(B37="","",IF(BH37&lt;&gt;"",IFERROR(_xlfn.XLOOKUP(BH37,Щиты[Щит],Щиты[cos φ]),0.95),IF(BP37=1,IFERROR(_xlfn.XLOOKUP(A37,Щиты[Щит],Щиты[cos φ]),0.95),IF(ISNUMBER(AD37),AD37,IFERROR(IF(CD37=2,_xlfn.IFS(BX37=3,VLOOKUP(BS37,Справочная_двигатели,8,FALSE),BX37=1,VLOOKUP(BS37,Справочная_двигатели,10,TRUE)),IF(AND(Методика="нормы 2026",FG37="Сил"),0.8,0.95)),0.95)))))</f>
        <v>0.95</v>
      </c>
      <c r="CF37">
        <f t="shared" si="158"/>
        <v>0</v>
      </c>
      <c r="CG37">
        <f t="shared" si="159"/>
        <v>1</v>
      </c>
      <c r="CH37">
        <f t="shared" si="160"/>
        <v>0</v>
      </c>
      <c r="CI37">
        <f>IF(B37="","",IF(BV37=1,IFERROR(BS37/((Uн_лин/SQRT(3))*MAX(0.5,N(CE37))),0),N(O37)))</f>
        <v>11.395071102426824</v>
      </c>
      <c r="CJ37">
        <f t="shared" si="161"/>
        <v>0</v>
      </c>
      <c r="CK37">
        <f t="shared" si="162"/>
        <v>0</v>
      </c>
      <c r="CL37">
        <f t="shared" si="163"/>
        <v>0</v>
      </c>
      <c r="CM37">
        <f t="shared" si="164"/>
        <v>0</v>
      </c>
      <c r="CN37">
        <f t="shared" si="165"/>
        <v>0</v>
      </c>
      <c r="CO37">
        <f>IF(BC37="",0,_xlfn.LET(_xlpm.v,IFERROR(_xlfn.XLOOKUP(B37,Коды_код,Коды_мА),IFERROR(_xlfn.XLOOKUP(BC37,Коды_код,Коды_мА),IFERROR(_xlfn.XLOOKUP(LEFT(BC37,2),Коды_код,Коды_мА),""))),IF(_xlpm.v="да",30,IF(ISNUMBER(_xlpm.v),_xlpm.v,0))))</f>
        <v>30</v>
      </c>
      <c r="CP37">
        <f t="shared" si="166"/>
        <v>30</v>
      </c>
      <c r="CQ37" t="str">
        <f>_xlfn.LET(_xlpm.k,IFERROR(_xlfn.XLOOKUP(BC37,Коды_код,Коды_утечка)&amp;"",""),IF(_xlpm.k="","дифавтомат",_xlpm.k))</f>
        <v>дифавтомат</v>
      </c>
      <c r="CR37" t="str" cm="1">
        <f t="array" ref="CR37">IF(CG37=0,"",_xlfn.LET(_xlpm.sg,TRIM(_xlfn.TEXTSPLIT(DD37&amp;"",";")),_xlpm.f_,_xlfn._xlws.FILTER(_xlpm.sg,LEFT(_xlpm.sg,3)="УЗО",""),IFERROR(INDEX(_xlpm.f_,1)&amp;"","")))</f>
        <v/>
      </c>
      <c r="CS37" t="str">
        <f t="shared" si="167"/>
        <v/>
      </c>
      <c r="CT37" s="6" t="str" cm="1">
        <f t="array" ref="CT37">IF(CR37="","",_xlfn.LET(_xlpm.tk,_xlfn.TEXTSPLIT(UPPER(CR37)," ",,TRUE),_xlpm.a_,_xlfn._xlws.FILTER(_xlpm.tk,ISNUMBER(--LEFT(_xlpm.tk,1))*((ISNUMBER(SEARCH("А",_xlpm.tk))+ISNUMBER(SEARCH("A",_xlpm.tk)))&gt;0)*NOT(ISNUMBER(SEARCH("МА",_xlpm.tk)))*NOT(ISNUMBER(SEARCH("MA",_xlpm.tk))),""),IFERROR(--SUBSTITUTE(SUBSTITUTE(INDEX(_xlpm.a_,1),"А",""),"A",""),"")))</f>
        <v/>
      </c>
      <c r="CU37" t="str" cm="1">
        <f t="array" ref="CU37">IF(CR37="","",_xlfn.LET(_xlpm.tk,_xlfn.TEXTSPLIT(UPPER(CR37)," ",,TRUE),_xlpm.a_,_xlfn._xlws.FILTER(_xlpm.tk,ISNUMBER(--LEFT(_xlpm.tk,1))*((ISNUMBER(SEARCH("МА",_xlpm.tk))+ISNUMBER(SEARCH("MA",_xlpm.tk)))&gt;0),""),IFERROR(--SUBSTITUTE(SUBSTITUTE(INDEX(_xlpm.a_,1),"МА",""),"MA",""),30)))</f>
        <v/>
      </c>
      <c r="CV37" t="str">
        <f>IF(CS37="","",IFERROR(_xlfn.XLOOKUP(CS37,Линии[_n],Линии[_УЗО, мА]),30))</f>
        <v/>
      </c>
      <c r="CW37">
        <f>IF(CS37="",0,IF(ISNUMBER(SEARCH("4P",IFERROR(_xlfn.XLOOKUP(CS37,Линии[_n],Линии[_УЗО строки])&amp;"",""))),0,1))</f>
        <v>0</v>
      </c>
      <c r="CX37" t="str">
        <f>IF(AND(CS37&lt;&gt;"",CS37=BA37),SUMIFS(Линии[_ток на 230 В],Линии[_блок УЗО],BA37,Линии[Щит],A37),"")</f>
        <v/>
      </c>
      <c r="CY37" t="str">
        <f>IF(AND(CS37&lt;&gt;"",CS37=BA37),SUMIFS(Линии[_ток утечки линии, мА],Линии[_блок УЗО],BA37,Линии[Щит],A37),"")</f>
        <v/>
      </c>
      <c r="CZ37">
        <f t="shared" si="168"/>
        <v>30</v>
      </c>
      <c r="DA37">
        <f t="shared" si="169"/>
        <v>30</v>
      </c>
      <c r="DB37">
        <f>IF(B37="",0,IFERROR(--_xlfn.XLOOKUP(B37,Коды_код,Коды_минавт),IFERROR(--_xlfn.XLOOKUP(BC37,Коды_код,Коды_минавт),IFERROR(--_xlfn.XLOOKUP(LEFT(BC37,2),Коды_код,Коды_минавт),0))))</f>
        <v>0</v>
      </c>
      <c r="DC37" t="str">
        <f>IF(B37="","",IFERROR(_xlfn.XLOOKUP(BC37,Коды_код,Коды_апп)&amp;"",""))</f>
        <v/>
      </c>
      <c r="DD37" t="str">
        <f t="shared" si="170"/>
        <v>КМ NCH8-40/40</v>
      </c>
      <c r="DE37" t="str" cm="1">
        <f t="array" ref="DE37">IF(TRIM(DD37&amp;"")="","",IFERROR(TRIM(INDEX(_xlfn.TEXTSPLIT(DD37&amp;";;;",";"),1)),""))</f>
        <v>КМ NCH8-40/40</v>
      </c>
      <c r="DF37" t="str" cm="1">
        <f t="array" ref="DF37">IF(TRIM(DD37&amp;"")="","",IFERROR(TRIM(INDEX(_xlfn.TEXTSPLIT(DD37&amp;";;;",";"),2)),""))</f>
        <v/>
      </c>
      <c r="DG37" t="str" cm="1">
        <f t="array" ref="DG37">IF(TRIM(DD37&amp;"")="","",IFERROR(TRIM(INDEX(_xlfn.TEXTSPLIT(DD37&amp;";;;",";"),3)),""))</f>
        <v/>
      </c>
      <c r="DH37">
        <f t="shared" si="171"/>
        <v>0</v>
      </c>
      <c r="DI37" t="str">
        <f>IF(B37="","",_xlfn.LET(_xlpm.t,LOWER(AZ37&amp;""),IF(ISNUMBER(SEARCH("dim",_xlpm.t)),"DIM",IF(ISNUMBER(SEARCH("dali",_xlpm.t)),"DALI",IF(OR(ISNUMBER(SEARCH("relay",_xlpm.t)),ISNUMBER(SEARCH("реле",_xlpm.t))),"Relay",IF(ISNUMBER(SEARCH("кнопк",_xlpm.t)),"",IFERROR(_xlfn.XLOOKUP(BC37,Коды_код,Коды_упр)&amp;"","")))))))</f>
        <v/>
      </c>
      <c r="DJ37" t="str">
        <f t="shared" si="172"/>
        <v/>
      </c>
      <c r="DK37">
        <f>IF(B37="","",_xlfn.LET(_xlpm.ig,IF(N(CX37)&gt;0,N(CX37),N(CI37)+IF(AJ37="вручную",0,N(CJ37))),_xlpm.n0,IFERROR(VLOOKUP(_xlpm.ig,Автомат_номиналы,2,TRUE),0),_xlpm.mn,MAX(DB37,IF(AJ37="вручную",0,N(CM37))),MAX(_xlpm.n0,_xlpm.mn,IF(DH37=1,Мин_автомат_БП,0))))</f>
        <v>16</v>
      </c>
      <c r="DL37">
        <f t="shared" si="173"/>
        <v>1</v>
      </c>
      <c r="DM37" t="str">
        <f t="shared" si="174"/>
        <v>2P</v>
      </c>
      <c r="DN37" t="str">
        <f>_xlfn.LET(_xlpm.cc,UPPER(TRIM(IFERROR(_xlfn.XLOOKUP(BC37,Коды_код,Коды_хар)&amp;"",""))),IF(OR(_xlpm.cc="B",_xlpm.cc="В"),"B",IF(_xlpm.cc="D","D","С")))</f>
        <v>С</v>
      </c>
      <c r="DO37" t="str">
        <f t="shared" si="175"/>
        <v>2P С16А 30мА</v>
      </c>
      <c r="DP37" t="str">
        <f t="shared" si="176"/>
        <v>2P С16А 30мА</v>
      </c>
      <c r="DQ37" t="str">
        <f t="shared" si="177"/>
        <v>2P С16А 30мА</v>
      </c>
      <c r="DR37" cm="1">
        <f t="array" ref="DR37">IF(DQ37="","",_xlfn.LET(_xlpm.t,SUBSTITUTE(SUBSTITUTE(SUBSTITUTE(UPPER(DQ37),"С","C"),"А","A"),"В","B"),_xlpm.tk,_xlfn.TEXTSPLIT(_xlpm.t," "),_xlpm.f,_xlfn._xlws.FILTER(_xlpm.tk,ISNUMBER(--MID(_xlpm.tk,2,1))*ISNUMBER(SEARCH(LEFT(_xlpm.tk,1)&amp;"#","B#C#D#"))*(LEN(_xlpm.tk)&gt;1),""),_xlpm.x,INDEX(_xlpm.f,1),IFERROR(--SUBSTITUTE(MID(_xlpm.x,2,9),"A",""),IFERROR(--SUBSTITUTE(INDEX(_xlfn._xlws.FILTER(_xlpm.tk,ISNUMBER(--SUBSTITUTE(_xlpm.tk,"A","")),""),1),"A",""),""))))</f>
        <v>16</v>
      </c>
      <c r="DS37" t="str">
        <f t="shared" si="178"/>
        <v>ok</v>
      </c>
      <c r="DT37">
        <f t="shared" si="179"/>
        <v>16</v>
      </c>
      <c r="DU37" t="str">
        <f t="shared" si="180"/>
        <v>2P С16А 30мА</v>
      </c>
      <c r="DV37">
        <f t="shared" si="181"/>
        <v>30</v>
      </c>
      <c r="DW37">
        <f t="shared" si="182"/>
        <v>1</v>
      </c>
      <c r="DX37">
        <f t="shared" si="183"/>
        <v>0</v>
      </c>
      <c r="DY37">
        <f t="shared" si="184"/>
        <v>11.395071102426824</v>
      </c>
      <c r="DZ37">
        <f t="shared" si="185"/>
        <v>1</v>
      </c>
      <c r="EA37">
        <f>IF(ISNUMBER(AP37),AP37,К_прокл)</f>
        <v>1</v>
      </c>
      <c r="EB37">
        <f t="shared" si="186"/>
        <v>2</v>
      </c>
      <c r="EC37">
        <f>IFERROR(N(VLOOKUP(BZ37,Кабель_обозначение,3,FALSE)),1)</f>
        <v>1</v>
      </c>
      <c r="ED37">
        <f>IFERROR(N(_xlfn.XLOOKUP(A37,Щиты[Щит],Щиты[ΔU до шин, %])),0)</f>
        <v>1.0560288498727977</v>
      </c>
      <c r="EE37">
        <f>IFERROR(_xlfn.XLOOKUP(A37,Щиты[Щит],Щиты[Zпетли на шинах, Ом]),"")</f>
        <v>0.28247829354840204</v>
      </c>
      <c r="EF37">
        <f>IFERROR(N(_xlfn.XLOOKUP(A37,Щиты[Щит],Щиты[ΔU до шин (подбор), %])),0)</f>
        <v>1.0560288498727977</v>
      </c>
      <c r="EG37">
        <f>IFERROR(_xlfn.XLOOKUP(A37,Щиты[Щит],Щиты[Zпетли на шинах (подбор), Ом]),"")</f>
        <v>0.28247829354840204</v>
      </c>
      <c r="EH37" t="str">
        <f t="shared" si="187"/>
        <v/>
      </c>
      <c r="EI37">
        <f t="shared" si="188"/>
        <v>14</v>
      </c>
      <c r="EJ37">
        <f t="shared" si="189"/>
        <v>2</v>
      </c>
      <c r="EK37">
        <f t="shared" si="190"/>
        <v>0.31</v>
      </c>
      <c r="EL37" s="6">
        <f>IF(B37="","",IF(BV37=1,dU_LED,IF(IFERROR(_xlfn.XLOOKUP(BC37,Коды_код,Коды_уго),"")="Светильник",3,4)+IF(Методика="нормы 2026",MIN(0.5,MAX(0,N(P37)-100)*0.005),0)))</f>
        <v>4</v>
      </c>
      <c r="EM37" cm="1">
        <f t="array" ref="EM37">IF(OR(B37="",BZ37="",EC37&lt;&gt;1),"",_xlfn.LET(_xlpm.sz,Iдоп_S,_xlpm.t_,CHOOSE(EB37,Iдоп_1ж,Iдоп_2ж,Iдоп_3ж)*DZ37*EA37,_xlpm.dcx,BV37=1,_xlpm.inn,IF(_xlpm.dcx,N(O37),N(DT37)),_xlpm.smin,MAX(1.5,CC37),_xlpm.L_,N(P37)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37)/N(BU37)*100,999),IFERROR(N(EJ37)*(_xlpm.rho*_xlpm.L_/_xlpm.sz*N(CE37)+_xlpm.xx*_xlpm.L_*N(EK37)/1000)*N(O37)/((Uн_лин/SQRT(3))*1000)*100,999)),_xlpm.kz,IF(OR(_xlpm.dcx,DW37=1,NOT(ISNUMBER(EG37)),_xlpm.L_=0,_xlpm.inn=0),1,IFERROR(--(c_min*(Uн_лин*1000/SQRT(3))/(EG37+2*ρкз_Cu*_xlpm.L_/_xlpm.sz)&gt;=HT37*_xlpm.inn),0)),_xlpm.ok,IFERROR((_xlpm.sz&gt;=_xlpm.smin)*(_xlpm.t_&gt;=_xlpm.inn)*IF(_xlpm.L_&gt;0,(_xlpm.du_+IF(_xlpm.dcx,0,EF37)&lt;=EL37+0.00001),1)*_xlpm.kz,0),_xlpm.r_,_xlfn._xlws.FILTER(_xlpm.sz,_xlpm.ok,"не подобрано"),INDEX(_xlpm.r_,1)))</f>
        <v>1.5</v>
      </c>
      <c r="EN37">
        <f t="shared" si="191"/>
        <v>1.5</v>
      </c>
      <c r="EO37" cm="1">
        <f t="array" ref="EO37">IF(OR(B37="",BZ37="",EC37&lt;&gt;1),"",_xlfn.LET(_xlpm.sz,Iдоп_S,_xlpm.t_,CHOOSE(EB37,Iдоп_1ж,Iдоп_2ж,Iдоп_3ж)*DZ37*EA37,_xlpm.ok,IFERROR((_xlpm.sz&gt;=MAX(1.5,CC37))*(_xlpm.t_&gt;=N(DT37)),0),_xlpm.r_,_xlfn._xlws.FILTER(_xlpm.sz,_xlpm.ok,""),INDEX(_xlpm.r_,1)))</f>
        <v>1.5</v>
      </c>
      <c r="EP37" s="6" cm="1">
        <f t="array" ref="EP37">IFERROR(ROUNDUP(N(EJ37)*(_xlfn.XLOOKUP(EO37,INDEX(Кабель_сопротивление,0,1),INDEX(Кабель_сопротивление,0,3))*N(P37)/EO37*N(CE37)+_xlfn.XLOOKUP(EO37,INDEX(Кабель_сопротивление,0,1),INDEX(Кабель_сопротивление,0,2))*N(P37)*N(EK37)/1000)*N(O37)/((Uн_лин/SQRT(3))*1000)*100,2),"")</f>
        <v>2.2599999999999998</v>
      </c>
      <c r="EQ37">
        <f>IFERROR(2*ρкз_Cu*N(P37)/EO37,"")</f>
        <v>0.56106666666666671</v>
      </c>
      <c r="ER37">
        <f>IFERROR(VLOOKUP(EN37,Кабель_сопротивление,3,FALSE),"")</f>
        <v>2.2499999999999999E-2</v>
      </c>
      <c r="ES37">
        <f>IFERROR(VLOOKUP(EN37,Кабель_сопротивление,2,FALSE),"")</f>
        <v>0.11</v>
      </c>
      <c r="ET37" t="str">
        <f t="shared" si="192"/>
        <v/>
      </c>
      <c r="EU37" t="str">
        <f t="shared" si="193"/>
        <v/>
      </c>
      <c r="EV37">
        <f t="shared" si="194"/>
        <v>5.2085867242935997</v>
      </c>
      <c r="EW37" s="6">
        <f>IFERROR(ROUNDUP(EV37/IF(BV37=1,BU37,(Uн_лин/SQRT(3))*1000)*100,2),"")</f>
        <v>2.2599999999999998</v>
      </c>
      <c r="EX37" t="str">
        <f>IFERROR(VLOOKUP(BZ37,Кабель_обозначение,2,FALSE),"")</f>
        <v>ВВГнг(А)-LS</v>
      </c>
      <c r="EY37" t="str">
        <f t="shared" si="195"/>
        <v>ВВГнг(А)-LS (3х1,5)</v>
      </c>
      <c r="EZ37" t="str">
        <f t="shared" si="196"/>
        <v>ВВГнг(А)-LS (3х1,5)
L=16-2,26%</v>
      </c>
      <c r="FA37">
        <f>IFERROR(2*ρкз_Cu*P37/EN37,"")</f>
        <v>0.56106666666666671</v>
      </c>
      <c r="FB37">
        <f t="shared" si="197"/>
        <v>0.18666666666666668</v>
      </c>
      <c r="FC37" s="6">
        <f>IFERROR(IF(OR(B37="",BV37=1,NOT(ISNUMBER(EN37)),N(P37)=0),"",_xlfn.XLOOKUP(A37,Щиты[Щит],Щиты[Zпетли на шинах, Ом])+FA37),"")</f>
        <v>0.84354496021506875</v>
      </c>
      <c r="FD37" s="6">
        <f>IF(ISNUMBER(FC37),c_min*(Uн_лин*1000/SQRT(3))/FC37,"")</f>
        <v>260.08465777108279</v>
      </c>
      <c r="FE37" s="6">
        <f>IFERROR(IF(OR(B37="",NOT(ISNUMBER(EN37))),"",1.05*(Uн_лин*1000/SQRT(3))/(_xlfn.XLOOKUP(A37,Щиты[Щит],Щиты[Zmax на шинах, Ом])+FB37)/1000),"")</f>
        <v>0.89221777127676571</v>
      </c>
      <c r="FF37" s="6" t="str">
        <f>IF(B37="","",IF(ISNUMBER(AC37),"Сил",IF(IFERROR(_xlfn.XLOOKUP(BC37,Коды_код,Коды_группа)&amp;"","")="","Быт",_xlfn.XLOOKUP(BC37,Коды_код,Коды_группа)&amp;"")))</f>
        <v>Быт</v>
      </c>
      <c r="FG37" s="6" t="str">
        <f t="shared" si="198"/>
        <v>ВНГ</v>
      </c>
      <c r="FH37" s="6">
        <f>IF(FG37="Щит","щит",IF(FG37="","",IF(FG37="Быт",IFERROR(_xlfn.XLOOKUP(A37,Щиты[Щит],Щиты[Кс быт]),1),IF(FG37="Сил",IF(ISNUMBER(AC37),AC37,IF(Методика="нормы 2026",IFERROR(_xlfn.XLOOKUP(A37,Щиты[Щит],Щиты[Кс силовых (табл. 7.5)]),1),1)),IF(OR(FG37="Пост",FG37="Отоп"),1,IF(FG37="ВНГ",0.7,0))))))</f>
        <v>0.7</v>
      </c>
      <c r="FI37">
        <f>IF(FG37="","",IF(AND(BP37=1,TRIM(AE37&amp;"")=""),IF(COUNTIFS(Линии[Щит],A37,Линии[Секция (1/2/3)],"&gt;=2")&gt;0,MIN(3,MAX(1,IFERROR(--BD37,1))),1),IFERROR(MIN(3,MAX(1,INT(--AE37))),1)))</f>
        <v>1</v>
      </c>
      <c r="FJ37">
        <f t="shared" si="199"/>
        <v>2.5</v>
      </c>
      <c r="FK37">
        <f t="shared" si="200"/>
        <v>0</v>
      </c>
      <c r="FL37">
        <f t="shared" si="201"/>
        <v>0</v>
      </c>
      <c r="FM37">
        <f t="shared" si="202"/>
        <v>0</v>
      </c>
      <c r="FN37">
        <f t="shared" si="203"/>
        <v>0</v>
      </c>
      <c r="FO37">
        <f t="shared" si="204"/>
        <v>1.75</v>
      </c>
      <c r="FP37">
        <f t="shared" si="205"/>
        <v>2.5</v>
      </c>
      <c r="FQ37">
        <f t="shared" si="206"/>
        <v>2.5</v>
      </c>
      <c r="FR37">
        <f t="shared" si="207"/>
        <v>2.375</v>
      </c>
      <c r="FS37">
        <f>IF(CG37=1,IF(AND(CH37=1,CW37=1),0,IF(AND(CS37&lt;&gt;"",CS37=BA37,CW37=1),SUMIFS(Линии[_Р линии, кВт],Линии[_блок УЗО],BA37,Линии[Щит],A37),N(BS37)+IF(AJ37="вручную",0,N(CK37)))),0)</f>
        <v>2.5</v>
      </c>
      <c r="FT37" t="str">
        <f t="shared" si="208"/>
        <v/>
      </c>
      <c r="FU37" t="str">
        <f>IF(B37="","",IF(CG37=0,IF(BA37=1,"",FW36),IF(AND(CH37=1,CW37=1,CS37&lt;&gt;""),IFERROR(_xlfn.XLOOKUP(CS37,Линии[_n],Линии[_фаза итог]),"L1"),IF(OR(N(DL37)&gt;=3,N(BX37)&gt;=3),"L1,L2,L3",IFERROR(_xlfn.TEXTBEFORE(_xlfn.TEXTAFTER(_xlfn.XLOOKUP(A37,Щиты[Щит],Щиты[_фазы авто]),";"&amp;BA37&amp;":"),";"),"L1")))))</f>
        <v>L3</v>
      </c>
      <c r="FV37" t="str">
        <f t="shared" si="209"/>
        <v>L3</v>
      </c>
      <c r="FW37" t="str">
        <f t="shared" si="210"/>
        <v>L3</v>
      </c>
      <c r="FX37" cm="1">
        <f t="array" ref="FX37">IFERROR(IF(CD37=2,_xlfn.IFS(BX37=3,VLOOKUP(BS37,Справочная_двигатели,3,FALSE),BX37=1,VLOOKUP(BS37,Справочная_двигатели,5,TRUE)),0),0)</f>
        <v>0</v>
      </c>
      <c r="FY37">
        <f>IFERROR(IF(CD37=3,VLOOKUP(BS37,Справочная_ЛЭД,2,TRUE),0),0)</f>
        <v>0</v>
      </c>
      <c r="FZ37" s="6">
        <f t="shared" si="211"/>
        <v>0</v>
      </c>
      <c r="GA37" t="str">
        <f>IF(B37="","",IF(TRIM(AH37&amp;"")&lt;&gt;"",IF(LOWER(TRIM(AH37&amp;""))="да","да","нет"),IF(IFERROR(_xlfn.XLOOKUP(BC37,Коды_код,Коды_пожарная),"")="да","да","нет")))</f>
        <v>нет</v>
      </c>
      <c r="GB37" t="str">
        <f t="shared" si="212"/>
        <v/>
      </c>
      <c r="GC37" t="str">
        <f t="shared" si="213"/>
        <v>основная</v>
      </c>
      <c r="GD37">
        <f>IF(AND(BP37=1,TRIM(AE37&amp;"")=""),IF(COUNTIFS(Линии[Щит],A37,Линии[Секция (1/2/3)],"&gt;=2")&gt;0,MIN(3,MAX(1,IFERROR(--BD37,1))),1),IFERROR(MIN(3,MAX(1,INT(--AE37))),1))</f>
        <v>1</v>
      </c>
      <c r="GE37" t="str" cm="1">
        <f t="array" ref="GE37">IF(B37="","",_xlfn.LET(_xlpm.t,IFERROR(_xlfn.XLOOKUP(1,(Шины[Шина]=GC37)*(((Шины[Щит]=A37)+(Шины[Щит]=""))&gt;0),Шины[Тип]),"")&amp;"",IF(_xlpm.t&lt;&gt;"",_xlpm.t,IF(ISNUMBER(SEARCH("ИБП",GC37)),"ИБП",IF(ISNUMBER(SEARCH("ДГУ",GC37)),"ДГУ","Ввод "&amp;GD37)))))</f>
        <v>Ввод 1</v>
      </c>
      <c r="GF37" t="str">
        <f t="shared" si="214"/>
        <v>Ввод 1</v>
      </c>
      <c r="GG37" t="str">
        <f>IF(BP37=0,"",IF(TRIM(AG37&amp;"")&lt;&gt;"",TRIM(AG37&amp;""),IF(OR(GE37="ИБП",GE37="ДГУ"),"I особая",_xlfn.XLOOKUP(A37,Щиты[Щит],Щиты[Категория шины «Ввод»],"III"))))</f>
        <v/>
      </c>
      <c r="GH37" t="str">
        <f>IF(A37="","",_xlfn.XLOOKUP(A37,Щиты[Щит],Щиты[Путь],""))</f>
        <v>|ВРУ|ЩР-1|</v>
      </c>
      <c r="GI37" t="str">
        <f>IF(B37="","",IF(AI37&lt;&gt;"",AI37,IF(IFERROR(_xlfn.XLOOKUP(BC37,Коды_код,Коды_вид)&amp;"","")="","Прочее",_xlfn.XLOOKUP(BC37,Коды_код,Коды_вид)&amp;"")))</f>
        <v>Электрический тёплый пол</v>
      </c>
      <c r="GJ37">
        <f>IF(BM37="","",INT((BM37-1)/Столбцов_на_лист)+1)</f>
        <v>1</v>
      </c>
      <c r="GK37" t="str">
        <f t="shared" si="215"/>
        <v>ВВГнг(А)-LS (3х1,5) L=16-2,26%</v>
      </c>
      <c r="GL37">
        <f t="shared" si="216"/>
        <v>2.5</v>
      </c>
      <c r="GM37">
        <f t="shared" si="217"/>
        <v>11.4</v>
      </c>
      <c r="GN37">
        <f t="shared" si="218"/>
        <v>1</v>
      </c>
      <c r="GO37">
        <f t="shared" si="219"/>
        <v>0</v>
      </c>
      <c r="GP37">
        <f t="shared" si="220"/>
        <v>1</v>
      </c>
      <c r="GQ37">
        <f>IF(BM37="","",IF(AND(CG37=1,GP37=1),COUNTIFS(A$3:A37,A37,CG$3:CG37,1,GP$3:GP37,1),IF(OR(OR(BA37=1,A37&lt;&gt;A36),AJ37="вручную",GP37=0),"",IF(BA37=1,"",GR36))))</f>
        <v>6</v>
      </c>
      <c r="GR37">
        <f t="shared" si="221"/>
        <v>6</v>
      </c>
      <c r="GS37">
        <f>IF(B37="","",IFERROR(LOOKUP(INDEX(CHOOSE(EB37,Iдоп_1ж,Iдоп_2ж,Iдоп_3ж),MATCH(EN37,Iдоп_S,0))*DZ37*EA37,{6,10,16,20,25,32,40,50,63,80,100,125,160,200,250,315,400,500,630}),""))</f>
        <v>16</v>
      </c>
      <c r="GT37" t="str">
        <f t="shared" si="222"/>
        <v>QFD6</v>
      </c>
      <c r="GU37" t="str">
        <f t="shared" si="223"/>
        <v>QFD6</v>
      </c>
      <c r="GV37" t="str">
        <f t="shared" si="224"/>
        <v>КМ NCH8-40/40</v>
      </c>
      <c r="GW37">
        <f t="shared" si="225"/>
        <v>0</v>
      </c>
      <c r="GX37" t="str">
        <f>IF(OR(B37="",DJ37=""),"",IFERROR(_xlfn.XLOOKUP(DJ37,Модули_умолч[Управление],Модули_умолч[Модель])&amp;"",""))</f>
        <v/>
      </c>
      <c r="GY37">
        <f>IF(DJ37="",1,IFERROR(MAX(0,N(_xlfn.XLOOKUP(DJ37,Модули_умолч[Управление],Модули_умолч[Каналов на линию]))),1))</f>
        <v>1</v>
      </c>
      <c r="GZ37" t="str">
        <f t="shared" si="226"/>
        <v/>
      </c>
      <c r="HA37" t="str">
        <f t="shared" si="227"/>
        <v/>
      </c>
      <c r="HB37" t="str">
        <f t="shared" si="228"/>
        <v/>
      </c>
      <c r="HC37">
        <f>IF(HB37="",0,IFERROR(N(VLOOKUP(HB37,Модули_спр,3,FALSE)),0))</f>
        <v>0</v>
      </c>
      <c r="HD37" t="str">
        <f t="shared" si="229"/>
        <v/>
      </c>
      <c r="HE37" t="str">
        <f t="shared" si="230"/>
        <v/>
      </c>
      <c r="HF37" t="str">
        <f>IF(OR(HE37="",HE37="-"),"",IFERROR(VLOOKUP(HE37,Модули_спр,2,FALSE),"R"))</f>
        <v/>
      </c>
      <c r="HG37" t="str">
        <f>IF(HF37="","",HF37&amp;"."&amp;COUNTIFS(A$3:A37,A37,HF$3:HF37,HF37))</f>
        <v/>
      </c>
      <c r="HH37" t="str">
        <f t="shared" si="231"/>
        <v/>
      </c>
      <c r="HI37" t="str">
        <f t="shared" si="232"/>
        <v/>
      </c>
      <c r="HJ37" t="str">
        <f t="shared" si="233"/>
        <v/>
      </c>
      <c r="HK37" t="str">
        <f t="shared" si="234"/>
        <v/>
      </c>
      <c r="HL37">
        <f t="shared" si="235"/>
        <v>1</v>
      </c>
      <c r="HM37" t="str">
        <f>IF(HL37=1,"XT"&amp;COUNTIFS(A$3:A37,A37,HL$3:HL37,1),"")</f>
        <v>XT10</v>
      </c>
      <c r="HN37" t="str">
        <f t="shared" si="236"/>
        <v>XT10</v>
      </c>
      <c r="HO37" t="str">
        <f t="shared" si="237"/>
        <v>QFD6</v>
      </c>
      <c r="HP37" t="str">
        <f t="shared" si="238"/>
        <v/>
      </c>
      <c r="HQ37" t="str">
        <f t="shared" si="239"/>
        <v>ok</v>
      </c>
      <c r="HR37" t="str">
        <f>IF(OR(HJ37="",HH37=""),"",IF(HJ37+MAX(0,GY37-1)&gt;IFERROR(VLOOKUP(HI37,Модули_спр,3,FALSE),99),"ЛИШНИЙ КАНАЛ",IF(AND(AL37&lt;&gt;"=",GY37&gt;0,COUNTIFS(Линии[_модуль гр.],HH37,Линии[Канал (итог)],HJ37,Линии[Канал],"&lt;&gt;=",Линии[Щит],A37)&gt;1),"ДУБЛЬ КАНАЛА","")))</f>
        <v/>
      </c>
      <c r="HS37" s="6">
        <f t="shared" si="240"/>
        <v>16.255291110692674</v>
      </c>
      <c r="HT37">
        <f t="shared" si="241"/>
        <v>10</v>
      </c>
      <c r="HU37" t="str">
        <f t="shared" si="242"/>
        <v>ok</v>
      </c>
      <c r="HV37">
        <f t="shared" si="243"/>
        <v>4.7180284409707296</v>
      </c>
      <c r="HW37">
        <f t="shared" si="244"/>
        <v>0</v>
      </c>
      <c r="HX37">
        <f t="shared" si="245"/>
        <v>0</v>
      </c>
      <c r="HY37">
        <f t="shared" si="246"/>
        <v>0</v>
      </c>
      <c r="HZ37">
        <f t="shared" si="247"/>
        <v>0</v>
      </c>
      <c r="IA37">
        <f t="shared" si="248"/>
        <v>0</v>
      </c>
      <c r="IB37">
        <f t="shared" si="249"/>
        <v>0</v>
      </c>
      <c r="IC37" t="str">
        <f t="shared" si="250"/>
        <v/>
      </c>
      <c r="ID37" t="str" cm="1">
        <f t="array" ref="ID37">IF(IC37="","",_xlfn.LET(_xlpm.tk,_xlfn.TEXTSPLIT(SUBSTITUTE(SUBSTITUTE(IC37,";"," "),"→"," ")," ",,TRUE),_xlpm.w_,_xlfn._xlws.FILTER(_xlpm.tk,ISNUMBER(--LEFT(_xlpm.tk,1))*((ISNUMBER(SEARCH("W",_xlpm.tk))+ISNUMBER(SEARCH("Вт",_xlpm.tk)))&gt;0),""),IFERROR(--SUBSTITUTE(SUBSTITUTE(UPPER(INDEX(_xlpm.w_,1)),"W",""),"ВТ",""),"")))</f>
        <v/>
      </c>
      <c r="IE37" t="str" cm="1">
        <f t="array" ref="IE37">IF(IC37="","",_xlfn.LET(_xlpm.tk,_xlfn.TEXTSPLIT(SUBSTITUTE(SUBSTITUTE(IC37,";"," "),"→"," ")," ",,TRUE),_xlpm.v_,_xlfn._xlws.FILTER(_xlpm.tk,ISNUMBER(--LEFT(_xlpm.tk,1))*((ISNUMBER(SEARCH("V",_xlpm.tk))+(RIGHT(UPPER(_xlpm.tk))="В"))&gt;0),""),IFERROR(--SUBSTITUTE(SUBSTITUTE(UPPER(INDEX(_xlpm.v_,1)),"V",""),"В",""),"")))</f>
        <v/>
      </c>
      <c r="IF37" s="6" t="str">
        <f>IF(OR(BV37=0,HI37="",HJ37=""),"",IFERROR(N(_xlfn.XLOOKUP(HI37,Каталог!$C$4:$C$500,Каталог!$Q$4:$Q$500)),""))</f>
        <v/>
      </c>
      <c r="IG37" s="6" t="str">
        <f>IF(N(IF37)=0,"",SUMIFS(Линии[Iр, А],Линии[Щит],A37,Линии[_модуль гр.],HH37,Линии[Канал (итог)],HJ37))</f>
        <v/>
      </c>
      <c r="IH37" t="str">
        <f>IF(AND(B37="",HO37=""),"",_xlfn.TEXTJOIN("; ",TRUE,IF(AND(B37&lt;&gt;"",FV37=""),"нет фазы",""),IF(AND(B37&lt;&gt;"",N(GL37)=0,FG37&lt;&gt;"Нет"),"нет мощности",""),IF(AND(HN37&lt;&gt;"",COUNTIFS(Линии[Щит],A37,Линии[Клемма (итог)],HN37)&gt;1),"дубль клеммы "&amp;HN37,""),IF(AND(HQ37&lt;&gt;"",HQ37&lt;&gt;"ok"),HQ37,""),IF(HR37&lt;&gt;"",HR37,""),IF(AND(N(CB37)&gt;=4,N(BX37)=1),CB37&amp;" жил на 1 фазе",""),IF(AND(BC37="R",CG37=1,IF(CS37&lt;&gt;"",N(CV37)&gt;30,OR(N(DA37)=0,N(DA37)&gt;30))),"розетка без дифзащиты до 30 мА",""),IF(AND(CG37=1,N(DA37)&gt;0,ISNUMBER(T37)),IF(T37&gt;N(DA37)/3,"ток утечки "&amp;FIXED(T37,1)&amp;" мА &gt; 1/3 уставки ("&amp;DA37&amp;" мА)",""),""),IF(AND(CH37=1,CS37=""),"«узо»: нет строки с УЗО выше (УЗО 2P 40А 30мА в «Аппаратах»)",""),IF(AND(CS37&lt;&gt;"",CS37=BA37),IF(CT37="","впишите номинал УЗО (УЗО 2P 40А 30мА)",IF(N(CT37)&lt;N(DT37),"УЗО "&amp;CT37&amp;" А &lt; автомата "&amp;DT37&amp;" А перед ним",IF(N(CT37)&lt;N(CX37),"УЗО "&amp;CT37&amp;" А &lt; тока блока "&amp;FIXED(CX37,1)&amp;" А",""))),""),IF(AND(CS37&lt;&gt;"",CS37=BA37,ISNUMBER(CY37)),IF(CY37&gt;N(CV37)/3,"ток утечки блока УЗО "&amp;FIXED(CY37,1)&amp;" мА &gt; 1/3 уставки ("&amp;CV37&amp;" мА)",""),""),IF(AND(CG37=1,N(BV37)+N(IB37)&gt;0,IC37=""),"линии до 50 В без БП: впишите в «Аппараты» (БП 24V 480W)",""),IF(AND(CG37=1,ISNUMBER(ID37),ISNUMBER(U37)),IF(U37&gt;ID37,"БП "&amp;ID37&amp;" Вт &lt; нужно "&amp;U37&amp;" Вт (×"&amp;Запас_БП&amp;")",""),""),IF(AND(CG37=1,ISNUMBER(IE37),N(BV37)=1),IF(IE37&lt;&gt;N(BU37),"БП на "&amp;IE37&amp;" В, линия "&amp;BU37&amp;" В",""),""),IF(AND(N(IF37)&gt;0,N(IG37)&gt;N(IF37)),HH37&amp;" канал "&amp;HJ37&amp;": "&amp;FIXED(IG37,1)&amp;" А &gt; "&amp;IF37&amp;" А",""),IFERROR(IF(AND(ISNUMBER(Q37),Q37&gt;EL37),"потери "&amp;FIXED(Q37,1)&amp;" % &gt; "&amp;EL37&amp;" %",""),""),IFERROR(IF(LEFT(HU37,4)="мало","Iкз мало — отключение &gt; 0,4 с",""),""),IF(AND(B37&lt;&gt;"",BM37=""),"не на схеме",""),IF(AND(CG37=0,B37&lt;&gt;"",FV37&lt;&gt;"",IF(BA37=1,"",FW36)&lt;&gt;"",FV37&lt;&gt;IF(BA37=1,"",FW36)),"фаза не как у автомата группы ("&amp;IF(BA37=1,"",FW36)&amp;")","")))</f>
        <v/>
      </c>
      <c r="II37" s="6">
        <f>IF(OR(CG37=0,DQ37=""),"",_xlfn.LET(_xlpm.t,IFERROR(_xlfn.XLOOKUP(DQ37,Каталог!$U$4:$U$500,Каталог!$G$4:$G$500),""),_xlpm.k,SEARCH("кА",_xlpm.t),IFERROR(--TRIM(RIGHT(SUBSTITUTE(MID(_xlpm.t,MAX(1,_xlpm.k-4),_xlpm.k-MAX(1,_xlpm.k-4))," ",REPT(" ",9)),5)),"")))</f>
        <v>6</v>
      </c>
      <c r="IJ37" t="str">
        <f>IF(OR(II37="",CG37=0),"",IF(_xlfn.XLOOKUP(A37,Щиты[Щит],Щиты[Iкз max на шинах, кА],"")="","",IF(II37&lt;_xlfn.XLOOKUP(A37,Щиты[Щит],Щиты[Iкз max на шинах, кА]),"Icu "&amp;II37&amp;" кА &lt; Iкз max","ok")))</f>
        <v>ok</v>
      </c>
      <c r="IK37" t="str">
        <f t="shared" si="251"/>
        <v/>
      </c>
      <c r="IL37" t="str">
        <f t="shared" si="252"/>
        <v>QFD6|КМ NCH8-40/40|XT10</v>
      </c>
      <c r="IM37" t="str">
        <f t="shared" si="253"/>
        <v>QFD6|КМ NCH8-40/40|XT10|кабель ВВГнг(А)-LS (3х1,5) → Теплый пол, пом. 01</v>
      </c>
      <c r="IN37" t="str" cm="1">
        <f t="array" ref="IN37">IF(IM37="","",_xlfn.LET(_xlpm.nd,_xlfn.TEXTSPLIT(IM37,"|"),IF(COLUMNS(_xlpm.nd)&gt;1,A37&amp;"¦"&amp;INDEX(_xlpm.nd,1)&amp;"¦"&amp;INDEX(_xlpm.nd,2),"")))</f>
        <v>ЩР-1¦QFD6¦КМ NCH8-40/40</v>
      </c>
      <c r="IO37" t="str">
        <f t="shared" si="254"/>
        <v>ТП.1.01.1¦Теплый пол, пом. 01</v>
      </c>
      <c r="IP37" t="str" cm="1">
        <f t="array" ref="IP37">IF(IM37="","",_xlfn.LET(_xlpm.nd,_xlfn.TEXTSPLIT(IM37,"|"),IF(COLUMNS(_xlpm.nd)&gt;2,A37&amp;"¦"&amp;INDEX(_xlpm.nd,2)&amp;"¦"&amp;INDEX(_xlpm.nd,3),"")))</f>
        <v>ЩР-1¦КМ NCH8-40/40¦XT10</v>
      </c>
      <c r="IQ37" t="str">
        <f t="shared" si="255"/>
        <v>ТП.1.01.1¦Теплый пол, пом. 01</v>
      </c>
      <c r="IR37" t="str" cm="1">
        <f t="array" ref="IR37">IF(IM37="","",_xlfn.LET(_xlpm.nd,_xlfn.TEXTSPLIT(IM37,"|"),IF(COLUMNS(_xlpm.nd)&gt;3,A37&amp;"¦"&amp;INDEX(_xlpm.nd,3)&amp;"¦"&amp;INDEX(_xlpm.nd,4),"")))</f>
        <v>ЩР-1¦XT10¦кабель ВВГнг(А)-LS (3х1,5) → Теплый пол, пом. 01</v>
      </c>
      <c r="IS37" t="str">
        <f t="shared" si="256"/>
        <v>ТП.1.01.1¦Теплый пол, пом. 01</v>
      </c>
      <c r="IT37" t="str" cm="1">
        <f t="array" ref="IT37">IF(IM37="","",_xlfn.LET(_xlpm.nd,_xlfn.TEXTSPLIT(IM37,"|"),IF(COLUMNS(_xlpm.nd)&gt;4,A37&amp;"¦"&amp;INDEX(_xlpm.nd,4)&amp;"¦"&amp;INDEX(_xlpm.nd,5),"")))</f>
        <v/>
      </c>
      <c r="IU37" t="str">
        <f t="shared" si="257"/>
        <v/>
      </c>
      <c r="IV37" t="str" cm="1">
        <f t="array" ref="IV37">IF(IM37="","",_xlfn.LET(_xlpm.nd,_xlfn.TEXTSPLIT(IM37,"|"),IF(COLUMNS(_xlpm.nd)&gt;5,A37&amp;"¦"&amp;INDEX(_xlpm.nd,5)&amp;"¦"&amp;INDEX(_xlpm.nd,6),"")))</f>
        <v/>
      </c>
      <c r="IW37" t="str">
        <f t="shared" si="258"/>
        <v/>
      </c>
      <c r="IX37" t="str" cm="1">
        <f t="array" ref="IX37">IF(IM37="","",_xlfn.LET(_xlpm.nd,_xlfn.TEXTSPLIT(IM37,"|"),IF(COLUMNS(_xlpm.nd)&gt;6,A37&amp;"¦"&amp;INDEX(_xlpm.nd,6)&amp;"¦"&amp;INDEX(_xlpm.nd,7),"")))</f>
        <v/>
      </c>
      <c r="IY37" t="str">
        <f t="shared" si="259"/>
        <v/>
      </c>
      <c r="IZ37" t="str">
        <f t="shared" si="260"/>
        <v/>
      </c>
      <c r="JA37" t="str">
        <f t="shared" si="261"/>
        <v>QFD6 → КМ NCH8-40/40 → XT10</v>
      </c>
      <c r="JB37">
        <f t="shared" si="262"/>
        <v>0</v>
      </c>
      <c r="JC37">
        <f t="shared" si="263"/>
        <v>1</v>
      </c>
      <c r="JD37" t="str">
        <f t="shared" si="264"/>
        <v/>
      </c>
      <c r="JE37" t="str">
        <f t="shared" si="265"/>
        <v>KM</v>
      </c>
      <c r="JF37" t="str">
        <f t="shared" si="266"/>
        <v/>
      </c>
      <c r="JG37" t="str">
        <f t="shared" si="267"/>
        <v/>
      </c>
      <c r="JH37" t="str">
        <f>IF(B37="","",IFERROR(_xlfn.XLOOKUP(B37,Коды_код,Коды_уго),IFERROR(_xlfn.XLOOKUP(BC37,Коды_код,Коды_уго),IFERROR(_xlfn.XLOOKUP(LEFT(BC37,2),Коды_код,Коды_уго),""))))</f>
        <v>Нагреватель</v>
      </c>
      <c r="JI37" t="str">
        <f>IF(B37="","",IF(OR(JH37="",JH37=0),"BOX",IFERROR(IF(VLOOKUP(JH37,УГО_блоки,3,FALSE)&amp;""&lt;&gt;"",VLOOKUP(JH37,УГО_блоки,3,FALSE),VLOOKUP(JH37,УГО_блоки,2,FALSE)),JH37)))</f>
        <v>HEAT</v>
      </c>
      <c r="JJ37">
        <f t="shared" si="268"/>
        <v>1</v>
      </c>
      <c r="JK37" t="str">
        <f>IF(DQ37="","",IF(COUNTIF(DQ$3:DQ37,DQ37)=1,MAX(JK$2:JK36)+1,""))</f>
        <v/>
      </c>
      <c r="JL37">
        <f>IF(DE37="","",IF(COUNTIF(DE$3:DE37,DE37)+COUNTIF(DF$2:DF36,DE37)+COUNTIF(DG$2:DG36,DE37)=1,MAX(JL$2:JN36)+1,""))</f>
        <v>4</v>
      </c>
      <c r="JM37" t="str">
        <f>IF(DF37="","",IF(COUNTIF(DE$3:DE37,DF37)+COUNTIF(DF$3:DF37,DF37)+COUNTIF(DG$2:DG36,DF37)=1,MAX(JL$2:JN36,JL37)+1,""))</f>
        <v/>
      </c>
      <c r="JN37" t="str">
        <f>IF(DG37="","",IF(COUNTIF(DE$3:DE37,DG37)+COUNTIF(DF$3:DF37,DG37)+COUNTIF(DG$3:DG37,DG37)=1,MAX(JL$2:JN36,JL37,JM37)+1,""))</f>
        <v/>
      </c>
      <c r="JO37" t="str">
        <f t="shared" si="269"/>
        <v>3х1,5</v>
      </c>
      <c r="JP37" t="str">
        <f>IF(JO37="","",IF(COUNTIF(JO$3:JO37,JO37)=1,MAX(JP$2:JP36)+1,""))</f>
        <v/>
      </c>
      <c r="JQ37" t="str">
        <f>IF(HG37="","",COUNTIF(HG$3:HG37,"?*"))</f>
        <v/>
      </c>
      <c r="JR37" t="str">
        <f>IF(OR(HG37="",HI37=""),"",IF(COUNTIFS(HG$3:HG37,"?*",HI$3:HI37,HI37)=1,MAX(JR$2:JR36)+1,""))</f>
        <v/>
      </c>
      <c r="JS37">
        <f t="shared" si="270"/>
        <v>0</v>
      </c>
      <c r="JT37">
        <f>IF(B37="","",COUNTIF(B$3:B37,"?*"))</f>
        <v>34</v>
      </c>
      <c r="JU37">
        <f>IF(HL37&lt;&gt;1,0,_xlfn.LET(_xlpm.k,MAX(IFERROR(--_xlfn.XLOOKUP(B37,Коды_код,Коды_3L),0),IFERROR(--_xlfn.XLOOKUP(BC37,Коды_код,Коды_3L),0),IFERROR(--_xlfn.XLOOKUP(LEFT(BC37,2),Коды_код,Коды_3L),0)),IF(_xlpm.k&gt;0,_xlpm.k,IF(IFERROR(--LEFT(SUBSTITUTE(JO37,"x","х"),FIND("х",SUBSTITUTE(JO37,"x","х"))-1),3)&gt;3,Каталог!$S$9,1))))</f>
        <v>1</v>
      </c>
      <c r="JV37">
        <f t="shared" si="271"/>
        <v>0</v>
      </c>
      <c r="JW37" t="str">
        <f t="shared" si="272"/>
        <v>авто</v>
      </c>
      <c r="JX37">
        <f t="shared" si="273"/>
        <v>30</v>
      </c>
      <c r="JY37">
        <f t="shared" si="274"/>
        <v>1</v>
      </c>
      <c r="JZ37">
        <f t="shared" si="275"/>
        <v>1</v>
      </c>
    </row>
    <row r="38" spans="1:286" x14ac:dyDescent="0.3">
      <c r="A38" t="s">
        <v>947</v>
      </c>
      <c r="C38" t="str">
        <f>Линии[[#This Row],[_авто наименование]]</f>
        <v/>
      </c>
      <c r="E38" t="str">
        <f>Линии[[#This Row],[_авто Р]]</f>
        <v/>
      </c>
      <c r="G38" t="str">
        <f>Линии[[#This Row],[_авто автомат]]</f>
        <v/>
      </c>
      <c r="H38" t="str">
        <f>Линии[[#This Row],[_авто управление]]</f>
        <v/>
      </c>
      <c r="I38" t="str">
        <f>Линии[[#This Row],[_авто аппараты]]</f>
        <v/>
      </c>
      <c r="J38" t="str">
        <f>Линии[[#This Row],[_авто сечение]]</f>
        <v/>
      </c>
      <c r="K38" t="str">
        <f>Линии[[#This Row],[_авто длина по плану]]</f>
        <v/>
      </c>
      <c r="L38" t="str">
        <f>Линии[[#This Row],[_авто фаза]]</f>
        <v/>
      </c>
      <c r="M38" t="str">
        <f>Линии[[#This Row],[_авто клемма]]</f>
        <v>XT11</v>
      </c>
      <c r="N38" t="str">
        <f t="shared" si="138"/>
        <v/>
      </c>
      <c r="O38" s="6" t="str" cm="1">
        <f t="array" ref="O38">IF(B38="","",IF(BH38&lt;&gt;"",IFERROR(_xlfn.XLOOKUP(BH38,Щиты[Щит],Щиты[Iр, А]),""),IF(BP38=1,IF(OR(N(_xlfn.XLOOKUP(A38,Щиты[Щит],Щиты[Вводов],1))&lt;=1,LOWER(TRIM(_xlfn.XLOOKUP(A38,Щиты[Щит],Щиты[АВР],"")&amp;""))="да"),IFERROR(_xlfn.XLOOKUP(A38,Щиты[Щит],Щиты[Iр, А]),""),IFERROR(N(BS38)*_xlfn.XLOOKUP(A38,Щиты[Щит],Щиты[Кс итог])/(SQRT(3)*Uн_лин*_xlfn.XLOOKUP(A38,Щиты[Щит],Щиты[cos φ])),"")),IF(BV38=1,IFERROR(BS38*1000/BU38,""),IFERROR(_xlfn.IFS(BX38=1,BS38/((Uн_лин/SQRT(3))*CE38),BX38=3,BS38/(SQRT(3)*Uн_лин*CE38)),"")))))</f>
        <v/>
      </c>
      <c r="P38" s="7" t="str">
        <f>IF(B38="","",IFERROR(IF(VLOOKUP(BC38,Потребители_обозначение,4,FALSE)=1,VLOOKUP(BC38,Потребители_обозначение,3,FALSE)*(MAX(1,N(D38))*2-1)+EI38+VLOOKUP(BE38,Этаж_обозначение,3,FALSE)+VLOOKUP(BE38,Этаж_обозначение,4,FALSE),VLOOKUP(BC38,Потребители_обозначение,3,FALSE)*(MAX(1,N(D38))*2-1)+EI38),EI38))</f>
        <v/>
      </c>
      <c r="Q38" s="6" t="str">
        <f t="shared" si="139"/>
        <v/>
      </c>
      <c r="R38" t="str">
        <f t="shared" si="140"/>
        <v/>
      </c>
      <c r="S38" t="str">
        <f>IF(BM38="","",IF(BN38="вводной узел","узел ","")&amp;"л."&amp;(INT((BM38-1)/Столбцов_на_лист)+1)&amp;" / "&amp;(MOD(BM38-1,Столбцов_на_лист)+1))</f>
        <v>л.1 / 15</v>
      </c>
      <c r="T38" s="119" t="str">
        <f t="shared" si="141"/>
        <v/>
      </c>
      <c r="U38" s="7" t="str">
        <f>IF(OR(CG38=0,N(BV38)+N(IB38)=0),"",ROUNDUP(Запас_БП*(N(HY38)+N(HZ38)),0))</f>
        <v/>
      </c>
      <c r="V38" s="119" t="str">
        <f t="shared" si="142"/>
        <v/>
      </c>
      <c r="W38" s="7" t="str">
        <f>IFERROR(IF(OR(B38="",BP38=1,BV38=1,NOT(ISNUMBER(EN38)),N(DT38)=0),"",MAX(0,ROUNDDOWN((c_min*(Uн_лин*1000/SQRT(3))/(HT38*N(DT38))-_xlfn.XLOOKUP(A38,Щиты[Щит],Щиты[Zпетли на шинах, Ом]))*EN38/(2*ρкз_Cu),0))),"")</f>
        <v/>
      </c>
      <c r="Y38" t="str">
        <f>Линии[[#This Row],[_авто утечка]]</f>
        <v/>
      </c>
      <c r="Z38" t="str">
        <f>Линии[[#This Row],[_авто фаз]]</f>
        <v/>
      </c>
      <c r="AA38" t="str">
        <f>Линии[[#This Row],[_авто U]]</f>
        <v/>
      </c>
      <c r="AB38" t="str">
        <f>Линии[[#This Row],[_авто группа Кс]]</f>
        <v/>
      </c>
      <c r="AK38" t="str">
        <f>Линии[[#This Row],[_авто модуль]]</f>
        <v/>
      </c>
      <c r="AL38" t="s">
        <v>1217</v>
      </c>
      <c r="AN38" t="str">
        <f>Линии[[#This Row],[_авто марка]]</f>
        <v/>
      </c>
      <c r="AO38" t="str">
        <f>Линии[[#This Row],[_авто жил]]</f>
        <v/>
      </c>
      <c r="BA38" cm="1">
        <f t="array" ref="BA38">ROW()-ROW(Линии[#Headers])</f>
        <v>36</v>
      </c>
      <c r="BC38" s="6" t="str">
        <f t="shared" si="143"/>
        <v/>
      </c>
      <c r="BD38" t="str">
        <f t="shared" si="144"/>
        <v/>
      </c>
      <c r="BE38" t="str">
        <f t="shared" si="145"/>
        <v/>
      </c>
      <c r="BF38" t="str">
        <f t="shared" si="146"/>
        <v/>
      </c>
      <c r="BG38" t="str">
        <f t="shared" si="147"/>
        <v/>
      </c>
      <c r="BH38" t="str">
        <f>IF(X38&lt;&gt;"",X38,IF(AND(B38&lt;&gt;"",B38&lt;&gt;A38,ISNUMBER(_xlfn.XMATCH(B38,Щиты[Щит]))),B38,""))</f>
        <v/>
      </c>
      <c r="BI38" t="str" cm="1">
        <f t="array" ref="BI38">IF(B38="","",IF(BH38&lt;&gt;"","Щит "&amp;BH38,_xlfn.LET(_xlpm.nm,IFERROR(_xlfn.XLOOKUP(BC38,Коды_код,Коды_имя)&amp;"",""),_xlpm.md,IFERROR(N(_xlfn.XLOOKUP(BC38,Коды_код,Коды_режим)),1),_xlpm.ex,IF(Имя_режим="по экспликации",IFERROR(_xlfn.XLOOKUP(BE38&amp;"|"&amp;BG38,Экспликация[Этаж]&amp;"|"&amp;Экспликация[Помещение],Экспликация[Название])&amp;"",""),""),_xlpm.rm,IF(BG38="","",IF(_xlpm.ex&lt;&gt;"",". "&amp;_xlpm.ex&amp;IF(Имя_пом="нет"," ("&amp;BG38&amp;")"," (пом. "&amp;BG38&amp;")"),IF(Имя_пом="нет"," ",", пом. ")&amp;BG38)),IF(_xlpm.nm="","",IF(_xlpm.md=2,_xlpm.nm&amp;" шлейф "&amp;BE38,_xlpm.nm&amp;_xlpm.rm)))))</f>
        <v/>
      </c>
      <c r="BJ38" t="str">
        <f t="shared" si="148"/>
        <v/>
      </c>
      <c r="BK38">
        <f>IFERROR(_xlfn.XMATCH(A38,Щиты[Щит]),0)</f>
        <v>4</v>
      </c>
      <c r="BL38">
        <f>_xlfn.LET(_xlpm.k,IFERROR(_xlfn.XLOOKUP(A38,Щиты[Щит],Щиты[Мест под вводной узел]),""),IF(_xlpm.k="",Столбцов_на_лист,N(_xlpm.k)))</f>
        <v>3</v>
      </c>
      <c r="BM38">
        <f t="shared" si="149"/>
        <v>15</v>
      </c>
      <c r="BN38" t="str">
        <f t="shared" si="150"/>
        <v>линии</v>
      </c>
      <c r="BO38" s="6">
        <f>IFERROR(N(_xlfn.XLOOKUP(BC38,Коды_код,Коды_квт)),0)</f>
        <v>0</v>
      </c>
      <c r="BP38">
        <f t="shared" si="151"/>
        <v>0</v>
      </c>
      <c r="BQ38" t="str">
        <f>IF(B38="","",IF(BH38&lt;&gt;"",IFERROR(_xlfn.XLOOKUP(BH38,Щиты[Щит],Щиты[Руст, кВт]),0),IF(BP38=1,IF(OR(N(_xlfn.XLOOKUP(A38,Щиты[Щит],Щиты[Вводов],1))&lt;=1,LOWER(TRIM(_xlfn.XLOOKUP(A38,Щиты[Щит],Щиты[АВР],"")&amp;""))="да"),IFERROR(_xlfn.XLOOKUP(A38,Щиты[Щит],Щиты[Руст, кВт]),0),SUMIFS(Линии[_Р для вводов],Линии[Щит],A38,Линии[Источник для режимов],GF38)),IF(BO38&gt;0,ROUND(BO38*MAX(1,N(D38)),3),""))))</f>
        <v/>
      </c>
      <c r="BR38" t="str">
        <f t="shared" si="152"/>
        <v/>
      </c>
      <c r="BS38" s="6" t="str">
        <f>IF(B38="","",IF(BH38&lt;&gt;"",IFERROR(_xlfn.XLOOKUP(BH38,Щиты[Щит],Щиты[Руст, кВт]),0),N(BR38)))</f>
        <v/>
      </c>
      <c r="BT38" t="str">
        <f>IF(B38="","",IFERROR(IF(VLOOKUP(BC38,Потребители_обозначение,8,FALSE)=0,"",VLOOKUP(BC38,Потребители_обозначение,8,FALSE)),""))</f>
        <v/>
      </c>
      <c r="BU38" t="str">
        <f t="shared" si="153"/>
        <v/>
      </c>
      <c r="BV38">
        <f t="shared" si="154"/>
        <v>0</v>
      </c>
      <c r="BW38" t="str">
        <f>IF(B38="","",IF(BH38&lt;&gt;"",3,IFERROR(IF(N(VLOOKUP(BC38,Потребители_обозначение,9,FALSE))=0,1,VLOOKUP(BC38,Потребители_обозначение,9,FALSE)),1)))</f>
        <v/>
      </c>
      <c r="BX38" t="str">
        <f t="shared" si="155"/>
        <v/>
      </c>
      <c r="BY38" t="str">
        <f>IF(B38="","",_xlfn.LET(_xlpm.bc,IFERROR(IF(VLOOKUP(BC38,Потребители_обозначение,6,FALSE)=0,"",VLOOKUP(BC38,Потребители_обозначение,6,FALSE)&amp;""),""),IF(AND(GA38="да",OR(_xlpm.bc="",_xlpm.bc="мс")),Марка_пож,IF(AND(_xlpm.bc="",BH38&lt;&gt;""),"мс",_xlpm.bc))))</f>
        <v/>
      </c>
      <c r="BZ38" t="str">
        <f t="shared" si="156"/>
        <v/>
      </c>
      <c r="CA38" t="str">
        <f>IF(B38="","",_xlfn.LET(_xlpm.cc,IFERROR(N(VLOOKUP(BC38,Потребители_обозначение,7,FALSE)),0),IF(_xlpm.cc&gt;0,_xlpm.cc,IF(BZ38="","",IF(BV38=1,2,IF(N(BX38)=3,5,3))))))</f>
        <v/>
      </c>
      <c r="CB38" t="str">
        <f t="shared" si="157"/>
        <v/>
      </c>
      <c r="CC38">
        <f>IFERROR(N(VLOOKUP(BC38,Потребители_обозначение,10,FALSE)),0)</f>
        <v>0</v>
      </c>
      <c r="CD38">
        <f>IFERROR(VLOOKUP(BC38,Потребители_обозначение,5,FALSE),0)</f>
        <v>0</v>
      </c>
      <c r="CE38" s="6" t="str" cm="1">
        <f t="array" ref="CE38">IF(B38="","",IF(BH38&lt;&gt;"",IFERROR(_xlfn.XLOOKUP(BH38,Щиты[Щит],Щиты[cos φ]),0.95),IF(BP38=1,IFERROR(_xlfn.XLOOKUP(A38,Щиты[Щит],Щиты[cos φ]),0.95),IF(ISNUMBER(AD38),AD38,IFERROR(IF(CD38=2,_xlfn.IFS(BX38=3,VLOOKUP(BS38,Справочная_двигатели,8,FALSE),BX38=1,VLOOKUP(BS38,Справочная_двигатели,10,TRUE)),IF(AND(Методика="нормы 2026",FG38="Сил"),0.8,0.95)),0.95)))))</f>
        <v/>
      </c>
      <c r="CF38">
        <f t="shared" si="158"/>
        <v>0</v>
      </c>
      <c r="CG38">
        <f t="shared" si="159"/>
        <v>0</v>
      </c>
      <c r="CH38">
        <f t="shared" si="160"/>
        <v>0</v>
      </c>
      <c r="CI38" t="str">
        <f>IF(B38="","",IF(BV38=1,IFERROR(BS38/((Uн_лин/SQRT(3))*MAX(0.5,N(CE38))),0),N(O38)))</f>
        <v/>
      </c>
      <c r="CJ38">
        <f t="shared" si="161"/>
        <v>0</v>
      </c>
      <c r="CK38">
        <f t="shared" si="162"/>
        <v>0</v>
      </c>
      <c r="CL38">
        <f t="shared" si="163"/>
        <v>0</v>
      </c>
      <c r="CM38">
        <f t="shared" si="164"/>
        <v>0</v>
      </c>
      <c r="CN38">
        <f t="shared" si="165"/>
        <v>0</v>
      </c>
      <c r="CO38">
        <f>IF(BC38="",0,_xlfn.LET(_xlpm.v,IFERROR(_xlfn.XLOOKUP(B38,Коды_код,Коды_мА),IFERROR(_xlfn.XLOOKUP(BC38,Коды_код,Коды_мА),IFERROR(_xlfn.XLOOKUP(LEFT(BC38,2),Коды_код,Коды_мА),""))),IF(_xlpm.v="да",30,IF(ISNUMBER(_xlpm.v),_xlpm.v,0))))</f>
        <v>0</v>
      </c>
      <c r="CP38" t="str">
        <f t="shared" si="166"/>
        <v/>
      </c>
      <c r="CQ38" t="str">
        <f>_xlfn.LET(_xlpm.k,IFERROR(_xlfn.XLOOKUP(BC38,Коды_код,Коды_утечка)&amp;"",""),IF(_xlpm.k="","дифавтомат",_xlpm.k))</f>
        <v>дифавтомат</v>
      </c>
      <c r="CR38" t="str" cm="1">
        <f t="array" ref="CR38">IF(CG38=0,"",_xlfn.LET(_xlpm.sg,TRIM(_xlfn.TEXTSPLIT(DD38&amp;"",";")),_xlpm.f_,_xlfn._xlws.FILTER(_xlpm.sg,LEFT(_xlpm.sg,3)="УЗО",""),IFERROR(INDEX(_xlpm.f_,1)&amp;"","")))</f>
        <v/>
      </c>
      <c r="CS38" t="str">
        <f t="shared" si="167"/>
        <v/>
      </c>
      <c r="CT38" s="6" t="str" cm="1">
        <f t="array" ref="CT38">IF(CR38="","",_xlfn.LET(_xlpm.tk,_xlfn.TEXTSPLIT(UPPER(CR38)," ",,TRUE),_xlpm.a_,_xlfn._xlws.FILTER(_xlpm.tk,ISNUMBER(--LEFT(_xlpm.tk,1))*((ISNUMBER(SEARCH("А",_xlpm.tk))+ISNUMBER(SEARCH("A",_xlpm.tk)))&gt;0)*NOT(ISNUMBER(SEARCH("МА",_xlpm.tk)))*NOT(ISNUMBER(SEARCH("MA",_xlpm.tk))),""),IFERROR(--SUBSTITUTE(SUBSTITUTE(INDEX(_xlpm.a_,1),"А",""),"A",""),"")))</f>
        <v/>
      </c>
      <c r="CU38" t="str" cm="1">
        <f t="array" ref="CU38">IF(CR38="","",_xlfn.LET(_xlpm.tk,_xlfn.TEXTSPLIT(UPPER(CR38)," ",,TRUE),_xlpm.a_,_xlfn._xlws.FILTER(_xlpm.tk,ISNUMBER(--LEFT(_xlpm.tk,1))*((ISNUMBER(SEARCH("МА",_xlpm.tk))+ISNUMBER(SEARCH("MA",_xlpm.tk)))&gt;0),""),IFERROR(--SUBSTITUTE(SUBSTITUTE(INDEX(_xlpm.a_,1),"МА",""),"MA",""),30)))</f>
        <v/>
      </c>
      <c r="CV38" t="str">
        <f>IF(CS38="","",IFERROR(_xlfn.XLOOKUP(CS38,Линии[_n],Линии[_УЗО, мА]),30))</f>
        <v/>
      </c>
      <c r="CW38">
        <f>IF(CS38="",0,IF(ISNUMBER(SEARCH("4P",IFERROR(_xlfn.XLOOKUP(CS38,Линии[_n],Линии[_УЗО строки])&amp;"",""))),0,1))</f>
        <v>0</v>
      </c>
      <c r="CX38" t="str">
        <f>IF(AND(CS38&lt;&gt;"",CS38=BA38),SUMIFS(Линии[_ток на 230 В],Линии[_блок УЗО],BA38,Линии[Щит],A38),"")</f>
        <v/>
      </c>
      <c r="CY38" t="str">
        <f>IF(AND(CS38&lt;&gt;"",CS38=BA38),SUMIFS(Линии[_ток утечки линии, мА],Линии[_блок УЗО],BA38,Линии[Щит],A38),"")</f>
        <v/>
      </c>
      <c r="CZ38">
        <f t="shared" si="168"/>
        <v>0</v>
      </c>
      <c r="DA38" t="str">
        <f t="shared" si="169"/>
        <v/>
      </c>
      <c r="DB38">
        <f>IF(B38="",0,IFERROR(--_xlfn.XLOOKUP(B38,Коды_код,Коды_минавт),IFERROR(--_xlfn.XLOOKUP(BC38,Коды_код,Коды_минавт),IFERROR(--_xlfn.XLOOKUP(LEFT(BC38,2),Коды_код,Коды_минавт),0))))</f>
        <v>0</v>
      </c>
      <c r="DC38" t="str">
        <f>IF(B38="","",IFERROR(_xlfn.XLOOKUP(BC38,Коды_код,Коды_апп)&amp;"",""))</f>
        <v/>
      </c>
      <c r="DD38" t="str">
        <f t="shared" si="170"/>
        <v/>
      </c>
      <c r="DE38" t="str" cm="1">
        <f t="array" ref="DE38">IF(TRIM(DD38&amp;"")="","",IFERROR(TRIM(INDEX(_xlfn.TEXTSPLIT(DD38&amp;";;;",";"),1)),""))</f>
        <v/>
      </c>
      <c r="DF38" t="str" cm="1">
        <f t="array" ref="DF38">IF(TRIM(DD38&amp;"")="","",IFERROR(TRIM(INDEX(_xlfn.TEXTSPLIT(DD38&amp;";;;",";"),2)),""))</f>
        <v/>
      </c>
      <c r="DG38" t="str" cm="1">
        <f t="array" ref="DG38">IF(TRIM(DD38&amp;"")="","",IFERROR(TRIM(INDEX(_xlfn.TEXTSPLIT(DD38&amp;";;;",";"),3)),""))</f>
        <v/>
      </c>
      <c r="DH38">
        <f t="shared" si="171"/>
        <v>0</v>
      </c>
      <c r="DI38" t="str">
        <f>IF(B38="","",_xlfn.LET(_xlpm.t,LOWER(AZ38&amp;""),IF(ISNUMBER(SEARCH("dim",_xlpm.t)),"DIM",IF(ISNUMBER(SEARCH("dali",_xlpm.t)),"DALI",IF(OR(ISNUMBER(SEARCH("relay",_xlpm.t)),ISNUMBER(SEARCH("реле",_xlpm.t))),"Relay",IF(ISNUMBER(SEARCH("кнопк",_xlpm.t)),"",IFERROR(_xlfn.XLOOKUP(BC38,Коды_код,Коды_упр)&amp;"","")))))))</f>
        <v/>
      </c>
      <c r="DJ38" t="str">
        <f t="shared" si="172"/>
        <v/>
      </c>
      <c r="DK38" t="str">
        <f>IF(B38="","",_xlfn.LET(_xlpm.ig,IF(N(CX38)&gt;0,N(CX38),N(CI38)+IF(AJ38="вручную",0,N(CJ38))),_xlpm.n0,IFERROR(VLOOKUP(_xlpm.ig,Автомат_номиналы,2,TRUE),0),_xlpm.mn,MAX(DB38,IF(AJ38="вручную",0,N(CM38))),MAX(_xlpm.n0,_xlpm.mn,IF(DH38=1,Мин_автомат_БП,0))))</f>
        <v/>
      </c>
      <c r="DL38" t="str">
        <f t="shared" si="173"/>
        <v/>
      </c>
      <c r="DM38" t="str">
        <f t="shared" si="174"/>
        <v/>
      </c>
      <c r="DN38" t="str">
        <f>_xlfn.LET(_xlpm.cc,UPPER(TRIM(IFERROR(_xlfn.XLOOKUP(BC38,Коды_код,Коды_хар)&amp;"",""))),IF(OR(_xlpm.cc="B",_xlpm.cc="В"),"B",IF(_xlpm.cc="D","D","С")))</f>
        <v>С</v>
      </c>
      <c r="DO38" t="str">
        <f t="shared" si="175"/>
        <v/>
      </c>
      <c r="DP38" t="str">
        <f t="shared" si="176"/>
        <v/>
      </c>
      <c r="DQ38" t="str">
        <f t="shared" si="177"/>
        <v/>
      </c>
      <c r="DR38" t="str" cm="1">
        <f t="array" ref="DR38">IF(DQ38="","",_xlfn.LET(_xlpm.t,SUBSTITUTE(SUBSTITUTE(SUBSTITUTE(UPPER(DQ38),"С","C"),"А","A"),"В","B"),_xlpm.tk,_xlfn.TEXTSPLIT(_xlpm.t," "),_xlpm.f,_xlfn._xlws.FILTER(_xlpm.tk,ISNUMBER(--MID(_xlpm.tk,2,1))*ISNUMBER(SEARCH(LEFT(_xlpm.tk,1)&amp;"#","B#C#D#"))*(LEN(_xlpm.tk)&gt;1),""),_xlpm.x,INDEX(_xlpm.f,1),IFERROR(--SUBSTITUTE(MID(_xlpm.x,2,9),"A",""),IFERROR(--SUBSTITUTE(INDEX(_xlfn._xlws.FILTER(_xlpm.tk,ISNUMBER(--SUBSTITUTE(_xlpm.tk,"A","")),""),1),"A",""),""))))</f>
        <v/>
      </c>
      <c r="DS38" t="str">
        <f t="shared" si="178"/>
        <v>ok</v>
      </c>
      <c r="DT38">
        <f t="shared" si="179"/>
        <v>16</v>
      </c>
      <c r="DU38" t="str">
        <f t="shared" si="180"/>
        <v>2P С16А 30мА</v>
      </c>
      <c r="DV38">
        <f t="shared" si="181"/>
        <v>30</v>
      </c>
      <c r="DW38">
        <f t="shared" si="182"/>
        <v>1</v>
      </c>
      <c r="DX38">
        <f t="shared" si="183"/>
        <v>0</v>
      </c>
      <c r="DY38" t="str">
        <f t="shared" si="184"/>
        <v/>
      </c>
      <c r="DZ38">
        <f t="shared" si="185"/>
        <v>1</v>
      </c>
      <c r="EA38">
        <f>IF(ISNUMBER(AP38),AP38,К_прокл)</f>
        <v>1</v>
      </c>
      <c r="EB38">
        <f t="shared" si="186"/>
        <v>3</v>
      </c>
      <c r="EC38">
        <f>IFERROR(N(VLOOKUP(BZ38,Кабель_обозначение,3,FALSE)),1)</f>
        <v>1</v>
      </c>
      <c r="ED38">
        <f>IFERROR(N(_xlfn.XLOOKUP(A38,Щиты[Щит],Щиты[ΔU до шин, %])),0)</f>
        <v>1.0560288498727977</v>
      </c>
      <c r="EE38">
        <f>IFERROR(_xlfn.XLOOKUP(A38,Щиты[Щит],Щиты[Zпетли на шинах, Ом]),"")</f>
        <v>0.28247829354840204</v>
      </c>
      <c r="EF38">
        <f>IFERROR(N(_xlfn.XLOOKUP(A38,Щиты[Щит],Щиты[ΔU до шин (подбор), %])),0)</f>
        <v>1.0560288498727977</v>
      </c>
      <c r="EG38">
        <f>IFERROR(_xlfn.XLOOKUP(A38,Щиты[Щит],Щиты[Zпетли на шинах (подбор), Ом]),"")</f>
        <v>0.28247829354840204</v>
      </c>
      <c r="EH38" t="str">
        <f t="shared" si="187"/>
        <v/>
      </c>
      <c r="EI38" t="str">
        <f t="shared" si="188"/>
        <v/>
      </c>
      <c r="EJ38" t="str">
        <f t="shared" si="189"/>
        <v/>
      </c>
      <c r="EK38" t="str">
        <f t="shared" si="190"/>
        <v/>
      </c>
      <c r="EL38" s="6" t="str">
        <f>IF(B38="","",IF(BV38=1,dU_LED,IF(IFERROR(_xlfn.XLOOKUP(BC38,Коды_код,Коды_уго),"")="Светильник",3,4)+IF(Методика="нормы 2026",MIN(0.5,MAX(0,N(P38)-100)*0.005),0)))</f>
        <v/>
      </c>
      <c r="EM38" t="str" cm="1">
        <f t="array" ref="EM38">IF(OR(B38="",BZ38="",EC38&lt;&gt;1),"",_xlfn.LET(_xlpm.sz,Iдоп_S,_xlpm.t_,CHOOSE(EB38,Iдоп_1ж,Iдоп_2ж,Iдоп_3ж)*DZ38*EA38,_xlpm.dcx,BV38=1,_xlpm.inn,IF(_xlpm.dcx,N(O38),N(DT38)),_xlpm.smin,MAX(1.5,CC38),_xlpm.L_,N(P38)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38)/N(BU38)*100,999),IFERROR(N(EJ38)*(_xlpm.rho*_xlpm.L_/_xlpm.sz*N(CE38)+_xlpm.xx*_xlpm.L_*N(EK38)/1000)*N(O38)/((Uн_лин/SQRT(3))*1000)*100,999)),_xlpm.kz,IF(OR(_xlpm.dcx,DW38=1,NOT(ISNUMBER(EG38)),_xlpm.L_=0,_xlpm.inn=0),1,IFERROR(--(c_min*(Uн_лин*1000/SQRT(3))/(EG38+2*ρкз_Cu*_xlpm.L_/_xlpm.sz)&gt;=HT38*_xlpm.inn),0)),_xlpm.ok,IFERROR((_xlpm.sz&gt;=_xlpm.smin)*(_xlpm.t_&gt;=_xlpm.inn)*IF(_xlpm.L_&gt;0,(_xlpm.du_+IF(_xlpm.dcx,0,EF38)&lt;=EL38+0.00001),1)*_xlpm.kz,0),_xlpm.r_,_xlfn._xlws.FILTER(_xlpm.sz,_xlpm.ok,"не подобрано"),INDEX(_xlpm.r_,1)))</f>
        <v/>
      </c>
      <c r="EN38" t="str">
        <f t="shared" si="191"/>
        <v/>
      </c>
      <c r="EO38" t="str" cm="1">
        <f t="array" ref="EO38">IF(OR(B38="",BZ38="",EC38&lt;&gt;1),"",_xlfn.LET(_xlpm.sz,Iдоп_S,_xlpm.t_,CHOOSE(EB38,Iдоп_1ж,Iдоп_2ж,Iдоп_3ж)*DZ38*EA38,_xlpm.ok,IFERROR((_xlpm.sz&gt;=MAX(1.5,CC38))*(_xlpm.t_&gt;=N(DT38)),0),_xlpm.r_,_xlfn._xlws.FILTER(_xlpm.sz,_xlpm.ok,""),INDEX(_xlpm.r_,1)))</f>
        <v/>
      </c>
      <c r="EP38" s="6" t="str" cm="1">
        <f t="array" ref="EP38">IFERROR(ROUNDUP(N(EJ38)*(_xlfn.XLOOKUP(EO38,INDEX(Кабель_сопротивление,0,1),INDEX(Кабель_сопротивление,0,3))*N(P38)/EO38*N(CE38)+_xlfn.XLOOKUP(EO38,INDEX(Кабель_сопротивление,0,1),INDEX(Кабель_сопротивление,0,2))*N(P38)*N(EK38)/1000)*N(O38)/((Uн_лин/SQRT(3))*1000)*100,2),"")</f>
        <v/>
      </c>
      <c r="EQ38" t="str">
        <f>IFERROR(2*ρкз_Cu*N(P38)/EO38,"")</f>
        <v/>
      </c>
      <c r="ER38" t="str">
        <f>IFERROR(VLOOKUP(EN38,Кабель_сопротивление,3,FALSE),"")</f>
        <v/>
      </c>
      <c r="ES38" t="str">
        <f>IFERROR(VLOOKUP(EN38,Кабель_сопротивление,2,FALSE),"")</f>
        <v/>
      </c>
      <c r="ET38" t="str">
        <f t="shared" si="192"/>
        <v/>
      </c>
      <c r="EU38" t="str">
        <f t="shared" si="193"/>
        <v/>
      </c>
      <c r="EV38" t="str">
        <f t="shared" si="194"/>
        <v/>
      </c>
      <c r="EW38" s="6" t="str">
        <f>IFERROR(ROUNDUP(EV38/IF(BV38=1,BU38,(Uн_лин/SQRT(3))*1000)*100,2),"")</f>
        <v/>
      </c>
      <c r="EX38" t="str">
        <f>IFERROR(VLOOKUP(BZ38,Кабель_обозначение,2,FALSE),"")</f>
        <v/>
      </c>
      <c r="EY38" t="str">
        <f t="shared" si="195"/>
        <v/>
      </c>
      <c r="EZ38" t="str">
        <f t="shared" si="196"/>
        <v/>
      </c>
      <c r="FA38" t="str">
        <f>IFERROR(2*ρкз_Cu*P38/EN38,"")</f>
        <v/>
      </c>
      <c r="FB38" t="str">
        <f t="shared" si="197"/>
        <v/>
      </c>
      <c r="FC38" s="6" t="str">
        <f>IFERROR(IF(OR(B38="",BV38=1,NOT(ISNUMBER(EN38)),N(P38)=0),"",_xlfn.XLOOKUP(A38,Щиты[Щит],Щиты[Zпетли на шинах, Ом])+FA38),"")</f>
        <v/>
      </c>
      <c r="FD38" s="6" t="str">
        <f>IF(ISNUMBER(FC38),c_min*(Uн_лин*1000/SQRT(3))/FC38,"")</f>
        <v/>
      </c>
      <c r="FE38" s="6" t="str">
        <f>IFERROR(IF(OR(B38="",NOT(ISNUMBER(EN38))),"",1.05*(Uн_лин*1000/SQRT(3))/(_xlfn.XLOOKUP(A38,Щиты[Щит],Щиты[Zmax на шинах, Ом])+FB38)/1000),"")</f>
        <v/>
      </c>
      <c r="FF38" s="6" t="str">
        <f>IF(B38="","",IF(ISNUMBER(AC38),"Сил",IF(IFERROR(_xlfn.XLOOKUP(BC38,Коды_код,Коды_группа)&amp;"","")="","Быт",_xlfn.XLOOKUP(BC38,Коды_код,Коды_группа)&amp;"")))</f>
        <v/>
      </c>
      <c r="FG38" s="6" t="str">
        <f t="shared" si="198"/>
        <v/>
      </c>
      <c r="FH38" s="6" t="str">
        <f>IF(FG38="Щит","щит",IF(FG38="","",IF(FG38="Быт",IFERROR(_xlfn.XLOOKUP(A38,Щиты[Щит],Щиты[Кс быт]),1),IF(FG38="Сил",IF(ISNUMBER(AC38),AC38,IF(Методика="нормы 2026",IFERROR(_xlfn.XLOOKUP(A38,Щиты[Щит],Щиты[Кс силовых (табл. 7.5)]),1),1)),IF(OR(FG38="Пост",FG38="Отоп"),1,IF(FG38="ВНГ",0.7,0))))))</f>
        <v/>
      </c>
      <c r="FI38" t="str">
        <f>IF(FG38="","",IF(AND(BP38=1,TRIM(AE38&amp;"")=""),IF(COUNTIFS(Линии[Щит],A38,Линии[Секция (1/2/3)],"&gt;=2")&gt;0,MIN(3,MAX(1,IFERROR(--BD38,1))),1),IFERROR(MIN(3,MAX(1,INT(--AE38))),1)))</f>
        <v/>
      </c>
      <c r="FJ38">
        <f t="shared" si="199"/>
        <v>0</v>
      </c>
      <c r="FK38">
        <f t="shared" si="200"/>
        <v>0</v>
      </c>
      <c r="FL38">
        <f t="shared" si="201"/>
        <v>0</v>
      </c>
      <c r="FM38">
        <f t="shared" si="202"/>
        <v>0</v>
      </c>
      <c r="FN38">
        <f t="shared" si="203"/>
        <v>0</v>
      </c>
      <c r="FO38">
        <f t="shared" si="204"/>
        <v>0</v>
      </c>
      <c r="FP38">
        <f t="shared" si="205"/>
        <v>0</v>
      </c>
      <c r="FQ38">
        <f t="shared" si="206"/>
        <v>0</v>
      </c>
      <c r="FR38">
        <f t="shared" si="207"/>
        <v>0</v>
      </c>
      <c r="FS38">
        <f>IF(CG38=1,IF(AND(CH38=1,CW38=1),0,IF(AND(CS38&lt;&gt;"",CS38=BA38,CW38=1),SUMIFS(Линии[_Р линии, кВт],Линии[_блок УЗО],BA38,Линии[Щит],A38),N(BS38)+IF(AJ38="вручную",0,N(CK38)))),0)</f>
        <v>0</v>
      </c>
      <c r="FT38" t="str">
        <f t="shared" si="208"/>
        <v/>
      </c>
      <c r="FU38" t="str">
        <f>IF(B38="","",IF(CG38=0,IF(BA38=1,"",FW37),IF(AND(CH38=1,CW38=1,CS38&lt;&gt;""),IFERROR(_xlfn.XLOOKUP(CS38,Линии[_n],Линии[_фаза итог]),"L1"),IF(OR(N(DL38)&gt;=3,N(BX38)&gt;=3),"L1,L2,L3",IFERROR(_xlfn.TEXTBEFORE(_xlfn.TEXTAFTER(_xlfn.XLOOKUP(A38,Щиты[Щит],Щиты[_фазы авто]),";"&amp;BA38&amp;":"),";"),"L1")))))</f>
        <v/>
      </c>
      <c r="FV38" t="str">
        <f t="shared" si="209"/>
        <v/>
      </c>
      <c r="FW38" t="str">
        <f t="shared" si="210"/>
        <v>L3</v>
      </c>
      <c r="FX38" cm="1">
        <f t="array" ref="FX38">IFERROR(IF(CD38=2,_xlfn.IFS(BX38=3,VLOOKUP(BS38,Справочная_двигатели,3,FALSE),BX38=1,VLOOKUP(BS38,Справочная_двигатели,5,TRUE)),0),0)</f>
        <v>0</v>
      </c>
      <c r="FY38">
        <f>IFERROR(IF(CD38=3,VLOOKUP(BS38,Справочная_ЛЭД,2,TRUE),0),0)</f>
        <v>0</v>
      </c>
      <c r="FZ38" s="6" t="str">
        <f t="shared" si="211"/>
        <v/>
      </c>
      <c r="GA38" t="str">
        <f>IF(B38="","",IF(TRIM(AH38&amp;"")&lt;&gt;"",IF(LOWER(TRIM(AH38&amp;""))="да","да","нет"),IF(IFERROR(_xlfn.XLOOKUP(BC38,Коды_код,Коды_пожарная),"")="да","да","нет")))</f>
        <v/>
      </c>
      <c r="GB38" t="str">
        <f t="shared" si="212"/>
        <v/>
      </c>
      <c r="GC38" t="str">
        <f t="shared" si="213"/>
        <v/>
      </c>
      <c r="GD38">
        <f>IF(AND(BP38=1,TRIM(AE38&amp;"")=""),IF(COUNTIFS(Линии[Щит],A38,Линии[Секция (1/2/3)],"&gt;=2")&gt;0,MIN(3,MAX(1,IFERROR(--BD38,1))),1),IFERROR(MIN(3,MAX(1,INT(--AE38))),1))</f>
        <v>1</v>
      </c>
      <c r="GE38" t="str" cm="1">
        <f t="array" ref="GE38">IF(B38="","",_xlfn.LET(_xlpm.t,IFERROR(_xlfn.XLOOKUP(1,(Шины[Шина]=GC38)*(((Шины[Щит]=A38)+(Шины[Щит]=""))&gt;0),Шины[Тип]),"")&amp;"",IF(_xlpm.t&lt;&gt;"",_xlpm.t,IF(ISNUMBER(SEARCH("ИБП",GC38)),"ИБП",IF(ISNUMBER(SEARCH("ДГУ",GC38)),"ДГУ","Ввод "&amp;GD38)))))</f>
        <v/>
      </c>
      <c r="GF38" t="str">
        <f t="shared" si="214"/>
        <v/>
      </c>
      <c r="GG38" t="str">
        <f>IF(BP38=0,"",IF(TRIM(AG38&amp;"")&lt;&gt;"",TRIM(AG38&amp;""),IF(OR(GE38="ИБП",GE38="ДГУ"),"I особая",_xlfn.XLOOKUP(A38,Щиты[Щит],Щиты[Категория шины «Ввод»],"III"))))</f>
        <v/>
      </c>
      <c r="GH38" t="str">
        <f>IF(A38="","",_xlfn.XLOOKUP(A38,Щиты[Щит],Щиты[Путь],""))</f>
        <v>|ВРУ|ЩР-1|</v>
      </c>
      <c r="GI38" t="str">
        <f>IF(B38="","",IF(AI38&lt;&gt;"",AI38,IF(IFERROR(_xlfn.XLOOKUP(BC38,Коды_код,Коды_вид)&amp;"","")="","Прочее",_xlfn.XLOOKUP(BC38,Коды_код,Коды_вид)&amp;"")))</f>
        <v/>
      </c>
      <c r="GJ38">
        <f>IF(BM38="","",INT((BM38-1)/Столбцов_на_лист)+1)</f>
        <v>1</v>
      </c>
      <c r="GK38" t="str">
        <f t="shared" si="215"/>
        <v/>
      </c>
      <c r="GL38" t="str">
        <f t="shared" si="216"/>
        <v/>
      </c>
      <c r="GM38" t="str">
        <f t="shared" si="217"/>
        <v/>
      </c>
      <c r="GN38" t="str">
        <f t="shared" si="218"/>
        <v/>
      </c>
      <c r="GO38">
        <f t="shared" si="219"/>
        <v>1</v>
      </c>
      <c r="GP38">
        <f t="shared" si="220"/>
        <v>1</v>
      </c>
      <c r="GQ38">
        <f>IF(BM38="","",IF(AND(CG38=1,GP38=1),COUNTIFS(A$3:A38,A38,CG$3:CG38,1,GP$3:GP38,1),IF(OR(OR(BA38=1,A38&lt;&gt;A37),AJ38="вручную",GP38=0),"",IF(BA38=1,"",GR37))))</f>
        <v>6</v>
      </c>
      <c r="GR38">
        <f t="shared" si="221"/>
        <v>6</v>
      </c>
      <c r="GS38" t="str">
        <f>IF(B38="","",IFERROR(LOOKUP(INDEX(CHOOSE(EB38,Iдоп_1ж,Iдоп_2ж,Iдоп_3ж),MATCH(EN38,Iдоп_S,0))*DZ38*EA38,{6,10,16,20,25,32,40,50,63,80,100,125,160,200,250,315,400,500,630}),""))</f>
        <v/>
      </c>
      <c r="GT38" t="str">
        <f t="shared" si="222"/>
        <v/>
      </c>
      <c r="GU38" t="str">
        <f t="shared" si="223"/>
        <v>QFD6</v>
      </c>
      <c r="GV38" t="str">
        <f t="shared" si="224"/>
        <v>КМ NCH8-40/40</v>
      </c>
      <c r="GW38">
        <f t="shared" si="225"/>
        <v>0</v>
      </c>
      <c r="GX38" t="str">
        <f>IF(OR(B38="",DJ38=""),"",IFERROR(_xlfn.XLOOKUP(DJ38,Модули_умолч[Управление],Модули_умолч[Модель])&amp;"",""))</f>
        <v/>
      </c>
      <c r="GY38">
        <f>IF(DJ38="",1,IFERROR(MAX(0,N(_xlfn.XLOOKUP(DJ38,Модули_умолч[Управление],Модули_умолч[Каналов на линию]))),1))</f>
        <v>1</v>
      </c>
      <c r="GZ38" t="str">
        <f t="shared" si="226"/>
        <v/>
      </c>
      <c r="HA38" t="str">
        <f t="shared" si="227"/>
        <v/>
      </c>
      <c r="HB38" t="str">
        <f t="shared" si="228"/>
        <v/>
      </c>
      <c r="HC38">
        <f>IF(HB38="",0,IFERROR(N(VLOOKUP(HB38,Модули_спр,3,FALSE)),0))</f>
        <v>0</v>
      </c>
      <c r="HD38" t="str">
        <f t="shared" si="229"/>
        <v/>
      </c>
      <c r="HE38" t="str">
        <f t="shared" si="230"/>
        <v/>
      </c>
      <c r="HF38" t="str">
        <f>IF(OR(HE38="",HE38="-"),"",IFERROR(VLOOKUP(HE38,Модули_спр,2,FALSE),"R"))</f>
        <v/>
      </c>
      <c r="HG38" t="str">
        <f>IF(HF38="","",HF38&amp;"."&amp;COUNTIFS(A$3:A38,A38,HF$3:HF38,HF38))</f>
        <v/>
      </c>
      <c r="HH38" t="str">
        <f t="shared" si="231"/>
        <v/>
      </c>
      <c r="HI38" t="str">
        <f t="shared" si="232"/>
        <v/>
      </c>
      <c r="HJ38" t="str">
        <f t="shared" si="233"/>
        <v/>
      </c>
      <c r="HK38" t="str">
        <f t="shared" si="234"/>
        <v/>
      </c>
      <c r="HL38">
        <f t="shared" si="235"/>
        <v>1</v>
      </c>
      <c r="HM38" t="str">
        <f>IF(HL38=1,"XT"&amp;COUNTIFS(A$3:A38,A38,HL$3:HL38,1),"")</f>
        <v>XT11</v>
      </c>
      <c r="HN38" t="str">
        <f t="shared" si="236"/>
        <v>XT11</v>
      </c>
      <c r="HO38" t="str">
        <f t="shared" si="237"/>
        <v>QFD6</v>
      </c>
      <c r="HP38" t="str">
        <f t="shared" si="238"/>
        <v/>
      </c>
      <c r="HQ38" t="str">
        <f t="shared" si="239"/>
        <v/>
      </c>
      <c r="HR38" t="str">
        <f>IF(OR(HJ38="",HH38=""),"",IF(HJ38+MAX(0,GY38-1)&gt;IFERROR(VLOOKUP(HI38,Модули_спр,3,FALSE),99),"ЛИШНИЙ КАНАЛ",IF(AND(AL38&lt;&gt;"=",GY38&gt;0,COUNTIFS(Линии[_модуль гр.],HH38,Линии[Канал (итог)],HJ38,Линии[Канал],"&lt;&gt;=",Линии[Щит],A38)&gt;1),"ДУБЛЬ КАНАЛА","")))</f>
        <v/>
      </c>
      <c r="HS38" s="6" t="str">
        <f t="shared" si="240"/>
        <v/>
      </c>
      <c r="HT38">
        <f t="shared" si="241"/>
        <v>10</v>
      </c>
      <c r="HU38" t="str">
        <f t="shared" si="242"/>
        <v/>
      </c>
      <c r="HV38">
        <f t="shared" si="243"/>
        <v>0</v>
      </c>
      <c r="HW38">
        <f t="shared" si="244"/>
        <v>0</v>
      </c>
      <c r="HX38">
        <f t="shared" si="245"/>
        <v>0</v>
      </c>
      <c r="HY38">
        <f t="shared" si="246"/>
        <v>0</v>
      </c>
      <c r="HZ38">
        <f t="shared" si="247"/>
        <v>0</v>
      </c>
      <c r="IA38">
        <f t="shared" si="248"/>
        <v>0</v>
      </c>
      <c r="IB38">
        <f t="shared" si="249"/>
        <v>0</v>
      </c>
      <c r="IC38" t="str">
        <f t="shared" si="250"/>
        <v/>
      </c>
      <c r="ID38" t="str" cm="1">
        <f t="array" ref="ID38">IF(IC38="","",_xlfn.LET(_xlpm.tk,_xlfn.TEXTSPLIT(SUBSTITUTE(SUBSTITUTE(IC38,";"," "),"→"," ")," ",,TRUE),_xlpm.w_,_xlfn._xlws.FILTER(_xlpm.tk,ISNUMBER(--LEFT(_xlpm.tk,1))*((ISNUMBER(SEARCH("W",_xlpm.tk))+ISNUMBER(SEARCH("Вт",_xlpm.tk)))&gt;0),""),IFERROR(--SUBSTITUTE(SUBSTITUTE(UPPER(INDEX(_xlpm.w_,1)),"W",""),"ВТ",""),"")))</f>
        <v/>
      </c>
      <c r="IE38" t="str" cm="1">
        <f t="array" ref="IE38">IF(IC38="","",_xlfn.LET(_xlpm.tk,_xlfn.TEXTSPLIT(SUBSTITUTE(SUBSTITUTE(IC38,";"," "),"→"," ")," ",,TRUE),_xlpm.v_,_xlfn._xlws.FILTER(_xlpm.tk,ISNUMBER(--LEFT(_xlpm.tk,1))*((ISNUMBER(SEARCH("V",_xlpm.tk))+(RIGHT(UPPER(_xlpm.tk))="В"))&gt;0),""),IFERROR(--SUBSTITUTE(SUBSTITUTE(UPPER(INDEX(_xlpm.v_,1)),"V",""),"В",""),"")))</f>
        <v/>
      </c>
      <c r="IF38" s="6" t="str">
        <f>IF(OR(BV38=0,HI38="",HJ38=""),"",IFERROR(N(_xlfn.XLOOKUP(HI38,Каталог!$C$4:$C$500,Каталог!$Q$4:$Q$500)),""))</f>
        <v/>
      </c>
      <c r="IG38" s="6" t="str">
        <f>IF(N(IF38)=0,"",SUMIFS(Линии[Iр, А],Линии[Щит],A38,Линии[_модуль гр.],HH38,Линии[Канал (итог)],HJ38))</f>
        <v/>
      </c>
      <c r="IH38" t="str">
        <f>IF(AND(B38="",HO38=""),"",_xlfn.TEXTJOIN("; ",TRUE,IF(AND(B38&lt;&gt;"",FV38=""),"нет фазы",""),IF(AND(B38&lt;&gt;"",N(GL38)=0,FG38&lt;&gt;"Нет"),"нет мощности",""),IF(AND(HN38&lt;&gt;"",COUNTIFS(Линии[Щит],A38,Линии[Клемма (итог)],HN38)&gt;1),"дубль клеммы "&amp;HN38,""),IF(AND(HQ38&lt;&gt;"",HQ38&lt;&gt;"ok"),HQ38,""),IF(HR38&lt;&gt;"",HR38,""),IF(AND(N(CB38)&gt;=4,N(BX38)=1),CB38&amp;" жил на 1 фазе",""),IF(AND(BC38="R",CG38=1,IF(CS38&lt;&gt;"",N(CV38)&gt;30,OR(N(DA38)=0,N(DA38)&gt;30))),"розетка без дифзащиты до 30 мА",""),IF(AND(CG38=1,N(DA38)&gt;0,ISNUMBER(T38)),IF(T38&gt;N(DA38)/3,"ток утечки "&amp;FIXED(T38,1)&amp;" мА &gt; 1/3 уставки ("&amp;DA38&amp;" мА)",""),""),IF(AND(CH38=1,CS38=""),"«узо»: нет строки с УЗО выше (УЗО 2P 40А 30мА в «Аппаратах»)",""),IF(AND(CS38&lt;&gt;"",CS38=BA38),IF(CT38="","впишите номинал УЗО (УЗО 2P 40А 30мА)",IF(N(CT38)&lt;N(DT38),"УЗО "&amp;CT38&amp;" А &lt; автомата "&amp;DT38&amp;" А перед ним",IF(N(CT38)&lt;N(CX38),"УЗО "&amp;CT38&amp;" А &lt; тока блока "&amp;FIXED(CX38,1)&amp;" А",""))),""),IF(AND(CS38&lt;&gt;"",CS38=BA38,ISNUMBER(CY38)),IF(CY38&gt;N(CV38)/3,"ток утечки блока УЗО "&amp;FIXED(CY38,1)&amp;" мА &gt; 1/3 уставки ("&amp;CV38&amp;" мА)",""),""),IF(AND(CG38=1,N(BV38)+N(IB38)&gt;0,IC38=""),"линии до 50 В без БП: впишите в «Аппараты» (БП 24V 480W)",""),IF(AND(CG38=1,ISNUMBER(ID38),ISNUMBER(U38)),IF(U38&gt;ID38,"БП "&amp;ID38&amp;" Вт &lt; нужно "&amp;U38&amp;" Вт (×"&amp;Запас_БП&amp;")",""),""),IF(AND(CG38=1,ISNUMBER(IE38),N(BV38)=1),IF(IE38&lt;&gt;N(BU38),"БП на "&amp;IE38&amp;" В, линия "&amp;BU38&amp;" В",""),""),IF(AND(N(IF38)&gt;0,N(IG38)&gt;N(IF38)),HH38&amp;" канал "&amp;HJ38&amp;": "&amp;FIXED(IG38,1)&amp;" А &gt; "&amp;IF38&amp;" А",""),IFERROR(IF(AND(ISNUMBER(Q38),Q38&gt;EL38),"потери "&amp;FIXED(Q38,1)&amp;" % &gt; "&amp;EL38&amp;" %",""),""),IFERROR(IF(LEFT(HU38,4)="мало","Iкз мало — отключение &gt; 0,4 с",""),""),IF(AND(B38&lt;&gt;"",BM38=""),"не на схеме",""),IF(AND(CG38=0,B38&lt;&gt;"",FV38&lt;&gt;"",IF(BA38=1,"",FW37)&lt;&gt;"",FV38&lt;&gt;IF(BA38=1,"",FW37)),"фаза не как у автомата группы ("&amp;IF(BA38=1,"",FW37)&amp;")","")))</f>
        <v/>
      </c>
      <c r="II38" s="6" t="str">
        <f>IF(OR(CG38=0,DQ38=""),"",_xlfn.LET(_xlpm.t,IFERROR(_xlfn.XLOOKUP(DQ38,Каталог!$U$4:$U$500,Каталог!$G$4:$G$500),""),_xlpm.k,SEARCH("кА",_xlpm.t),IFERROR(--TRIM(RIGHT(SUBSTITUTE(MID(_xlpm.t,MAX(1,_xlpm.k-4),_xlpm.k-MAX(1,_xlpm.k-4))," ",REPT(" ",9)),5)),"")))</f>
        <v/>
      </c>
      <c r="IJ38" t="str">
        <f>IF(OR(II38="",CG38=0),"",IF(_xlfn.XLOOKUP(A38,Щиты[Щит],Щиты[Iкз max на шинах, кА],"")="","",IF(II38&lt;_xlfn.XLOOKUP(A38,Щиты[Щит],Щиты[Iкз max на шинах, кА]),"Icu "&amp;II38&amp;" кА &lt; Iкз max","ok")))</f>
        <v/>
      </c>
      <c r="IK38" t="str">
        <f t="shared" si="251"/>
        <v/>
      </c>
      <c r="IL38" t="str">
        <f t="shared" si="252"/>
        <v>QFD6|КМ NCH8-40/40|XT11</v>
      </c>
      <c r="IM38" t="str">
        <f t="shared" si="253"/>
        <v>QFD6|КМ NCH8-40/40|XT11</v>
      </c>
      <c r="IN38" t="str" cm="1">
        <f t="array" ref="IN38">IF(IM38="","",_xlfn.LET(_xlpm.nd,_xlfn.TEXTSPLIT(IM38,"|"),IF(COLUMNS(_xlpm.nd)&gt;1,A38&amp;"¦"&amp;INDEX(_xlpm.nd,1)&amp;"¦"&amp;INDEX(_xlpm.nd,2),"")))</f>
        <v>ЩР-1¦QFD6¦КМ NCH8-40/40</v>
      </c>
      <c r="IO38" t="str">
        <f t="shared" si="254"/>
        <v>¦</v>
      </c>
      <c r="IP38" t="str" cm="1">
        <f t="array" ref="IP38">IF(IM38="","",_xlfn.LET(_xlpm.nd,_xlfn.TEXTSPLIT(IM38,"|"),IF(COLUMNS(_xlpm.nd)&gt;2,A38&amp;"¦"&amp;INDEX(_xlpm.nd,2)&amp;"¦"&amp;INDEX(_xlpm.nd,3),"")))</f>
        <v>ЩР-1¦КМ NCH8-40/40¦XT11</v>
      </c>
      <c r="IQ38" t="str">
        <f t="shared" si="255"/>
        <v>¦</v>
      </c>
      <c r="IR38" t="str" cm="1">
        <f t="array" ref="IR38">IF(IM38="","",_xlfn.LET(_xlpm.nd,_xlfn.TEXTSPLIT(IM38,"|"),IF(COLUMNS(_xlpm.nd)&gt;3,A38&amp;"¦"&amp;INDEX(_xlpm.nd,3)&amp;"¦"&amp;INDEX(_xlpm.nd,4),"")))</f>
        <v/>
      </c>
      <c r="IS38" t="str">
        <f t="shared" si="256"/>
        <v/>
      </c>
      <c r="IT38" t="str" cm="1">
        <f t="array" ref="IT38">IF(IM38="","",_xlfn.LET(_xlpm.nd,_xlfn.TEXTSPLIT(IM38,"|"),IF(COLUMNS(_xlpm.nd)&gt;4,A38&amp;"¦"&amp;INDEX(_xlpm.nd,4)&amp;"¦"&amp;INDEX(_xlpm.nd,5),"")))</f>
        <v/>
      </c>
      <c r="IU38" t="str">
        <f t="shared" si="257"/>
        <v/>
      </c>
      <c r="IV38" t="str" cm="1">
        <f t="array" ref="IV38">IF(IM38="","",_xlfn.LET(_xlpm.nd,_xlfn.TEXTSPLIT(IM38,"|"),IF(COLUMNS(_xlpm.nd)&gt;5,A38&amp;"¦"&amp;INDEX(_xlpm.nd,5)&amp;"¦"&amp;INDEX(_xlpm.nd,6),"")))</f>
        <v/>
      </c>
      <c r="IW38" t="str">
        <f t="shared" si="258"/>
        <v/>
      </c>
      <c r="IX38" t="str" cm="1">
        <f t="array" ref="IX38">IF(IM38="","",_xlfn.LET(_xlpm.nd,_xlfn.TEXTSPLIT(IM38,"|"),IF(COLUMNS(_xlpm.nd)&gt;6,A38&amp;"¦"&amp;INDEX(_xlpm.nd,6)&amp;"¦"&amp;INDEX(_xlpm.nd,7),"")))</f>
        <v/>
      </c>
      <c r="IY38" t="str">
        <f t="shared" si="259"/>
        <v/>
      </c>
      <c r="IZ38" t="str">
        <f t="shared" si="260"/>
        <v/>
      </c>
      <c r="JA38" t="str">
        <f t="shared" si="261"/>
        <v>QFD6 → КМ NCH8-40/40 → XT11 → (в кабель выше)</v>
      </c>
      <c r="JB38">
        <f t="shared" si="262"/>
        <v>0</v>
      </c>
      <c r="JC38">
        <f t="shared" si="263"/>
        <v>0</v>
      </c>
      <c r="JD38" t="str">
        <f t="shared" si="264"/>
        <v>+</v>
      </c>
      <c r="JE38" t="str">
        <f t="shared" si="265"/>
        <v/>
      </c>
      <c r="JF38" t="str">
        <f t="shared" si="266"/>
        <v/>
      </c>
      <c r="JG38" t="str">
        <f t="shared" si="267"/>
        <v/>
      </c>
      <c r="JH38" t="str">
        <f>IF(B38="","",IFERROR(_xlfn.XLOOKUP(B38,Коды_код,Коды_уго),IFERROR(_xlfn.XLOOKUP(BC38,Коды_код,Коды_уго),IFERROR(_xlfn.XLOOKUP(LEFT(BC38,2),Коды_код,Коды_уго),""))))</f>
        <v/>
      </c>
      <c r="JI38" t="str">
        <f>IF(B38="","",IF(OR(JH38="",JH38=0),"BOX",IFERROR(IF(VLOOKUP(JH38,УГО_блоки,3,FALSE)&amp;""&lt;&gt;"",VLOOKUP(JH38,УГО_блоки,3,FALSE),VLOOKUP(JH38,УГО_блоки,2,FALSE)),JH38)))</f>
        <v/>
      </c>
      <c r="JJ38">
        <f t="shared" si="268"/>
        <v>0</v>
      </c>
      <c r="JK38" t="str">
        <f>IF(DQ38="","",IF(COUNTIF(DQ$3:DQ38,DQ38)=1,MAX(JK$2:JK37)+1,""))</f>
        <v/>
      </c>
      <c r="JL38" t="str">
        <f>IF(DE38="","",IF(COUNTIF(DE$3:DE38,DE38)+COUNTIF(DF$2:DF37,DE38)+COUNTIF(DG$2:DG37,DE38)=1,MAX(JL$2:JN37)+1,""))</f>
        <v/>
      </c>
      <c r="JM38" t="str">
        <f>IF(DF38="","",IF(COUNTIF(DE$3:DE38,DF38)+COUNTIF(DF$3:DF38,DF38)+COUNTIF(DG$2:DG37,DF38)=1,MAX(JL$2:JN37,JL38)+1,""))</f>
        <v/>
      </c>
      <c r="JN38" t="str">
        <f>IF(DG38="","",IF(COUNTIF(DE$3:DE38,DG38)+COUNTIF(DF$3:DF38,DG38)+COUNTIF(DG$3:DG38,DG38)=1,MAX(JL$2:JN37,JL38,JM38)+1,""))</f>
        <v/>
      </c>
      <c r="JO38" t="str">
        <f t="shared" si="269"/>
        <v>?</v>
      </c>
      <c r="JP38">
        <f>IF(JO38="","",IF(COUNTIF(JO$3:JO38,JO38)=1,MAX(JP$2:JP37)+1,""))</f>
        <v>12</v>
      </c>
      <c r="JQ38" t="str">
        <f>IF(HG38="","",COUNTIF(HG$3:HG38,"?*"))</f>
        <v/>
      </c>
      <c r="JR38" t="str">
        <f>IF(OR(HG38="",HI38=""),"",IF(COUNTIFS(HG$3:HG38,"?*",HI$3:HI38,HI38)=1,MAX(JR$2:JR37)+1,""))</f>
        <v/>
      </c>
      <c r="JS38">
        <f t="shared" si="270"/>
        <v>0</v>
      </c>
      <c r="JT38" t="str">
        <f>IF(B38="","",COUNTIF(B$3:B38,"?*"))</f>
        <v/>
      </c>
      <c r="JU38">
        <f>IF(HL38&lt;&gt;1,0,_xlfn.LET(_xlpm.k,MAX(IFERROR(--_xlfn.XLOOKUP(B38,Коды_код,Коды_3L),0),IFERROR(--_xlfn.XLOOKUP(BC38,Коды_код,Коды_3L),0),IFERROR(--_xlfn.XLOOKUP(LEFT(BC38,2),Коды_код,Коды_3L),0)),IF(_xlpm.k&gt;0,_xlpm.k,IF(IFERROR(--LEFT(SUBSTITUTE(JO38,"x","х"),FIND("х",SUBSTITUTE(JO38,"x","х"))-1),3)&gt;3,Каталог!$S$9,1))))</f>
        <v>1</v>
      </c>
      <c r="JV38">
        <f t="shared" si="271"/>
        <v>0</v>
      </c>
      <c r="JW38" t="str">
        <f t="shared" si="272"/>
        <v/>
      </c>
      <c r="JX38" t="str">
        <f t="shared" si="273"/>
        <v/>
      </c>
      <c r="JY38" t="str">
        <f t="shared" si="274"/>
        <v/>
      </c>
      <c r="JZ38">
        <f t="shared" si="275"/>
        <v>1</v>
      </c>
    </row>
    <row r="39" spans="1:286" x14ac:dyDescent="0.3">
      <c r="A39" t="s">
        <v>947</v>
      </c>
      <c r="B39" t="s">
        <v>1218</v>
      </c>
      <c r="C39" t="str">
        <f>Линии[[#This Row],[_авто наименование]]</f>
        <v>Приточно-вытяжная установка, пом. 01</v>
      </c>
      <c r="E39">
        <v>3</v>
      </c>
      <c r="G39" t="str">
        <f>Линии[[#This Row],[_авто автомат]]</f>
        <v>3P С10А</v>
      </c>
      <c r="H39" t="str">
        <f>Линии[[#This Row],[_авто управление]]</f>
        <v/>
      </c>
      <c r="I39" t="str">
        <f>Линии[[#This Row],[_авто аппараты]]</f>
        <v/>
      </c>
      <c r="J39">
        <f>Линии[[#This Row],[_авто сечение]]</f>
        <v>1.5</v>
      </c>
      <c r="K39">
        <v>20</v>
      </c>
      <c r="L39" t="str">
        <f>Линии[[#This Row],[_авто фаза]]</f>
        <v>L1,L2,L3</v>
      </c>
      <c r="M39" t="str">
        <f>Линии[[#This Row],[_авто клемма]]</f>
        <v>XT12</v>
      </c>
      <c r="N39" t="str">
        <f t="shared" si="138"/>
        <v/>
      </c>
      <c r="O39" s="6" cm="1">
        <f t="array" ref="O39">IF(B39="","",IF(BH39&lt;&gt;"",IFERROR(_xlfn.XLOOKUP(BH39,Щиты[Щит],Щиты[Iр, А]),""),IF(BP39=1,IF(OR(N(_xlfn.XLOOKUP(A39,Щиты[Щит],Щиты[Вводов],1))&lt;=1,LOWER(TRIM(_xlfn.XLOOKUP(A39,Щиты[Щит],Щиты[АВР],"")&amp;""))="да"),IFERROR(_xlfn.XLOOKUP(A39,Щиты[Щит],Щиты[Iр, А]),""),IFERROR(N(BS39)*_xlfn.XLOOKUP(A39,Щиты[Щит],Щиты[Кс итог])/(SQRT(3)*Uн_лин*_xlfn.XLOOKUP(A39,Щиты[Щит],Щиты[cos φ])),"")),IF(BV39=1,IFERROR(BS39*1000/BU39,""),IFERROR(_xlfn.IFS(BX39=1,BS39/((Uн_лин/SQRT(3))*CE39),BX39=3,BS39/(SQRT(3)*Uн_лин*CE39)),"")))))</f>
        <v>5.4126587736527414</v>
      </c>
      <c r="P39" s="7">
        <f>IF(B39="","",IFERROR(IF(VLOOKUP(BC39,Потребители_обозначение,4,FALSE)=1,VLOOKUP(BC39,Потребители_обозначение,3,FALSE)*(MAX(1,N(D39))*2-1)+EI39+VLOOKUP(BE39,Этаж_обозначение,3,FALSE)+VLOOKUP(BE39,Этаж_обозначение,4,FALSE),VLOOKUP(BC39,Потребители_обозначение,3,FALSE)*(MAX(1,N(D39))*2-1)+EI39),EI39))</f>
        <v>21</v>
      </c>
      <c r="Q39" s="6">
        <f t="shared" si="139"/>
        <v>1.6560288498727975</v>
      </c>
      <c r="R39" t="str">
        <f t="shared" si="140"/>
        <v>ВВГнг(А)-LS (5х1,5)</v>
      </c>
      <c r="S39" t="str">
        <f>IF(BM39="","",IF(BN39="вводной узел","узел ","")&amp;"л."&amp;(INT((BM39-1)/Столбцов_на_лист)+1)&amp;" / "&amp;(MOD(BM39-1,Столбцов_на_лист)+1))</f>
        <v>л.1 / 16</v>
      </c>
      <c r="T39" s="119">
        <f t="shared" si="141"/>
        <v>2.4</v>
      </c>
      <c r="U39" s="7" t="str">
        <f>IF(OR(CG39=0,N(BV39)+N(IB39)=0),"",ROUNDUP(Запас_БП*(N(HY39)+N(HZ39)),0))</f>
        <v/>
      </c>
      <c r="V39" s="119" t="str">
        <f t="shared" si="142"/>
        <v/>
      </c>
      <c r="W39" s="7">
        <f>IFERROR(IF(OR(B39="",BP39=1,BV39=1,NOT(ISNUMBER(EN39)),N(DT39)=0),"",MAX(0,ROUNDDOWN((c_min*(Uн_лин*1000/SQRT(3))/(HT39*N(DT39))-_xlfn.XLOOKUP(A39,Щиты[Щит],Щиты[Zпетли на шинах, Ом]))*EN39/(2*ρкз_Cu),0))),"")</f>
        <v>54</v>
      </c>
      <c r="Y39" t="str">
        <f>Линии[[#This Row],[_авто утечка]]</f>
        <v/>
      </c>
      <c r="Z39">
        <v>3</v>
      </c>
      <c r="AA39">
        <v>400</v>
      </c>
      <c r="AB39" t="str">
        <f>Линии[[#This Row],[_авто группа Кс]]</f>
        <v>Сил</v>
      </c>
      <c r="AC39">
        <v>0.8</v>
      </c>
      <c r="AK39" t="str">
        <f>Линии[[#This Row],[_авто модуль]]</f>
        <v/>
      </c>
      <c r="AN39" t="s">
        <v>11</v>
      </c>
      <c r="AO39">
        <v>5</v>
      </c>
      <c r="BA39" cm="1">
        <f t="array" ref="BA39">ROW()-ROW(Линии[#Headers])</f>
        <v>37</v>
      </c>
      <c r="BC39" s="6" t="str">
        <f t="shared" si="143"/>
        <v>ПВ</v>
      </c>
      <c r="BD39" t="str">
        <f t="shared" si="144"/>
        <v>1.01.1</v>
      </c>
      <c r="BE39" t="str">
        <f t="shared" si="145"/>
        <v>1</v>
      </c>
      <c r="BF39" t="str">
        <f t="shared" si="146"/>
        <v>01.1</v>
      </c>
      <c r="BG39" t="str">
        <f t="shared" si="147"/>
        <v>01</v>
      </c>
      <c r="BH39" t="str">
        <f>IF(X39&lt;&gt;"",X39,IF(AND(B39&lt;&gt;"",B39&lt;&gt;A39,ISNUMBER(_xlfn.XMATCH(B39,Щиты[Щит]))),B39,""))</f>
        <v/>
      </c>
      <c r="BI39" t="str" cm="1">
        <f t="array" ref="BI39">IF(B39="","",IF(BH39&lt;&gt;"","Щит "&amp;BH39,_xlfn.LET(_xlpm.nm,IFERROR(_xlfn.XLOOKUP(BC39,Коды_код,Коды_имя)&amp;"",""),_xlpm.md,IFERROR(N(_xlfn.XLOOKUP(BC39,Коды_код,Коды_режим)),1),_xlpm.ex,IF(Имя_режим="по экспликации",IFERROR(_xlfn.XLOOKUP(BE39&amp;"|"&amp;BG39,Экспликация[Этаж]&amp;"|"&amp;Экспликация[Помещение],Экспликация[Название])&amp;"",""),""),_xlpm.rm,IF(BG39="","",IF(_xlpm.ex&lt;&gt;"",". "&amp;_xlpm.ex&amp;IF(Имя_пом="нет"," ("&amp;BG39&amp;")"," (пом. "&amp;BG39&amp;")"),IF(Имя_пом="нет"," ",", пом. ")&amp;BG39)),IF(_xlpm.nm="","",IF(_xlpm.md=2,_xlpm.nm&amp;" шлейф "&amp;BE39,_xlpm.nm&amp;_xlpm.rm)))))</f>
        <v>Приточно-вытяжная установка, пом. 01</v>
      </c>
      <c r="BJ39" t="str">
        <f t="shared" si="148"/>
        <v>Приточно-вытяжная установка, пом. 01</v>
      </c>
      <c r="BK39">
        <f>IFERROR(_xlfn.XMATCH(A39,Щиты[Щит]),0)</f>
        <v>4</v>
      </c>
      <c r="BL39">
        <f>_xlfn.LET(_xlpm.k,IFERROR(_xlfn.XLOOKUP(A39,Щиты[Щит],Щиты[Мест под вводной узел]),""),IF(_xlpm.k="",Столбцов_на_лист,N(_xlpm.k)))</f>
        <v>3</v>
      </c>
      <c r="BM39">
        <f t="shared" si="149"/>
        <v>16</v>
      </c>
      <c r="BN39" t="str">
        <f t="shared" si="150"/>
        <v>линии</v>
      </c>
      <c r="BO39" s="6">
        <f>IFERROR(N(_xlfn.XLOOKUP(BC39,Коды_код,Коды_квт)),0)</f>
        <v>0</v>
      </c>
      <c r="BP39">
        <f t="shared" si="151"/>
        <v>0</v>
      </c>
      <c r="BQ39" t="str">
        <f>IF(B39="","",IF(BH39&lt;&gt;"",IFERROR(_xlfn.XLOOKUP(BH39,Щиты[Щит],Щиты[Руст, кВт]),0),IF(BP39=1,IF(OR(N(_xlfn.XLOOKUP(A39,Щиты[Щит],Щиты[Вводов],1))&lt;=1,LOWER(TRIM(_xlfn.XLOOKUP(A39,Щиты[Щит],Щиты[АВР],"")&amp;""))="да"),IFERROR(_xlfn.XLOOKUP(A39,Щиты[Щит],Щиты[Руст, кВт]),0),SUMIFS(Линии[_Р для вводов],Линии[Щит],A39,Линии[Источник для режимов],GF39)),IF(BO39&gt;0,ROUND(BO39*MAX(1,N(D39)),3),""))))</f>
        <v/>
      </c>
      <c r="BR39">
        <f t="shared" si="152"/>
        <v>3</v>
      </c>
      <c r="BS39" s="6">
        <f>IF(B39="","",IF(BH39&lt;&gt;"",IFERROR(_xlfn.XLOOKUP(BH39,Щиты[Щит],Щиты[Руст, кВт]),0),N(BR39)))</f>
        <v>3</v>
      </c>
      <c r="BT39" t="str">
        <f>IF(B39="","",IFERROR(IF(VLOOKUP(BC39,Потребители_обозначение,8,FALSE)=0,"",VLOOKUP(BC39,Потребители_обозначение,8,FALSE)),""))</f>
        <v/>
      </c>
      <c r="BU39">
        <f t="shared" si="153"/>
        <v>400</v>
      </c>
      <c r="BV39">
        <f t="shared" si="154"/>
        <v>0</v>
      </c>
      <c r="BW39">
        <f>IF(B39="","",IF(BH39&lt;&gt;"",3,IFERROR(IF(N(VLOOKUP(BC39,Потребители_обозначение,9,FALSE))=0,1,VLOOKUP(BC39,Потребители_обозначение,9,FALSE)),1)))</f>
        <v>1</v>
      </c>
      <c r="BX39">
        <f t="shared" si="155"/>
        <v>3</v>
      </c>
      <c r="BY39" t="str">
        <f>IF(B39="","",_xlfn.LET(_xlpm.bc,IFERROR(IF(VLOOKUP(BC39,Потребители_обозначение,6,FALSE)=0,"",VLOOKUP(BC39,Потребители_обозначение,6,FALSE)&amp;""),""),IF(AND(GA39="да",OR(_xlpm.bc="",_xlpm.bc="мс")),Марка_пож,IF(AND(_xlpm.bc="",BH39&lt;&gt;""),"мс",_xlpm.bc))))</f>
        <v>мс</v>
      </c>
      <c r="BZ39" t="str">
        <f t="shared" si="156"/>
        <v>мс</v>
      </c>
      <c r="CA39">
        <f>IF(B39="","",_xlfn.LET(_xlpm.cc,IFERROR(N(VLOOKUP(BC39,Потребители_обозначение,7,FALSE)),0),IF(_xlpm.cc&gt;0,_xlpm.cc,IF(BZ39="","",IF(BV39=1,2,IF(N(BX39)=3,5,3))))))</f>
        <v>5</v>
      </c>
      <c r="CB39">
        <f t="shared" si="157"/>
        <v>5</v>
      </c>
      <c r="CC39">
        <f>IFERROR(N(VLOOKUP(BC39,Потребители_обозначение,10,FALSE)),0)</f>
        <v>0</v>
      </c>
      <c r="CD39">
        <f>IFERROR(VLOOKUP(BC39,Потребители_обозначение,5,FALSE),0)</f>
        <v>1</v>
      </c>
      <c r="CE39" s="6" cm="1">
        <f t="array" ref="CE39">IF(B39="","",IF(BH39&lt;&gt;"",IFERROR(_xlfn.XLOOKUP(BH39,Щиты[Щит],Щиты[cos φ]),0.95),IF(BP39=1,IFERROR(_xlfn.XLOOKUP(A39,Щиты[Щит],Щиты[cos φ]),0.95),IF(ISNUMBER(AD39),AD39,IFERROR(IF(CD39=2,_xlfn.IFS(BX39=3,VLOOKUP(BS39,Справочная_двигатели,8,FALSE),BX39=1,VLOOKUP(BS39,Справочная_двигатели,10,TRUE)),IF(AND(Методика="нормы 2026",FG39="Сил"),0.8,0.95)),0.95)))))</f>
        <v>0.8</v>
      </c>
      <c r="CF39">
        <f t="shared" si="158"/>
        <v>0</v>
      </c>
      <c r="CG39">
        <f t="shared" si="159"/>
        <v>1</v>
      </c>
      <c r="CH39">
        <f t="shared" si="160"/>
        <v>0</v>
      </c>
      <c r="CI39">
        <f>IF(B39="","",IF(BV39=1,IFERROR(BS39/((Uн_лин/SQRT(3))*MAX(0.5,N(CE39))),0),N(O39)))</f>
        <v>5.4126587736527414</v>
      </c>
      <c r="CJ39">
        <f t="shared" si="161"/>
        <v>0</v>
      </c>
      <c r="CK39">
        <f t="shared" si="162"/>
        <v>0</v>
      </c>
      <c r="CL39">
        <f t="shared" si="163"/>
        <v>0</v>
      </c>
      <c r="CM39">
        <f t="shared" si="164"/>
        <v>0</v>
      </c>
      <c r="CN39">
        <f t="shared" si="165"/>
        <v>0</v>
      </c>
      <c r="CO39">
        <f>IF(BC39="",0,_xlfn.LET(_xlpm.v,IFERROR(_xlfn.XLOOKUP(B39,Коды_код,Коды_мА),IFERROR(_xlfn.XLOOKUP(BC39,Коды_код,Коды_мА),IFERROR(_xlfn.XLOOKUP(LEFT(BC39,2),Коды_код,Коды_мА),""))),IF(_xlpm.v="да",30,IF(ISNUMBER(_xlpm.v),_xlpm.v,0))))</f>
        <v>0</v>
      </c>
      <c r="CP39" t="str">
        <f t="shared" si="166"/>
        <v/>
      </c>
      <c r="CQ39" t="str">
        <f>_xlfn.LET(_xlpm.k,IFERROR(_xlfn.XLOOKUP(BC39,Коды_код,Коды_утечка)&amp;"",""),IF(_xlpm.k="","дифавтомат",_xlpm.k))</f>
        <v>дифавтомат</v>
      </c>
      <c r="CR39" t="str" cm="1">
        <f t="array" ref="CR39">IF(CG39=0,"",_xlfn.LET(_xlpm.sg,TRIM(_xlfn.TEXTSPLIT(DD39&amp;"",";")),_xlpm.f_,_xlfn._xlws.FILTER(_xlpm.sg,LEFT(_xlpm.sg,3)="УЗО",""),IFERROR(INDEX(_xlpm.f_,1)&amp;"","")))</f>
        <v/>
      </c>
      <c r="CS39" t="str">
        <f t="shared" si="167"/>
        <v/>
      </c>
      <c r="CT39" s="6" t="str" cm="1">
        <f t="array" ref="CT39">IF(CR39="","",_xlfn.LET(_xlpm.tk,_xlfn.TEXTSPLIT(UPPER(CR39)," ",,TRUE),_xlpm.a_,_xlfn._xlws.FILTER(_xlpm.tk,ISNUMBER(--LEFT(_xlpm.tk,1))*((ISNUMBER(SEARCH("А",_xlpm.tk))+ISNUMBER(SEARCH("A",_xlpm.tk)))&gt;0)*NOT(ISNUMBER(SEARCH("МА",_xlpm.tk)))*NOT(ISNUMBER(SEARCH("MA",_xlpm.tk))),""),IFERROR(--SUBSTITUTE(SUBSTITUTE(INDEX(_xlpm.a_,1),"А",""),"A",""),"")))</f>
        <v/>
      </c>
      <c r="CU39" t="str" cm="1">
        <f t="array" ref="CU39">IF(CR39="","",_xlfn.LET(_xlpm.tk,_xlfn.TEXTSPLIT(UPPER(CR39)," ",,TRUE),_xlpm.a_,_xlfn._xlws.FILTER(_xlpm.tk,ISNUMBER(--LEFT(_xlpm.tk,1))*((ISNUMBER(SEARCH("МА",_xlpm.tk))+ISNUMBER(SEARCH("MA",_xlpm.tk)))&gt;0),""),IFERROR(--SUBSTITUTE(SUBSTITUTE(INDEX(_xlpm.a_,1),"МА",""),"MA",""),30)))</f>
        <v/>
      </c>
      <c r="CV39" t="str">
        <f>IF(CS39="","",IFERROR(_xlfn.XLOOKUP(CS39,Линии[_n],Линии[_УЗО, мА]),30))</f>
        <v/>
      </c>
      <c r="CW39">
        <f>IF(CS39="",0,IF(ISNUMBER(SEARCH("4P",IFERROR(_xlfn.XLOOKUP(CS39,Линии[_n],Линии[_УЗО строки])&amp;"",""))),0,1))</f>
        <v>0</v>
      </c>
      <c r="CX39" t="str">
        <f>IF(AND(CS39&lt;&gt;"",CS39=BA39),SUMIFS(Линии[_ток на 230 В],Линии[_блок УЗО],BA39,Линии[Щит],A39),"")</f>
        <v/>
      </c>
      <c r="CY39" t="str">
        <f>IF(AND(CS39&lt;&gt;"",CS39=BA39),SUMIFS(Линии[_ток утечки линии, мА],Линии[_блок УЗО],BA39,Линии[Щит],A39),"")</f>
        <v/>
      </c>
      <c r="CZ39">
        <f t="shared" si="168"/>
        <v>0</v>
      </c>
      <c r="DA39">
        <f t="shared" si="169"/>
        <v>0</v>
      </c>
      <c r="DB39">
        <f>IF(B39="",0,IFERROR(--_xlfn.XLOOKUP(B39,Коды_код,Коды_минавт),IFERROR(--_xlfn.XLOOKUP(BC39,Коды_код,Коды_минавт),IFERROR(--_xlfn.XLOOKUP(LEFT(BC39,2),Коды_код,Коды_минавт),0))))</f>
        <v>0</v>
      </c>
      <c r="DC39" t="str">
        <f>IF(B39="","",IFERROR(_xlfn.XLOOKUP(BC39,Коды_код,Коды_апп)&amp;"",""))</f>
        <v/>
      </c>
      <c r="DD39" t="str">
        <f t="shared" si="170"/>
        <v/>
      </c>
      <c r="DE39" t="str" cm="1">
        <f t="array" ref="DE39">IF(TRIM(DD39&amp;"")="","",IFERROR(TRIM(INDEX(_xlfn.TEXTSPLIT(DD39&amp;";;;",";"),1)),""))</f>
        <v/>
      </c>
      <c r="DF39" t="str" cm="1">
        <f t="array" ref="DF39">IF(TRIM(DD39&amp;"")="","",IFERROR(TRIM(INDEX(_xlfn.TEXTSPLIT(DD39&amp;";;;",";"),2)),""))</f>
        <v/>
      </c>
      <c r="DG39" t="str" cm="1">
        <f t="array" ref="DG39">IF(TRIM(DD39&amp;"")="","",IFERROR(TRIM(INDEX(_xlfn.TEXTSPLIT(DD39&amp;";;;",";"),3)),""))</f>
        <v/>
      </c>
      <c r="DH39">
        <f t="shared" si="171"/>
        <v>0</v>
      </c>
      <c r="DI39" t="str">
        <f>IF(B39="","",_xlfn.LET(_xlpm.t,LOWER(AZ39&amp;""),IF(ISNUMBER(SEARCH("dim",_xlpm.t)),"DIM",IF(ISNUMBER(SEARCH("dali",_xlpm.t)),"DALI",IF(OR(ISNUMBER(SEARCH("relay",_xlpm.t)),ISNUMBER(SEARCH("реле",_xlpm.t))),"Relay",IF(ISNUMBER(SEARCH("кнопк",_xlpm.t)),"",IFERROR(_xlfn.XLOOKUP(BC39,Коды_код,Коды_упр)&amp;"","")))))))</f>
        <v/>
      </c>
      <c r="DJ39" t="str">
        <f t="shared" si="172"/>
        <v/>
      </c>
      <c r="DK39">
        <f>IF(B39="","",_xlfn.LET(_xlpm.ig,IF(N(CX39)&gt;0,N(CX39),N(CI39)+IF(AJ39="вручную",0,N(CJ39))),_xlpm.n0,IFERROR(VLOOKUP(_xlpm.ig,Автомат_номиналы,2,TRUE),0),_xlpm.mn,MAX(DB39,IF(AJ39="вручную",0,N(CM39))),MAX(_xlpm.n0,_xlpm.mn,IF(DH39=1,Мин_автомат_БП,0))))</f>
        <v>10</v>
      </c>
      <c r="DL39">
        <f t="shared" si="173"/>
        <v>3</v>
      </c>
      <c r="DM39" t="str">
        <f t="shared" si="174"/>
        <v>3P</v>
      </c>
      <c r="DN39" t="str">
        <f>_xlfn.LET(_xlpm.cc,UPPER(TRIM(IFERROR(_xlfn.XLOOKUP(BC39,Коды_код,Коды_хар)&amp;"",""))),IF(OR(_xlpm.cc="B",_xlpm.cc="В"),"B",IF(_xlpm.cc="D","D","С")))</f>
        <v>С</v>
      </c>
      <c r="DO39" t="str">
        <f t="shared" si="175"/>
        <v>3P С10А</v>
      </c>
      <c r="DP39" t="str">
        <f t="shared" si="176"/>
        <v>3P С10А</v>
      </c>
      <c r="DQ39" t="str">
        <f t="shared" si="177"/>
        <v>3P С10А</v>
      </c>
      <c r="DR39" cm="1">
        <f t="array" ref="DR39">IF(DQ39="","",_xlfn.LET(_xlpm.t,SUBSTITUTE(SUBSTITUTE(SUBSTITUTE(UPPER(DQ39),"С","C"),"А","A"),"В","B"),_xlpm.tk,_xlfn.TEXTSPLIT(_xlpm.t," "),_xlpm.f,_xlfn._xlws.FILTER(_xlpm.tk,ISNUMBER(--MID(_xlpm.tk,2,1))*ISNUMBER(SEARCH(LEFT(_xlpm.tk,1)&amp;"#","B#C#D#"))*(LEN(_xlpm.tk)&gt;1),""),_xlpm.x,INDEX(_xlpm.f,1),IFERROR(--SUBSTITUTE(MID(_xlpm.x,2,9),"A",""),IFERROR(--SUBSTITUTE(INDEX(_xlfn._xlws.FILTER(_xlpm.tk,ISNUMBER(--SUBSTITUTE(_xlpm.tk,"A","")),""),1),"A",""),""))))</f>
        <v>10</v>
      </c>
      <c r="DS39" t="str">
        <f t="shared" si="178"/>
        <v>ok</v>
      </c>
      <c r="DT39">
        <f t="shared" si="179"/>
        <v>10</v>
      </c>
      <c r="DU39" t="str">
        <f t="shared" si="180"/>
        <v>3P С10А</v>
      </c>
      <c r="DV39">
        <f t="shared" si="181"/>
        <v>0</v>
      </c>
      <c r="DW39">
        <f t="shared" si="182"/>
        <v>0</v>
      </c>
      <c r="DX39">
        <f t="shared" si="183"/>
        <v>0</v>
      </c>
      <c r="DY39">
        <f t="shared" si="184"/>
        <v>5.4126587736527414</v>
      </c>
      <c r="DZ39">
        <f t="shared" si="185"/>
        <v>0.92</v>
      </c>
      <c r="EA39">
        <f>IF(ISNUMBER(AP39),AP39,К_прокл)</f>
        <v>1</v>
      </c>
      <c r="EB39">
        <f t="shared" si="186"/>
        <v>3</v>
      </c>
      <c r="EC39">
        <f>IFERROR(N(VLOOKUP(BZ39,Кабель_обозначение,3,FALSE)),1)</f>
        <v>1</v>
      </c>
      <c r="ED39">
        <f>IFERROR(N(_xlfn.XLOOKUP(A39,Щиты[Щит],Щиты[ΔU до шин, %])),0)</f>
        <v>1.0560288498727977</v>
      </c>
      <c r="EE39">
        <f>IFERROR(_xlfn.XLOOKUP(A39,Щиты[Щит],Щиты[Zпетли на шинах, Ом]),"")</f>
        <v>0.28247829354840204</v>
      </c>
      <c r="EF39">
        <f>IFERROR(N(_xlfn.XLOOKUP(A39,Щиты[Щит],Щиты[ΔU до шин (подбор), %])),0)</f>
        <v>1.0560288498727977</v>
      </c>
      <c r="EG39">
        <f>IFERROR(_xlfn.XLOOKUP(A39,Щиты[Щит],Щиты[Zпетли на шинах (подбор), Ом]),"")</f>
        <v>0.28247829354840204</v>
      </c>
      <c r="EH39" t="str">
        <f t="shared" si="187"/>
        <v/>
      </c>
      <c r="EI39">
        <f t="shared" si="188"/>
        <v>20</v>
      </c>
      <c r="EJ39">
        <f t="shared" si="189"/>
        <v>1</v>
      </c>
      <c r="EK39">
        <f t="shared" si="190"/>
        <v>0.6</v>
      </c>
      <c r="EL39" s="6">
        <f>IF(B39="","",IF(BV39=1,dU_LED,IF(IFERROR(_xlfn.XLOOKUP(BC39,Коды_код,Коды_уго),"")="Светильник",3,4)+IF(Методика="нормы 2026",MIN(0.5,MAX(0,N(P39)-100)*0.005),0)))</f>
        <v>4</v>
      </c>
      <c r="EM39" cm="1">
        <f t="array" ref="EM39">IF(OR(B39="",BZ39="",EC39&lt;&gt;1),"",_xlfn.LET(_xlpm.sz,Iдоп_S,_xlpm.t_,CHOOSE(EB39,Iдоп_1ж,Iдоп_2ж,Iдоп_3ж)*DZ39*EA39,_xlpm.dcx,BV39=1,_xlpm.inn,IF(_xlpm.dcx,N(O39),N(DT39)),_xlpm.smin,MAX(1.5,CC39),_xlpm.L_,N(P39)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39)/N(BU39)*100,999),IFERROR(N(EJ39)*(_xlpm.rho*_xlpm.L_/_xlpm.sz*N(CE39)+_xlpm.xx*_xlpm.L_*N(EK39)/1000)*N(O39)/((Uн_лин/SQRT(3))*1000)*100,999)),_xlpm.kz,IF(OR(_xlpm.dcx,DW39=1,NOT(ISNUMBER(EG39)),_xlpm.L_=0,_xlpm.inn=0),1,IFERROR(--(c_min*(Uн_лин*1000/SQRT(3))/(EG39+2*ρкз_Cu*_xlpm.L_/_xlpm.sz)&gt;=HT39*_xlpm.inn),0)),_xlpm.ok,IFERROR((_xlpm.sz&gt;=_xlpm.smin)*(_xlpm.t_&gt;=_xlpm.inn)*IF(_xlpm.L_&gt;0,(_xlpm.du_+IF(_xlpm.dcx,0,EF39)&lt;=EL39+0.00001),1)*_xlpm.kz,0),_xlpm.r_,_xlfn._xlws.FILTER(_xlpm.sz,_xlpm.ok,"не подобрано"),INDEX(_xlpm.r_,1)))</f>
        <v>1.5</v>
      </c>
      <c r="EN39">
        <f t="shared" si="191"/>
        <v>1.5</v>
      </c>
      <c r="EO39" cm="1">
        <f t="array" ref="EO39">IF(OR(B39="",BZ39="",EC39&lt;&gt;1),"",_xlfn.LET(_xlpm.sz,Iдоп_S,_xlpm.t_,CHOOSE(EB39,Iдоп_1ж,Iдоп_2ж,Iдоп_3ж)*DZ39*EA39,_xlpm.ok,IFERROR((_xlpm.sz&gt;=MAX(1.5,CC39))*(_xlpm.t_&gt;=N(DT39)),0),_xlpm.r_,_xlfn._xlws.FILTER(_xlpm.sz,_xlpm.ok,""),INDEX(_xlpm.r_,1)))</f>
        <v>1.5</v>
      </c>
      <c r="EP39" s="6" cm="1">
        <f t="array" ref="EP39">IFERROR(ROUNDUP(N(EJ39)*(_xlfn.XLOOKUP(EO39,INDEX(Кабель_сопротивление,0,1),INDEX(Кабель_сопротивление,0,3))*N(P39)/EO39*N(CE39)+_xlfn.XLOOKUP(EO39,INDEX(Кабель_сопротивление,0,1),INDEX(Кабель_сопротивление,0,2))*N(P39)*N(EK39)/1000)*N(O39)/((Uн_лин/SQRT(3))*1000)*100,2),"")</f>
        <v>0.6</v>
      </c>
      <c r="EQ39">
        <f>IFERROR(2*ρкз_Cu*N(P39)/EO39,"")</f>
        <v>0.73640000000000005</v>
      </c>
      <c r="ER39">
        <f>IFERROR(VLOOKUP(EN39,Кабель_сопротивление,3,FALSE),"")</f>
        <v>2.2499999999999999E-2</v>
      </c>
      <c r="ES39">
        <f>IFERROR(VLOOKUP(EN39,Кабель_сопротивление,2,FALSE),"")</f>
        <v>0.11</v>
      </c>
      <c r="ET39" t="str">
        <f t="shared" si="192"/>
        <v/>
      </c>
      <c r="EU39" t="str">
        <f t="shared" si="193"/>
        <v/>
      </c>
      <c r="EV39">
        <f t="shared" si="194"/>
        <v>1.3714919560207735</v>
      </c>
      <c r="EW39" s="6">
        <f>IFERROR(ROUNDUP(EV39/IF(BV39=1,BU39,(Uн_лин/SQRT(3))*1000)*100,2),"")</f>
        <v>0.6</v>
      </c>
      <c r="EX39" t="str">
        <f>IFERROR(VLOOKUP(BZ39,Кабель_обозначение,2,FALSE),"")</f>
        <v>ВВГнг(А)-LS</v>
      </c>
      <c r="EY39" t="str">
        <f t="shared" si="195"/>
        <v>ВВГнг(А)-LS (5х1,5)</v>
      </c>
      <c r="EZ39" t="str">
        <f t="shared" si="196"/>
        <v>ВВГнг(А)-LS (5х1,5)
L=21-0,6%</v>
      </c>
      <c r="FA39">
        <f>IFERROR(2*ρкз_Cu*P39/EN39,"")</f>
        <v>0.73640000000000005</v>
      </c>
      <c r="FB39">
        <f t="shared" si="197"/>
        <v>0.24500000000000002</v>
      </c>
      <c r="FC39" s="6">
        <f>IFERROR(IF(OR(B39="",BV39=1,NOT(ISNUMBER(EN39)),N(P39)=0),"",_xlfn.XLOOKUP(A39,Щиты[Щит],Щиты[Zпетли на шинах, Ом])+FA39),"")</f>
        <v>1.018878293548402</v>
      </c>
      <c r="FD39" s="6">
        <f>IF(ISNUMBER(FC39),c_min*(Uн_лин*1000/SQRT(3))/FC39,"")</f>
        <v>215.32807567034058</v>
      </c>
      <c r="FE39" s="6">
        <f>IFERROR(IF(OR(B39="",NOT(ISNUMBER(EN39))),"",1.05*(Uн_лин*1000/SQRT(3))/(_xlfn.XLOOKUP(A39,Щиты[Щит],Щиты[Zmax на шинах, Ом])+FB39)/1000),"")</f>
        <v>0.73455674441045971</v>
      </c>
      <c r="FF39" s="6" t="str">
        <f>IF(B39="","",IF(ISNUMBER(AC39),"Сил",IF(IFERROR(_xlfn.XLOOKUP(BC39,Коды_код,Коды_группа)&amp;"","")="","Быт",_xlfn.XLOOKUP(BC39,Коды_код,Коды_группа)&amp;"")))</f>
        <v>Сил</v>
      </c>
      <c r="FG39" s="6" t="str">
        <f t="shared" si="198"/>
        <v>Сил</v>
      </c>
      <c r="FH39" s="6">
        <f>IF(FG39="Щит","щит",IF(FG39="","",IF(FG39="Быт",IFERROR(_xlfn.XLOOKUP(A39,Щиты[Щит],Щиты[Кс быт]),1),IF(FG39="Сил",IF(ISNUMBER(AC39),AC39,IF(Методика="нормы 2026",IFERROR(_xlfn.XLOOKUP(A39,Щиты[Щит],Щиты[Кс силовых (табл. 7.5)]),1),1)),IF(OR(FG39="Пост",FG39="Отоп"),1,IF(FG39="ВНГ",0.7,0))))))</f>
        <v>0.8</v>
      </c>
      <c r="FI39">
        <f>IF(FG39="","",IF(AND(BP39=1,TRIM(AE39&amp;"")=""),IF(COUNTIFS(Линии[Щит],A39,Линии[Секция (1/2/3)],"&gt;=2")&gt;0,MIN(3,MAX(1,IFERROR(--BD39,1))),1),IFERROR(MIN(3,MAX(1,INT(--AE39))),1)))</f>
        <v>1</v>
      </c>
      <c r="FJ39">
        <f t="shared" si="199"/>
        <v>3</v>
      </c>
      <c r="FK39">
        <f t="shared" si="200"/>
        <v>0</v>
      </c>
      <c r="FL39">
        <f t="shared" si="201"/>
        <v>2.4000000000000004</v>
      </c>
      <c r="FM39">
        <f t="shared" si="202"/>
        <v>0</v>
      </c>
      <c r="FN39">
        <f t="shared" si="203"/>
        <v>0</v>
      </c>
      <c r="FO39">
        <f t="shared" si="204"/>
        <v>0</v>
      </c>
      <c r="FP39">
        <f t="shared" si="205"/>
        <v>3</v>
      </c>
      <c r="FQ39">
        <f t="shared" si="206"/>
        <v>3</v>
      </c>
      <c r="FR39">
        <f t="shared" si="207"/>
        <v>2.4000000000000004</v>
      </c>
      <c r="FS39">
        <f>IF(CG39=1,IF(AND(CH39=1,CW39=1),0,IF(AND(CS39&lt;&gt;"",CS39=BA39,CW39=1),SUMIFS(Линии[_Р линии, кВт],Линии[_блок УЗО],BA39,Линии[Щит],A39),N(BS39)+IF(AJ39="вручную",0,N(CK39)))),0)</f>
        <v>3</v>
      </c>
      <c r="FT39" t="str">
        <f t="shared" si="208"/>
        <v/>
      </c>
      <c r="FU39" t="str">
        <f>IF(B39="","",IF(CG39=0,IF(BA39=1,"",FW38),IF(AND(CH39=1,CW39=1,CS39&lt;&gt;""),IFERROR(_xlfn.XLOOKUP(CS39,Линии[_n],Линии[_фаза итог]),"L1"),IF(OR(N(DL39)&gt;=3,N(BX39)&gt;=3),"L1,L2,L3",IFERROR(_xlfn.TEXTBEFORE(_xlfn.TEXTAFTER(_xlfn.XLOOKUP(A39,Щиты[Щит],Щиты[_фазы авто]),";"&amp;BA39&amp;":"),";"),"L1")))))</f>
        <v>L1,L2,L3</v>
      </c>
      <c r="FV39" t="str">
        <f t="shared" si="209"/>
        <v>L1,L2,L3</v>
      </c>
      <c r="FW39" t="str">
        <f t="shared" si="210"/>
        <v>L1,L2,L3</v>
      </c>
      <c r="FX39" cm="1">
        <f t="array" ref="FX39">IFERROR(IF(CD39=2,_xlfn.IFS(BX39=3,VLOOKUP(BS39,Справочная_двигатели,3,FALSE),BX39=1,VLOOKUP(BS39,Справочная_двигатели,5,TRUE)),0),0)</f>
        <v>0</v>
      </c>
      <c r="FY39">
        <f>IFERROR(IF(CD39=3,VLOOKUP(BS39,Справочная_ЛЭД,2,TRUE),0),0)</f>
        <v>0</v>
      </c>
      <c r="FZ39" s="6">
        <f t="shared" si="211"/>
        <v>0</v>
      </c>
      <c r="GA39" t="str">
        <f>IF(B39="","",IF(TRIM(AH39&amp;"")&lt;&gt;"",IF(LOWER(TRIM(AH39&amp;""))="да","да","нет"),IF(IFERROR(_xlfn.XLOOKUP(BC39,Коды_код,Коды_пожарная),"")="да","да","нет")))</f>
        <v>нет</v>
      </c>
      <c r="GB39" t="str">
        <f t="shared" si="212"/>
        <v/>
      </c>
      <c r="GC39" t="str">
        <f t="shared" si="213"/>
        <v>основная</v>
      </c>
      <c r="GD39">
        <f>IF(AND(BP39=1,TRIM(AE39&amp;"")=""),IF(COUNTIFS(Линии[Щит],A39,Линии[Секция (1/2/3)],"&gt;=2")&gt;0,MIN(3,MAX(1,IFERROR(--BD39,1))),1),IFERROR(MIN(3,MAX(1,INT(--AE39))),1))</f>
        <v>1</v>
      </c>
      <c r="GE39" t="str" cm="1">
        <f t="array" ref="GE39">IF(B39="","",_xlfn.LET(_xlpm.t,IFERROR(_xlfn.XLOOKUP(1,(Шины[Шина]=GC39)*(((Шины[Щит]=A39)+(Шины[Щит]=""))&gt;0),Шины[Тип]),"")&amp;"",IF(_xlpm.t&lt;&gt;"",_xlpm.t,IF(ISNUMBER(SEARCH("ИБП",GC39)),"ИБП",IF(ISNUMBER(SEARCH("ДГУ",GC39)),"ДГУ","Ввод "&amp;GD39)))))</f>
        <v>Ввод 1</v>
      </c>
      <c r="GF39" t="str">
        <f t="shared" si="214"/>
        <v>Ввод 1</v>
      </c>
      <c r="GG39" t="str">
        <f>IF(BP39=0,"",IF(TRIM(AG39&amp;"")&lt;&gt;"",TRIM(AG39&amp;""),IF(OR(GE39="ИБП",GE39="ДГУ"),"I особая",_xlfn.XLOOKUP(A39,Щиты[Щит],Щиты[Категория шины «Ввод»],"III"))))</f>
        <v/>
      </c>
      <c r="GH39" t="str">
        <f>IF(A39="","",_xlfn.XLOOKUP(A39,Щиты[Щит],Щиты[Путь],""))</f>
        <v>|ВРУ|ЩР-1|</v>
      </c>
      <c r="GI39" t="str">
        <f>IF(B39="","",IF(AI39&lt;&gt;"",AI39,IF(IFERROR(_xlfn.XLOOKUP(BC39,Коды_код,Коды_вид)&amp;"","")="","Прочее",_xlfn.XLOOKUP(BC39,Коды_код,Коды_вид)&amp;"")))</f>
        <v>Вентиляция</v>
      </c>
      <c r="GJ39">
        <f>IF(BM39="","",INT((BM39-1)/Столбцов_на_лист)+1)</f>
        <v>1</v>
      </c>
      <c r="GK39" t="str">
        <f t="shared" si="215"/>
        <v>ВВГнг(А)-LS (5х1,5) L=21-0,6%</v>
      </c>
      <c r="GL39">
        <f t="shared" si="216"/>
        <v>3</v>
      </c>
      <c r="GM39">
        <f t="shared" si="217"/>
        <v>5.42</v>
      </c>
      <c r="GN39">
        <f t="shared" si="218"/>
        <v>3</v>
      </c>
      <c r="GO39">
        <f t="shared" si="219"/>
        <v>0</v>
      </c>
      <c r="GP39">
        <f t="shared" si="220"/>
        <v>1</v>
      </c>
      <c r="GQ39">
        <f>IF(BM39="","",IF(AND(CG39=1,GP39=1),COUNTIFS(A$3:A39,A39,CG$3:CG39,1,GP$3:GP39,1),IF(OR(OR(BA39=1,A39&lt;&gt;A38),AJ39="вручную",GP39=0),"",IF(BA39=1,"",GR38))))</f>
        <v>7</v>
      </c>
      <c r="GR39">
        <f t="shared" si="221"/>
        <v>7</v>
      </c>
      <c r="GS39">
        <f>IF(B39="","",IFERROR(LOOKUP(INDEX(CHOOSE(EB39,Iдоп_1ж,Iдоп_2ж,Iдоп_3ж),MATCH(EN39,Iдоп_S,0))*DZ39*EA39,{6,10,16,20,25,32,40,50,63,80,100,125,160,200,250,315,400,500,630}),""))</f>
        <v>16</v>
      </c>
      <c r="GT39" t="str">
        <f t="shared" si="222"/>
        <v>QF7</v>
      </c>
      <c r="GU39" t="str">
        <f t="shared" si="223"/>
        <v>QF7</v>
      </c>
      <c r="GV39" t="str">
        <f t="shared" si="224"/>
        <v/>
      </c>
      <c r="GW39">
        <f t="shared" si="225"/>
        <v>0</v>
      </c>
      <c r="GX39" t="str">
        <f>IF(OR(B39="",DJ39=""),"",IFERROR(_xlfn.XLOOKUP(DJ39,Модули_умолч[Управление],Модули_умолч[Модель])&amp;"",""))</f>
        <v/>
      </c>
      <c r="GY39">
        <f>IF(DJ39="",1,IFERROR(MAX(0,N(_xlfn.XLOOKUP(DJ39,Модули_умолч[Управление],Модули_умолч[Каналов на линию]))),1))</f>
        <v>1</v>
      </c>
      <c r="GZ39" t="str">
        <f t="shared" si="226"/>
        <v/>
      </c>
      <c r="HA39" t="str">
        <f t="shared" si="227"/>
        <v/>
      </c>
      <c r="HB39" t="str">
        <f t="shared" si="228"/>
        <v/>
      </c>
      <c r="HC39">
        <f>IF(HB39="",0,IFERROR(N(VLOOKUP(HB39,Модули_спр,3,FALSE)),0))</f>
        <v>0</v>
      </c>
      <c r="HD39" t="str">
        <f t="shared" si="229"/>
        <v/>
      </c>
      <c r="HE39" t="str">
        <f t="shared" si="230"/>
        <v/>
      </c>
      <c r="HF39" t="str">
        <f>IF(OR(HE39="",HE39="-"),"",IFERROR(VLOOKUP(HE39,Модули_спр,2,FALSE),"R"))</f>
        <v/>
      </c>
      <c r="HG39" t="str">
        <f>IF(HF39="","",HF39&amp;"."&amp;COUNTIFS(A$3:A39,A39,HF$3:HF39,HF39))</f>
        <v/>
      </c>
      <c r="HH39" t="str">
        <f t="shared" si="231"/>
        <v/>
      </c>
      <c r="HI39" t="str">
        <f t="shared" si="232"/>
        <v/>
      </c>
      <c r="HJ39" t="str">
        <f t="shared" si="233"/>
        <v/>
      </c>
      <c r="HK39" t="str">
        <f t="shared" si="234"/>
        <v/>
      </c>
      <c r="HL39">
        <f t="shared" si="235"/>
        <v>1</v>
      </c>
      <c r="HM39" t="str">
        <f>IF(HL39=1,"XT"&amp;COUNTIFS(A$3:A39,A39,HL$3:HL39,1),"")</f>
        <v>XT12</v>
      </c>
      <c r="HN39" t="str">
        <f t="shared" si="236"/>
        <v>XT12</v>
      </c>
      <c r="HO39" t="str">
        <f t="shared" si="237"/>
        <v>QF7</v>
      </c>
      <c r="HP39" t="str">
        <f t="shared" si="238"/>
        <v/>
      </c>
      <c r="HQ39" t="str">
        <f t="shared" si="239"/>
        <v>ok</v>
      </c>
      <c r="HR39" t="str">
        <f>IF(OR(HJ39="",HH39=""),"",IF(HJ39+MAX(0,GY39-1)&gt;IFERROR(VLOOKUP(HI39,Модули_спр,3,FALSE),99),"ЛИШНИЙ КАНАЛ",IF(AND(AL39&lt;&gt;"=",GY39&gt;0,COUNTIFS(Линии[_модуль гр.],HH39,Линии[Канал (итог)],HJ39,Линии[Канал],"&lt;&gt;=",Линии[Щит],A39)&gt;1),"ДУБЛЬ КАНАЛА","")))</f>
        <v/>
      </c>
      <c r="HS39" s="6">
        <f t="shared" si="240"/>
        <v>21.532807567034059</v>
      </c>
      <c r="HT39">
        <f t="shared" si="241"/>
        <v>10</v>
      </c>
      <c r="HU39" t="str">
        <f t="shared" si="242"/>
        <v>ok</v>
      </c>
      <c r="HV39">
        <f t="shared" si="243"/>
        <v>2.3750635094610968</v>
      </c>
      <c r="HW39">
        <f t="shared" si="244"/>
        <v>0</v>
      </c>
      <c r="HX39">
        <f t="shared" si="245"/>
        <v>0</v>
      </c>
      <c r="HY39">
        <f t="shared" si="246"/>
        <v>0</v>
      </c>
      <c r="HZ39">
        <f t="shared" si="247"/>
        <v>0</v>
      </c>
      <c r="IA39">
        <f t="shared" si="248"/>
        <v>0</v>
      </c>
      <c r="IB39">
        <f t="shared" si="249"/>
        <v>0</v>
      </c>
      <c r="IC39" t="str">
        <f t="shared" si="250"/>
        <v/>
      </c>
      <c r="ID39" t="str" cm="1">
        <f t="array" ref="ID39">IF(IC39="","",_xlfn.LET(_xlpm.tk,_xlfn.TEXTSPLIT(SUBSTITUTE(SUBSTITUTE(IC39,";"," "),"→"," ")," ",,TRUE),_xlpm.w_,_xlfn._xlws.FILTER(_xlpm.tk,ISNUMBER(--LEFT(_xlpm.tk,1))*((ISNUMBER(SEARCH("W",_xlpm.tk))+ISNUMBER(SEARCH("Вт",_xlpm.tk)))&gt;0),""),IFERROR(--SUBSTITUTE(SUBSTITUTE(UPPER(INDEX(_xlpm.w_,1)),"W",""),"ВТ",""),"")))</f>
        <v/>
      </c>
      <c r="IE39" t="str" cm="1">
        <f t="array" ref="IE39">IF(IC39="","",_xlfn.LET(_xlpm.tk,_xlfn.TEXTSPLIT(SUBSTITUTE(SUBSTITUTE(IC39,";"," "),"→"," ")," ",,TRUE),_xlpm.v_,_xlfn._xlws.FILTER(_xlpm.tk,ISNUMBER(--LEFT(_xlpm.tk,1))*((ISNUMBER(SEARCH("V",_xlpm.tk))+(RIGHT(UPPER(_xlpm.tk))="В"))&gt;0),""),IFERROR(--SUBSTITUTE(SUBSTITUTE(UPPER(INDEX(_xlpm.v_,1)),"V",""),"В",""),"")))</f>
        <v/>
      </c>
      <c r="IF39" s="6" t="str">
        <f>IF(OR(BV39=0,HI39="",HJ39=""),"",IFERROR(N(_xlfn.XLOOKUP(HI39,Каталог!$C$4:$C$500,Каталог!$Q$4:$Q$500)),""))</f>
        <v/>
      </c>
      <c r="IG39" s="6" t="str">
        <f>IF(N(IF39)=0,"",SUMIFS(Линии[Iр, А],Линии[Щит],A39,Линии[_модуль гр.],HH39,Линии[Канал (итог)],HJ39))</f>
        <v/>
      </c>
      <c r="IH39" t="str">
        <f>IF(AND(B39="",HO39=""),"",_xlfn.TEXTJOIN("; ",TRUE,IF(AND(B39&lt;&gt;"",FV39=""),"нет фазы",""),IF(AND(B39&lt;&gt;"",N(GL39)=0,FG39&lt;&gt;"Нет"),"нет мощности",""),IF(AND(HN39&lt;&gt;"",COUNTIFS(Линии[Щит],A39,Линии[Клемма (итог)],HN39)&gt;1),"дубль клеммы "&amp;HN39,""),IF(AND(HQ39&lt;&gt;"",HQ39&lt;&gt;"ok"),HQ39,""),IF(HR39&lt;&gt;"",HR39,""),IF(AND(N(CB39)&gt;=4,N(BX39)=1),CB39&amp;" жил на 1 фазе",""),IF(AND(BC39="R",CG39=1,IF(CS39&lt;&gt;"",N(CV39)&gt;30,OR(N(DA39)=0,N(DA39)&gt;30))),"розетка без дифзащиты до 30 мА",""),IF(AND(CG39=1,N(DA39)&gt;0,ISNUMBER(T39)),IF(T39&gt;N(DA39)/3,"ток утечки "&amp;FIXED(T39,1)&amp;" мА &gt; 1/3 уставки ("&amp;DA39&amp;" мА)",""),""),IF(AND(CH39=1,CS39=""),"«узо»: нет строки с УЗО выше (УЗО 2P 40А 30мА в «Аппаратах»)",""),IF(AND(CS39&lt;&gt;"",CS39=BA39),IF(CT39="","впишите номинал УЗО (УЗО 2P 40А 30мА)",IF(N(CT39)&lt;N(DT39),"УЗО "&amp;CT39&amp;" А &lt; автомата "&amp;DT39&amp;" А перед ним",IF(N(CT39)&lt;N(CX39),"УЗО "&amp;CT39&amp;" А &lt; тока блока "&amp;FIXED(CX39,1)&amp;" А",""))),""),IF(AND(CS39&lt;&gt;"",CS39=BA39,ISNUMBER(CY39)),IF(CY39&gt;N(CV39)/3,"ток утечки блока УЗО "&amp;FIXED(CY39,1)&amp;" мА &gt; 1/3 уставки ("&amp;CV39&amp;" мА)",""),""),IF(AND(CG39=1,N(BV39)+N(IB39)&gt;0,IC39=""),"линии до 50 В без БП: впишите в «Аппараты» (БП 24V 480W)",""),IF(AND(CG39=1,ISNUMBER(ID39),ISNUMBER(U39)),IF(U39&gt;ID39,"БП "&amp;ID39&amp;" Вт &lt; нужно "&amp;U39&amp;" Вт (×"&amp;Запас_БП&amp;")",""),""),IF(AND(CG39=1,ISNUMBER(IE39),N(BV39)=1),IF(IE39&lt;&gt;N(BU39),"БП на "&amp;IE39&amp;" В, линия "&amp;BU39&amp;" В",""),""),IF(AND(N(IF39)&gt;0,N(IG39)&gt;N(IF39)),HH39&amp;" канал "&amp;HJ39&amp;": "&amp;FIXED(IG39,1)&amp;" А &gt; "&amp;IF39&amp;" А",""),IFERROR(IF(AND(ISNUMBER(Q39),Q39&gt;EL39),"потери "&amp;FIXED(Q39,1)&amp;" % &gt; "&amp;EL39&amp;" %",""),""),IFERROR(IF(LEFT(HU39,4)="мало","Iкз мало — отключение &gt; 0,4 с",""),""),IF(AND(B39&lt;&gt;"",BM39=""),"не на схеме",""),IF(AND(CG39=0,B39&lt;&gt;"",FV39&lt;&gt;"",IF(BA39=1,"",FW38)&lt;&gt;"",FV39&lt;&gt;IF(BA39=1,"",FW38)),"фаза не как у автомата группы ("&amp;IF(BA39=1,"",FW38)&amp;")","")))</f>
        <v/>
      </c>
      <c r="II39" s="6" t="str">
        <f>IF(OR(CG39=0,DQ39=""),"",_xlfn.LET(_xlpm.t,IFERROR(_xlfn.XLOOKUP(DQ39,Каталог!$U$4:$U$500,Каталог!$G$4:$G$500),""),_xlpm.k,SEARCH("кА",_xlpm.t),IFERROR(--TRIM(RIGHT(SUBSTITUTE(MID(_xlpm.t,MAX(1,_xlpm.k-4),_xlpm.k-MAX(1,_xlpm.k-4))," ",REPT(" ",9)),5)),"")))</f>
        <v/>
      </c>
      <c r="IJ39" t="str">
        <f>IF(OR(II39="",CG39=0),"",IF(_xlfn.XLOOKUP(A39,Щиты[Щит],Щиты[Iкз max на шинах, кА],"")="","",IF(II39&lt;_xlfn.XLOOKUP(A39,Щиты[Щит],Щиты[Iкз max на шинах, кА]),"Icu "&amp;II39&amp;" кА &lt; Iкз max","ok")))</f>
        <v/>
      </c>
      <c r="IK39" t="str">
        <f t="shared" si="251"/>
        <v/>
      </c>
      <c r="IL39" t="str">
        <f t="shared" si="252"/>
        <v>QF7|XT12</v>
      </c>
      <c r="IM39" t="str">
        <f t="shared" si="253"/>
        <v>QF7|XT12|кабель ВВГнг(А)-LS (5х1,5) → Приточно-вытяжная установка, пом. 01</v>
      </c>
      <c r="IN39" t="str" cm="1">
        <f t="array" ref="IN39">IF(IM39="","",_xlfn.LET(_xlpm.nd,_xlfn.TEXTSPLIT(IM39,"|"),IF(COLUMNS(_xlpm.nd)&gt;1,A39&amp;"¦"&amp;INDEX(_xlpm.nd,1)&amp;"¦"&amp;INDEX(_xlpm.nd,2),"")))</f>
        <v>ЩР-1¦QF7¦XT12</v>
      </c>
      <c r="IO39" t="str">
        <f t="shared" si="254"/>
        <v>ПВ.1.01.1¦Приточно-вытяжная установка, пом. 01</v>
      </c>
      <c r="IP39" t="str" cm="1">
        <f t="array" ref="IP39">IF(IM39="","",_xlfn.LET(_xlpm.nd,_xlfn.TEXTSPLIT(IM39,"|"),IF(COLUMNS(_xlpm.nd)&gt;2,A39&amp;"¦"&amp;INDEX(_xlpm.nd,2)&amp;"¦"&amp;INDEX(_xlpm.nd,3),"")))</f>
        <v>ЩР-1¦XT12¦кабель ВВГнг(А)-LS (5х1,5) → Приточно-вытяжная установка, пом. 01</v>
      </c>
      <c r="IQ39" t="str">
        <f t="shared" si="255"/>
        <v>ПВ.1.01.1¦Приточно-вытяжная установка, пом. 01</v>
      </c>
      <c r="IR39" t="str" cm="1">
        <f t="array" ref="IR39">IF(IM39="","",_xlfn.LET(_xlpm.nd,_xlfn.TEXTSPLIT(IM39,"|"),IF(COLUMNS(_xlpm.nd)&gt;3,A39&amp;"¦"&amp;INDEX(_xlpm.nd,3)&amp;"¦"&amp;INDEX(_xlpm.nd,4),"")))</f>
        <v/>
      </c>
      <c r="IS39" t="str">
        <f t="shared" si="256"/>
        <v/>
      </c>
      <c r="IT39" t="str" cm="1">
        <f t="array" ref="IT39">IF(IM39="","",_xlfn.LET(_xlpm.nd,_xlfn.TEXTSPLIT(IM39,"|"),IF(COLUMNS(_xlpm.nd)&gt;4,A39&amp;"¦"&amp;INDEX(_xlpm.nd,4)&amp;"¦"&amp;INDEX(_xlpm.nd,5),"")))</f>
        <v/>
      </c>
      <c r="IU39" t="str">
        <f t="shared" si="257"/>
        <v/>
      </c>
      <c r="IV39" t="str" cm="1">
        <f t="array" ref="IV39">IF(IM39="","",_xlfn.LET(_xlpm.nd,_xlfn.TEXTSPLIT(IM39,"|"),IF(COLUMNS(_xlpm.nd)&gt;5,A39&amp;"¦"&amp;INDEX(_xlpm.nd,5)&amp;"¦"&amp;INDEX(_xlpm.nd,6),"")))</f>
        <v/>
      </c>
      <c r="IW39" t="str">
        <f t="shared" si="258"/>
        <v/>
      </c>
      <c r="IX39" t="str" cm="1">
        <f t="array" ref="IX39">IF(IM39="","",_xlfn.LET(_xlpm.nd,_xlfn.TEXTSPLIT(IM39,"|"),IF(COLUMNS(_xlpm.nd)&gt;6,A39&amp;"¦"&amp;INDEX(_xlpm.nd,6)&amp;"¦"&amp;INDEX(_xlpm.nd,7),"")))</f>
        <v/>
      </c>
      <c r="IY39" t="str">
        <f t="shared" si="259"/>
        <v/>
      </c>
      <c r="IZ39" t="str">
        <f t="shared" si="260"/>
        <v/>
      </c>
      <c r="JA39" t="str">
        <f t="shared" si="261"/>
        <v>QF7 → XT12</v>
      </c>
      <c r="JB39">
        <f t="shared" si="262"/>
        <v>0</v>
      </c>
      <c r="JC39">
        <f t="shared" si="263"/>
        <v>0</v>
      </c>
      <c r="JD39" t="str">
        <f t="shared" si="264"/>
        <v/>
      </c>
      <c r="JE39" t="str">
        <f t="shared" si="265"/>
        <v/>
      </c>
      <c r="JF39" t="str">
        <f t="shared" si="266"/>
        <v/>
      </c>
      <c r="JG39" t="str">
        <f t="shared" si="267"/>
        <v/>
      </c>
      <c r="JH39">
        <f>IF(B39="","",IFERROR(_xlfn.XLOOKUP(B39,Коды_код,Коды_уго),IFERROR(_xlfn.XLOOKUP(BC39,Коды_код,Коды_уго),IFERROR(_xlfn.XLOOKUP(LEFT(BC39,2),Коды_код,Коды_уго),""))))</f>
        <v>0</v>
      </c>
      <c r="JI39" t="str">
        <f>IF(B39="","",IF(OR(JH39="",JH39=0),"BOX",IFERROR(IF(VLOOKUP(JH39,УГО_блоки,3,FALSE)&amp;""&lt;&gt;"",VLOOKUP(JH39,УГО_блоки,3,FALSE),VLOOKUP(JH39,УГО_блоки,2,FALSE)),JH39)))</f>
        <v>BOX</v>
      </c>
      <c r="JJ39">
        <f t="shared" si="268"/>
        <v>1</v>
      </c>
      <c r="JK39">
        <f>IF(DQ39="","",IF(COUNTIF(DQ$3:DQ39,DQ39)=1,MAX(JK$2:JK38)+1,""))</f>
        <v>11</v>
      </c>
      <c r="JL39" t="str">
        <f>IF(DE39="","",IF(COUNTIF(DE$3:DE39,DE39)+COUNTIF(DF$2:DF38,DE39)+COUNTIF(DG$2:DG38,DE39)=1,MAX(JL$2:JN38)+1,""))</f>
        <v/>
      </c>
      <c r="JM39" t="str">
        <f>IF(DF39="","",IF(COUNTIF(DE$3:DE39,DF39)+COUNTIF(DF$3:DF39,DF39)+COUNTIF(DG$2:DG38,DF39)=1,MAX(JL$2:JN38,JL39)+1,""))</f>
        <v/>
      </c>
      <c r="JN39" t="str">
        <f>IF(DG39="","",IF(COUNTIF(DE$3:DE39,DG39)+COUNTIF(DF$3:DF39,DG39)+COUNTIF(DG$3:DG39,DG39)=1,MAX(JL$2:JN38,JL39,JM39)+1,""))</f>
        <v/>
      </c>
      <c r="JO39" t="str">
        <f t="shared" si="269"/>
        <v>5х1,5</v>
      </c>
      <c r="JP39" t="str">
        <f>IF(JO39="","",IF(COUNTIF(JO$3:JO39,JO39)=1,MAX(JP$2:JP38)+1,""))</f>
        <v/>
      </c>
      <c r="JQ39" t="str">
        <f>IF(HG39="","",COUNTIF(HG$3:HG39,"?*"))</f>
        <v/>
      </c>
      <c r="JR39" t="str">
        <f>IF(OR(HG39="",HI39=""),"",IF(COUNTIFS(HG$3:HG39,"?*",HI$3:HI39,HI39)=1,MAX(JR$2:JR38)+1,""))</f>
        <v/>
      </c>
      <c r="JS39">
        <f t="shared" si="270"/>
        <v>0</v>
      </c>
      <c r="JT39">
        <f>IF(B39="","",COUNTIF(B$3:B39,"?*"))</f>
        <v>35</v>
      </c>
      <c r="JU39">
        <f>IF(HL39&lt;&gt;1,0,_xlfn.LET(_xlpm.k,MAX(IFERROR(--_xlfn.XLOOKUP(B39,Коды_код,Коды_3L),0),IFERROR(--_xlfn.XLOOKUP(BC39,Коды_код,Коды_3L),0),IFERROR(--_xlfn.XLOOKUP(LEFT(BC39,2),Коды_код,Коды_3L),0)),IF(_xlpm.k&gt;0,_xlpm.k,IF(IFERROR(--LEFT(SUBSTITUTE(JO39,"x","х"),FIND("х",SUBSTITUTE(JO39,"x","х"))-1),3)&gt;3,Каталог!$S$9,1))))</f>
        <v>1</v>
      </c>
      <c r="JV39">
        <f t="shared" si="271"/>
        <v>2</v>
      </c>
      <c r="JW39" t="str">
        <f t="shared" si="272"/>
        <v>авто</v>
      </c>
      <c r="JX39" t="str">
        <f t="shared" si="273"/>
        <v/>
      </c>
      <c r="JY39">
        <f t="shared" si="274"/>
        <v>0</v>
      </c>
      <c r="JZ39">
        <f t="shared" si="275"/>
        <v>1</v>
      </c>
    </row>
    <row r="40" spans="1:286" x14ac:dyDescent="0.3">
      <c r="A40" t="s">
        <v>947</v>
      </c>
      <c r="B40" t="s">
        <v>1219</v>
      </c>
      <c r="C40" t="s">
        <v>1249</v>
      </c>
      <c r="E40">
        <v>1.2</v>
      </c>
      <c r="G40" t="str">
        <f>Линии[[#This Row],[_авто автомат]]</f>
        <v>1P С10А</v>
      </c>
      <c r="H40" t="str">
        <f>Линии[[#This Row],[_авто управление]]</f>
        <v/>
      </c>
      <c r="I40" t="str">
        <f>Линии[[#This Row],[_авто аппараты]]</f>
        <v/>
      </c>
      <c r="J40">
        <f>Линии[[#This Row],[_авто сечение]]</f>
        <v>1.5</v>
      </c>
      <c r="K40">
        <v>18</v>
      </c>
      <c r="L40" t="str">
        <f>Линии[[#This Row],[_авто фаза]]</f>
        <v>L3</v>
      </c>
      <c r="M40" t="str">
        <f>Линии[[#This Row],[_авто клемма]]</f>
        <v>XT13</v>
      </c>
      <c r="N40" t="str">
        <f t="shared" si="138"/>
        <v/>
      </c>
      <c r="O40" s="6" cm="1">
        <f t="array" ref="O40">IF(B40="","",IF(BH40&lt;&gt;"",IFERROR(_xlfn.XLOOKUP(BH40,Щиты[Щит],Щиты[Iр, А]),""),IF(BP40=1,IF(OR(N(_xlfn.XLOOKUP(A40,Щиты[Щит],Щиты[Вводов],1))&lt;=1,LOWER(TRIM(_xlfn.XLOOKUP(A40,Щиты[Щит],Щиты[АВР],"")&amp;""))="да"),IFERROR(_xlfn.XLOOKUP(A40,Щиты[Щит],Щиты[Iр, А]),""),IFERROR(N(BS40)*_xlfn.XLOOKUP(A40,Щиты[Щит],Щиты[Кс итог])/(SQRT(3)*Uн_лин*_xlfn.XLOOKUP(A40,Щиты[Щит],Щиты[cos φ])),"")),IF(BV40=1,IFERROR(BS40*1000/BU40,""),IFERROR(_xlfn.IFS(BX40=1,BS40/((Uн_лин/SQRT(3))*CE40),BX40=3,BS40/(SQRT(3)*Uн_лин*CE40)),"")))))</f>
        <v>5.4696341291648753</v>
      </c>
      <c r="P40" s="7">
        <f>IF(B40="","",IFERROR(IF(VLOOKUP(BC40,Потребители_обозначение,4,FALSE)=1,VLOOKUP(BC40,Потребители_обозначение,3,FALSE)*(MAX(1,N(D40))*2-1)+EI40+VLOOKUP(BE40,Этаж_обозначение,3,FALSE)+VLOOKUP(BE40,Этаж_обозначение,4,FALSE),VLOOKUP(BC40,Потребители_обозначение,3,FALSE)*(MAX(1,N(D40))*2-1)+EI40),EI40))</f>
        <v>19</v>
      </c>
      <c r="Q40" s="6">
        <f t="shared" si="139"/>
        <v>2.3460288498727975</v>
      </c>
      <c r="R40" t="str">
        <f t="shared" si="140"/>
        <v>ВВГнг(А)-LS (3х1,5)</v>
      </c>
      <c r="S40" t="str">
        <f>IF(BM40="","",IF(BN40="вводной узел","узел ","")&amp;"л."&amp;(INT((BM40-1)/Столбцов_на_лист)+1)&amp;" / "&amp;(MOD(BM40-1,Столбцов_на_лист)+1))</f>
        <v>л.1 / 17</v>
      </c>
      <c r="T40" s="119">
        <f t="shared" si="141"/>
        <v>2.4</v>
      </c>
      <c r="U40" s="7" t="str">
        <f>IF(OR(CG40=0,N(BV40)+N(IB40)=0),"",ROUNDUP(Запас_БП*(N(HY40)+N(HZ40)),0))</f>
        <v/>
      </c>
      <c r="V40" s="119" t="str">
        <f t="shared" si="142"/>
        <v/>
      </c>
      <c r="W40" s="7">
        <f>IFERROR(IF(OR(B40="",BP40=1,BV40=1,NOT(ISNUMBER(EN40)),N(DT40)=0),"",MAX(0,ROUNDDOWN((c_min*(Uн_лин*1000/SQRT(3))/(HT40*N(DT40))-_xlfn.XLOOKUP(A40,Щиты[Щит],Щиты[Zпетли на шинах, Ом]))*EN40/(2*ρкз_Cu),0))),"")</f>
        <v>54</v>
      </c>
      <c r="Y40" t="str">
        <f>Линии[[#This Row],[_авто утечка]]</f>
        <v/>
      </c>
      <c r="Z40">
        <v>1</v>
      </c>
      <c r="AA40">
        <v>230</v>
      </c>
      <c r="AB40" t="str">
        <f>Линии[[#This Row],[_авто группа Кс]]</f>
        <v>Быт</v>
      </c>
      <c r="AK40" t="str">
        <f>Линии[[#This Row],[_авто модуль]]</f>
        <v/>
      </c>
      <c r="AN40" t="s">
        <v>11</v>
      </c>
      <c r="AO40">
        <v>3</v>
      </c>
      <c r="BA40" cm="1">
        <f t="array" ref="BA40">ROW()-ROW(Линии[#Headers])</f>
        <v>38</v>
      </c>
      <c r="BC40" s="6" t="str">
        <f t="shared" si="143"/>
        <v>K</v>
      </c>
      <c r="BD40" t="str">
        <f t="shared" si="144"/>
        <v>1.01.1</v>
      </c>
      <c r="BE40" t="str">
        <f t="shared" si="145"/>
        <v>1</v>
      </c>
      <c r="BF40" t="str">
        <f t="shared" si="146"/>
        <v>01.1</v>
      </c>
      <c r="BG40" t="str">
        <f t="shared" si="147"/>
        <v>01</v>
      </c>
      <c r="BH40" t="str">
        <f>IF(X40&lt;&gt;"",X40,IF(AND(B40&lt;&gt;"",B40&lt;&gt;A40,ISNUMBER(_xlfn.XMATCH(B40,Щиты[Щит]))),B40,""))</f>
        <v/>
      </c>
      <c r="BI40" t="str" cm="1">
        <f t="array" ref="BI40">IF(B40="","",IF(BH40&lt;&gt;"","Щит "&amp;BH40,_xlfn.LET(_xlpm.nm,IFERROR(_xlfn.XLOOKUP(BC40,Коды_код,Коды_имя)&amp;"",""),_xlpm.md,IFERROR(N(_xlfn.XLOOKUP(BC40,Коды_код,Коды_режим)),1),_xlpm.ex,IF(Имя_режим="по экспликации",IFERROR(_xlfn.XLOOKUP(BE40&amp;"|"&amp;BG40,Экспликация[Этаж]&amp;"|"&amp;Экспликация[Помещение],Экспликация[Название])&amp;"",""),""),_xlpm.rm,IF(BG40="","",IF(_xlpm.ex&lt;&gt;"",". "&amp;_xlpm.ex&amp;IF(Имя_пом="нет"," ("&amp;BG40&amp;")"," (пом. "&amp;BG40&amp;")"),IF(Имя_пом="нет"," ",", пом. ")&amp;BG40)),IF(_xlpm.nm="","",IF(_xlpm.md=2,_xlpm.nm&amp;" шлейф "&amp;BE40,_xlpm.nm&amp;_xlpm.rm)))))</f>
        <v>Внутренний блок кондиционера, пом. 01</v>
      </c>
      <c r="BJ40" t="str">
        <f t="shared" si="148"/>
        <v>Кондиционер (cos φ вручную)</v>
      </c>
      <c r="BK40">
        <f>IFERROR(_xlfn.XMATCH(A40,Щиты[Щит]),0)</f>
        <v>4</v>
      </c>
      <c r="BL40">
        <f>_xlfn.LET(_xlpm.k,IFERROR(_xlfn.XLOOKUP(A40,Щиты[Щит],Щиты[Мест под вводной узел]),""),IF(_xlpm.k="",Столбцов_на_лист,N(_xlpm.k)))</f>
        <v>3</v>
      </c>
      <c r="BM40">
        <f t="shared" si="149"/>
        <v>17</v>
      </c>
      <c r="BN40" t="str">
        <f t="shared" si="150"/>
        <v>линии</v>
      </c>
      <c r="BO40" s="6">
        <f>IFERROR(N(_xlfn.XLOOKUP(BC40,Коды_код,Коды_квт)),0)</f>
        <v>0</v>
      </c>
      <c r="BP40">
        <f t="shared" si="151"/>
        <v>0</v>
      </c>
      <c r="BQ40" t="str">
        <f>IF(B40="","",IF(BH40&lt;&gt;"",IFERROR(_xlfn.XLOOKUP(BH40,Щиты[Щит],Щиты[Руст, кВт]),0),IF(BP40=1,IF(OR(N(_xlfn.XLOOKUP(A40,Щиты[Щит],Щиты[Вводов],1))&lt;=1,LOWER(TRIM(_xlfn.XLOOKUP(A40,Щиты[Щит],Щиты[АВР],"")&amp;""))="да"),IFERROR(_xlfn.XLOOKUP(A40,Щиты[Щит],Щиты[Руст, кВт]),0),SUMIFS(Линии[_Р для вводов],Линии[Щит],A40,Линии[Источник для режимов],GF40)),IF(BO40&gt;0,ROUND(BO40*MAX(1,N(D40)),3),""))))</f>
        <v/>
      </c>
      <c r="BR40">
        <f t="shared" si="152"/>
        <v>1.2</v>
      </c>
      <c r="BS40" s="6">
        <f>IF(B40="","",IF(BH40&lt;&gt;"",IFERROR(_xlfn.XLOOKUP(BH40,Щиты[Щит],Щиты[Руст, кВт]),0),N(BR40)))</f>
        <v>1.2</v>
      </c>
      <c r="BT40" t="str">
        <f>IF(B40="","",IFERROR(IF(VLOOKUP(BC40,Потребители_обозначение,8,FALSE)=0,"",VLOOKUP(BC40,Потребители_обозначение,8,FALSE)),""))</f>
        <v/>
      </c>
      <c r="BU40">
        <f t="shared" si="153"/>
        <v>230</v>
      </c>
      <c r="BV40">
        <f t="shared" si="154"/>
        <v>0</v>
      </c>
      <c r="BW40">
        <f>IF(B40="","",IF(BH40&lt;&gt;"",3,IFERROR(IF(N(VLOOKUP(BC40,Потребители_обозначение,9,FALSE))=0,1,VLOOKUP(BC40,Потребители_обозначение,9,FALSE)),1)))</f>
        <v>1</v>
      </c>
      <c r="BX40">
        <f t="shared" si="155"/>
        <v>1</v>
      </c>
      <c r="BY40" t="str">
        <f>IF(B40="","",_xlfn.LET(_xlpm.bc,IFERROR(IF(VLOOKUP(BC40,Потребители_обозначение,6,FALSE)=0,"",VLOOKUP(BC40,Потребители_обозначение,6,FALSE)&amp;""),""),IF(AND(GA40="да",OR(_xlpm.bc="",_xlpm.bc="мс")),Марка_пож,IF(AND(_xlpm.bc="",BH40&lt;&gt;""),"мс",_xlpm.bc))))</f>
        <v>мс</v>
      </c>
      <c r="BZ40" t="str">
        <f t="shared" si="156"/>
        <v>мс</v>
      </c>
      <c r="CA40">
        <f>IF(B40="","",_xlfn.LET(_xlpm.cc,IFERROR(N(VLOOKUP(BC40,Потребители_обозначение,7,FALSE)),0),IF(_xlpm.cc&gt;0,_xlpm.cc,IF(BZ40="","",IF(BV40=1,2,IF(N(BX40)=3,5,3))))))</f>
        <v>3</v>
      </c>
      <c r="CB40">
        <f t="shared" si="157"/>
        <v>3</v>
      </c>
      <c r="CC40">
        <f>IFERROR(N(VLOOKUP(BC40,Потребители_обозначение,10,FALSE)),0)</f>
        <v>0</v>
      </c>
      <c r="CD40">
        <f>IFERROR(VLOOKUP(BC40,Потребители_обозначение,5,FALSE),0)</f>
        <v>1</v>
      </c>
      <c r="CE40" s="6" cm="1">
        <f t="array" ref="CE40">IF(B40="","",IF(BH40&lt;&gt;"",IFERROR(_xlfn.XLOOKUP(BH40,Щиты[Щит],Щиты[cos φ]),0.95),IF(BP40=1,IFERROR(_xlfn.XLOOKUP(A40,Щиты[Щит],Щиты[cos φ]),0.95),IF(ISNUMBER(AD40),AD40,IFERROR(IF(CD40=2,_xlfn.IFS(BX40=3,VLOOKUP(BS40,Справочная_двигатели,8,FALSE),BX40=1,VLOOKUP(BS40,Справочная_двигатели,10,TRUE)),IF(AND(Методика="нормы 2026",FG40="Сил"),0.8,0.95)),0.95)))))</f>
        <v>0.95</v>
      </c>
      <c r="CF40">
        <f t="shared" si="158"/>
        <v>0</v>
      </c>
      <c r="CG40">
        <f t="shared" si="159"/>
        <v>1</v>
      </c>
      <c r="CH40">
        <f t="shared" si="160"/>
        <v>0</v>
      </c>
      <c r="CI40">
        <f>IF(B40="","",IF(BV40=1,IFERROR(BS40/((Uн_лин/SQRT(3))*MAX(0.5,N(CE40))),0),N(O40)))</f>
        <v>5.4696341291648753</v>
      </c>
      <c r="CJ40">
        <f t="shared" si="161"/>
        <v>0</v>
      </c>
      <c r="CK40">
        <f t="shared" si="162"/>
        <v>0</v>
      </c>
      <c r="CL40">
        <f t="shared" si="163"/>
        <v>0</v>
      </c>
      <c r="CM40">
        <f t="shared" si="164"/>
        <v>0</v>
      </c>
      <c r="CN40">
        <f t="shared" si="165"/>
        <v>0</v>
      </c>
      <c r="CO40">
        <f>IF(BC40="",0,_xlfn.LET(_xlpm.v,IFERROR(_xlfn.XLOOKUP(B40,Коды_код,Коды_мА),IFERROR(_xlfn.XLOOKUP(BC40,Коды_код,Коды_мА),IFERROR(_xlfn.XLOOKUP(LEFT(BC40,2),Коды_код,Коды_мА),""))),IF(_xlpm.v="да",30,IF(ISNUMBER(_xlpm.v),_xlpm.v,0))))</f>
        <v>0</v>
      </c>
      <c r="CP40" t="str">
        <f t="shared" si="166"/>
        <v/>
      </c>
      <c r="CQ40" t="str">
        <f>_xlfn.LET(_xlpm.k,IFERROR(_xlfn.XLOOKUP(BC40,Коды_код,Коды_утечка)&amp;"",""),IF(_xlpm.k="","дифавтомат",_xlpm.k))</f>
        <v>дифавтомат</v>
      </c>
      <c r="CR40" t="str" cm="1">
        <f t="array" ref="CR40">IF(CG40=0,"",_xlfn.LET(_xlpm.sg,TRIM(_xlfn.TEXTSPLIT(DD40&amp;"",";")),_xlpm.f_,_xlfn._xlws.FILTER(_xlpm.sg,LEFT(_xlpm.sg,3)="УЗО",""),IFERROR(INDEX(_xlpm.f_,1)&amp;"","")))</f>
        <v/>
      </c>
      <c r="CS40" t="str">
        <f t="shared" si="167"/>
        <v/>
      </c>
      <c r="CT40" s="6" t="str" cm="1">
        <f t="array" ref="CT40">IF(CR40="","",_xlfn.LET(_xlpm.tk,_xlfn.TEXTSPLIT(UPPER(CR40)," ",,TRUE),_xlpm.a_,_xlfn._xlws.FILTER(_xlpm.tk,ISNUMBER(--LEFT(_xlpm.tk,1))*((ISNUMBER(SEARCH("А",_xlpm.tk))+ISNUMBER(SEARCH("A",_xlpm.tk)))&gt;0)*NOT(ISNUMBER(SEARCH("МА",_xlpm.tk)))*NOT(ISNUMBER(SEARCH("MA",_xlpm.tk))),""),IFERROR(--SUBSTITUTE(SUBSTITUTE(INDEX(_xlpm.a_,1),"А",""),"A",""),"")))</f>
        <v/>
      </c>
      <c r="CU40" t="str" cm="1">
        <f t="array" ref="CU40">IF(CR40="","",_xlfn.LET(_xlpm.tk,_xlfn.TEXTSPLIT(UPPER(CR40)," ",,TRUE),_xlpm.a_,_xlfn._xlws.FILTER(_xlpm.tk,ISNUMBER(--LEFT(_xlpm.tk,1))*((ISNUMBER(SEARCH("МА",_xlpm.tk))+ISNUMBER(SEARCH("MA",_xlpm.tk)))&gt;0),""),IFERROR(--SUBSTITUTE(SUBSTITUTE(INDEX(_xlpm.a_,1),"МА",""),"MA",""),30)))</f>
        <v/>
      </c>
      <c r="CV40" t="str">
        <f>IF(CS40="","",IFERROR(_xlfn.XLOOKUP(CS40,Линии[_n],Линии[_УЗО, мА]),30))</f>
        <v/>
      </c>
      <c r="CW40">
        <f>IF(CS40="",0,IF(ISNUMBER(SEARCH("4P",IFERROR(_xlfn.XLOOKUP(CS40,Линии[_n],Линии[_УЗО строки])&amp;"",""))),0,1))</f>
        <v>0</v>
      </c>
      <c r="CX40" t="str">
        <f>IF(AND(CS40&lt;&gt;"",CS40=BA40),SUMIFS(Линии[_ток на 230 В],Линии[_блок УЗО],BA40,Линии[Щит],A40),"")</f>
        <v/>
      </c>
      <c r="CY40" t="str">
        <f>IF(AND(CS40&lt;&gt;"",CS40=BA40),SUMIFS(Линии[_ток утечки линии, мА],Линии[_блок УЗО],BA40,Линии[Щит],A40),"")</f>
        <v/>
      </c>
      <c r="CZ40">
        <f t="shared" si="168"/>
        <v>0</v>
      </c>
      <c r="DA40">
        <f t="shared" si="169"/>
        <v>0</v>
      </c>
      <c r="DB40">
        <f>IF(B40="",0,IFERROR(--_xlfn.XLOOKUP(B40,Коды_код,Коды_минавт),IFERROR(--_xlfn.XLOOKUP(BC40,Коды_код,Коды_минавт),IFERROR(--_xlfn.XLOOKUP(LEFT(BC40,2),Коды_код,Коды_минавт),0))))</f>
        <v>0</v>
      </c>
      <c r="DC40" t="str">
        <f>IF(B40="","",IFERROR(_xlfn.XLOOKUP(BC40,Коды_код,Коды_апп)&amp;"",""))</f>
        <v/>
      </c>
      <c r="DD40" t="str">
        <f t="shared" si="170"/>
        <v/>
      </c>
      <c r="DE40" t="str" cm="1">
        <f t="array" ref="DE40">IF(TRIM(DD40&amp;"")="","",IFERROR(TRIM(INDEX(_xlfn.TEXTSPLIT(DD40&amp;";;;",";"),1)),""))</f>
        <v/>
      </c>
      <c r="DF40" t="str" cm="1">
        <f t="array" ref="DF40">IF(TRIM(DD40&amp;"")="","",IFERROR(TRIM(INDEX(_xlfn.TEXTSPLIT(DD40&amp;";;;",";"),2)),""))</f>
        <v/>
      </c>
      <c r="DG40" t="str" cm="1">
        <f t="array" ref="DG40">IF(TRIM(DD40&amp;"")="","",IFERROR(TRIM(INDEX(_xlfn.TEXTSPLIT(DD40&amp;";;;",";"),3)),""))</f>
        <v/>
      </c>
      <c r="DH40">
        <f t="shared" si="171"/>
        <v>0</v>
      </c>
      <c r="DI40" t="str">
        <f>IF(B40="","",_xlfn.LET(_xlpm.t,LOWER(AZ40&amp;""),IF(ISNUMBER(SEARCH("dim",_xlpm.t)),"DIM",IF(ISNUMBER(SEARCH("dali",_xlpm.t)),"DALI",IF(OR(ISNUMBER(SEARCH("relay",_xlpm.t)),ISNUMBER(SEARCH("реле",_xlpm.t))),"Relay",IF(ISNUMBER(SEARCH("кнопк",_xlpm.t)),"",IFERROR(_xlfn.XLOOKUP(BC40,Коды_код,Коды_упр)&amp;"","")))))))</f>
        <v/>
      </c>
      <c r="DJ40" t="str">
        <f t="shared" si="172"/>
        <v/>
      </c>
      <c r="DK40">
        <f>IF(B40="","",_xlfn.LET(_xlpm.ig,IF(N(CX40)&gt;0,N(CX40),N(CI40)+IF(AJ40="вручную",0,N(CJ40))),_xlpm.n0,IFERROR(VLOOKUP(_xlpm.ig,Автомат_номиналы,2,TRUE),0),_xlpm.mn,MAX(DB40,IF(AJ40="вручную",0,N(CM40))),MAX(_xlpm.n0,_xlpm.mn,IF(DH40=1,Мин_автомат_БП,0))))</f>
        <v>10</v>
      </c>
      <c r="DL40">
        <f t="shared" si="173"/>
        <v>1</v>
      </c>
      <c r="DM40" t="str">
        <f t="shared" si="174"/>
        <v>1P</v>
      </c>
      <c r="DN40" t="str">
        <f>_xlfn.LET(_xlpm.cc,UPPER(TRIM(IFERROR(_xlfn.XLOOKUP(BC40,Коды_код,Коды_хар)&amp;"",""))),IF(OR(_xlpm.cc="B",_xlpm.cc="В"),"B",IF(_xlpm.cc="D","D","С")))</f>
        <v>С</v>
      </c>
      <c r="DO40" t="str">
        <f t="shared" si="175"/>
        <v>1P С10А</v>
      </c>
      <c r="DP40" t="str">
        <f t="shared" si="176"/>
        <v>1P С10А</v>
      </c>
      <c r="DQ40" t="str">
        <f t="shared" si="177"/>
        <v>1P С10А</v>
      </c>
      <c r="DR40" cm="1">
        <f t="array" ref="DR40">IF(DQ40="","",_xlfn.LET(_xlpm.t,SUBSTITUTE(SUBSTITUTE(SUBSTITUTE(UPPER(DQ40),"С","C"),"А","A"),"В","B"),_xlpm.tk,_xlfn.TEXTSPLIT(_xlpm.t," "),_xlpm.f,_xlfn._xlws.FILTER(_xlpm.tk,ISNUMBER(--MID(_xlpm.tk,2,1))*ISNUMBER(SEARCH(LEFT(_xlpm.tk,1)&amp;"#","B#C#D#"))*(LEN(_xlpm.tk)&gt;1),""),_xlpm.x,INDEX(_xlpm.f,1),IFERROR(--SUBSTITUTE(MID(_xlpm.x,2,9),"A",""),IFERROR(--SUBSTITUTE(INDEX(_xlfn._xlws.FILTER(_xlpm.tk,ISNUMBER(--SUBSTITUTE(_xlpm.tk,"A","")),""),1),"A",""),""))))</f>
        <v>10</v>
      </c>
      <c r="DS40" t="str">
        <f t="shared" si="178"/>
        <v>ok</v>
      </c>
      <c r="DT40">
        <f t="shared" si="179"/>
        <v>10</v>
      </c>
      <c r="DU40" t="str">
        <f t="shared" si="180"/>
        <v>1P С10А</v>
      </c>
      <c r="DV40">
        <f t="shared" si="181"/>
        <v>0</v>
      </c>
      <c r="DW40">
        <f t="shared" si="182"/>
        <v>0</v>
      </c>
      <c r="DX40">
        <f t="shared" si="183"/>
        <v>0</v>
      </c>
      <c r="DY40">
        <f t="shared" si="184"/>
        <v>5.4696341291648753</v>
      </c>
      <c r="DZ40">
        <f t="shared" si="185"/>
        <v>1</v>
      </c>
      <c r="EA40">
        <f>IF(ISNUMBER(AP40),AP40,К_прокл)</f>
        <v>1</v>
      </c>
      <c r="EB40">
        <f t="shared" si="186"/>
        <v>2</v>
      </c>
      <c r="EC40">
        <f>IFERROR(N(VLOOKUP(BZ40,Кабель_обозначение,3,FALSE)),1)</f>
        <v>1</v>
      </c>
      <c r="ED40">
        <f>IFERROR(N(_xlfn.XLOOKUP(A40,Щиты[Щит],Щиты[ΔU до шин, %])),0)</f>
        <v>1.0560288498727977</v>
      </c>
      <c r="EE40">
        <f>IFERROR(_xlfn.XLOOKUP(A40,Щиты[Щит],Щиты[Zпетли на шинах, Ом]),"")</f>
        <v>0.28247829354840204</v>
      </c>
      <c r="EF40">
        <f>IFERROR(N(_xlfn.XLOOKUP(A40,Щиты[Щит],Щиты[ΔU до шин (подбор), %])),0)</f>
        <v>1.0560288498727977</v>
      </c>
      <c r="EG40">
        <f>IFERROR(_xlfn.XLOOKUP(A40,Щиты[Щит],Щиты[Zпетли на шинах (подбор), Ом]),"")</f>
        <v>0.28247829354840204</v>
      </c>
      <c r="EH40" t="str">
        <f t="shared" si="187"/>
        <v/>
      </c>
      <c r="EI40">
        <f t="shared" si="188"/>
        <v>18</v>
      </c>
      <c r="EJ40">
        <f t="shared" si="189"/>
        <v>2</v>
      </c>
      <c r="EK40">
        <f t="shared" si="190"/>
        <v>0.31</v>
      </c>
      <c r="EL40" s="6">
        <f>IF(B40="","",IF(BV40=1,dU_LED,IF(IFERROR(_xlfn.XLOOKUP(BC40,Коды_код,Коды_уго),"")="Светильник",3,4)+IF(Методика="нормы 2026",MIN(0.5,MAX(0,N(P40)-100)*0.005),0)))</f>
        <v>4</v>
      </c>
      <c r="EM40" cm="1">
        <f t="array" ref="EM40">IF(OR(B40="",BZ40="",EC40&lt;&gt;1),"",_xlfn.LET(_xlpm.sz,Iдоп_S,_xlpm.t_,CHOOSE(EB40,Iдоп_1ж,Iдоп_2ж,Iдоп_3ж)*DZ40*EA40,_xlpm.dcx,BV40=1,_xlpm.inn,IF(_xlpm.dcx,N(O40),N(DT40)),_xlpm.smin,MAX(1.5,CC40),_xlpm.L_,N(P40)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40)/N(BU40)*100,999),IFERROR(N(EJ40)*(_xlpm.rho*_xlpm.L_/_xlpm.sz*N(CE40)+_xlpm.xx*_xlpm.L_*N(EK40)/1000)*N(O40)/((Uн_лин/SQRT(3))*1000)*100,999)),_xlpm.kz,IF(OR(_xlpm.dcx,DW40=1,NOT(ISNUMBER(EG40)),_xlpm.L_=0,_xlpm.inn=0),1,IFERROR(--(c_min*(Uн_лин*1000/SQRT(3))/(EG40+2*ρкз_Cu*_xlpm.L_/_xlpm.sz)&gt;=HT40*_xlpm.inn),0)),_xlpm.ok,IFERROR((_xlpm.sz&gt;=_xlpm.smin)*(_xlpm.t_&gt;=_xlpm.inn)*IF(_xlpm.L_&gt;0,(_xlpm.du_+IF(_xlpm.dcx,0,EF40)&lt;=EL40+0.00001),1)*_xlpm.kz,0),_xlpm.r_,_xlfn._xlws.FILTER(_xlpm.sz,_xlpm.ok,"не подобрано"),INDEX(_xlpm.r_,1)))</f>
        <v>1.5</v>
      </c>
      <c r="EN40">
        <f t="shared" si="191"/>
        <v>1.5</v>
      </c>
      <c r="EO40" cm="1">
        <f t="array" ref="EO40">IF(OR(B40="",BZ40="",EC40&lt;&gt;1),"",_xlfn.LET(_xlpm.sz,Iдоп_S,_xlpm.t_,CHOOSE(EB40,Iдоп_1ж,Iдоп_2ж,Iдоп_3ж)*DZ40*EA40,_xlpm.ok,IFERROR((_xlpm.sz&gt;=MAX(1.5,CC40))*(_xlpm.t_&gt;=N(DT40)),0),_xlpm.r_,_xlfn._xlws.FILTER(_xlpm.sz,_xlpm.ok,""),INDEX(_xlpm.r_,1)))</f>
        <v>1.5</v>
      </c>
      <c r="EP40" s="6" cm="1">
        <f t="array" ref="EP40">IFERROR(ROUNDUP(N(EJ40)*(_xlfn.XLOOKUP(EO40,INDEX(Кабель_сопротивление,0,1),INDEX(Кабель_сопротивление,0,3))*N(P40)/EO40*N(CE40)+_xlfn.XLOOKUP(EO40,INDEX(Кабель_сопротивление,0,1),INDEX(Кабель_сопротивление,0,2))*N(P40)*N(EK40)/1000)*N(O40)/((Uн_лин/SQRT(3))*1000)*100,2),"")</f>
        <v>1.29</v>
      </c>
      <c r="EQ40">
        <f>IFERROR(2*ρкз_Cu*N(P40)/EO40,"")</f>
        <v>0.66626666666666667</v>
      </c>
      <c r="ER40">
        <f>IFERROR(VLOOKUP(EN40,Кабель_сопротивление,3,FALSE),"")</f>
        <v>2.2499999999999999E-2</v>
      </c>
      <c r="ES40">
        <f>IFERROR(VLOOKUP(EN40,Кабель_сопротивление,2,FALSE),"")</f>
        <v>0.11</v>
      </c>
      <c r="ET40" t="str">
        <f t="shared" si="192"/>
        <v/>
      </c>
      <c r="EU40" t="str">
        <f t="shared" si="193"/>
        <v/>
      </c>
      <c r="EV40">
        <f t="shared" si="194"/>
        <v>2.9688944328473514</v>
      </c>
      <c r="EW40" s="6">
        <f>IFERROR(ROUNDUP(EV40/IF(BV40=1,BU40,(Uн_лин/SQRT(3))*1000)*100,2),"")</f>
        <v>1.29</v>
      </c>
      <c r="EX40" t="str">
        <f>IFERROR(VLOOKUP(BZ40,Кабель_обозначение,2,FALSE),"")</f>
        <v>ВВГнг(А)-LS</v>
      </c>
      <c r="EY40" t="str">
        <f t="shared" si="195"/>
        <v>ВВГнг(А)-LS (3х1,5)</v>
      </c>
      <c r="EZ40" t="str">
        <f t="shared" si="196"/>
        <v>ВВГнг(А)-LS (3х1,5)
L=19-1,29%</v>
      </c>
      <c r="FA40">
        <f>IFERROR(2*ρкз_Cu*P40/EN40,"")</f>
        <v>0.66626666666666667</v>
      </c>
      <c r="FB40">
        <f t="shared" si="197"/>
        <v>0.22166666666666668</v>
      </c>
      <c r="FC40" s="6">
        <f>IFERROR(IF(OR(B40="",BV40=1,NOT(ISNUMBER(EN40)),N(P40)=0),"",_xlfn.XLOOKUP(A40,Щиты[Щит],Щиты[Zпетли на шинах, Ом])+FA40),"")</f>
        <v>0.94874496021506871</v>
      </c>
      <c r="FD40" s="6">
        <f>IF(ISNUMBER(FC40),c_min*(Uн_лин*1000/SQRT(3))/FC40,"")</f>
        <v>231.24560497514958</v>
      </c>
      <c r="FE40" s="6">
        <f>IFERROR(IF(OR(B40="",NOT(ISNUMBER(EN40))),"",1.05*(Uн_лин*1000/SQRT(3))/(_xlfn.XLOOKUP(A40,Щиты[Щит],Щиты[Zmax на шинах, Ом])+FB40)/1000),"")</f>
        <v>0.79042624992208788</v>
      </c>
      <c r="FF40" s="6" t="str">
        <f>IF(B40="","",IF(ISNUMBER(AC40),"Сил",IF(IFERROR(_xlfn.XLOOKUP(BC40,Коды_код,Коды_группа)&amp;"","")="","Быт",_xlfn.XLOOKUP(BC40,Коды_код,Коды_группа)&amp;"")))</f>
        <v>Быт</v>
      </c>
      <c r="FG40" s="6" t="str">
        <f t="shared" si="198"/>
        <v>Быт</v>
      </c>
      <c r="FH40" s="6">
        <f>IF(FG40="Щит","щит",IF(FG40="","",IF(FG40="Быт",IFERROR(_xlfn.XLOOKUP(A40,Щиты[Щит],Щиты[Кс быт]),1),IF(FG40="Сил",IF(ISNUMBER(AC40),AC40,IF(Методика="нормы 2026",IFERROR(_xlfn.XLOOKUP(A40,Щиты[Щит],Щиты[Кс силовых (табл. 7.5)]),1),1)),IF(OR(FG40="Пост",FG40="Отоп"),1,IF(FG40="ВНГ",0.7,0))))))</f>
        <v>0.8</v>
      </c>
      <c r="FI40">
        <f>IF(FG40="","",IF(AND(BP40=1,TRIM(AE40&amp;"")=""),IF(COUNTIFS(Линии[Щит],A40,Линии[Секция (1/2/3)],"&gt;=2")&gt;0,MIN(3,MAX(1,IFERROR(--BD40,1))),1),IFERROR(MIN(3,MAX(1,INT(--AE40))),1)))</f>
        <v>1</v>
      </c>
      <c r="FJ40">
        <f t="shared" si="199"/>
        <v>1.2</v>
      </c>
      <c r="FK40">
        <f t="shared" si="200"/>
        <v>1.2</v>
      </c>
      <c r="FL40">
        <f t="shared" si="201"/>
        <v>0</v>
      </c>
      <c r="FM40">
        <f t="shared" si="202"/>
        <v>0</v>
      </c>
      <c r="FN40">
        <f t="shared" si="203"/>
        <v>0</v>
      </c>
      <c r="FO40">
        <f t="shared" si="204"/>
        <v>0</v>
      </c>
      <c r="FP40">
        <f t="shared" si="205"/>
        <v>1.2</v>
      </c>
      <c r="FQ40">
        <f t="shared" si="206"/>
        <v>1.2</v>
      </c>
      <c r="FR40">
        <f t="shared" si="207"/>
        <v>1.1399999999999999</v>
      </c>
      <c r="FS40">
        <f>IF(CG40=1,IF(AND(CH40=1,CW40=1),0,IF(AND(CS40&lt;&gt;"",CS40=BA40,CW40=1),SUMIFS(Линии[_Р линии, кВт],Линии[_блок УЗО],BA40,Линии[Щит],A40),N(BS40)+IF(AJ40="вручную",0,N(CK40)))),0)</f>
        <v>1.2</v>
      </c>
      <c r="FT40" t="str">
        <f t="shared" si="208"/>
        <v/>
      </c>
      <c r="FU40" t="str">
        <f>IF(B40="","",IF(CG40=0,IF(BA40=1,"",FW39),IF(AND(CH40=1,CW40=1,CS40&lt;&gt;""),IFERROR(_xlfn.XLOOKUP(CS40,Линии[_n],Линии[_фаза итог]),"L1"),IF(OR(N(DL40)&gt;=3,N(BX40)&gt;=3),"L1,L2,L3",IFERROR(_xlfn.TEXTBEFORE(_xlfn.TEXTAFTER(_xlfn.XLOOKUP(A40,Щиты[Щит],Щиты[_фазы авто]),";"&amp;BA40&amp;":"),";"),"L1")))))</f>
        <v>L3</v>
      </c>
      <c r="FV40" t="str">
        <f t="shared" si="209"/>
        <v>L3</v>
      </c>
      <c r="FW40" t="str">
        <f t="shared" si="210"/>
        <v>L3</v>
      </c>
      <c r="FX40" cm="1">
        <f t="array" ref="FX40">IFERROR(IF(CD40=2,_xlfn.IFS(BX40=3,VLOOKUP(BS40,Справочная_двигатели,3,FALSE),BX40=1,VLOOKUP(BS40,Справочная_двигатели,5,TRUE)),0),0)</f>
        <v>0</v>
      </c>
      <c r="FY40">
        <f>IFERROR(IF(CD40=3,VLOOKUP(BS40,Справочная_ЛЭД,2,TRUE),0),0)</f>
        <v>0</v>
      </c>
      <c r="FZ40" s="6">
        <f t="shared" si="211"/>
        <v>0</v>
      </c>
      <c r="GA40" t="str">
        <f>IF(B40="","",IF(TRIM(AH40&amp;"")&lt;&gt;"",IF(LOWER(TRIM(AH40&amp;""))="да","да","нет"),IF(IFERROR(_xlfn.XLOOKUP(BC40,Коды_код,Коды_пожарная),"")="да","да","нет")))</f>
        <v>нет</v>
      </c>
      <c r="GB40" t="str">
        <f t="shared" si="212"/>
        <v/>
      </c>
      <c r="GC40" t="str">
        <f t="shared" si="213"/>
        <v>основная</v>
      </c>
      <c r="GD40">
        <f>IF(AND(BP40=1,TRIM(AE40&amp;"")=""),IF(COUNTIFS(Линии[Щит],A40,Линии[Секция (1/2/3)],"&gt;=2")&gt;0,MIN(3,MAX(1,IFERROR(--BD40,1))),1),IFERROR(MIN(3,MAX(1,INT(--AE40))),1))</f>
        <v>1</v>
      </c>
      <c r="GE40" t="str" cm="1">
        <f t="array" ref="GE40">IF(B40="","",_xlfn.LET(_xlpm.t,IFERROR(_xlfn.XLOOKUP(1,(Шины[Шина]=GC40)*(((Шины[Щит]=A40)+(Шины[Щит]=""))&gt;0),Шины[Тип]),"")&amp;"",IF(_xlpm.t&lt;&gt;"",_xlpm.t,IF(ISNUMBER(SEARCH("ИБП",GC40)),"ИБП",IF(ISNUMBER(SEARCH("ДГУ",GC40)),"ДГУ","Ввод "&amp;GD40)))))</f>
        <v>Ввод 1</v>
      </c>
      <c r="GF40" t="str">
        <f t="shared" si="214"/>
        <v>Ввод 1</v>
      </c>
      <c r="GG40" t="str">
        <f>IF(BP40=0,"",IF(TRIM(AG40&amp;"")&lt;&gt;"",TRIM(AG40&amp;""),IF(OR(GE40="ИБП",GE40="ДГУ"),"I особая",_xlfn.XLOOKUP(A40,Щиты[Щит],Щиты[Категория шины «Ввод»],"III"))))</f>
        <v/>
      </c>
      <c r="GH40" t="str">
        <f>IF(A40="","",_xlfn.XLOOKUP(A40,Щиты[Щит],Щиты[Путь],""))</f>
        <v>|ВРУ|ЩР-1|</v>
      </c>
      <c r="GI40" t="str">
        <f>IF(B40="","",IF(AI40&lt;&gt;"",AI40,IF(IFERROR(_xlfn.XLOOKUP(BC40,Коды_код,Коды_вид)&amp;"","")="","Прочее",_xlfn.XLOOKUP(BC40,Коды_код,Коды_вид)&amp;"")))</f>
        <v>Кондиционирование и увлажнение</v>
      </c>
      <c r="GJ40">
        <f>IF(BM40="","",INT((BM40-1)/Столбцов_на_лист)+1)</f>
        <v>1</v>
      </c>
      <c r="GK40" t="str">
        <f t="shared" si="215"/>
        <v>ВВГнг(А)-LS (3х1,5) L=19-1,29%</v>
      </c>
      <c r="GL40">
        <f t="shared" si="216"/>
        <v>1.2</v>
      </c>
      <c r="GM40">
        <f t="shared" si="217"/>
        <v>5.47</v>
      </c>
      <c r="GN40">
        <f t="shared" si="218"/>
        <v>1</v>
      </c>
      <c r="GO40">
        <f t="shared" si="219"/>
        <v>0</v>
      </c>
      <c r="GP40">
        <f t="shared" si="220"/>
        <v>1</v>
      </c>
      <c r="GQ40">
        <f>IF(BM40="","",IF(AND(CG40=1,GP40=1),COUNTIFS(A$3:A40,A40,CG$3:CG40,1,GP$3:GP40,1),IF(OR(OR(BA40=1,A40&lt;&gt;A39),AJ40="вручную",GP40=0),"",IF(BA40=1,"",GR39))))</f>
        <v>8</v>
      </c>
      <c r="GR40">
        <f t="shared" si="221"/>
        <v>8</v>
      </c>
      <c r="GS40">
        <f>IF(B40="","",IFERROR(LOOKUP(INDEX(CHOOSE(EB40,Iдоп_1ж,Iдоп_2ж,Iдоп_3ж),MATCH(EN40,Iдоп_S,0))*DZ40*EA40,{6,10,16,20,25,32,40,50,63,80,100,125,160,200,250,315,400,500,630}),""))</f>
        <v>16</v>
      </c>
      <c r="GT40" t="str">
        <f t="shared" si="222"/>
        <v>QF8</v>
      </c>
      <c r="GU40" t="str">
        <f t="shared" si="223"/>
        <v>QF8</v>
      </c>
      <c r="GV40" t="str">
        <f t="shared" si="224"/>
        <v/>
      </c>
      <c r="GW40">
        <f t="shared" si="225"/>
        <v>0</v>
      </c>
      <c r="GX40" t="str">
        <f>IF(OR(B40="",DJ40=""),"",IFERROR(_xlfn.XLOOKUP(DJ40,Модули_умолч[Управление],Модули_умолч[Модель])&amp;"",""))</f>
        <v/>
      </c>
      <c r="GY40">
        <f>IF(DJ40="",1,IFERROR(MAX(0,N(_xlfn.XLOOKUP(DJ40,Модули_умолч[Управление],Модули_умолч[Каналов на линию]))),1))</f>
        <v>1</v>
      </c>
      <c r="GZ40" t="str">
        <f t="shared" si="226"/>
        <v/>
      </c>
      <c r="HA40" t="str">
        <f t="shared" si="227"/>
        <v/>
      </c>
      <c r="HB40" t="str">
        <f t="shared" si="228"/>
        <v/>
      </c>
      <c r="HC40">
        <f>IF(HB40="",0,IFERROR(N(VLOOKUP(HB40,Модули_спр,3,FALSE)),0))</f>
        <v>0</v>
      </c>
      <c r="HD40" t="str">
        <f t="shared" si="229"/>
        <v/>
      </c>
      <c r="HE40" t="str">
        <f t="shared" si="230"/>
        <v/>
      </c>
      <c r="HF40" t="str">
        <f>IF(OR(HE40="",HE40="-"),"",IFERROR(VLOOKUP(HE40,Модули_спр,2,FALSE),"R"))</f>
        <v/>
      </c>
      <c r="HG40" t="str">
        <f>IF(HF40="","",HF40&amp;"."&amp;COUNTIFS(A$3:A40,A40,HF$3:HF40,HF40))</f>
        <v/>
      </c>
      <c r="HH40" t="str">
        <f t="shared" si="231"/>
        <v/>
      </c>
      <c r="HI40" t="str">
        <f t="shared" si="232"/>
        <v/>
      </c>
      <c r="HJ40" t="str">
        <f t="shared" si="233"/>
        <v/>
      </c>
      <c r="HK40" t="str">
        <f t="shared" si="234"/>
        <v/>
      </c>
      <c r="HL40">
        <f t="shared" si="235"/>
        <v>1</v>
      </c>
      <c r="HM40" t="str">
        <f>IF(HL40=1,"XT"&amp;COUNTIFS(A$3:A40,A40,HL$3:HL40,1),"")</f>
        <v>XT13</v>
      </c>
      <c r="HN40" t="str">
        <f t="shared" si="236"/>
        <v>XT13</v>
      </c>
      <c r="HO40" t="str">
        <f t="shared" si="237"/>
        <v>QF8</v>
      </c>
      <c r="HP40" t="str">
        <f t="shared" si="238"/>
        <v/>
      </c>
      <c r="HQ40" t="str">
        <f t="shared" si="239"/>
        <v>ok</v>
      </c>
      <c r="HR40" t="str">
        <f>IF(OR(HJ40="",HH40=""),"",IF(HJ40+MAX(0,GY40-1)&gt;IFERROR(VLOOKUP(HI40,Модули_спр,3,FALSE),99),"ЛИШНИЙ КАНАЛ",IF(AND(AL40&lt;&gt;"=",GY40&gt;0,COUNTIFS(Линии[_модуль гр.],HH40,Линии[Канал (итог)],HJ40,Линии[Канал],"&lt;&gt;=",Линии[Щит],A40)&gt;1),"ДУБЛЬ КАНАЛА","")))</f>
        <v/>
      </c>
      <c r="HS40" s="6">
        <f t="shared" si="240"/>
        <v>23.124560497514956</v>
      </c>
      <c r="HT40">
        <f t="shared" si="241"/>
        <v>10</v>
      </c>
      <c r="HU40" t="str">
        <f t="shared" si="242"/>
        <v>ok</v>
      </c>
      <c r="HV40">
        <f t="shared" si="243"/>
        <v>2.3778536516659501</v>
      </c>
      <c r="HW40">
        <f t="shared" si="244"/>
        <v>0</v>
      </c>
      <c r="HX40">
        <f t="shared" si="245"/>
        <v>0</v>
      </c>
      <c r="HY40">
        <f t="shared" si="246"/>
        <v>0</v>
      </c>
      <c r="HZ40">
        <f t="shared" si="247"/>
        <v>0</v>
      </c>
      <c r="IA40">
        <f t="shared" si="248"/>
        <v>0</v>
      </c>
      <c r="IB40">
        <f t="shared" si="249"/>
        <v>0</v>
      </c>
      <c r="IC40" t="str">
        <f t="shared" si="250"/>
        <v/>
      </c>
      <c r="ID40" t="str" cm="1">
        <f t="array" ref="ID40">IF(IC40="","",_xlfn.LET(_xlpm.tk,_xlfn.TEXTSPLIT(SUBSTITUTE(SUBSTITUTE(IC40,";"," "),"→"," ")," ",,TRUE),_xlpm.w_,_xlfn._xlws.FILTER(_xlpm.tk,ISNUMBER(--LEFT(_xlpm.tk,1))*((ISNUMBER(SEARCH("W",_xlpm.tk))+ISNUMBER(SEARCH("Вт",_xlpm.tk)))&gt;0),""),IFERROR(--SUBSTITUTE(SUBSTITUTE(UPPER(INDEX(_xlpm.w_,1)),"W",""),"ВТ",""),"")))</f>
        <v/>
      </c>
      <c r="IE40" t="str" cm="1">
        <f t="array" ref="IE40">IF(IC40="","",_xlfn.LET(_xlpm.tk,_xlfn.TEXTSPLIT(SUBSTITUTE(SUBSTITUTE(IC40,";"," "),"→"," ")," ",,TRUE),_xlpm.v_,_xlfn._xlws.FILTER(_xlpm.tk,ISNUMBER(--LEFT(_xlpm.tk,1))*((ISNUMBER(SEARCH("V",_xlpm.tk))+(RIGHT(UPPER(_xlpm.tk))="В"))&gt;0),""),IFERROR(--SUBSTITUTE(SUBSTITUTE(UPPER(INDEX(_xlpm.v_,1)),"V",""),"В",""),"")))</f>
        <v/>
      </c>
      <c r="IF40" s="6" t="str">
        <f>IF(OR(BV40=0,HI40="",HJ40=""),"",IFERROR(N(_xlfn.XLOOKUP(HI40,Каталог!$C$4:$C$500,Каталог!$Q$4:$Q$500)),""))</f>
        <v/>
      </c>
      <c r="IG40" s="6" t="str">
        <f>IF(N(IF40)=0,"",SUMIFS(Линии[Iр, А],Линии[Щит],A40,Линии[_модуль гр.],HH40,Линии[Канал (итог)],HJ40))</f>
        <v/>
      </c>
      <c r="IH40" t="str">
        <f>IF(AND(B40="",HO40=""),"",_xlfn.TEXTJOIN("; ",TRUE,IF(AND(B40&lt;&gt;"",FV40=""),"нет фазы",""),IF(AND(B40&lt;&gt;"",N(GL40)=0,FG40&lt;&gt;"Нет"),"нет мощности",""),IF(AND(HN40&lt;&gt;"",COUNTIFS(Линии[Щит],A40,Линии[Клемма (итог)],HN40)&gt;1),"дубль клеммы "&amp;HN40,""),IF(AND(HQ40&lt;&gt;"",HQ40&lt;&gt;"ok"),HQ40,""),IF(HR40&lt;&gt;"",HR40,""),IF(AND(N(CB40)&gt;=4,N(BX40)=1),CB40&amp;" жил на 1 фазе",""),IF(AND(BC40="R",CG40=1,IF(CS40&lt;&gt;"",N(CV40)&gt;30,OR(N(DA40)=0,N(DA40)&gt;30))),"розетка без дифзащиты до 30 мА",""),IF(AND(CG40=1,N(DA40)&gt;0,ISNUMBER(T40)),IF(T40&gt;N(DA40)/3,"ток утечки "&amp;FIXED(T40,1)&amp;" мА &gt; 1/3 уставки ("&amp;DA40&amp;" мА)",""),""),IF(AND(CH40=1,CS40=""),"«узо»: нет строки с УЗО выше (УЗО 2P 40А 30мА в «Аппаратах»)",""),IF(AND(CS40&lt;&gt;"",CS40=BA40),IF(CT40="","впишите номинал УЗО (УЗО 2P 40А 30мА)",IF(N(CT40)&lt;N(DT40),"УЗО "&amp;CT40&amp;" А &lt; автомата "&amp;DT40&amp;" А перед ним",IF(N(CT40)&lt;N(CX40),"УЗО "&amp;CT40&amp;" А &lt; тока блока "&amp;FIXED(CX40,1)&amp;" А",""))),""),IF(AND(CS40&lt;&gt;"",CS40=BA40,ISNUMBER(CY40)),IF(CY40&gt;N(CV40)/3,"ток утечки блока УЗО "&amp;FIXED(CY40,1)&amp;" мА &gt; 1/3 уставки ("&amp;CV40&amp;" мА)",""),""),IF(AND(CG40=1,N(BV40)+N(IB40)&gt;0,IC40=""),"линии до 50 В без БП: впишите в «Аппараты» (БП 24V 480W)",""),IF(AND(CG40=1,ISNUMBER(ID40),ISNUMBER(U40)),IF(U40&gt;ID40,"БП "&amp;ID40&amp;" Вт &lt; нужно "&amp;U40&amp;" Вт (×"&amp;Запас_БП&amp;")",""),""),IF(AND(CG40=1,ISNUMBER(IE40),N(BV40)=1),IF(IE40&lt;&gt;N(BU40),"БП на "&amp;IE40&amp;" В, линия "&amp;BU40&amp;" В",""),""),IF(AND(N(IF40)&gt;0,N(IG40)&gt;N(IF40)),HH40&amp;" канал "&amp;HJ40&amp;": "&amp;FIXED(IG40,1)&amp;" А &gt; "&amp;IF40&amp;" А",""),IFERROR(IF(AND(ISNUMBER(Q40),Q40&gt;EL40),"потери "&amp;FIXED(Q40,1)&amp;" % &gt; "&amp;EL40&amp;" %",""),""),IFERROR(IF(LEFT(HU40,4)="мало","Iкз мало — отключение &gt; 0,4 с",""),""),IF(AND(B40&lt;&gt;"",BM40=""),"не на схеме",""),IF(AND(CG40=0,B40&lt;&gt;"",FV40&lt;&gt;"",IF(BA40=1,"",FW39)&lt;&gt;"",FV40&lt;&gt;IF(BA40=1,"",FW39)),"фаза не как у автомата группы ("&amp;IF(BA40=1,"",FW39)&amp;")","")))</f>
        <v/>
      </c>
      <c r="II40" s="6">
        <f>IF(OR(CG40=0,DQ40=""),"",_xlfn.LET(_xlpm.t,IFERROR(_xlfn.XLOOKUP(DQ40,Каталог!$U$4:$U$500,Каталог!$G$4:$G$500),""),_xlpm.k,SEARCH("кА",_xlpm.t),IFERROR(--TRIM(RIGHT(SUBSTITUTE(MID(_xlpm.t,MAX(1,_xlpm.k-4),_xlpm.k-MAX(1,_xlpm.k-4))," ",REPT(" ",9)),5)),"")))</f>
        <v>6</v>
      </c>
      <c r="IJ40" t="str">
        <f>IF(OR(II40="",CG40=0),"",IF(_xlfn.XLOOKUP(A40,Щиты[Щит],Щиты[Iкз max на шинах, кА],"")="","",IF(II40&lt;_xlfn.XLOOKUP(A40,Щиты[Щит],Щиты[Iкз max на шинах, кА]),"Icu "&amp;II40&amp;" кА &lt; Iкз max","ok")))</f>
        <v>ok</v>
      </c>
      <c r="IK40" t="str">
        <f t="shared" si="251"/>
        <v/>
      </c>
      <c r="IL40" t="str">
        <f t="shared" si="252"/>
        <v>QF8|XT13</v>
      </c>
      <c r="IM40" t="str">
        <f t="shared" si="253"/>
        <v>QF8|XT13|кабель ВВГнг(А)-LS (3х1,5) → Кондиционер (cos φ вручную)</v>
      </c>
      <c r="IN40" t="str" cm="1">
        <f t="array" ref="IN40">IF(IM40="","",_xlfn.LET(_xlpm.nd,_xlfn.TEXTSPLIT(IM40,"|"),IF(COLUMNS(_xlpm.nd)&gt;1,A40&amp;"¦"&amp;INDEX(_xlpm.nd,1)&amp;"¦"&amp;INDEX(_xlpm.nd,2),"")))</f>
        <v>ЩР-1¦QF8¦XT13</v>
      </c>
      <c r="IO40" t="str">
        <f t="shared" si="254"/>
        <v>K.1.01.1¦Кондиционер (cos φ вручную)</v>
      </c>
      <c r="IP40" t="str" cm="1">
        <f t="array" ref="IP40">IF(IM40="","",_xlfn.LET(_xlpm.nd,_xlfn.TEXTSPLIT(IM40,"|"),IF(COLUMNS(_xlpm.nd)&gt;2,A40&amp;"¦"&amp;INDEX(_xlpm.nd,2)&amp;"¦"&amp;INDEX(_xlpm.nd,3),"")))</f>
        <v>ЩР-1¦XT13¦кабель ВВГнг(А)-LS (3х1,5) → Кондиционер (cos φ вручную)</v>
      </c>
      <c r="IQ40" t="str">
        <f t="shared" si="255"/>
        <v>K.1.01.1¦Кондиционер (cos φ вручную)</v>
      </c>
      <c r="IR40" t="str" cm="1">
        <f t="array" ref="IR40">IF(IM40="","",_xlfn.LET(_xlpm.nd,_xlfn.TEXTSPLIT(IM40,"|"),IF(COLUMNS(_xlpm.nd)&gt;3,A40&amp;"¦"&amp;INDEX(_xlpm.nd,3)&amp;"¦"&amp;INDEX(_xlpm.nd,4),"")))</f>
        <v/>
      </c>
      <c r="IS40" t="str">
        <f t="shared" si="256"/>
        <v/>
      </c>
      <c r="IT40" t="str" cm="1">
        <f t="array" ref="IT40">IF(IM40="","",_xlfn.LET(_xlpm.nd,_xlfn.TEXTSPLIT(IM40,"|"),IF(COLUMNS(_xlpm.nd)&gt;4,A40&amp;"¦"&amp;INDEX(_xlpm.nd,4)&amp;"¦"&amp;INDEX(_xlpm.nd,5),"")))</f>
        <v/>
      </c>
      <c r="IU40" t="str">
        <f t="shared" si="257"/>
        <v/>
      </c>
      <c r="IV40" t="str" cm="1">
        <f t="array" ref="IV40">IF(IM40="","",_xlfn.LET(_xlpm.nd,_xlfn.TEXTSPLIT(IM40,"|"),IF(COLUMNS(_xlpm.nd)&gt;5,A40&amp;"¦"&amp;INDEX(_xlpm.nd,5)&amp;"¦"&amp;INDEX(_xlpm.nd,6),"")))</f>
        <v/>
      </c>
      <c r="IW40" t="str">
        <f t="shared" si="258"/>
        <v/>
      </c>
      <c r="IX40" t="str" cm="1">
        <f t="array" ref="IX40">IF(IM40="","",_xlfn.LET(_xlpm.nd,_xlfn.TEXTSPLIT(IM40,"|"),IF(COLUMNS(_xlpm.nd)&gt;6,A40&amp;"¦"&amp;INDEX(_xlpm.nd,6)&amp;"¦"&amp;INDEX(_xlpm.nd,7),"")))</f>
        <v/>
      </c>
      <c r="IY40" t="str">
        <f t="shared" si="259"/>
        <v/>
      </c>
      <c r="IZ40" t="str">
        <f t="shared" si="260"/>
        <v/>
      </c>
      <c r="JA40" t="str">
        <f t="shared" si="261"/>
        <v>QF8 → XT13</v>
      </c>
      <c r="JB40">
        <f t="shared" si="262"/>
        <v>0</v>
      </c>
      <c r="JC40">
        <f t="shared" si="263"/>
        <v>0</v>
      </c>
      <c r="JD40" t="str">
        <f t="shared" si="264"/>
        <v/>
      </c>
      <c r="JE40" t="str">
        <f t="shared" si="265"/>
        <v/>
      </c>
      <c r="JF40" t="str">
        <f t="shared" si="266"/>
        <v/>
      </c>
      <c r="JG40" t="str">
        <f t="shared" si="267"/>
        <v/>
      </c>
      <c r="JH40" t="str">
        <f>IF(B40="","",IFERROR(_xlfn.XLOOKUP(B40,Коды_код,Коды_уго),IFERROR(_xlfn.XLOOKUP(BC40,Коды_код,Коды_уго),IFERROR(_xlfn.XLOOKUP(LEFT(BC40,2),Коды_код,Коды_уго),""))))</f>
        <v>Привод (двигатель)</v>
      </c>
      <c r="JI40" t="str">
        <f>IF(B40="","",IF(OR(JH40="",JH40=0),"BOX",IFERROR(IF(VLOOKUP(JH40,УГО_блоки,3,FALSE)&amp;""&lt;&gt;"",VLOOKUP(JH40,УГО_блоки,3,FALSE),VLOOKUP(JH40,УГО_блоки,2,FALSE)),JH40)))</f>
        <v>MOTOR</v>
      </c>
      <c r="JJ40">
        <f t="shared" si="268"/>
        <v>1</v>
      </c>
      <c r="JK40" t="str">
        <f>IF(DQ40="","",IF(COUNTIF(DQ$3:DQ40,DQ40)=1,MAX(JK$2:JK39)+1,""))</f>
        <v/>
      </c>
      <c r="JL40" t="str">
        <f>IF(DE40="","",IF(COUNTIF(DE$3:DE40,DE40)+COUNTIF(DF$2:DF39,DE40)+COUNTIF(DG$2:DG39,DE40)=1,MAX(JL$2:JN39)+1,""))</f>
        <v/>
      </c>
      <c r="JM40" t="str">
        <f>IF(DF40="","",IF(COUNTIF(DE$3:DE40,DF40)+COUNTIF(DF$3:DF40,DF40)+COUNTIF(DG$2:DG39,DF40)=1,MAX(JL$2:JN39,JL40)+1,""))</f>
        <v/>
      </c>
      <c r="JN40" t="str">
        <f>IF(DG40="","",IF(COUNTIF(DE$3:DE40,DG40)+COUNTIF(DF$3:DF40,DG40)+COUNTIF(DG$3:DG40,DG40)=1,MAX(JL$2:JN39,JL40,JM40)+1,""))</f>
        <v/>
      </c>
      <c r="JO40" t="str">
        <f t="shared" si="269"/>
        <v>3х1,5</v>
      </c>
      <c r="JP40" t="str">
        <f>IF(JO40="","",IF(COUNTIF(JO$3:JO40,JO40)=1,MAX(JP$2:JP39)+1,""))</f>
        <v/>
      </c>
      <c r="JQ40" t="str">
        <f>IF(HG40="","",COUNTIF(HG$3:HG40,"?*"))</f>
        <v/>
      </c>
      <c r="JR40" t="str">
        <f>IF(OR(HG40="",HI40=""),"",IF(COUNTIFS(HG$3:HG40,"?*",HI$3:HI40,HI40)=1,MAX(JR$2:JR39)+1,""))</f>
        <v/>
      </c>
      <c r="JS40">
        <f t="shared" si="270"/>
        <v>0</v>
      </c>
      <c r="JT40">
        <f>IF(B40="","",COUNTIF(B$3:B40,"?*"))</f>
        <v>36</v>
      </c>
      <c r="JU40">
        <f>IF(HL40&lt;&gt;1,0,_xlfn.LET(_xlpm.k,MAX(IFERROR(--_xlfn.XLOOKUP(B40,Коды_код,Коды_3L),0),IFERROR(--_xlfn.XLOOKUP(BC40,Коды_код,Коды_3L),0),IFERROR(--_xlfn.XLOOKUP(LEFT(BC40,2),Коды_код,Коды_3L),0)),IF(_xlpm.k&gt;0,_xlpm.k,IF(IFERROR(--LEFT(SUBSTITUTE(JO40,"x","х"),FIND("х",SUBSTITUTE(JO40,"x","х"))-1),3)&gt;3,Каталог!$S$9,1))))</f>
        <v>1</v>
      </c>
      <c r="JV40">
        <f t="shared" si="271"/>
        <v>0</v>
      </c>
      <c r="JW40" t="str">
        <f t="shared" si="272"/>
        <v>авто</v>
      </c>
      <c r="JX40" t="str">
        <f t="shared" si="273"/>
        <v/>
      </c>
      <c r="JY40">
        <f t="shared" si="274"/>
        <v>0</v>
      </c>
      <c r="JZ40">
        <f t="shared" si="275"/>
        <v>1</v>
      </c>
    </row>
    <row r="41" spans="1:286" x14ac:dyDescent="0.3">
      <c r="A41" t="s">
        <v>947</v>
      </c>
      <c r="B41" t="s">
        <v>1220</v>
      </c>
      <c r="C41" t="str">
        <f>Линии[[#This Row],[_авто наименование]]</f>
        <v>Коробка уравнивания потенциалов, пом. 01</v>
      </c>
      <c r="E41" t="str">
        <f>Линии[[#This Row],[_авто Р]]</f>
        <v/>
      </c>
      <c r="G41" t="str">
        <f>Линии[[#This Row],[_авто автомат]]</f>
        <v>1P С6А</v>
      </c>
      <c r="H41" t="str">
        <f>Линии[[#This Row],[_авто управление]]</f>
        <v/>
      </c>
      <c r="I41" t="str">
        <f>Линии[[#This Row],[_авто аппараты]]</f>
        <v/>
      </c>
      <c r="J41">
        <v>4</v>
      </c>
      <c r="K41">
        <v>6</v>
      </c>
      <c r="L41" t="str">
        <f>Линии[[#This Row],[_авто фаза]]</f>
        <v>L1</v>
      </c>
      <c r="M41" t="str">
        <f>Линии[[#This Row],[_авто клемма]]</f>
        <v/>
      </c>
      <c r="N41" t="str">
        <f t="shared" si="138"/>
        <v/>
      </c>
      <c r="O41" s="6" cm="1">
        <f t="array" ref="O41">IF(B41="","",IF(BH41&lt;&gt;"",IFERROR(_xlfn.XLOOKUP(BH41,Щиты[Щит],Щиты[Iр, А]),""),IF(BP41=1,IF(OR(N(_xlfn.XLOOKUP(A41,Щиты[Щит],Щиты[Вводов],1))&lt;=1,LOWER(TRIM(_xlfn.XLOOKUP(A41,Щиты[Щит],Щиты[АВР],"")&amp;""))="да"),IFERROR(_xlfn.XLOOKUP(A41,Щиты[Щит],Щиты[Iр, А]),""),IFERROR(N(BS41)*_xlfn.XLOOKUP(A41,Щиты[Щит],Щиты[Кс итог])/(SQRT(3)*Uн_лин*_xlfn.XLOOKUP(A41,Щиты[Щит],Щиты[cos φ])),"")),IF(BV41=1,IFERROR(BS41*1000/BU41,""),IFERROR(_xlfn.IFS(BX41=1,BS41/((Uн_лин/SQRT(3))*CE41),BX41=3,BS41/(SQRT(3)*Uн_лин*CE41)),"")))))</f>
        <v>0</v>
      </c>
      <c r="P41" s="7">
        <f>IF(B41="","",IFERROR(IF(VLOOKUP(BC41,Потребители_обозначение,4,FALSE)=1,VLOOKUP(BC41,Потребители_обозначение,3,FALSE)*(MAX(1,N(D41))*2-1)+EI41+VLOOKUP(BE41,Этаж_обозначение,3,FALSE)+VLOOKUP(BE41,Этаж_обозначение,4,FALSE),VLOOKUP(BC41,Потребители_обозначение,3,FALSE)*(MAX(1,N(D41))*2-1)+EI41),EI41))</f>
        <v>7</v>
      </c>
      <c r="Q41" s="6">
        <f t="shared" si="139"/>
        <v>1.0560288498727977</v>
      </c>
      <c r="R41" t="str">
        <f t="shared" si="140"/>
        <v>ВВГнг(А)-LS (3х4)</v>
      </c>
      <c r="S41" t="str">
        <f>IF(BM41="","",IF(BN41="вводной узел","узел ","")&amp;"л."&amp;(INT((BM41-1)/Столбцов_на_лист)+1)&amp;" / "&amp;(MOD(BM41-1,Столбцов_на_лист)+1))</f>
        <v>л.2 / 1</v>
      </c>
      <c r="T41" s="119">
        <f t="shared" si="141"/>
        <v>0.1</v>
      </c>
      <c r="U41" s="7" t="str">
        <f>IF(OR(CG41=0,N(BV41)+N(IB41)=0),"",ROUNDUP(Запас_БП*(N(HY41)+N(HZ41)),0))</f>
        <v/>
      </c>
      <c r="V41" s="119" t="str">
        <f t="shared" si="142"/>
        <v/>
      </c>
      <c r="W41" s="7">
        <f>IFERROR(IF(OR(B41="",BP41=1,BV41=1,NOT(ISNUMBER(EN41)),N(DT41)=0),"",MAX(0,ROUNDDOWN((c_min*(Uн_лин*1000/SQRT(3))/(HT41*N(DT41))-_xlfn.XLOOKUP(A41,Щиты[Щит],Щиты[Zпетли на шинах, Ом]))*EN41/(2*ρкз_Cu),0))),"")</f>
        <v>256</v>
      </c>
      <c r="Y41" t="str">
        <f>Линии[[#This Row],[_авто утечка]]</f>
        <v/>
      </c>
      <c r="Z41">
        <v>1</v>
      </c>
      <c r="AA41">
        <v>230</v>
      </c>
      <c r="AB41" t="str">
        <f>Линии[[#This Row],[_авто группа Кс]]</f>
        <v>Нет</v>
      </c>
      <c r="AK41" t="str">
        <f>Линии[[#This Row],[_авто модуль]]</f>
        <v/>
      </c>
      <c r="AL41" t="s">
        <v>1221</v>
      </c>
      <c r="AN41" t="s">
        <v>11</v>
      </c>
      <c r="AO41">
        <v>3</v>
      </c>
      <c r="BA41" cm="1">
        <f t="array" ref="BA41">ROW()-ROW(Линии[#Headers])</f>
        <v>39</v>
      </c>
      <c r="BC41" s="6" t="str">
        <f t="shared" si="143"/>
        <v>КУП</v>
      </c>
      <c r="BD41" t="str">
        <f t="shared" si="144"/>
        <v>1.01.1</v>
      </c>
      <c r="BE41" t="str">
        <f t="shared" si="145"/>
        <v>1</v>
      </c>
      <c r="BF41" t="str">
        <f t="shared" si="146"/>
        <v>01.1</v>
      </c>
      <c r="BG41" t="str">
        <f t="shared" si="147"/>
        <v>01</v>
      </c>
      <c r="BH41" t="str">
        <f>IF(X41&lt;&gt;"",X41,IF(AND(B41&lt;&gt;"",B41&lt;&gt;A41,ISNUMBER(_xlfn.XMATCH(B41,Щиты[Щит]))),B41,""))</f>
        <v/>
      </c>
      <c r="BI41" t="str" cm="1">
        <f t="array" ref="BI41">IF(B41="","",IF(BH41&lt;&gt;"","Щит "&amp;BH41,_xlfn.LET(_xlpm.nm,IFERROR(_xlfn.XLOOKUP(BC41,Коды_код,Коды_имя)&amp;"",""),_xlpm.md,IFERROR(N(_xlfn.XLOOKUP(BC41,Коды_код,Коды_режим)),1),_xlpm.ex,IF(Имя_режим="по экспликации",IFERROR(_xlfn.XLOOKUP(BE41&amp;"|"&amp;BG41,Экспликация[Этаж]&amp;"|"&amp;Экспликация[Помещение],Экспликация[Название])&amp;"",""),""),_xlpm.rm,IF(BG41="","",IF(_xlpm.ex&lt;&gt;"",". "&amp;_xlpm.ex&amp;IF(Имя_пом="нет"," ("&amp;BG41&amp;")"," (пом. "&amp;BG41&amp;")"),IF(Имя_пом="нет"," ",", пом. ")&amp;BG41)),IF(_xlpm.nm="","",IF(_xlpm.md=2,_xlpm.nm&amp;" шлейф "&amp;BE41,_xlpm.nm&amp;_xlpm.rm)))))</f>
        <v>Коробка уравнивания потенциалов, пом. 01</v>
      </c>
      <c r="BJ41" t="str">
        <f t="shared" si="148"/>
        <v>Коробка уравнивания потенциалов, пом. 01</v>
      </c>
      <c r="BK41">
        <f>IFERROR(_xlfn.XMATCH(A41,Щиты[Щит]),0)</f>
        <v>4</v>
      </c>
      <c r="BL41">
        <f>_xlfn.LET(_xlpm.k,IFERROR(_xlfn.XLOOKUP(A41,Щиты[Щит],Щиты[Мест под вводной узел]),""),IF(_xlpm.k="",Столбцов_на_лист,N(_xlpm.k)))</f>
        <v>3</v>
      </c>
      <c r="BM41">
        <f t="shared" si="149"/>
        <v>18</v>
      </c>
      <c r="BN41" t="str">
        <f t="shared" si="150"/>
        <v>линии</v>
      </c>
      <c r="BO41" s="6">
        <f>IFERROR(N(_xlfn.XLOOKUP(BC41,Коды_код,Коды_квт)),0)</f>
        <v>0</v>
      </c>
      <c r="BP41">
        <f t="shared" si="151"/>
        <v>0</v>
      </c>
      <c r="BQ41" t="str">
        <f>IF(B41="","",IF(BH41&lt;&gt;"",IFERROR(_xlfn.XLOOKUP(BH41,Щиты[Щит],Щиты[Руст, кВт]),0),IF(BP41=1,IF(OR(N(_xlfn.XLOOKUP(A41,Щиты[Щит],Щиты[Вводов],1))&lt;=1,LOWER(TRIM(_xlfn.XLOOKUP(A41,Щиты[Щит],Щиты[АВР],"")&amp;""))="да"),IFERROR(_xlfn.XLOOKUP(A41,Щиты[Щит],Щиты[Руст, кВт]),0),SUMIFS(Линии[_Р для вводов],Линии[Щит],A41,Линии[Источник для режимов],GF41)),IF(BO41&gt;0,ROUND(BO41*MAX(1,N(D41)),3),""))))</f>
        <v/>
      </c>
      <c r="BR41" t="str">
        <f t="shared" si="152"/>
        <v/>
      </c>
      <c r="BS41" s="6">
        <f>IF(B41="","",IF(BH41&lt;&gt;"",IFERROR(_xlfn.XLOOKUP(BH41,Щиты[Щит],Щиты[Руст, кВт]),0),N(BR41)))</f>
        <v>0</v>
      </c>
      <c r="BT41" t="str">
        <f>IF(B41="","",IFERROR(IF(VLOOKUP(BC41,Потребители_обозначение,8,FALSE)=0,"",VLOOKUP(BC41,Потребители_обозначение,8,FALSE)),""))</f>
        <v/>
      </c>
      <c r="BU41">
        <f t="shared" si="153"/>
        <v>230</v>
      </c>
      <c r="BV41">
        <f t="shared" si="154"/>
        <v>0</v>
      </c>
      <c r="BW41">
        <f>IF(B41="","",IF(BH41&lt;&gt;"",3,IFERROR(IF(N(VLOOKUP(BC41,Потребители_обозначение,9,FALSE))=0,1,VLOOKUP(BC41,Потребители_обозначение,9,FALSE)),1)))</f>
        <v>1</v>
      </c>
      <c r="BX41">
        <f t="shared" si="155"/>
        <v>1</v>
      </c>
      <c r="BY41" t="str">
        <f>IF(B41="","",_xlfn.LET(_xlpm.bc,IFERROR(IF(VLOOKUP(BC41,Потребители_обозначение,6,FALSE)=0,"",VLOOKUP(BC41,Потребители_обозначение,6,FALSE)&amp;""),""),IF(AND(GA41="да",OR(_xlpm.bc="",_xlpm.bc="мс")),Марка_пож,IF(AND(_xlpm.bc="",BH41&lt;&gt;""),"мс",_xlpm.bc))))</f>
        <v>ре</v>
      </c>
      <c r="BZ41" t="str">
        <f t="shared" si="156"/>
        <v>мс</v>
      </c>
      <c r="CA41">
        <f>IF(B41="","",_xlfn.LET(_xlpm.cc,IFERROR(N(VLOOKUP(BC41,Потребители_обозначение,7,FALSE)),0),IF(_xlpm.cc&gt;0,_xlpm.cc,IF(BZ41="","",IF(BV41=1,2,IF(N(BX41)=3,5,3))))))</f>
        <v>3</v>
      </c>
      <c r="CB41">
        <f t="shared" si="157"/>
        <v>3</v>
      </c>
      <c r="CC41">
        <f>IFERROR(N(VLOOKUP(BC41,Потребители_обозначение,10,FALSE)),0)</f>
        <v>0</v>
      </c>
      <c r="CD41">
        <f>IFERROR(VLOOKUP(BC41,Потребители_обозначение,5,FALSE),0)</f>
        <v>1</v>
      </c>
      <c r="CE41" s="6" cm="1">
        <f t="array" ref="CE41">IF(B41="","",IF(BH41&lt;&gt;"",IFERROR(_xlfn.XLOOKUP(BH41,Щиты[Щит],Щиты[cos φ]),0.95),IF(BP41=1,IFERROR(_xlfn.XLOOKUP(A41,Щиты[Щит],Щиты[cos φ]),0.95),IF(ISNUMBER(AD41),AD41,IFERROR(IF(CD41=2,_xlfn.IFS(BX41=3,VLOOKUP(BS41,Справочная_двигатели,8,FALSE),BX41=1,VLOOKUP(BS41,Справочная_двигатели,10,TRUE)),IF(AND(Методика="нормы 2026",FG41="Сил"),0.8,0.95)),0.95)))))</f>
        <v>0.95</v>
      </c>
      <c r="CF41">
        <f t="shared" si="158"/>
        <v>0</v>
      </c>
      <c r="CG41">
        <f t="shared" si="159"/>
        <v>1</v>
      </c>
      <c r="CH41">
        <f t="shared" si="160"/>
        <v>0</v>
      </c>
      <c r="CI41">
        <f>IF(B41="","",IF(BV41=1,IFERROR(BS41/((Uн_лин/SQRT(3))*MAX(0.5,N(CE41))),0),N(O41)))</f>
        <v>0</v>
      </c>
      <c r="CJ41">
        <f t="shared" si="161"/>
        <v>0</v>
      </c>
      <c r="CK41">
        <f t="shared" si="162"/>
        <v>0</v>
      </c>
      <c r="CL41">
        <f t="shared" si="163"/>
        <v>0</v>
      </c>
      <c r="CM41">
        <f t="shared" si="164"/>
        <v>0</v>
      </c>
      <c r="CN41">
        <f t="shared" si="165"/>
        <v>0</v>
      </c>
      <c r="CO41">
        <f>IF(BC41="",0,_xlfn.LET(_xlpm.v,IFERROR(_xlfn.XLOOKUP(B41,Коды_код,Коды_мА),IFERROR(_xlfn.XLOOKUP(BC41,Коды_код,Коды_мА),IFERROR(_xlfn.XLOOKUP(LEFT(BC41,2),Коды_код,Коды_мА),""))),IF(_xlpm.v="да",30,IF(ISNUMBER(_xlpm.v),_xlpm.v,0))))</f>
        <v>0</v>
      </c>
      <c r="CP41" t="str">
        <f t="shared" si="166"/>
        <v/>
      </c>
      <c r="CQ41" t="str">
        <f>_xlfn.LET(_xlpm.k,IFERROR(_xlfn.XLOOKUP(BC41,Коды_код,Коды_утечка)&amp;"",""),IF(_xlpm.k="","дифавтомат",_xlpm.k))</f>
        <v>дифавтомат</v>
      </c>
      <c r="CR41" t="str" cm="1">
        <f t="array" ref="CR41">IF(CG41=0,"",_xlfn.LET(_xlpm.sg,TRIM(_xlfn.TEXTSPLIT(DD41&amp;"",";")),_xlpm.f_,_xlfn._xlws.FILTER(_xlpm.sg,LEFT(_xlpm.sg,3)="УЗО",""),IFERROR(INDEX(_xlpm.f_,1)&amp;"","")))</f>
        <v/>
      </c>
      <c r="CS41" t="str">
        <f t="shared" si="167"/>
        <v/>
      </c>
      <c r="CT41" s="6" t="str" cm="1">
        <f t="array" ref="CT41">IF(CR41="","",_xlfn.LET(_xlpm.tk,_xlfn.TEXTSPLIT(UPPER(CR41)," ",,TRUE),_xlpm.a_,_xlfn._xlws.FILTER(_xlpm.tk,ISNUMBER(--LEFT(_xlpm.tk,1))*((ISNUMBER(SEARCH("А",_xlpm.tk))+ISNUMBER(SEARCH("A",_xlpm.tk)))&gt;0)*NOT(ISNUMBER(SEARCH("МА",_xlpm.tk)))*NOT(ISNUMBER(SEARCH("MA",_xlpm.tk))),""),IFERROR(--SUBSTITUTE(SUBSTITUTE(INDEX(_xlpm.a_,1),"А",""),"A",""),"")))</f>
        <v/>
      </c>
      <c r="CU41" t="str" cm="1">
        <f t="array" ref="CU41">IF(CR41="","",_xlfn.LET(_xlpm.tk,_xlfn.TEXTSPLIT(UPPER(CR41)," ",,TRUE),_xlpm.a_,_xlfn._xlws.FILTER(_xlpm.tk,ISNUMBER(--LEFT(_xlpm.tk,1))*((ISNUMBER(SEARCH("МА",_xlpm.tk))+ISNUMBER(SEARCH("MA",_xlpm.tk)))&gt;0),""),IFERROR(--SUBSTITUTE(SUBSTITUTE(INDEX(_xlpm.a_,1),"МА",""),"MA",""),30)))</f>
        <v/>
      </c>
      <c r="CV41" t="str">
        <f>IF(CS41="","",IFERROR(_xlfn.XLOOKUP(CS41,Линии[_n],Линии[_УЗО, мА]),30))</f>
        <v/>
      </c>
      <c r="CW41">
        <f>IF(CS41="",0,IF(ISNUMBER(SEARCH("4P",IFERROR(_xlfn.XLOOKUP(CS41,Линии[_n],Линии[_УЗО строки])&amp;"",""))),0,1))</f>
        <v>0</v>
      </c>
      <c r="CX41" t="str">
        <f>IF(AND(CS41&lt;&gt;"",CS41=BA41),SUMIFS(Линии[_ток на 230 В],Линии[_блок УЗО],BA41,Линии[Щит],A41),"")</f>
        <v/>
      </c>
      <c r="CY41" t="str">
        <f>IF(AND(CS41&lt;&gt;"",CS41=BA41),SUMIFS(Линии[_ток утечки линии, мА],Линии[_блок УЗО],BA41,Линии[Щит],A41),"")</f>
        <v/>
      </c>
      <c r="CZ41">
        <f t="shared" si="168"/>
        <v>0</v>
      </c>
      <c r="DA41">
        <f t="shared" si="169"/>
        <v>0</v>
      </c>
      <c r="DB41">
        <f>IF(B41="",0,IFERROR(--_xlfn.XLOOKUP(B41,Коды_код,Коды_минавт),IFERROR(--_xlfn.XLOOKUP(BC41,Коды_код,Коды_минавт),IFERROR(--_xlfn.XLOOKUP(LEFT(BC41,2),Коды_код,Коды_минавт),0))))</f>
        <v>0</v>
      </c>
      <c r="DC41" t="str">
        <f>IF(B41="","",IFERROR(_xlfn.XLOOKUP(BC41,Коды_код,Коды_апп)&amp;"",""))</f>
        <v/>
      </c>
      <c r="DD41" t="str">
        <f t="shared" si="170"/>
        <v/>
      </c>
      <c r="DE41" t="str" cm="1">
        <f t="array" ref="DE41">IF(TRIM(DD41&amp;"")="","",IFERROR(TRIM(INDEX(_xlfn.TEXTSPLIT(DD41&amp;";;;",";"),1)),""))</f>
        <v/>
      </c>
      <c r="DF41" t="str" cm="1">
        <f t="array" ref="DF41">IF(TRIM(DD41&amp;"")="","",IFERROR(TRIM(INDEX(_xlfn.TEXTSPLIT(DD41&amp;";;;",";"),2)),""))</f>
        <v/>
      </c>
      <c r="DG41" t="str" cm="1">
        <f t="array" ref="DG41">IF(TRIM(DD41&amp;"")="","",IFERROR(TRIM(INDEX(_xlfn.TEXTSPLIT(DD41&amp;";;;",";"),3)),""))</f>
        <v/>
      </c>
      <c r="DH41">
        <f t="shared" si="171"/>
        <v>0</v>
      </c>
      <c r="DI41" t="str">
        <f>IF(B41="","",_xlfn.LET(_xlpm.t,LOWER(AZ41&amp;""),IF(ISNUMBER(SEARCH("dim",_xlpm.t)),"DIM",IF(ISNUMBER(SEARCH("dali",_xlpm.t)),"DALI",IF(OR(ISNUMBER(SEARCH("relay",_xlpm.t)),ISNUMBER(SEARCH("реле",_xlpm.t))),"Relay",IF(ISNUMBER(SEARCH("кнопк",_xlpm.t)),"",IFERROR(_xlfn.XLOOKUP(BC41,Коды_код,Коды_упр)&amp;"","")))))))</f>
        <v/>
      </c>
      <c r="DJ41" t="str">
        <f t="shared" si="172"/>
        <v/>
      </c>
      <c r="DK41">
        <f>IF(B41="","",_xlfn.LET(_xlpm.ig,IF(N(CX41)&gt;0,N(CX41),N(CI41)+IF(AJ41="вручную",0,N(CJ41))),_xlpm.n0,IFERROR(VLOOKUP(_xlpm.ig,Автомат_номиналы,2,TRUE),0),_xlpm.mn,MAX(DB41,IF(AJ41="вручную",0,N(CM41))),MAX(_xlpm.n0,_xlpm.mn,IF(DH41=1,Мин_автомат_БП,0))))</f>
        <v>6</v>
      </c>
      <c r="DL41">
        <f t="shared" si="173"/>
        <v>1</v>
      </c>
      <c r="DM41" t="str">
        <f t="shared" si="174"/>
        <v>1P</v>
      </c>
      <c r="DN41" t="str">
        <f>_xlfn.LET(_xlpm.cc,UPPER(TRIM(IFERROR(_xlfn.XLOOKUP(BC41,Коды_код,Коды_хар)&amp;"",""))),IF(OR(_xlpm.cc="B",_xlpm.cc="В"),"B",IF(_xlpm.cc="D","D","С")))</f>
        <v>С</v>
      </c>
      <c r="DO41" t="str">
        <f t="shared" si="175"/>
        <v>1P С6А</v>
      </c>
      <c r="DP41" t="str">
        <f t="shared" si="176"/>
        <v>1P С6А</v>
      </c>
      <c r="DQ41" t="str">
        <f t="shared" si="177"/>
        <v>1P С6А</v>
      </c>
      <c r="DR41" cm="1">
        <f t="array" ref="DR41">IF(DQ41="","",_xlfn.LET(_xlpm.t,SUBSTITUTE(SUBSTITUTE(SUBSTITUTE(UPPER(DQ41),"С","C"),"А","A"),"В","B"),_xlpm.tk,_xlfn.TEXTSPLIT(_xlpm.t," "),_xlpm.f,_xlfn._xlws.FILTER(_xlpm.tk,ISNUMBER(--MID(_xlpm.tk,2,1))*ISNUMBER(SEARCH(LEFT(_xlpm.tk,1)&amp;"#","B#C#D#"))*(LEN(_xlpm.tk)&gt;1),""),_xlpm.x,INDEX(_xlpm.f,1),IFERROR(--SUBSTITUTE(MID(_xlpm.x,2,9),"A",""),IFERROR(--SUBSTITUTE(INDEX(_xlfn._xlws.FILTER(_xlpm.tk,ISNUMBER(--SUBSTITUTE(_xlpm.tk,"A","")),""),1),"A",""),""))))</f>
        <v>6</v>
      </c>
      <c r="DS41" t="str">
        <f t="shared" si="178"/>
        <v>ok</v>
      </c>
      <c r="DT41">
        <f t="shared" si="179"/>
        <v>6</v>
      </c>
      <c r="DU41" t="str">
        <f t="shared" si="180"/>
        <v>1P С6А</v>
      </c>
      <c r="DV41">
        <f t="shared" si="181"/>
        <v>0</v>
      </c>
      <c r="DW41">
        <f t="shared" si="182"/>
        <v>0</v>
      </c>
      <c r="DX41">
        <f t="shared" si="183"/>
        <v>0</v>
      </c>
      <c r="DY41">
        <f t="shared" si="184"/>
        <v>0</v>
      </c>
      <c r="DZ41">
        <f t="shared" si="185"/>
        <v>1</v>
      </c>
      <c r="EA41">
        <f>IF(ISNUMBER(AP41),AP41,К_прокл)</f>
        <v>1</v>
      </c>
      <c r="EB41">
        <f t="shared" si="186"/>
        <v>2</v>
      </c>
      <c r="EC41">
        <f>IFERROR(N(VLOOKUP(BZ41,Кабель_обозначение,3,FALSE)),1)</f>
        <v>1</v>
      </c>
      <c r="ED41">
        <f>IFERROR(N(_xlfn.XLOOKUP(A41,Щиты[Щит],Щиты[ΔU до шин, %])),0)</f>
        <v>1.0560288498727977</v>
      </c>
      <c r="EE41">
        <f>IFERROR(_xlfn.XLOOKUP(A41,Щиты[Щит],Щиты[Zпетли на шинах, Ом]),"")</f>
        <v>0.28247829354840204</v>
      </c>
      <c r="EF41">
        <f>IFERROR(N(_xlfn.XLOOKUP(A41,Щиты[Щит],Щиты[ΔU до шин (подбор), %])),0)</f>
        <v>1.0560288498727977</v>
      </c>
      <c r="EG41">
        <f>IFERROR(_xlfn.XLOOKUP(A41,Щиты[Щит],Щиты[Zпетли на шинах (подбор), Ом]),"")</f>
        <v>0.28247829354840204</v>
      </c>
      <c r="EH41" t="str">
        <f t="shared" si="187"/>
        <v/>
      </c>
      <c r="EI41">
        <f t="shared" si="188"/>
        <v>6</v>
      </c>
      <c r="EJ41">
        <f t="shared" si="189"/>
        <v>2</v>
      </c>
      <c r="EK41">
        <f t="shared" si="190"/>
        <v>0.31</v>
      </c>
      <c r="EL41" s="6">
        <f>IF(B41="","",IF(BV41=1,dU_LED,IF(IFERROR(_xlfn.XLOOKUP(BC41,Коды_код,Коды_уго),"")="Светильник",3,4)+IF(Методика="нормы 2026",MIN(0.5,MAX(0,N(P41)-100)*0.005),0)))</f>
        <v>4</v>
      </c>
      <c r="EM41" cm="1">
        <f t="array" ref="EM41">IF(OR(B41="",BZ41="",EC41&lt;&gt;1),"",_xlfn.LET(_xlpm.sz,Iдоп_S,_xlpm.t_,CHOOSE(EB41,Iдоп_1ж,Iдоп_2ж,Iдоп_3ж)*DZ41*EA41,_xlpm.dcx,BV41=1,_xlpm.inn,IF(_xlpm.dcx,N(O41),N(DT41)),_xlpm.smin,MAX(1.5,CC41),_xlpm.L_,N(P41)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41)/N(BU41)*100,999),IFERROR(N(EJ41)*(_xlpm.rho*_xlpm.L_/_xlpm.sz*N(CE41)+_xlpm.xx*_xlpm.L_*N(EK41)/1000)*N(O41)/((Uн_лин/SQRT(3))*1000)*100,999)),_xlpm.kz,IF(OR(_xlpm.dcx,DW41=1,NOT(ISNUMBER(EG41)),_xlpm.L_=0,_xlpm.inn=0),1,IFERROR(--(c_min*(Uн_лин*1000/SQRT(3))/(EG41+2*ρкз_Cu*_xlpm.L_/_xlpm.sz)&gt;=HT41*_xlpm.inn),0)),_xlpm.ok,IFERROR((_xlpm.sz&gt;=_xlpm.smin)*(_xlpm.t_&gt;=_xlpm.inn)*IF(_xlpm.L_&gt;0,(_xlpm.du_+IF(_xlpm.dcx,0,EF41)&lt;=EL41+0.00001),1)*_xlpm.kz,0),_xlpm.r_,_xlfn._xlws.FILTER(_xlpm.sz,_xlpm.ok,"не подобрано"),INDEX(_xlpm.r_,1)))</f>
        <v>1.5</v>
      </c>
      <c r="EN41">
        <f t="shared" si="191"/>
        <v>4</v>
      </c>
      <c r="EO41" cm="1">
        <f t="array" ref="EO41">IF(OR(B41="",BZ41="",EC41&lt;&gt;1),"",_xlfn.LET(_xlpm.sz,Iдоп_S,_xlpm.t_,CHOOSE(EB41,Iдоп_1ж,Iдоп_2ж,Iдоп_3ж)*DZ41*EA41,_xlpm.ok,IFERROR((_xlpm.sz&gt;=MAX(1.5,CC41))*(_xlpm.t_&gt;=N(DT41)),0),_xlpm.r_,_xlfn._xlws.FILTER(_xlpm.sz,_xlpm.ok,""),INDEX(_xlpm.r_,1)))</f>
        <v>1.5</v>
      </c>
      <c r="EP41" s="6" cm="1">
        <f t="array" ref="EP41">IFERROR(ROUNDUP(N(EJ41)*(_xlfn.XLOOKUP(EO41,INDEX(Кабель_сопротивление,0,1),INDEX(Кабель_сопротивление,0,3))*N(P41)/EO41*N(CE41)+_xlfn.XLOOKUP(EO41,INDEX(Кабель_сопротивление,0,1),INDEX(Кабель_сопротивление,0,2))*N(P41)*N(EK41)/1000)*N(O41)/((Uн_лин/SQRT(3))*1000)*100,2),"")</f>
        <v>0</v>
      </c>
      <c r="EQ41">
        <f>IFERROR(2*ρкз_Cu*N(P41)/EO41,"")</f>
        <v>0.24546666666666669</v>
      </c>
      <c r="ER41">
        <f>IFERROR(VLOOKUP(EN41,Кабель_сопротивление,3,FALSE),"")</f>
        <v>2.2499999999999999E-2</v>
      </c>
      <c r="ES41">
        <f>IFERROR(VLOOKUP(EN41,Кабель_сопротивление,2,FALSE),"")</f>
        <v>9.5000000000000001E-2</v>
      </c>
      <c r="ET41" t="str">
        <f t="shared" si="192"/>
        <v/>
      </c>
      <c r="EU41" t="str">
        <f t="shared" si="193"/>
        <v/>
      </c>
      <c r="EV41">
        <f t="shared" si="194"/>
        <v>0</v>
      </c>
      <c r="EW41" s="6">
        <f>IFERROR(ROUNDUP(EV41/IF(BV41=1,BU41,(Uн_лин/SQRT(3))*1000)*100,2),"")</f>
        <v>0</v>
      </c>
      <c r="EX41" t="str">
        <f>IFERROR(VLOOKUP(BZ41,Кабель_обозначение,2,FALSE),"")</f>
        <v>ВВГнг(А)-LS</v>
      </c>
      <c r="EY41" t="str">
        <f t="shared" si="195"/>
        <v>ВВГнг(А)-LS (3х4)</v>
      </c>
      <c r="EZ41" t="str">
        <f t="shared" si="196"/>
        <v>ВВГнг(А)-LS (3х4)
L=7-0%</v>
      </c>
      <c r="FA41">
        <f>IFERROR(2*ρкз_Cu*P41/EN41,"")</f>
        <v>9.2050000000000007E-2</v>
      </c>
      <c r="FB41">
        <f t="shared" si="197"/>
        <v>3.0625000000000003E-2</v>
      </c>
      <c r="FC41" s="6">
        <f>IFERROR(IF(OR(B41="",BV41=1,NOT(ISNUMBER(EN41)),N(P41)=0),"",_xlfn.XLOOKUP(A41,Щиты[Щит],Щиты[Zпетли на шинах, Ом])+FA41),"")</f>
        <v>0.37452829354840206</v>
      </c>
      <c r="FD41" s="6">
        <f>IF(ISNUMBER(FC41),c_min*(Uн_лин*1000/SQRT(3))/FC41,"")</f>
        <v>585.78512243616274</v>
      </c>
      <c r="FE41" s="6">
        <f>IFERROR(IF(OR(B41="",NOT(ISNUMBER(EN41))),"",1.05*(Uн_лин*1000/SQRT(3))/(_xlfn.XLOOKUP(A41,Щиты[Щит],Щиты[Zmax на шинах, Ом])+FB41)/1000),"")</f>
        <v>2.0951288436137121</v>
      </c>
      <c r="FF41" s="6" t="str">
        <f>IF(B41="","",IF(ISNUMBER(AC41),"Сил",IF(IFERROR(_xlfn.XLOOKUP(BC41,Коды_код,Коды_группа)&amp;"","")="","Быт",_xlfn.XLOOKUP(BC41,Коды_код,Коды_группа)&amp;"")))</f>
        <v>Нет</v>
      </c>
      <c r="FG41" s="6" t="str">
        <f t="shared" si="198"/>
        <v>Нет</v>
      </c>
      <c r="FH41" s="6">
        <f>IF(FG41="Щит","щит",IF(FG41="","",IF(FG41="Быт",IFERROR(_xlfn.XLOOKUP(A41,Щиты[Щит],Щиты[Кс быт]),1),IF(FG41="Сил",IF(ISNUMBER(AC41),AC41,IF(Методика="нормы 2026",IFERROR(_xlfn.XLOOKUP(A41,Щиты[Щит],Щиты[Кс силовых (табл. 7.5)]),1),1)),IF(OR(FG41="Пост",FG41="Отоп"),1,IF(FG41="ВНГ",0.7,0))))))</f>
        <v>0</v>
      </c>
      <c r="FI41">
        <f>IF(FG41="","",IF(AND(BP41=1,TRIM(AE41&amp;"")=""),IF(COUNTIFS(Линии[Щит],A41,Линии[Секция (1/2/3)],"&gt;=2")&gt;0,MIN(3,MAX(1,IFERROR(--BD41,1))),1),IFERROR(MIN(3,MAX(1,INT(--AE41))),1)))</f>
        <v>1</v>
      </c>
      <c r="FJ41">
        <f t="shared" si="199"/>
        <v>0</v>
      </c>
      <c r="FK41">
        <f t="shared" si="200"/>
        <v>0</v>
      </c>
      <c r="FL41">
        <f t="shared" si="201"/>
        <v>0</v>
      </c>
      <c r="FM41">
        <f t="shared" si="202"/>
        <v>0</v>
      </c>
      <c r="FN41">
        <f t="shared" si="203"/>
        <v>0</v>
      </c>
      <c r="FO41">
        <f t="shared" si="204"/>
        <v>0</v>
      </c>
      <c r="FP41">
        <f t="shared" si="205"/>
        <v>0</v>
      </c>
      <c r="FQ41">
        <f t="shared" si="206"/>
        <v>0</v>
      </c>
      <c r="FR41">
        <f t="shared" si="207"/>
        <v>0</v>
      </c>
      <c r="FS41">
        <f>IF(CG41=1,IF(AND(CH41=1,CW41=1),0,IF(AND(CS41&lt;&gt;"",CS41=BA41,CW41=1),SUMIFS(Линии[_Р линии, кВт],Линии[_блок УЗО],BA41,Линии[Щит],A41),N(BS41)+IF(AJ41="вручную",0,N(CK41)))),0)</f>
        <v>0</v>
      </c>
      <c r="FT41" t="str">
        <f t="shared" si="208"/>
        <v/>
      </c>
      <c r="FU41" t="str">
        <f>IF(B41="","",IF(CG41=0,IF(BA41=1,"",FW40),IF(AND(CH41=1,CW41=1,CS41&lt;&gt;""),IFERROR(_xlfn.XLOOKUP(CS41,Линии[_n],Линии[_фаза итог]),"L1"),IF(OR(N(DL41)&gt;=3,N(BX41)&gt;=3),"L1,L2,L3",IFERROR(_xlfn.TEXTBEFORE(_xlfn.TEXTAFTER(_xlfn.XLOOKUP(A41,Щиты[Щит],Щиты[_фазы авто]),";"&amp;BA41&amp;":"),";"),"L1")))))</f>
        <v>L1</v>
      </c>
      <c r="FV41" t="str">
        <f t="shared" si="209"/>
        <v>L1</v>
      </c>
      <c r="FW41" t="str">
        <f t="shared" si="210"/>
        <v>L1</v>
      </c>
      <c r="FX41" cm="1">
        <f t="array" ref="FX41">IFERROR(IF(CD41=2,_xlfn.IFS(BX41=3,VLOOKUP(BS41,Справочная_двигатели,3,FALSE),BX41=1,VLOOKUP(BS41,Справочная_двигатели,5,TRUE)),0),0)</f>
        <v>0</v>
      </c>
      <c r="FY41">
        <f>IFERROR(IF(CD41=3,VLOOKUP(BS41,Справочная_ЛЭД,2,TRUE),0),0)</f>
        <v>0</v>
      </c>
      <c r="FZ41" s="6">
        <f t="shared" si="211"/>
        <v>0</v>
      </c>
      <c r="GA41" t="str">
        <f>IF(B41="","",IF(TRIM(AH41&amp;"")&lt;&gt;"",IF(LOWER(TRIM(AH41&amp;""))="да","да","нет"),IF(IFERROR(_xlfn.XLOOKUP(BC41,Коды_код,Коды_пожарная),"")="да","да","нет")))</f>
        <v>нет</v>
      </c>
      <c r="GB41" t="str">
        <f t="shared" si="212"/>
        <v/>
      </c>
      <c r="GC41" t="str">
        <f t="shared" si="213"/>
        <v>основная</v>
      </c>
      <c r="GD41">
        <f>IF(AND(BP41=1,TRIM(AE41&amp;"")=""),IF(COUNTIFS(Линии[Щит],A41,Линии[Секция (1/2/3)],"&gt;=2")&gt;0,MIN(3,MAX(1,IFERROR(--BD41,1))),1),IFERROR(MIN(3,MAX(1,INT(--AE41))),1))</f>
        <v>1</v>
      </c>
      <c r="GE41" t="str" cm="1">
        <f t="array" ref="GE41">IF(B41="","",_xlfn.LET(_xlpm.t,IFERROR(_xlfn.XLOOKUP(1,(Шины[Шина]=GC41)*(((Шины[Щит]=A41)+(Шины[Щит]=""))&gt;0),Шины[Тип]),"")&amp;"",IF(_xlpm.t&lt;&gt;"",_xlpm.t,IF(ISNUMBER(SEARCH("ИБП",GC41)),"ИБП",IF(ISNUMBER(SEARCH("ДГУ",GC41)),"ДГУ","Ввод "&amp;GD41)))))</f>
        <v>Ввод 1</v>
      </c>
      <c r="GF41" t="str">
        <f t="shared" si="214"/>
        <v>Ввод 1</v>
      </c>
      <c r="GG41" t="str">
        <f>IF(BP41=0,"",IF(TRIM(AG41&amp;"")&lt;&gt;"",TRIM(AG41&amp;""),IF(OR(GE41="ИБП",GE41="ДГУ"),"I особая",_xlfn.XLOOKUP(A41,Щиты[Щит],Щиты[Категория шины «Ввод»],"III"))))</f>
        <v/>
      </c>
      <c r="GH41" t="str">
        <f>IF(A41="","",_xlfn.XLOOKUP(A41,Щиты[Щит],Щиты[Путь],""))</f>
        <v>|ВРУ|ЩР-1|</v>
      </c>
      <c r="GI41" t="str">
        <f>IF(B41="","",IF(AI41&lt;&gt;"",AI41,IF(IFERROR(_xlfn.XLOOKUP(BC41,Коды_код,Коды_вид)&amp;"","")="","Прочее",_xlfn.XLOOKUP(BC41,Коды_код,Коды_вид)&amp;"")))</f>
        <v>Прочее</v>
      </c>
      <c r="GJ41">
        <f>IF(BM41="","",INT((BM41-1)/Столбцов_на_лист)+1)</f>
        <v>2</v>
      </c>
      <c r="GK41" t="str">
        <f t="shared" si="215"/>
        <v>ВВГнг(А)-LS (3х4) L=7-0%</v>
      </c>
      <c r="GL41">
        <f t="shared" si="216"/>
        <v>0</v>
      </c>
      <c r="GM41">
        <f t="shared" si="217"/>
        <v>0</v>
      </c>
      <c r="GN41">
        <f t="shared" si="218"/>
        <v>1</v>
      </c>
      <c r="GO41">
        <f t="shared" si="219"/>
        <v>0</v>
      </c>
      <c r="GP41">
        <f t="shared" si="220"/>
        <v>1</v>
      </c>
      <c r="GQ41">
        <f>IF(BM41="","",IF(AND(CG41=1,GP41=1),COUNTIFS(A$3:A41,A41,CG$3:CG41,1,GP$3:GP41,1),IF(OR(OR(BA41=1,A41&lt;&gt;A40),AJ41="вручную",GP41=0),"",IF(BA41=1,"",GR40))))</f>
        <v>9</v>
      </c>
      <c r="GR41">
        <f t="shared" si="221"/>
        <v>9</v>
      </c>
      <c r="GS41">
        <f>IF(B41="","",IFERROR(LOOKUP(INDEX(CHOOSE(EB41,Iдоп_1ж,Iдоп_2ж,Iдоп_3ж),MATCH(EN41,Iдоп_S,0))*DZ41*EA41,{6,10,16,20,25,32,40,50,63,80,100,125,160,200,250,315,400,500,630}),""))</f>
        <v>32</v>
      </c>
      <c r="GT41" t="str">
        <f t="shared" si="222"/>
        <v>QF9</v>
      </c>
      <c r="GU41" t="str">
        <f t="shared" si="223"/>
        <v>QF9</v>
      </c>
      <c r="GV41" t="str">
        <f t="shared" si="224"/>
        <v/>
      </c>
      <c r="GW41">
        <f t="shared" si="225"/>
        <v>0</v>
      </c>
      <c r="GX41" t="str">
        <f>IF(OR(B41="",DJ41=""),"",IFERROR(_xlfn.XLOOKUP(DJ41,Модули_умолч[Управление],Модули_умолч[Модель])&amp;"",""))</f>
        <v/>
      </c>
      <c r="GY41">
        <f>IF(DJ41="",1,IFERROR(MAX(0,N(_xlfn.XLOOKUP(DJ41,Модули_умолч[Управление],Модули_умолч[Каналов на линию]))),1))</f>
        <v>1</v>
      </c>
      <c r="GZ41" t="str">
        <f t="shared" si="226"/>
        <v/>
      </c>
      <c r="HA41" t="str">
        <f t="shared" si="227"/>
        <v/>
      </c>
      <c r="HB41" t="str">
        <f t="shared" si="228"/>
        <v/>
      </c>
      <c r="HC41">
        <f>IF(HB41="",0,IFERROR(N(VLOOKUP(HB41,Модули_спр,3,FALSE)),0))</f>
        <v>0</v>
      </c>
      <c r="HD41" t="str">
        <f t="shared" si="229"/>
        <v/>
      </c>
      <c r="HE41" t="str">
        <f t="shared" si="230"/>
        <v/>
      </c>
      <c r="HF41" t="str">
        <f>IF(OR(HE41="",HE41="-"),"",IFERROR(VLOOKUP(HE41,Модули_спр,2,FALSE),"R"))</f>
        <v/>
      </c>
      <c r="HG41" t="str">
        <f>IF(HF41="","",HF41&amp;"."&amp;COUNTIFS(A$3:A41,A41,HF$3:HF41,HF41))</f>
        <v/>
      </c>
      <c r="HH41" t="str">
        <f t="shared" si="231"/>
        <v/>
      </c>
      <c r="HI41" t="str">
        <f t="shared" si="232"/>
        <v/>
      </c>
      <c r="HJ41" t="str">
        <f t="shared" si="233"/>
        <v/>
      </c>
      <c r="HK41" t="str">
        <f t="shared" si="234"/>
        <v/>
      </c>
      <c r="HL41">
        <f t="shared" si="235"/>
        <v>0</v>
      </c>
      <c r="HM41" t="str">
        <f>IF(HL41=1,"XT"&amp;COUNTIFS(A$3:A41,A41,HL$3:HL41,1),"")</f>
        <v/>
      </c>
      <c r="HN41" t="str">
        <f t="shared" si="236"/>
        <v/>
      </c>
      <c r="HO41" t="str">
        <f t="shared" si="237"/>
        <v>QF9</v>
      </c>
      <c r="HP41" t="str">
        <f t="shared" si="238"/>
        <v/>
      </c>
      <c r="HQ41" t="str">
        <f t="shared" si="239"/>
        <v>ok</v>
      </c>
      <c r="HR41" t="str">
        <f>IF(OR(HJ41="",HH41=""),"",IF(HJ41+MAX(0,GY41-1)&gt;IFERROR(VLOOKUP(HI41,Модули_спр,3,FALSE),99),"ЛИШНИЙ КАНАЛ",IF(AND(AL41&lt;&gt;"=",GY41&gt;0,COUNTIFS(Линии[_модуль гр.],HH41,Линии[Канал (итог)],HJ41,Линии[Канал],"&lt;&gt;=",Линии[Щит],A41)&gt;1),"ДУБЛЬ КАНАЛА","")))</f>
        <v/>
      </c>
      <c r="HS41" s="6">
        <f t="shared" si="240"/>
        <v>97.630853739360461</v>
      </c>
      <c r="HT41">
        <f t="shared" si="241"/>
        <v>10</v>
      </c>
      <c r="HU41" t="str">
        <f t="shared" si="242"/>
        <v>ok</v>
      </c>
      <c r="HV41">
        <f t="shared" si="243"/>
        <v>7.0000000000000007E-2</v>
      </c>
      <c r="HW41">
        <f t="shared" si="244"/>
        <v>0</v>
      </c>
      <c r="HX41">
        <f t="shared" si="245"/>
        <v>0</v>
      </c>
      <c r="HY41">
        <f t="shared" si="246"/>
        <v>0</v>
      </c>
      <c r="HZ41">
        <f t="shared" si="247"/>
        <v>0</v>
      </c>
      <c r="IA41">
        <f t="shared" si="248"/>
        <v>0</v>
      </c>
      <c r="IB41">
        <f t="shared" si="249"/>
        <v>0</v>
      </c>
      <c r="IC41" t="str">
        <f t="shared" si="250"/>
        <v/>
      </c>
      <c r="ID41" t="str" cm="1">
        <f t="array" ref="ID41">IF(IC41="","",_xlfn.LET(_xlpm.tk,_xlfn.TEXTSPLIT(SUBSTITUTE(SUBSTITUTE(IC41,";"," "),"→"," ")," ",,TRUE),_xlpm.w_,_xlfn._xlws.FILTER(_xlpm.tk,ISNUMBER(--LEFT(_xlpm.tk,1))*((ISNUMBER(SEARCH("W",_xlpm.tk))+ISNUMBER(SEARCH("Вт",_xlpm.tk)))&gt;0),""),IFERROR(--SUBSTITUTE(SUBSTITUTE(UPPER(INDEX(_xlpm.w_,1)),"W",""),"ВТ",""),"")))</f>
        <v/>
      </c>
      <c r="IE41" t="str" cm="1">
        <f t="array" ref="IE41">IF(IC41="","",_xlfn.LET(_xlpm.tk,_xlfn.TEXTSPLIT(SUBSTITUTE(SUBSTITUTE(IC41,";"," "),"→"," ")," ",,TRUE),_xlpm.v_,_xlfn._xlws.FILTER(_xlpm.tk,ISNUMBER(--LEFT(_xlpm.tk,1))*((ISNUMBER(SEARCH("V",_xlpm.tk))+(RIGHT(UPPER(_xlpm.tk))="В"))&gt;0),""),IFERROR(--SUBSTITUTE(SUBSTITUTE(UPPER(INDEX(_xlpm.v_,1)),"V",""),"В",""),"")))</f>
        <v/>
      </c>
      <c r="IF41" s="6" t="str">
        <f>IF(OR(BV41=0,HI41="",HJ41=""),"",IFERROR(N(_xlfn.XLOOKUP(HI41,Каталог!$C$4:$C$500,Каталог!$Q$4:$Q$500)),""))</f>
        <v/>
      </c>
      <c r="IG41" s="6" t="str">
        <f>IF(N(IF41)=0,"",SUMIFS(Линии[Iр, А],Линии[Щит],A41,Линии[_модуль гр.],HH41,Линии[Канал (итог)],HJ41))</f>
        <v/>
      </c>
      <c r="IH41" t="str">
        <f>IF(AND(B41="",HO41=""),"",_xlfn.TEXTJOIN("; ",TRUE,IF(AND(B41&lt;&gt;"",FV41=""),"нет фазы",""),IF(AND(B41&lt;&gt;"",N(GL41)=0,FG41&lt;&gt;"Нет"),"нет мощности",""),IF(AND(HN41&lt;&gt;"",COUNTIFS(Линии[Щит],A41,Линии[Клемма (итог)],HN41)&gt;1),"дубль клеммы "&amp;HN41,""),IF(AND(HQ41&lt;&gt;"",HQ41&lt;&gt;"ok"),HQ41,""),IF(HR41&lt;&gt;"",HR41,""),IF(AND(N(CB41)&gt;=4,N(BX41)=1),CB41&amp;" жил на 1 фазе",""),IF(AND(BC41="R",CG41=1,IF(CS41&lt;&gt;"",N(CV41)&gt;30,OR(N(DA41)=0,N(DA41)&gt;30))),"розетка без дифзащиты до 30 мА",""),IF(AND(CG41=1,N(DA41)&gt;0,ISNUMBER(T41)),IF(T41&gt;N(DA41)/3,"ток утечки "&amp;FIXED(T41,1)&amp;" мА &gt; 1/3 уставки ("&amp;DA41&amp;" мА)",""),""),IF(AND(CH41=1,CS41=""),"«узо»: нет строки с УЗО выше (УЗО 2P 40А 30мА в «Аппаратах»)",""),IF(AND(CS41&lt;&gt;"",CS41=BA41),IF(CT41="","впишите номинал УЗО (УЗО 2P 40А 30мА)",IF(N(CT41)&lt;N(DT41),"УЗО "&amp;CT41&amp;" А &lt; автомата "&amp;DT41&amp;" А перед ним",IF(N(CT41)&lt;N(CX41),"УЗО "&amp;CT41&amp;" А &lt; тока блока "&amp;FIXED(CX41,1)&amp;" А",""))),""),IF(AND(CS41&lt;&gt;"",CS41=BA41,ISNUMBER(CY41)),IF(CY41&gt;N(CV41)/3,"ток утечки блока УЗО "&amp;FIXED(CY41,1)&amp;" мА &gt; 1/3 уставки ("&amp;CV41&amp;" мА)",""),""),IF(AND(CG41=1,N(BV41)+N(IB41)&gt;0,IC41=""),"линии до 50 В без БП: впишите в «Аппараты» (БП 24V 480W)",""),IF(AND(CG41=1,ISNUMBER(ID41),ISNUMBER(U41)),IF(U41&gt;ID41,"БП "&amp;ID41&amp;" Вт &lt; нужно "&amp;U41&amp;" Вт (×"&amp;Запас_БП&amp;")",""),""),IF(AND(CG41=1,ISNUMBER(IE41),N(BV41)=1),IF(IE41&lt;&gt;N(BU41),"БП на "&amp;IE41&amp;" В, линия "&amp;BU41&amp;" В",""),""),IF(AND(N(IF41)&gt;0,N(IG41)&gt;N(IF41)),HH41&amp;" канал "&amp;HJ41&amp;": "&amp;FIXED(IG41,1)&amp;" А &gt; "&amp;IF41&amp;" А",""),IFERROR(IF(AND(ISNUMBER(Q41),Q41&gt;EL41),"потери "&amp;FIXED(Q41,1)&amp;" % &gt; "&amp;EL41&amp;" %",""),""),IFERROR(IF(LEFT(HU41,4)="мало","Iкз мало — отключение &gt; 0,4 с",""),""),IF(AND(B41&lt;&gt;"",BM41=""),"не на схеме",""),IF(AND(CG41=0,B41&lt;&gt;"",FV41&lt;&gt;"",IF(BA41=1,"",FW40)&lt;&gt;"",FV41&lt;&gt;IF(BA41=1,"",FW40)),"фаза не как у автомата группы ("&amp;IF(BA41=1,"",FW40)&amp;")","")))</f>
        <v/>
      </c>
      <c r="II41" s="6" t="str">
        <f>IF(OR(CG41=0,DQ41=""),"",_xlfn.LET(_xlpm.t,IFERROR(_xlfn.XLOOKUP(DQ41,Каталог!$U$4:$U$500,Каталог!$G$4:$G$500),""),_xlpm.k,SEARCH("кА",_xlpm.t),IFERROR(--TRIM(RIGHT(SUBSTITUTE(MID(_xlpm.t,MAX(1,_xlpm.k-4),_xlpm.k-MAX(1,_xlpm.k-4))," ",REPT(" ",9)),5)),"")))</f>
        <v/>
      </c>
      <c r="IJ41" t="str">
        <f>IF(OR(II41="",CG41=0),"",IF(_xlfn.XLOOKUP(A41,Щиты[Щит],Щиты[Iкз max на шинах, кА],"")="","",IF(II41&lt;_xlfn.XLOOKUP(A41,Щиты[Щит],Щиты[Iкз max на шинах, кА]),"Icu "&amp;II41&amp;" кА &lt; Iкз max","ok")))</f>
        <v/>
      </c>
      <c r="IK41" t="str">
        <f t="shared" si="251"/>
        <v/>
      </c>
      <c r="IL41" t="str">
        <f t="shared" si="252"/>
        <v>QF9</v>
      </c>
      <c r="IM41" t="str">
        <f t="shared" si="253"/>
        <v>QF9|кабель ВВГнг(А)-LS (3х4) → Коробка уравнивания потенциалов, пом. 01</v>
      </c>
      <c r="IN41" t="str" cm="1">
        <f t="array" ref="IN41">IF(IM41="","",_xlfn.LET(_xlpm.nd,_xlfn.TEXTSPLIT(IM41,"|"),IF(COLUMNS(_xlpm.nd)&gt;1,A41&amp;"¦"&amp;INDEX(_xlpm.nd,1)&amp;"¦"&amp;INDEX(_xlpm.nd,2),"")))</f>
        <v>ЩР-1¦QF9¦кабель ВВГнг(А)-LS (3х4) → Коробка уравнивания потенциалов, пом. 01</v>
      </c>
      <c r="IO41" t="str">
        <f t="shared" si="254"/>
        <v>КУП.1.01.1¦Коробка уравнивания потенциалов, пом. 01</v>
      </c>
      <c r="IP41" t="str" cm="1">
        <f t="array" ref="IP41">IF(IM41="","",_xlfn.LET(_xlpm.nd,_xlfn.TEXTSPLIT(IM41,"|"),IF(COLUMNS(_xlpm.nd)&gt;2,A41&amp;"¦"&amp;INDEX(_xlpm.nd,2)&amp;"¦"&amp;INDEX(_xlpm.nd,3),"")))</f>
        <v/>
      </c>
      <c r="IQ41" t="str">
        <f t="shared" si="255"/>
        <v/>
      </c>
      <c r="IR41" t="str" cm="1">
        <f t="array" ref="IR41">IF(IM41="","",_xlfn.LET(_xlpm.nd,_xlfn.TEXTSPLIT(IM41,"|"),IF(COLUMNS(_xlpm.nd)&gt;3,A41&amp;"¦"&amp;INDEX(_xlpm.nd,3)&amp;"¦"&amp;INDEX(_xlpm.nd,4),"")))</f>
        <v/>
      </c>
      <c r="IS41" t="str">
        <f t="shared" si="256"/>
        <v/>
      </c>
      <c r="IT41" t="str" cm="1">
        <f t="array" ref="IT41">IF(IM41="","",_xlfn.LET(_xlpm.nd,_xlfn.TEXTSPLIT(IM41,"|"),IF(COLUMNS(_xlpm.nd)&gt;4,A41&amp;"¦"&amp;INDEX(_xlpm.nd,4)&amp;"¦"&amp;INDEX(_xlpm.nd,5),"")))</f>
        <v/>
      </c>
      <c r="IU41" t="str">
        <f t="shared" si="257"/>
        <v/>
      </c>
      <c r="IV41" t="str" cm="1">
        <f t="array" ref="IV41">IF(IM41="","",_xlfn.LET(_xlpm.nd,_xlfn.TEXTSPLIT(IM41,"|"),IF(COLUMNS(_xlpm.nd)&gt;5,A41&amp;"¦"&amp;INDEX(_xlpm.nd,5)&amp;"¦"&amp;INDEX(_xlpm.nd,6),"")))</f>
        <v/>
      </c>
      <c r="IW41" t="str">
        <f t="shared" si="258"/>
        <v/>
      </c>
      <c r="IX41" t="str" cm="1">
        <f t="array" ref="IX41">IF(IM41="","",_xlfn.LET(_xlpm.nd,_xlfn.TEXTSPLIT(IM41,"|"),IF(COLUMNS(_xlpm.nd)&gt;6,A41&amp;"¦"&amp;INDEX(_xlpm.nd,6)&amp;"¦"&amp;INDEX(_xlpm.nd,7),"")))</f>
        <v/>
      </c>
      <c r="IY41" t="str">
        <f t="shared" si="259"/>
        <v/>
      </c>
      <c r="IZ41" t="str">
        <f t="shared" si="260"/>
        <v/>
      </c>
      <c r="JA41" t="str">
        <f t="shared" si="261"/>
        <v>QF9</v>
      </c>
      <c r="JB41">
        <f t="shared" si="262"/>
        <v>0</v>
      </c>
      <c r="JC41">
        <f t="shared" si="263"/>
        <v>0</v>
      </c>
      <c r="JD41" t="str">
        <f t="shared" si="264"/>
        <v/>
      </c>
      <c r="JE41" t="str">
        <f t="shared" si="265"/>
        <v/>
      </c>
      <c r="JF41" t="str">
        <f t="shared" si="266"/>
        <v/>
      </c>
      <c r="JG41" t="str">
        <f t="shared" si="267"/>
        <v/>
      </c>
      <c r="JH41">
        <f>IF(B41="","",IFERROR(_xlfn.XLOOKUP(B41,Коды_код,Коды_уго),IFERROR(_xlfn.XLOOKUP(BC41,Коды_код,Коды_уго),IFERROR(_xlfn.XLOOKUP(LEFT(BC41,2),Коды_код,Коды_уго),""))))</f>
        <v>0</v>
      </c>
      <c r="JI41" t="str">
        <f>IF(B41="","",IF(OR(JH41="",JH41=0),"BOX",IFERROR(IF(VLOOKUP(JH41,УГО_блоки,3,FALSE)&amp;""&lt;&gt;"",VLOOKUP(JH41,УГО_блоки,3,FALSE),VLOOKUP(JH41,УГО_блоки,2,FALSE)),JH41)))</f>
        <v>BOX</v>
      </c>
      <c r="JJ41">
        <f t="shared" si="268"/>
        <v>1</v>
      </c>
      <c r="JK41" t="str">
        <f>IF(DQ41="","",IF(COUNTIF(DQ$3:DQ41,DQ41)=1,MAX(JK$2:JK40)+1,""))</f>
        <v/>
      </c>
      <c r="JL41" t="str">
        <f>IF(DE41="","",IF(COUNTIF(DE$3:DE41,DE41)+COUNTIF(DF$2:DF40,DE41)+COUNTIF(DG$2:DG40,DE41)=1,MAX(JL$2:JN40)+1,""))</f>
        <v/>
      </c>
      <c r="JM41" t="str">
        <f>IF(DF41="","",IF(COUNTIF(DE$3:DE41,DF41)+COUNTIF(DF$3:DF41,DF41)+COUNTIF(DG$2:DG40,DF41)=1,MAX(JL$2:JN40,JL41)+1,""))</f>
        <v/>
      </c>
      <c r="JN41" t="str">
        <f>IF(DG41="","",IF(COUNTIF(DE$3:DE41,DG41)+COUNTIF(DF$3:DF41,DG41)+COUNTIF(DG$3:DG41,DG41)=1,MAX(JL$2:JN40,JL41,JM41)+1,""))</f>
        <v/>
      </c>
      <c r="JO41" t="str">
        <f t="shared" si="269"/>
        <v/>
      </c>
      <c r="JP41" t="str">
        <f>IF(JO41="","",IF(COUNTIF(JO$3:JO41,JO41)=1,MAX(JP$2:JP40)+1,""))</f>
        <v/>
      </c>
      <c r="JQ41" t="str">
        <f>IF(HG41="","",COUNTIF(HG$3:HG41,"?*"))</f>
        <v/>
      </c>
      <c r="JR41" t="str">
        <f>IF(OR(HG41="",HI41=""),"",IF(COUNTIFS(HG$3:HG41,"?*",HI$3:HI41,HI41)=1,MAX(JR$2:JR40)+1,""))</f>
        <v/>
      </c>
      <c r="JS41">
        <f t="shared" si="270"/>
        <v>0</v>
      </c>
      <c r="JT41">
        <f>IF(B41="","",COUNTIF(B$3:B41,"?*"))</f>
        <v>37</v>
      </c>
      <c r="JU41">
        <f>IF(HL41&lt;&gt;1,0,_xlfn.LET(_xlpm.k,MAX(IFERROR(--_xlfn.XLOOKUP(B41,Коды_код,Коды_3L),0),IFERROR(--_xlfn.XLOOKUP(BC41,Коды_код,Коды_3L),0),IFERROR(--_xlfn.XLOOKUP(LEFT(BC41,2),Коды_код,Коды_3L),0)),IF(_xlpm.k&gt;0,_xlpm.k,IF(IFERROR(--LEFT(SUBSTITUTE(JO41,"x","х"),FIND("х",SUBSTITUTE(JO41,"x","х"))-1),3)&gt;3,Каталог!$S$9,1))))</f>
        <v>0</v>
      </c>
      <c r="JV41">
        <f t="shared" si="271"/>
        <v>0</v>
      </c>
      <c r="JW41" t="str">
        <f t="shared" si="272"/>
        <v>авто</v>
      </c>
      <c r="JX41" t="str">
        <f t="shared" si="273"/>
        <v/>
      </c>
      <c r="JY41">
        <f t="shared" si="274"/>
        <v>0</v>
      </c>
      <c r="JZ41">
        <f t="shared" si="275"/>
        <v>1</v>
      </c>
    </row>
    <row r="42" spans="1:286" x14ac:dyDescent="0.3">
      <c r="A42" t="s">
        <v>947</v>
      </c>
      <c r="B42" t="s">
        <v>1222</v>
      </c>
      <c r="C42" t="str">
        <f>Линии[[#This Row],[_авто наименование]]</f>
        <v>Увлажнитель, пом. 01</v>
      </c>
      <c r="E42">
        <v>0.4</v>
      </c>
      <c r="G42" t="str">
        <f>Линии[[#This Row],[_авто автомат]]</f>
        <v>1P С6А</v>
      </c>
      <c r="H42" t="str">
        <f>Линии[[#This Row],[_авто управление]]</f>
        <v/>
      </c>
      <c r="I42" t="str">
        <f>Линии[[#This Row],[_авто аппараты]]</f>
        <v/>
      </c>
      <c r="J42">
        <f>Линии[[#This Row],[_авто сечение]]</f>
        <v>1.5</v>
      </c>
      <c r="K42">
        <v>10</v>
      </c>
      <c r="L42" s="114" t="s">
        <v>36</v>
      </c>
      <c r="M42" t="s">
        <v>493</v>
      </c>
      <c r="N42" t="str">
        <f t="shared" si="138"/>
        <v/>
      </c>
      <c r="O42" s="6" cm="1">
        <f t="array" ref="O42">IF(B42="","",IF(BH42&lt;&gt;"",IFERROR(_xlfn.XLOOKUP(BH42,Щиты[Щит],Щиты[Iр, А]),""),IF(BP42=1,IF(OR(N(_xlfn.XLOOKUP(A42,Щиты[Щит],Щиты[Вводов],1))&lt;=1,LOWER(TRIM(_xlfn.XLOOKUP(A42,Щиты[Щит],Щиты[АВР],"")&amp;""))="да"),IFERROR(_xlfn.XLOOKUP(A42,Щиты[Щит],Щиты[Iр, А]),""),IFERROR(N(BS42)*_xlfn.XLOOKUP(A42,Щиты[Щит],Щиты[Кс итог])/(SQRT(3)*Uн_лин*_xlfn.XLOOKUP(A42,Щиты[Щит],Щиты[cos φ])),"")),IF(BV42=1,IFERROR(BS42*1000/BU42,""),IFERROR(_xlfn.IFS(BX42=1,BS42/((Uн_лин/SQRT(3))*CE42),BX42=3,BS42/(SQRT(3)*Uн_лин*CE42)),"")))))</f>
        <v>1.823211376388292</v>
      </c>
      <c r="P42" s="7">
        <f>IF(B42="","",IFERROR(IF(VLOOKUP(BC42,Потребители_обозначение,4,FALSE)=1,VLOOKUP(BC42,Потребители_обозначение,3,FALSE)*(MAX(1,N(D42))*2-1)+EI42+VLOOKUP(BE42,Этаж_обозначение,3,FALSE)+VLOOKUP(BE42,Этаж_обозначение,4,FALSE),VLOOKUP(BC42,Потребители_обозначение,3,FALSE)*(MAX(1,N(D42))*2-1)+EI42),EI42))</f>
        <v>11</v>
      </c>
      <c r="Q42" s="6">
        <f t="shared" si="139"/>
        <v>1.3060288498727977</v>
      </c>
      <c r="R42" t="str">
        <f t="shared" si="140"/>
        <v>ВВГнг(А)-LS (3х1,5)</v>
      </c>
      <c r="S42" t="str">
        <f>IF(BM42="","",IF(BN42="вводной узел","узел ","")&amp;"л."&amp;(INT((BM42-1)/Столбцов_на_лист)+1)&amp;" / "&amp;(MOD(BM42-1,Столбцов_на_лист)+1))</f>
        <v>л.2 / 2</v>
      </c>
      <c r="T42" s="119">
        <f t="shared" si="141"/>
        <v>0.8</v>
      </c>
      <c r="U42" s="7" t="str">
        <f>IF(OR(CG42=0,N(BV42)+N(IB42)=0),"",ROUNDUP(Запас_БП*(N(HY42)+N(HZ42)),0))</f>
        <v/>
      </c>
      <c r="V42" s="119" t="str">
        <f t="shared" si="142"/>
        <v/>
      </c>
      <c r="W42" s="7">
        <f>IFERROR(IF(OR(B42="",BP42=1,BV42=1,NOT(ISNUMBER(EN42)),N(DT42)=0),"",MAX(0,ROUNDDOWN((c_min*(Uн_лин*1000/SQRT(3))/(HT42*N(DT42))-_xlfn.XLOOKUP(A42,Щиты[Щит],Щиты[Zпетли на шинах, Ом]))*EN42/(2*ρкз_Cu),0))),"")</f>
        <v>96</v>
      </c>
      <c r="Y42" t="str">
        <f>Линии[[#This Row],[_авто утечка]]</f>
        <v/>
      </c>
      <c r="Z42">
        <v>1</v>
      </c>
      <c r="AA42">
        <v>230</v>
      </c>
      <c r="AB42" t="str">
        <f>Линии[[#This Row],[_авто группа Кс]]</f>
        <v>Быт</v>
      </c>
      <c r="AK42" t="str">
        <f>Линии[[#This Row],[_авто модуль]]</f>
        <v/>
      </c>
      <c r="AN42" t="s">
        <v>11</v>
      </c>
      <c r="AO42">
        <v>3</v>
      </c>
      <c r="BA42" cm="1">
        <f t="array" ref="BA42">ROW()-ROW(Линии[#Headers])</f>
        <v>40</v>
      </c>
      <c r="BC42" s="6" t="str">
        <f t="shared" si="143"/>
        <v>УВ</v>
      </c>
      <c r="BD42" t="str">
        <f t="shared" si="144"/>
        <v>1.01.1</v>
      </c>
      <c r="BE42" t="str">
        <f t="shared" si="145"/>
        <v>1</v>
      </c>
      <c r="BF42" t="str">
        <f t="shared" si="146"/>
        <v>01.1</v>
      </c>
      <c r="BG42" t="str">
        <f t="shared" si="147"/>
        <v>01</v>
      </c>
      <c r="BH42" t="str">
        <f>IF(X42&lt;&gt;"",X42,IF(AND(B42&lt;&gt;"",B42&lt;&gt;A42,ISNUMBER(_xlfn.XMATCH(B42,Щиты[Щит]))),B42,""))</f>
        <v/>
      </c>
      <c r="BI42" t="str" cm="1">
        <f t="array" ref="BI42">IF(B42="","",IF(BH42&lt;&gt;"","Щит "&amp;BH42,_xlfn.LET(_xlpm.nm,IFERROR(_xlfn.XLOOKUP(BC42,Коды_код,Коды_имя)&amp;"",""),_xlpm.md,IFERROR(N(_xlfn.XLOOKUP(BC42,Коды_код,Коды_режим)),1),_xlpm.ex,IF(Имя_режим="по экспликации",IFERROR(_xlfn.XLOOKUP(BE42&amp;"|"&amp;BG42,Экспликация[Этаж]&amp;"|"&amp;Экспликация[Помещение],Экспликация[Название])&amp;"",""),""),_xlpm.rm,IF(BG42="","",IF(_xlpm.ex&lt;&gt;"",". "&amp;_xlpm.ex&amp;IF(Имя_пом="нет"," ("&amp;BG42&amp;")"," (пом. "&amp;BG42&amp;")"),IF(Имя_пом="нет"," ",", пом. ")&amp;BG42)),IF(_xlpm.nm="","",IF(_xlpm.md=2,_xlpm.nm&amp;" шлейф "&amp;BE42,_xlpm.nm&amp;_xlpm.rm)))))</f>
        <v>Увлажнитель, пом. 01</v>
      </c>
      <c r="BJ42" t="str">
        <f t="shared" si="148"/>
        <v>Увлажнитель, пом. 01</v>
      </c>
      <c r="BK42">
        <f>IFERROR(_xlfn.XMATCH(A42,Щиты[Щит]),0)</f>
        <v>4</v>
      </c>
      <c r="BL42">
        <f>_xlfn.LET(_xlpm.k,IFERROR(_xlfn.XLOOKUP(A42,Щиты[Щит],Щиты[Мест под вводной узел]),""),IF(_xlpm.k="",Столбцов_на_лист,N(_xlpm.k)))</f>
        <v>3</v>
      </c>
      <c r="BM42">
        <f t="shared" si="149"/>
        <v>19</v>
      </c>
      <c r="BN42" t="str">
        <f t="shared" si="150"/>
        <v>линии</v>
      </c>
      <c r="BO42" s="6">
        <f>IFERROR(N(_xlfn.XLOOKUP(BC42,Коды_код,Коды_квт)),0)</f>
        <v>0</v>
      </c>
      <c r="BP42">
        <f t="shared" si="151"/>
        <v>0</v>
      </c>
      <c r="BQ42" t="str">
        <f>IF(B42="","",IF(BH42&lt;&gt;"",IFERROR(_xlfn.XLOOKUP(BH42,Щиты[Щит],Щиты[Руст, кВт]),0),IF(BP42=1,IF(OR(N(_xlfn.XLOOKUP(A42,Щиты[Щит],Щиты[Вводов],1))&lt;=1,LOWER(TRIM(_xlfn.XLOOKUP(A42,Щиты[Щит],Щиты[АВР],"")&amp;""))="да"),IFERROR(_xlfn.XLOOKUP(A42,Щиты[Щит],Щиты[Руст, кВт]),0),SUMIFS(Линии[_Р для вводов],Линии[Щит],A42,Линии[Источник для режимов],GF42)),IF(BO42&gt;0,ROUND(BO42*MAX(1,N(D42)),3),""))))</f>
        <v/>
      </c>
      <c r="BR42">
        <f t="shared" si="152"/>
        <v>0.4</v>
      </c>
      <c r="BS42" s="6">
        <f>IF(B42="","",IF(BH42&lt;&gt;"",IFERROR(_xlfn.XLOOKUP(BH42,Щиты[Щит],Щиты[Руст, кВт]),0),N(BR42)))</f>
        <v>0.4</v>
      </c>
      <c r="BT42" t="str">
        <f>IF(B42="","",IFERROR(IF(VLOOKUP(BC42,Потребители_обозначение,8,FALSE)=0,"",VLOOKUP(BC42,Потребители_обозначение,8,FALSE)),""))</f>
        <v/>
      </c>
      <c r="BU42">
        <f t="shared" si="153"/>
        <v>230</v>
      </c>
      <c r="BV42">
        <f t="shared" si="154"/>
        <v>0</v>
      </c>
      <c r="BW42">
        <f>IF(B42="","",IF(BH42&lt;&gt;"",3,IFERROR(IF(N(VLOOKUP(BC42,Потребители_обозначение,9,FALSE))=0,1,VLOOKUP(BC42,Потребители_обозначение,9,FALSE)),1)))</f>
        <v>1</v>
      </c>
      <c r="BX42">
        <f t="shared" si="155"/>
        <v>1</v>
      </c>
      <c r="BY42" t="str">
        <f>IF(B42="","",_xlfn.LET(_xlpm.bc,IFERROR(IF(VLOOKUP(BC42,Потребители_обозначение,6,FALSE)=0,"",VLOOKUP(BC42,Потребители_обозначение,6,FALSE)&amp;""),""),IF(AND(GA42="да",OR(_xlpm.bc="",_xlpm.bc="мс")),Марка_пож,IF(AND(_xlpm.bc="",BH42&lt;&gt;""),"мс",_xlpm.bc))))</f>
        <v>мс</v>
      </c>
      <c r="BZ42" t="str">
        <f t="shared" si="156"/>
        <v>мс</v>
      </c>
      <c r="CA42">
        <f>IF(B42="","",_xlfn.LET(_xlpm.cc,IFERROR(N(VLOOKUP(BC42,Потребители_обозначение,7,FALSE)),0),IF(_xlpm.cc&gt;0,_xlpm.cc,IF(BZ42="","",IF(BV42=1,2,IF(N(BX42)=3,5,3))))))</f>
        <v>3</v>
      </c>
      <c r="CB42">
        <f t="shared" si="157"/>
        <v>3</v>
      </c>
      <c r="CC42">
        <f>IFERROR(N(VLOOKUP(BC42,Потребители_обозначение,10,FALSE)),0)</f>
        <v>0</v>
      </c>
      <c r="CD42">
        <f>IFERROR(VLOOKUP(BC42,Потребители_обозначение,5,FALSE),0)</f>
        <v>1</v>
      </c>
      <c r="CE42" s="6" cm="1">
        <f t="array" ref="CE42">IF(B42="","",IF(BH42&lt;&gt;"",IFERROR(_xlfn.XLOOKUP(BH42,Щиты[Щит],Щиты[cos φ]),0.95),IF(BP42=1,IFERROR(_xlfn.XLOOKUP(A42,Щиты[Щит],Щиты[cos φ]),0.95),IF(ISNUMBER(AD42),AD42,IFERROR(IF(CD42=2,_xlfn.IFS(BX42=3,VLOOKUP(BS42,Справочная_двигатели,8,FALSE),BX42=1,VLOOKUP(BS42,Справочная_двигатели,10,TRUE)),IF(AND(Методика="нормы 2026",FG42="Сил"),0.8,0.95)),0.95)))))</f>
        <v>0.95</v>
      </c>
      <c r="CF42">
        <f t="shared" si="158"/>
        <v>0</v>
      </c>
      <c r="CG42">
        <f t="shared" si="159"/>
        <v>1</v>
      </c>
      <c r="CH42">
        <f t="shared" si="160"/>
        <v>0</v>
      </c>
      <c r="CI42">
        <f>IF(B42="","",IF(BV42=1,IFERROR(BS42/((Uн_лин/SQRT(3))*MAX(0.5,N(CE42))),0),N(O42)))</f>
        <v>1.823211376388292</v>
      </c>
      <c r="CJ42">
        <f t="shared" si="161"/>
        <v>0</v>
      </c>
      <c r="CK42">
        <f t="shared" si="162"/>
        <v>0</v>
      </c>
      <c r="CL42">
        <f t="shared" si="163"/>
        <v>0</v>
      </c>
      <c r="CM42">
        <f t="shared" si="164"/>
        <v>0</v>
      </c>
      <c r="CN42">
        <f t="shared" si="165"/>
        <v>0</v>
      </c>
      <c r="CO42">
        <f>IF(BC42="",0,_xlfn.LET(_xlpm.v,IFERROR(_xlfn.XLOOKUP(B42,Коды_код,Коды_мА),IFERROR(_xlfn.XLOOKUP(BC42,Коды_код,Коды_мА),IFERROR(_xlfn.XLOOKUP(LEFT(BC42,2),Коды_код,Коды_мА),""))),IF(_xlpm.v="да",30,IF(ISNUMBER(_xlpm.v),_xlpm.v,0))))</f>
        <v>0</v>
      </c>
      <c r="CP42" t="str">
        <f t="shared" si="166"/>
        <v/>
      </c>
      <c r="CQ42" t="str">
        <f>_xlfn.LET(_xlpm.k,IFERROR(_xlfn.XLOOKUP(BC42,Коды_код,Коды_утечка)&amp;"",""),IF(_xlpm.k="","дифавтомат",_xlpm.k))</f>
        <v>дифавтомат</v>
      </c>
      <c r="CR42" t="str" cm="1">
        <f t="array" ref="CR42">IF(CG42=0,"",_xlfn.LET(_xlpm.sg,TRIM(_xlfn.TEXTSPLIT(DD42&amp;"",";")),_xlpm.f_,_xlfn._xlws.FILTER(_xlpm.sg,LEFT(_xlpm.sg,3)="УЗО",""),IFERROR(INDEX(_xlpm.f_,1)&amp;"","")))</f>
        <v/>
      </c>
      <c r="CS42" t="str">
        <f t="shared" si="167"/>
        <v/>
      </c>
      <c r="CT42" s="6" t="str" cm="1">
        <f t="array" ref="CT42">IF(CR42="","",_xlfn.LET(_xlpm.tk,_xlfn.TEXTSPLIT(UPPER(CR42)," ",,TRUE),_xlpm.a_,_xlfn._xlws.FILTER(_xlpm.tk,ISNUMBER(--LEFT(_xlpm.tk,1))*((ISNUMBER(SEARCH("А",_xlpm.tk))+ISNUMBER(SEARCH("A",_xlpm.tk)))&gt;0)*NOT(ISNUMBER(SEARCH("МА",_xlpm.tk)))*NOT(ISNUMBER(SEARCH("MA",_xlpm.tk))),""),IFERROR(--SUBSTITUTE(SUBSTITUTE(INDEX(_xlpm.a_,1),"А",""),"A",""),"")))</f>
        <v/>
      </c>
      <c r="CU42" t="str" cm="1">
        <f t="array" ref="CU42">IF(CR42="","",_xlfn.LET(_xlpm.tk,_xlfn.TEXTSPLIT(UPPER(CR42)," ",,TRUE),_xlpm.a_,_xlfn._xlws.FILTER(_xlpm.tk,ISNUMBER(--LEFT(_xlpm.tk,1))*((ISNUMBER(SEARCH("МА",_xlpm.tk))+ISNUMBER(SEARCH("MA",_xlpm.tk)))&gt;0),""),IFERROR(--SUBSTITUTE(SUBSTITUTE(INDEX(_xlpm.a_,1),"МА",""),"MA",""),30)))</f>
        <v/>
      </c>
      <c r="CV42" t="str">
        <f>IF(CS42="","",IFERROR(_xlfn.XLOOKUP(CS42,Линии[_n],Линии[_УЗО, мА]),30))</f>
        <v/>
      </c>
      <c r="CW42">
        <f>IF(CS42="",0,IF(ISNUMBER(SEARCH("4P",IFERROR(_xlfn.XLOOKUP(CS42,Линии[_n],Линии[_УЗО строки])&amp;"",""))),0,1))</f>
        <v>0</v>
      </c>
      <c r="CX42" t="str">
        <f>IF(AND(CS42&lt;&gt;"",CS42=BA42),SUMIFS(Линии[_ток на 230 В],Линии[_блок УЗО],BA42,Линии[Щит],A42),"")</f>
        <v/>
      </c>
      <c r="CY42" t="str">
        <f>IF(AND(CS42&lt;&gt;"",CS42=BA42),SUMIFS(Линии[_ток утечки линии, мА],Линии[_блок УЗО],BA42,Линии[Щит],A42),"")</f>
        <v/>
      </c>
      <c r="CZ42">
        <f t="shared" si="168"/>
        <v>0</v>
      </c>
      <c r="DA42">
        <f t="shared" si="169"/>
        <v>0</v>
      </c>
      <c r="DB42">
        <f>IF(B42="",0,IFERROR(--_xlfn.XLOOKUP(B42,Коды_код,Коды_минавт),IFERROR(--_xlfn.XLOOKUP(BC42,Коды_код,Коды_минавт),IFERROR(--_xlfn.XLOOKUP(LEFT(BC42,2),Коды_код,Коды_минавт),0))))</f>
        <v>0</v>
      </c>
      <c r="DC42" t="str">
        <f>IF(B42="","",IFERROR(_xlfn.XLOOKUP(BC42,Коды_код,Коды_апп)&amp;"",""))</f>
        <v/>
      </c>
      <c r="DD42" t="str">
        <f t="shared" si="170"/>
        <v/>
      </c>
      <c r="DE42" t="str" cm="1">
        <f t="array" ref="DE42">IF(TRIM(DD42&amp;"")="","",IFERROR(TRIM(INDEX(_xlfn.TEXTSPLIT(DD42&amp;";;;",";"),1)),""))</f>
        <v/>
      </c>
      <c r="DF42" t="str" cm="1">
        <f t="array" ref="DF42">IF(TRIM(DD42&amp;"")="","",IFERROR(TRIM(INDEX(_xlfn.TEXTSPLIT(DD42&amp;";;;",";"),2)),""))</f>
        <v/>
      </c>
      <c r="DG42" t="str" cm="1">
        <f t="array" ref="DG42">IF(TRIM(DD42&amp;"")="","",IFERROR(TRIM(INDEX(_xlfn.TEXTSPLIT(DD42&amp;";;;",";"),3)),""))</f>
        <v/>
      </c>
      <c r="DH42">
        <f t="shared" si="171"/>
        <v>0</v>
      </c>
      <c r="DI42" t="str">
        <f>IF(B42="","",_xlfn.LET(_xlpm.t,LOWER(AZ42&amp;""),IF(ISNUMBER(SEARCH("dim",_xlpm.t)),"DIM",IF(ISNUMBER(SEARCH("dali",_xlpm.t)),"DALI",IF(OR(ISNUMBER(SEARCH("relay",_xlpm.t)),ISNUMBER(SEARCH("реле",_xlpm.t))),"Relay",IF(ISNUMBER(SEARCH("кнопк",_xlpm.t)),"",IFERROR(_xlfn.XLOOKUP(BC42,Коды_код,Коды_упр)&amp;"","")))))))</f>
        <v/>
      </c>
      <c r="DJ42" t="str">
        <f t="shared" si="172"/>
        <v/>
      </c>
      <c r="DK42">
        <f>IF(B42="","",_xlfn.LET(_xlpm.ig,IF(N(CX42)&gt;0,N(CX42),N(CI42)+IF(AJ42="вручную",0,N(CJ42))),_xlpm.n0,IFERROR(VLOOKUP(_xlpm.ig,Автомат_номиналы,2,TRUE),0),_xlpm.mn,MAX(DB42,IF(AJ42="вручную",0,N(CM42))),MAX(_xlpm.n0,_xlpm.mn,IF(DH42=1,Мин_автомат_БП,0))))</f>
        <v>6</v>
      </c>
      <c r="DL42">
        <f t="shared" si="173"/>
        <v>1</v>
      </c>
      <c r="DM42" t="str">
        <f t="shared" si="174"/>
        <v>1P</v>
      </c>
      <c r="DN42" t="str">
        <f>_xlfn.LET(_xlpm.cc,UPPER(TRIM(IFERROR(_xlfn.XLOOKUP(BC42,Коды_код,Коды_хар)&amp;"",""))),IF(OR(_xlpm.cc="B",_xlpm.cc="В"),"B",IF(_xlpm.cc="D","D","С")))</f>
        <v>С</v>
      </c>
      <c r="DO42" t="str">
        <f t="shared" si="175"/>
        <v>1P С6А</v>
      </c>
      <c r="DP42" t="str">
        <f t="shared" si="176"/>
        <v>1P С6А</v>
      </c>
      <c r="DQ42" t="str">
        <f t="shared" si="177"/>
        <v>1P С6А</v>
      </c>
      <c r="DR42" cm="1">
        <f t="array" ref="DR42">IF(DQ42="","",_xlfn.LET(_xlpm.t,SUBSTITUTE(SUBSTITUTE(SUBSTITUTE(UPPER(DQ42),"С","C"),"А","A"),"В","B"),_xlpm.tk,_xlfn.TEXTSPLIT(_xlpm.t," "),_xlpm.f,_xlfn._xlws.FILTER(_xlpm.tk,ISNUMBER(--MID(_xlpm.tk,2,1))*ISNUMBER(SEARCH(LEFT(_xlpm.tk,1)&amp;"#","B#C#D#"))*(LEN(_xlpm.tk)&gt;1),""),_xlpm.x,INDEX(_xlpm.f,1),IFERROR(--SUBSTITUTE(MID(_xlpm.x,2,9),"A",""),IFERROR(--SUBSTITUTE(INDEX(_xlfn._xlws.FILTER(_xlpm.tk,ISNUMBER(--SUBSTITUTE(_xlpm.tk,"A","")),""),1),"A",""),""))))</f>
        <v>6</v>
      </c>
      <c r="DS42" t="str">
        <f t="shared" si="178"/>
        <v>ok</v>
      </c>
      <c r="DT42">
        <f t="shared" si="179"/>
        <v>6</v>
      </c>
      <c r="DU42" t="str">
        <f t="shared" si="180"/>
        <v>1P С6А</v>
      </c>
      <c r="DV42">
        <f t="shared" si="181"/>
        <v>0</v>
      </c>
      <c r="DW42">
        <f t="shared" si="182"/>
        <v>0</v>
      </c>
      <c r="DX42">
        <f t="shared" si="183"/>
        <v>0</v>
      </c>
      <c r="DY42">
        <f t="shared" si="184"/>
        <v>1.823211376388292</v>
      </c>
      <c r="DZ42">
        <f t="shared" si="185"/>
        <v>1</v>
      </c>
      <c r="EA42">
        <f>IF(ISNUMBER(AP42),AP42,К_прокл)</f>
        <v>1</v>
      </c>
      <c r="EB42">
        <f t="shared" si="186"/>
        <v>2</v>
      </c>
      <c r="EC42">
        <f>IFERROR(N(VLOOKUP(BZ42,Кабель_обозначение,3,FALSE)),1)</f>
        <v>1</v>
      </c>
      <c r="ED42">
        <f>IFERROR(N(_xlfn.XLOOKUP(A42,Щиты[Щит],Щиты[ΔU до шин, %])),0)</f>
        <v>1.0560288498727977</v>
      </c>
      <c r="EE42">
        <f>IFERROR(_xlfn.XLOOKUP(A42,Щиты[Щит],Щиты[Zпетли на шинах, Ом]),"")</f>
        <v>0.28247829354840204</v>
      </c>
      <c r="EF42">
        <f>IFERROR(N(_xlfn.XLOOKUP(A42,Щиты[Щит],Щиты[ΔU до шин (подбор), %])),0)</f>
        <v>1.0560288498727977</v>
      </c>
      <c r="EG42">
        <f>IFERROR(_xlfn.XLOOKUP(A42,Щиты[Щит],Щиты[Zпетли на шинах (подбор), Ом]),"")</f>
        <v>0.28247829354840204</v>
      </c>
      <c r="EH42" t="str">
        <f t="shared" si="187"/>
        <v/>
      </c>
      <c r="EI42">
        <f t="shared" si="188"/>
        <v>10</v>
      </c>
      <c r="EJ42">
        <f t="shared" si="189"/>
        <v>2</v>
      </c>
      <c r="EK42">
        <f t="shared" si="190"/>
        <v>0.31</v>
      </c>
      <c r="EL42" s="6">
        <f>IF(B42="","",IF(BV42=1,dU_LED,IF(IFERROR(_xlfn.XLOOKUP(BC42,Коды_код,Коды_уго),"")="Светильник",3,4)+IF(Методика="нормы 2026",MIN(0.5,MAX(0,N(P42)-100)*0.005),0)))</f>
        <v>4</v>
      </c>
      <c r="EM42" cm="1">
        <f t="array" ref="EM42">IF(OR(B42="",BZ42="",EC42&lt;&gt;1),"",_xlfn.LET(_xlpm.sz,Iдоп_S,_xlpm.t_,CHOOSE(EB42,Iдоп_1ж,Iдоп_2ж,Iдоп_3ж)*DZ42*EA42,_xlpm.dcx,BV42=1,_xlpm.inn,IF(_xlpm.dcx,N(O42),N(DT42)),_xlpm.smin,MAX(1.5,CC42),_xlpm.L_,N(P42)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42)/N(BU42)*100,999),IFERROR(N(EJ42)*(_xlpm.rho*_xlpm.L_/_xlpm.sz*N(CE42)+_xlpm.xx*_xlpm.L_*N(EK42)/1000)*N(O42)/((Uн_лин/SQRT(3))*1000)*100,999)),_xlpm.kz,IF(OR(_xlpm.dcx,DW42=1,NOT(ISNUMBER(EG42)),_xlpm.L_=0,_xlpm.inn=0),1,IFERROR(--(c_min*(Uн_лин*1000/SQRT(3))/(EG42+2*ρкз_Cu*_xlpm.L_/_xlpm.sz)&gt;=HT42*_xlpm.inn),0)),_xlpm.ok,IFERROR((_xlpm.sz&gt;=_xlpm.smin)*(_xlpm.t_&gt;=_xlpm.inn)*IF(_xlpm.L_&gt;0,(_xlpm.du_+IF(_xlpm.dcx,0,EF42)&lt;=EL42+0.00001),1)*_xlpm.kz,0),_xlpm.r_,_xlfn._xlws.FILTER(_xlpm.sz,_xlpm.ok,"не подобрано"),INDEX(_xlpm.r_,1)))</f>
        <v>1.5</v>
      </c>
      <c r="EN42">
        <f t="shared" si="191"/>
        <v>1.5</v>
      </c>
      <c r="EO42" cm="1">
        <f t="array" ref="EO42">IF(OR(B42="",BZ42="",EC42&lt;&gt;1),"",_xlfn.LET(_xlpm.sz,Iдоп_S,_xlpm.t_,CHOOSE(EB42,Iдоп_1ж,Iдоп_2ж,Iдоп_3ж)*DZ42*EA42,_xlpm.ok,IFERROR((_xlpm.sz&gt;=MAX(1.5,CC42))*(_xlpm.t_&gt;=N(DT42)),0),_xlpm.r_,_xlfn._xlws.FILTER(_xlpm.sz,_xlpm.ok,""),INDEX(_xlpm.r_,1)))</f>
        <v>1.5</v>
      </c>
      <c r="EP42" s="6" cm="1">
        <f t="array" ref="EP42">IFERROR(ROUNDUP(N(EJ42)*(_xlfn.XLOOKUP(EO42,INDEX(Кабель_сопротивление,0,1),INDEX(Кабель_сопротивление,0,3))*N(P42)/EO42*N(CE42)+_xlfn.XLOOKUP(EO42,INDEX(Кабель_сопротивление,0,1),INDEX(Кабель_сопротивление,0,2))*N(P42)*N(EK42)/1000)*N(O42)/((Uн_лин/SQRT(3))*1000)*100,2),"")</f>
        <v>0.25</v>
      </c>
      <c r="EQ42">
        <f>IFERROR(2*ρкз_Cu*N(P42)/EO42,"")</f>
        <v>0.38573333333333332</v>
      </c>
      <c r="ER42">
        <f>IFERROR(VLOOKUP(EN42,Кабель_сопротивление,3,FALSE),"")</f>
        <v>2.2499999999999999E-2</v>
      </c>
      <c r="ES42">
        <f>IFERROR(VLOOKUP(EN42,Кабель_сопротивление,2,FALSE),"")</f>
        <v>0.11</v>
      </c>
      <c r="ET42" t="str">
        <f t="shared" si="192"/>
        <v/>
      </c>
      <c r="EU42" t="str">
        <f t="shared" si="193"/>
        <v/>
      </c>
      <c r="EV42">
        <f t="shared" si="194"/>
        <v>0.57294453967229597</v>
      </c>
      <c r="EW42" s="6">
        <f>IFERROR(ROUNDUP(EV42/IF(BV42=1,BU42,(Uн_лин/SQRT(3))*1000)*100,2),"")</f>
        <v>0.25</v>
      </c>
      <c r="EX42" t="str">
        <f>IFERROR(VLOOKUP(BZ42,Кабель_обозначение,2,FALSE),"")</f>
        <v>ВВГнг(А)-LS</v>
      </c>
      <c r="EY42" t="str">
        <f t="shared" si="195"/>
        <v>ВВГнг(А)-LS (3х1,5)</v>
      </c>
      <c r="EZ42" t="str">
        <f t="shared" si="196"/>
        <v>ВВГнг(А)-LS (3х1,5)
L=11-0,25%</v>
      </c>
      <c r="FA42">
        <f>IFERROR(2*ρкз_Cu*P42/EN42,"")</f>
        <v>0.38573333333333332</v>
      </c>
      <c r="FB42">
        <f t="shared" si="197"/>
        <v>0.12833333333333333</v>
      </c>
      <c r="FC42" s="6">
        <f>IFERROR(IF(OR(B42="",BV42=1,NOT(ISNUMBER(EN42)),N(P42)=0),"",_xlfn.XLOOKUP(A42,Щиты[Щит],Щиты[Zпетли на шинах, Ом])+FA42),"")</f>
        <v>0.6682116268817353</v>
      </c>
      <c r="FD42" s="6">
        <f>IF(ISNUMBER(FC42),c_min*(Uн_лин*1000/SQRT(3))/FC42,"")</f>
        <v>328.32877110485759</v>
      </c>
      <c r="FE42" s="6">
        <f>IFERROR(IF(OR(B42="",NOT(ISNUMBER(EN42))),"",1.05*(Uн_лин*1000/SQRT(3))/(_xlfn.XLOOKUP(A42,Щиты[Щит],Щиты[Zmax на шинах, Ом])+FB42)/1000),"")</f>
        <v>1.1360538160418157</v>
      </c>
      <c r="FF42" s="6" t="str">
        <f>IF(B42="","",IF(ISNUMBER(AC42),"Сил",IF(IFERROR(_xlfn.XLOOKUP(BC42,Коды_код,Коды_группа)&amp;"","")="","Быт",_xlfn.XLOOKUP(BC42,Коды_код,Коды_группа)&amp;"")))</f>
        <v>Быт</v>
      </c>
      <c r="FG42" s="6" t="str">
        <f t="shared" si="198"/>
        <v>Быт</v>
      </c>
      <c r="FH42" s="6">
        <f>IF(FG42="Щит","щит",IF(FG42="","",IF(FG42="Быт",IFERROR(_xlfn.XLOOKUP(A42,Щиты[Щит],Щиты[Кс быт]),1),IF(FG42="Сил",IF(ISNUMBER(AC42),AC42,IF(Методика="нормы 2026",IFERROR(_xlfn.XLOOKUP(A42,Щиты[Щит],Щиты[Кс силовых (табл. 7.5)]),1),1)),IF(OR(FG42="Пост",FG42="Отоп"),1,IF(FG42="ВНГ",0.7,0))))))</f>
        <v>0.8</v>
      </c>
      <c r="FI42">
        <f>IF(FG42="","",IF(AND(BP42=1,TRIM(AE42&amp;"")=""),IF(COUNTIFS(Линии[Щит],A42,Линии[Секция (1/2/3)],"&gt;=2")&gt;0,MIN(3,MAX(1,IFERROR(--BD42,1))),1),IFERROR(MIN(3,MAX(1,INT(--AE42))),1)))</f>
        <v>1</v>
      </c>
      <c r="FJ42">
        <f t="shared" si="199"/>
        <v>0.4</v>
      </c>
      <c r="FK42">
        <f t="shared" si="200"/>
        <v>0.4</v>
      </c>
      <c r="FL42">
        <f t="shared" si="201"/>
        <v>0</v>
      </c>
      <c r="FM42">
        <f t="shared" si="202"/>
        <v>0</v>
      </c>
      <c r="FN42">
        <f t="shared" si="203"/>
        <v>0</v>
      </c>
      <c r="FO42">
        <f t="shared" si="204"/>
        <v>0</v>
      </c>
      <c r="FP42">
        <f t="shared" si="205"/>
        <v>0.4</v>
      </c>
      <c r="FQ42">
        <f t="shared" si="206"/>
        <v>0.4</v>
      </c>
      <c r="FR42">
        <f t="shared" si="207"/>
        <v>0.38</v>
      </c>
      <c r="FS42">
        <f>IF(CG42=1,IF(AND(CH42=1,CW42=1),0,IF(AND(CS42&lt;&gt;"",CS42=BA42,CW42=1),SUMIFS(Линии[_Р линии, кВт],Линии[_блок УЗО],BA42,Линии[Щит],A42),N(BS42)+IF(AJ42="вручную",0,N(CK42)))),0)</f>
        <v>0.4</v>
      </c>
      <c r="FT42" t="str">
        <f t="shared" si="208"/>
        <v>L2</v>
      </c>
      <c r="FU42" t="str">
        <f>IF(B42="","",IF(CG42=0,IF(BA42=1,"",FW41),IF(AND(CH42=1,CW42=1,CS42&lt;&gt;""),IFERROR(_xlfn.XLOOKUP(CS42,Линии[_n],Линии[_фаза итог]),"L1"),IF(OR(N(DL42)&gt;=3,N(BX42)&gt;=3),"L1,L2,L3",IFERROR(_xlfn.TEXTBEFORE(_xlfn.TEXTAFTER(_xlfn.XLOOKUP(A42,Щиты[Щит],Щиты[_фазы авто]),";"&amp;BA42&amp;":"),";"),"L1")))))</f>
        <v>L1</v>
      </c>
      <c r="FV42" t="str">
        <f t="shared" si="209"/>
        <v>L2</v>
      </c>
      <c r="FW42" t="str">
        <f t="shared" si="210"/>
        <v>L2</v>
      </c>
      <c r="FX42" cm="1">
        <f t="array" ref="FX42">IFERROR(IF(CD42=2,_xlfn.IFS(BX42=3,VLOOKUP(BS42,Справочная_двигатели,3,FALSE),BX42=1,VLOOKUP(BS42,Справочная_двигатели,5,TRUE)),0),0)</f>
        <v>0</v>
      </c>
      <c r="FY42">
        <f>IFERROR(IF(CD42=3,VLOOKUP(BS42,Справочная_ЛЭД,2,TRUE),0),0)</f>
        <v>0</v>
      </c>
      <c r="FZ42" s="6">
        <f t="shared" si="211"/>
        <v>0</v>
      </c>
      <c r="GA42" t="str">
        <f>IF(B42="","",IF(TRIM(AH42&amp;"")&lt;&gt;"",IF(LOWER(TRIM(AH42&amp;""))="да","да","нет"),IF(IFERROR(_xlfn.XLOOKUP(BC42,Коды_код,Коды_пожарная),"")="да","да","нет")))</f>
        <v>нет</v>
      </c>
      <c r="GB42" t="str">
        <f t="shared" si="212"/>
        <v/>
      </c>
      <c r="GC42" t="str">
        <f t="shared" si="213"/>
        <v>основная</v>
      </c>
      <c r="GD42">
        <f>IF(AND(BP42=1,TRIM(AE42&amp;"")=""),IF(COUNTIFS(Линии[Щит],A42,Линии[Секция (1/2/3)],"&gt;=2")&gt;0,MIN(3,MAX(1,IFERROR(--BD42,1))),1),IFERROR(MIN(3,MAX(1,INT(--AE42))),1))</f>
        <v>1</v>
      </c>
      <c r="GE42" t="str" cm="1">
        <f t="array" ref="GE42">IF(B42="","",_xlfn.LET(_xlpm.t,IFERROR(_xlfn.XLOOKUP(1,(Шины[Шина]=GC42)*(((Шины[Щит]=A42)+(Шины[Щит]=""))&gt;0),Шины[Тип]),"")&amp;"",IF(_xlpm.t&lt;&gt;"",_xlpm.t,IF(ISNUMBER(SEARCH("ИБП",GC42)),"ИБП",IF(ISNUMBER(SEARCH("ДГУ",GC42)),"ДГУ","Ввод "&amp;GD42)))))</f>
        <v>Ввод 1</v>
      </c>
      <c r="GF42" t="str">
        <f t="shared" si="214"/>
        <v>Ввод 1</v>
      </c>
      <c r="GG42" t="str">
        <f>IF(BP42=0,"",IF(TRIM(AG42&amp;"")&lt;&gt;"",TRIM(AG42&amp;""),IF(OR(GE42="ИБП",GE42="ДГУ"),"I особая",_xlfn.XLOOKUP(A42,Щиты[Щит],Щиты[Категория шины «Ввод»],"III"))))</f>
        <v/>
      </c>
      <c r="GH42" t="str">
        <f>IF(A42="","",_xlfn.XLOOKUP(A42,Щиты[Щит],Щиты[Путь],""))</f>
        <v>|ВРУ|ЩР-1|</v>
      </c>
      <c r="GI42" t="str">
        <f>IF(B42="","",IF(AI42&lt;&gt;"",AI42,IF(IFERROR(_xlfn.XLOOKUP(BC42,Коды_код,Коды_вид)&amp;"","")="","Прочее",_xlfn.XLOOKUP(BC42,Коды_код,Коды_вид)&amp;"")))</f>
        <v>Кондиционирование и увлажнение</v>
      </c>
      <c r="GJ42">
        <f>IF(BM42="","",INT((BM42-1)/Столбцов_на_лист)+1)</f>
        <v>2</v>
      </c>
      <c r="GK42" t="str">
        <f t="shared" si="215"/>
        <v>ВВГнг(А)-LS (3х1,5) L=11-0,25%</v>
      </c>
      <c r="GL42">
        <f t="shared" si="216"/>
        <v>0.4</v>
      </c>
      <c r="GM42">
        <f t="shared" si="217"/>
        <v>1.83</v>
      </c>
      <c r="GN42">
        <f t="shared" si="218"/>
        <v>1</v>
      </c>
      <c r="GO42">
        <f t="shared" si="219"/>
        <v>0</v>
      </c>
      <c r="GP42">
        <f t="shared" si="220"/>
        <v>1</v>
      </c>
      <c r="GQ42">
        <f>IF(BM42="","",IF(AND(CG42=1,GP42=1),COUNTIFS(A$3:A42,A42,CG$3:CG42,1,GP$3:GP42,1),IF(OR(OR(BA42=1,A42&lt;&gt;A41),AJ42="вручную",GP42=0),"",IF(BA42=1,"",GR41))))</f>
        <v>10</v>
      </c>
      <c r="GR42">
        <f t="shared" si="221"/>
        <v>10</v>
      </c>
      <c r="GS42">
        <f>IF(B42="","",IFERROR(LOOKUP(INDEX(CHOOSE(EB42,Iдоп_1ж,Iдоп_2ж,Iдоп_3ж),MATCH(EN42,Iдоп_S,0))*DZ42*EA42,{6,10,16,20,25,32,40,50,63,80,100,125,160,200,250,315,400,500,630}),""))</f>
        <v>16</v>
      </c>
      <c r="GT42" t="str">
        <f t="shared" si="222"/>
        <v>QF10</v>
      </c>
      <c r="GU42" t="str">
        <f t="shared" si="223"/>
        <v>QF10</v>
      </c>
      <c r="GV42" t="str">
        <f t="shared" si="224"/>
        <v/>
      </c>
      <c r="GW42">
        <f t="shared" si="225"/>
        <v>0</v>
      </c>
      <c r="GX42" t="str">
        <f>IF(OR(B42="",DJ42=""),"",IFERROR(_xlfn.XLOOKUP(DJ42,Модули_умолч[Управление],Модули_умолч[Модель])&amp;"",""))</f>
        <v/>
      </c>
      <c r="GY42">
        <f>IF(DJ42="",1,IFERROR(MAX(0,N(_xlfn.XLOOKUP(DJ42,Модули_умолч[Управление],Модули_умолч[Каналов на линию]))),1))</f>
        <v>1</v>
      </c>
      <c r="GZ42" t="str">
        <f t="shared" si="226"/>
        <v/>
      </c>
      <c r="HA42" t="str">
        <f t="shared" si="227"/>
        <v/>
      </c>
      <c r="HB42" t="str">
        <f t="shared" si="228"/>
        <v/>
      </c>
      <c r="HC42">
        <f>IF(HB42="",0,IFERROR(N(VLOOKUP(HB42,Модули_спр,3,FALSE)),0))</f>
        <v>0</v>
      </c>
      <c r="HD42" t="str">
        <f t="shared" si="229"/>
        <v/>
      </c>
      <c r="HE42" t="str">
        <f t="shared" si="230"/>
        <v/>
      </c>
      <c r="HF42" t="str">
        <f>IF(OR(HE42="",HE42="-"),"",IFERROR(VLOOKUP(HE42,Модули_спр,2,FALSE),"R"))</f>
        <v/>
      </c>
      <c r="HG42" t="str">
        <f>IF(HF42="","",HF42&amp;"."&amp;COUNTIFS(A$3:A42,A42,HF$3:HF42,HF42))</f>
        <v/>
      </c>
      <c r="HH42" t="str">
        <f t="shared" si="231"/>
        <v/>
      </c>
      <c r="HI42" t="str">
        <f t="shared" si="232"/>
        <v/>
      </c>
      <c r="HJ42" t="str">
        <f t="shared" si="233"/>
        <v/>
      </c>
      <c r="HK42" t="str">
        <f t="shared" si="234"/>
        <v/>
      </c>
      <c r="HL42">
        <f t="shared" si="235"/>
        <v>1</v>
      </c>
      <c r="HM42" t="str">
        <f>IF(HL42=1,"XT"&amp;COUNTIFS(A$3:A42,A42,HL$3:HL42,1),"")</f>
        <v>XT14</v>
      </c>
      <c r="HN42" t="str">
        <f t="shared" si="236"/>
        <v/>
      </c>
      <c r="HO42" t="str">
        <f t="shared" si="237"/>
        <v>QF10</v>
      </c>
      <c r="HP42" t="str">
        <f t="shared" si="238"/>
        <v/>
      </c>
      <c r="HQ42" t="str">
        <f t="shared" si="239"/>
        <v>ok</v>
      </c>
      <c r="HR42" t="str">
        <f>IF(OR(HJ42="",HH42=""),"",IF(HJ42+MAX(0,GY42-1)&gt;IFERROR(VLOOKUP(HI42,Модули_спр,3,FALSE),99),"ЛИШНИЙ КАНАЛ",IF(AND(AL42&lt;&gt;"=",GY42&gt;0,COUNTIFS(Линии[_модуль гр.],HH42,Линии[Канал (итог)],HJ42,Линии[Канал],"&lt;&gt;=",Линии[Щит],A42)&gt;1),"ДУБЛЬ КАНАЛА","")))</f>
        <v/>
      </c>
      <c r="HS42" s="6">
        <f t="shared" si="240"/>
        <v>54.721461850809597</v>
      </c>
      <c r="HT42">
        <f t="shared" si="241"/>
        <v>10</v>
      </c>
      <c r="HU42" t="str">
        <f t="shared" si="242"/>
        <v>ok</v>
      </c>
      <c r="HV42">
        <f t="shared" si="243"/>
        <v>0.83928455055531681</v>
      </c>
      <c r="HW42">
        <f t="shared" si="244"/>
        <v>0</v>
      </c>
      <c r="HX42">
        <f t="shared" si="245"/>
        <v>0</v>
      </c>
      <c r="HY42">
        <f t="shared" si="246"/>
        <v>0</v>
      </c>
      <c r="HZ42">
        <f t="shared" si="247"/>
        <v>0</v>
      </c>
      <c r="IA42">
        <f t="shared" si="248"/>
        <v>0</v>
      </c>
      <c r="IB42">
        <f t="shared" si="249"/>
        <v>0</v>
      </c>
      <c r="IC42" t="str">
        <f t="shared" si="250"/>
        <v/>
      </c>
      <c r="ID42" t="str" cm="1">
        <f t="array" ref="ID42">IF(IC42="","",_xlfn.LET(_xlpm.tk,_xlfn.TEXTSPLIT(SUBSTITUTE(SUBSTITUTE(IC42,";"," "),"→"," ")," ",,TRUE),_xlpm.w_,_xlfn._xlws.FILTER(_xlpm.tk,ISNUMBER(--LEFT(_xlpm.tk,1))*((ISNUMBER(SEARCH("W",_xlpm.tk))+ISNUMBER(SEARCH("Вт",_xlpm.tk)))&gt;0),""),IFERROR(--SUBSTITUTE(SUBSTITUTE(UPPER(INDEX(_xlpm.w_,1)),"W",""),"ВТ",""),"")))</f>
        <v/>
      </c>
      <c r="IE42" t="str" cm="1">
        <f t="array" ref="IE42">IF(IC42="","",_xlfn.LET(_xlpm.tk,_xlfn.TEXTSPLIT(SUBSTITUTE(SUBSTITUTE(IC42,";"," "),"→"," ")," ",,TRUE),_xlpm.v_,_xlfn._xlws.FILTER(_xlpm.tk,ISNUMBER(--LEFT(_xlpm.tk,1))*((ISNUMBER(SEARCH("V",_xlpm.tk))+(RIGHT(UPPER(_xlpm.tk))="В"))&gt;0),""),IFERROR(--SUBSTITUTE(SUBSTITUTE(UPPER(INDEX(_xlpm.v_,1)),"V",""),"В",""),"")))</f>
        <v/>
      </c>
      <c r="IF42" s="6" t="str">
        <f>IF(OR(BV42=0,HI42="",HJ42=""),"",IFERROR(N(_xlfn.XLOOKUP(HI42,Каталог!$C$4:$C$500,Каталог!$Q$4:$Q$500)),""))</f>
        <v/>
      </c>
      <c r="IG42" s="6" t="str">
        <f>IF(N(IF42)=0,"",SUMIFS(Линии[Iр, А],Линии[Щит],A42,Линии[_модуль гр.],HH42,Линии[Канал (итог)],HJ42))</f>
        <v/>
      </c>
      <c r="IH42" t="str">
        <f>IF(AND(B42="",HO42=""),"",_xlfn.TEXTJOIN("; ",TRUE,IF(AND(B42&lt;&gt;"",FV42=""),"нет фазы",""),IF(AND(B42&lt;&gt;"",N(GL42)=0,FG42&lt;&gt;"Нет"),"нет мощности",""),IF(AND(HN42&lt;&gt;"",COUNTIFS(Линии[Щит],A42,Линии[Клемма (итог)],HN42)&gt;1),"дубль клеммы "&amp;HN42,""),IF(AND(HQ42&lt;&gt;"",HQ42&lt;&gt;"ok"),HQ42,""),IF(HR42&lt;&gt;"",HR42,""),IF(AND(N(CB42)&gt;=4,N(BX42)=1),CB42&amp;" жил на 1 фазе",""),IF(AND(BC42="R",CG42=1,IF(CS42&lt;&gt;"",N(CV42)&gt;30,OR(N(DA42)=0,N(DA42)&gt;30))),"розетка без дифзащиты до 30 мА",""),IF(AND(CG42=1,N(DA42)&gt;0,ISNUMBER(T42)),IF(T42&gt;N(DA42)/3,"ток утечки "&amp;FIXED(T42,1)&amp;" мА &gt; 1/3 уставки ("&amp;DA42&amp;" мА)",""),""),IF(AND(CH42=1,CS42=""),"«узо»: нет строки с УЗО выше (УЗО 2P 40А 30мА в «Аппаратах»)",""),IF(AND(CS42&lt;&gt;"",CS42=BA42),IF(CT42="","впишите номинал УЗО (УЗО 2P 40А 30мА)",IF(N(CT42)&lt;N(DT42),"УЗО "&amp;CT42&amp;" А &lt; автомата "&amp;DT42&amp;" А перед ним",IF(N(CT42)&lt;N(CX42),"УЗО "&amp;CT42&amp;" А &lt; тока блока "&amp;FIXED(CX42,1)&amp;" А",""))),""),IF(AND(CS42&lt;&gt;"",CS42=BA42,ISNUMBER(CY42)),IF(CY42&gt;N(CV42)/3,"ток утечки блока УЗО "&amp;FIXED(CY42,1)&amp;" мА &gt; 1/3 уставки ("&amp;CV42&amp;" мА)",""),""),IF(AND(CG42=1,N(BV42)+N(IB42)&gt;0,IC42=""),"линии до 50 В без БП: впишите в «Аппараты» (БП 24V 480W)",""),IF(AND(CG42=1,ISNUMBER(ID42),ISNUMBER(U42)),IF(U42&gt;ID42,"БП "&amp;ID42&amp;" Вт &lt; нужно "&amp;U42&amp;" Вт (×"&amp;Запас_БП&amp;")",""),""),IF(AND(CG42=1,ISNUMBER(IE42),N(BV42)=1),IF(IE42&lt;&gt;N(BU42),"БП на "&amp;IE42&amp;" В, линия "&amp;BU42&amp;" В",""),""),IF(AND(N(IF42)&gt;0,N(IG42)&gt;N(IF42)),HH42&amp;" канал "&amp;HJ42&amp;": "&amp;FIXED(IG42,1)&amp;" А &gt; "&amp;IF42&amp;" А",""),IFERROR(IF(AND(ISNUMBER(Q42),Q42&gt;EL42),"потери "&amp;FIXED(Q42,1)&amp;" % &gt; "&amp;EL42&amp;" %",""),""),IFERROR(IF(LEFT(HU42,4)="мало","Iкз мало — отключение &gt; 0,4 с",""),""),IF(AND(B42&lt;&gt;"",BM42=""),"не на схеме",""),IF(AND(CG42=0,B42&lt;&gt;"",FV42&lt;&gt;"",IF(BA42=1,"",FW41)&lt;&gt;"",FV42&lt;&gt;IF(BA42=1,"",FW41)),"фаза не как у автомата группы ("&amp;IF(BA42=1,"",FW41)&amp;")","")))</f>
        <v/>
      </c>
      <c r="II42" s="6" t="str">
        <f>IF(OR(CG42=0,DQ42=""),"",_xlfn.LET(_xlpm.t,IFERROR(_xlfn.XLOOKUP(DQ42,Каталог!$U$4:$U$500,Каталог!$G$4:$G$500),""),_xlpm.k,SEARCH("кА",_xlpm.t),IFERROR(--TRIM(RIGHT(SUBSTITUTE(MID(_xlpm.t,MAX(1,_xlpm.k-4),_xlpm.k-MAX(1,_xlpm.k-4))," ",REPT(" ",9)),5)),"")))</f>
        <v/>
      </c>
      <c r="IJ42" t="str">
        <f>IF(OR(II42="",CG42=0),"",IF(_xlfn.XLOOKUP(A42,Щиты[Щит],Щиты[Iкз max на шинах, кА],"")="","",IF(II42&lt;_xlfn.XLOOKUP(A42,Щиты[Щит],Щиты[Iкз max на шинах, кА]),"Icu "&amp;II42&amp;" кА &lt; Iкз max","ok")))</f>
        <v/>
      </c>
      <c r="IK42" t="str">
        <f t="shared" si="251"/>
        <v/>
      </c>
      <c r="IL42" t="str">
        <f t="shared" si="252"/>
        <v>QF10</v>
      </c>
      <c r="IM42" t="str">
        <f t="shared" si="253"/>
        <v>QF10|кабель ВВГнг(А)-LS (3х1,5) → Увлажнитель, пом. 01</v>
      </c>
      <c r="IN42" t="str" cm="1">
        <f t="array" ref="IN42">IF(IM42="","",_xlfn.LET(_xlpm.nd,_xlfn.TEXTSPLIT(IM42,"|"),IF(COLUMNS(_xlpm.nd)&gt;1,A42&amp;"¦"&amp;INDEX(_xlpm.nd,1)&amp;"¦"&amp;INDEX(_xlpm.nd,2),"")))</f>
        <v>ЩР-1¦QF10¦кабель ВВГнг(А)-LS (3х1,5) → Увлажнитель, пом. 01</v>
      </c>
      <c r="IO42" t="str">
        <f t="shared" si="254"/>
        <v>УВ.1.01.1¦Увлажнитель, пом. 01</v>
      </c>
      <c r="IP42" t="str" cm="1">
        <f t="array" ref="IP42">IF(IM42="","",_xlfn.LET(_xlpm.nd,_xlfn.TEXTSPLIT(IM42,"|"),IF(COLUMNS(_xlpm.nd)&gt;2,A42&amp;"¦"&amp;INDEX(_xlpm.nd,2)&amp;"¦"&amp;INDEX(_xlpm.nd,3),"")))</f>
        <v/>
      </c>
      <c r="IQ42" t="str">
        <f t="shared" si="255"/>
        <v/>
      </c>
      <c r="IR42" t="str" cm="1">
        <f t="array" ref="IR42">IF(IM42="","",_xlfn.LET(_xlpm.nd,_xlfn.TEXTSPLIT(IM42,"|"),IF(COLUMNS(_xlpm.nd)&gt;3,A42&amp;"¦"&amp;INDEX(_xlpm.nd,3)&amp;"¦"&amp;INDEX(_xlpm.nd,4),"")))</f>
        <v/>
      </c>
      <c r="IS42" t="str">
        <f t="shared" si="256"/>
        <v/>
      </c>
      <c r="IT42" t="str" cm="1">
        <f t="array" ref="IT42">IF(IM42="","",_xlfn.LET(_xlpm.nd,_xlfn.TEXTSPLIT(IM42,"|"),IF(COLUMNS(_xlpm.nd)&gt;4,A42&amp;"¦"&amp;INDEX(_xlpm.nd,4)&amp;"¦"&amp;INDEX(_xlpm.nd,5),"")))</f>
        <v/>
      </c>
      <c r="IU42" t="str">
        <f t="shared" si="257"/>
        <v/>
      </c>
      <c r="IV42" t="str" cm="1">
        <f t="array" ref="IV42">IF(IM42="","",_xlfn.LET(_xlpm.nd,_xlfn.TEXTSPLIT(IM42,"|"),IF(COLUMNS(_xlpm.nd)&gt;5,A42&amp;"¦"&amp;INDEX(_xlpm.nd,5)&amp;"¦"&amp;INDEX(_xlpm.nd,6),"")))</f>
        <v/>
      </c>
      <c r="IW42" t="str">
        <f t="shared" si="258"/>
        <v/>
      </c>
      <c r="IX42" t="str" cm="1">
        <f t="array" ref="IX42">IF(IM42="","",_xlfn.LET(_xlpm.nd,_xlfn.TEXTSPLIT(IM42,"|"),IF(COLUMNS(_xlpm.nd)&gt;6,A42&amp;"¦"&amp;INDEX(_xlpm.nd,6)&amp;"¦"&amp;INDEX(_xlpm.nd,7),"")))</f>
        <v/>
      </c>
      <c r="IY42" t="str">
        <f t="shared" si="259"/>
        <v/>
      </c>
      <c r="IZ42" t="str">
        <f t="shared" si="260"/>
        <v/>
      </c>
      <c r="JA42" t="str">
        <f t="shared" si="261"/>
        <v>QF10</v>
      </c>
      <c r="JB42">
        <f t="shared" si="262"/>
        <v>0</v>
      </c>
      <c r="JC42">
        <f t="shared" si="263"/>
        <v>0</v>
      </c>
      <c r="JD42" t="str">
        <f t="shared" si="264"/>
        <v/>
      </c>
      <c r="JE42" t="str">
        <f t="shared" si="265"/>
        <v/>
      </c>
      <c r="JF42" t="str">
        <f t="shared" si="266"/>
        <v/>
      </c>
      <c r="JG42" t="str">
        <f t="shared" si="267"/>
        <v/>
      </c>
      <c r="JH42" t="str">
        <f>IF(B42="","",IFERROR(_xlfn.XLOOKUP(B42,Коды_код,Коды_уго),IFERROR(_xlfn.XLOOKUP(BC42,Коды_код,Коды_уго),IFERROR(_xlfn.XLOOKUP(LEFT(BC42,2),Коды_код,Коды_уго),""))))</f>
        <v>Привод (двигатель)</v>
      </c>
      <c r="JI42" t="str">
        <f>IF(B42="","",IF(OR(JH42="",JH42=0),"BOX",IFERROR(IF(VLOOKUP(JH42,УГО_блоки,3,FALSE)&amp;""&lt;&gt;"",VLOOKUP(JH42,УГО_блоки,3,FALSE),VLOOKUP(JH42,УГО_блоки,2,FALSE)),JH42)))</f>
        <v>MOTOR</v>
      </c>
      <c r="JJ42">
        <f t="shared" si="268"/>
        <v>1</v>
      </c>
      <c r="JK42" t="str">
        <f>IF(DQ42="","",IF(COUNTIF(DQ$3:DQ42,DQ42)=1,MAX(JK$2:JK41)+1,""))</f>
        <v/>
      </c>
      <c r="JL42" t="str">
        <f>IF(DE42="","",IF(COUNTIF(DE$3:DE42,DE42)+COUNTIF(DF$2:DF41,DE42)+COUNTIF(DG$2:DG41,DE42)=1,MAX(JL$2:JN41)+1,""))</f>
        <v/>
      </c>
      <c r="JM42" t="str">
        <f>IF(DF42="","",IF(COUNTIF(DE$3:DE42,DF42)+COUNTIF(DF$3:DF42,DF42)+COUNTIF(DG$2:DG41,DF42)=1,MAX(JL$2:JN41,JL42)+1,""))</f>
        <v/>
      </c>
      <c r="JN42" t="str">
        <f>IF(DG42="","",IF(COUNTIF(DE$3:DE42,DG42)+COUNTIF(DF$3:DF42,DG42)+COUNTIF(DG$3:DG42,DG42)=1,MAX(JL$2:JN41,JL42,JM42)+1,""))</f>
        <v/>
      </c>
      <c r="JO42" t="str">
        <f t="shared" si="269"/>
        <v>3х1,5</v>
      </c>
      <c r="JP42" t="str">
        <f>IF(JO42="","",IF(COUNTIF(JO$3:JO42,JO42)=1,MAX(JP$2:JP41)+1,""))</f>
        <v/>
      </c>
      <c r="JQ42" t="str">
        <f>IF(HG42="","",COUNTIF(HG$3:HG42,"?*"))</f>
        <v/>
      </c>
      <c r="JR42" t="str">
        <f>IF(OR(HG42="",HI42=""),"",IF(COUNTIFS(HG$3:HG42,"?*",HI$3:HI42,HI42)=1,MAX(JR$2:JR41)+1,""))</f>
        <v/>
      </c>
      <c r="JS42">
        <f t="shared" si="270"/>
        <v>0</v>
      </c>
      <c r="JT42">
        <f>IF(B42="","",COUNTIF(B$3:B42,"?*"))</f>
        <v>38</v>
      </c>
      <c r="JU42">
        <f>IF(HL42&lt;&gt;1,0,_xlfn.LET(_xlpm.k,MAX(IFERROR(--_xlfn.XLOOKUP(B42,Коды_код,Коды_3L),0),IFERROR(--_xlfn.XLOOKUP(BC42,Коды_код,Коды_3L),0),IFERROR(--_xlfn.XLOOKUP(LEFT(BC42,2),Коды_код,Коды_3L),0)),IF(_xlpm.k&gt;0,_xlpm.k,IF(IFERROR(--LEFT(SUBSTITUTE(JO42,"x","х"),FIND("х",SUBSTITUTE(JO42,"x","х"))-1),3)&gt;3,Каталог!$S$9,1))))</f>
        <v>1</v>
      </c>
      <c r="JV42">
        <f t="shared" si="271"/>
        <v>0</v>
      </c>
      <c r="JW42" t="str">
        <f t="shared" si="272"/>
        <v>авто</v>
      </c>
      <c r="JX42" t="str">
        <f t="shared" si="273"/>
        <v/>
      </c>
      <c r="JY42">
        <f t="shared" si="274"/>
        <v>0</v>
      </c>
      <c r="JZ42">
        <f t="shared" si="275"/>
        <v>1</v>
      </c>
    </row>
    <row r="43" spans="1:286" x14ac:dyDescent="0.3">
      <c r="A43" t="s">
        <v>947</v>
      </c>
      <c r="B43" t="s">
        <v>1223</v>
      </c>
      <c r="C43" t="s">
        <v>1250</v>
      </c>
      <c r="D43">
        <v>1</v>
      </c>
      <c r="E43">
        <v>2</v>
      </c>
      <c r="G43" t="str">
        <f>Линии[[#This Row],[_авто автомат]]</f>
        <v>2P С16А 30мА</v>
      </c>
      <c r="H43" t="str">
        <f>Линии[[#This Row],[_авто управление]]</f>
        <v/>
      </c>
      <c r="I43" t="str">
        <f>Линии[[#This Row],[_авто аппараты]]</f>
        <v/>
      </c>
      <c r="J43">
        <f>Линии[[#This Row],[_авто сечение]]</f>
        <v>10</v>
      </c>
      <c r="K43">
        <v>140</v>
      </c>
      <c r="L43" t="str">
        <f>Линии[[#This Row],[_авто фаза]]</f>
        <v>L2</v>
      </c>
      <c r="M43" t="str">
        <f>Линии[[#This Row],[_авто клемма]]</f>
        <v>XT15</v>
      </c>
      <c r="N43" t="str">
        <f t="shared" si="138"/>
        <v/>
      </c>
      <c r="O43" s="6" cm="1">
        <f t="array" ref="O43">IF(B43="","",IF(BH43&lt;&gt;"",IFERROR(_xlfn.XLOOKUP(BH43,Щиты[Щит],Щиты[Iр, А]),""),IF(BP43=1,IF(OR(N(_xlfn.XLOOKUP(A43,Щиты[Щит],Щиты[Вводов],1))&lt;=1,LOWER(TRIM(_xlfn.XLOOKUP(A43,Щиты[Щит],Щиты[АВР],"")&amp;""))="да"),IFERROR(_xlfn.XLOOKUP(A43,Щиты[Щит],Щиты[Iр, А]),""),IFERROR(N(BS43)*_xlfn.XLOOKUP(A43,Щиты[Щит],Щиты[Кс итог])/(SQRT(3)*Uн_лин*_xlfn.XLOOKUP(A43,Щиты[Щит],Щиты[cos φ])),"")),IF(BV43=1,IFERROR(BS43*1000/BU43,""),IFERROR(_xlfn.IFS(BX43=1,BS43/((Uн_лин/SQRT(3))*CE43),BX43=3,BS43/(SQRT(3)*Uн_лин*CE43)),"")))))</f>
        <v>9.1160568819414589</v>
      </c>
      <c r="P43" s="7">
        <f>IF(B43="","",IFERROR(IF(VLOOKUP(BC43,Потребители_обозначение,4,FALSE)=1,VLOOKUP(BC43,Потребители_обозначение,3,FALSE)*(MAX(1,N(D43))*2-1)+EI43+VLOOKUP(BE43,Этаж_обозначение,3,FALSE)+VLOOKUP(BE43,Этаж_обозначение,4,FALSE),VLOOKUP(BC43,Потребители_обозначение,3,FALSE)*(MAX(1,N(D43))*2-1)+EI43),EI43))</f>
        <v>142</v>
      </c>
      <c r="Q43" s="6">
        <f t="shared" si="139"/>
        <v>3.4860288498727972</v>
      </c>
      <c r="R43" t="str">
        <f t="shared" si="140"/>
        <v>ВВГнг(А)-LS (3х10)</v>
      </c>
      <c r="S43" t="str">
        <f>IF(BM43="","",IF(BN43="вводной узел","узел ","")&amp;"л."&amp;(INT((BM43-1)/Столбцов_на_лист)+1)&amp;" / "&amp;(MOD(BM43-1,Столбцов_на_лист)+1))</f>
        <v>л.2 / 3</v>
      </c>
      <c r="T43" s="119">
        <f t="shared" si="141"/>
        <v>5.0999999999999996</v>
      </c>
      <c r="U43" s="7" t="str">
        <f>IF(OR(CG43=0,N(BV43)+N(IB43)=0),"",ROUNDUP(Запас_БП*(N(HY43)+N(HZ43)),0))</f>
        <v/>
      </c>
      <c r="V43" s="119" t="str">
        <f t="shared" si="142"/>
        <v/>
      </c>
      <c r="W43" s="7">
        <f>IFERROR(IF(OR(B43="",BP43=1,BV43=1,NOT(ISNUMBER(EN43)),N(DT43)=0),"",MAX(0,ROUNDDOWN((c_min*(Uн_лин*1000/SQRT(3))/(HT43*N(DT43))-_xlfn.XLOOKUP(A43,Щиты[Щит],Щиты[Zпетли на шинах, Ом]))*EN43/(2*ρкз_Cu),0))),"")</f>
        <v>206</v>
      </c>
      <c r="Y43">
        <f>Линии[[#This Row],[_авто утечка]]</f>
        <v>30</v>
      </c>
      <c r="Z43">
        <v>1</v>
      </c>
      <c r="AA43">
        <v>230</v>
      </c>
      <c r="AB43" t="str">
        <f>Линии[[#This Row],[_авто группа Кс]]</f>
        <v>Быт</v>
      </c>
      <c r="AK43" t="str">
        <f>Линии[[#This Row],[_авто модуль]]</f>
        <v/>
      </c>
      <c r="AN43" t="s">
        <v>11</v>
      </c>
      <c r="AO43">
        <v>3</v>
      </c>
      <c r="BA43" cm="1">
        <f t="array" ref="BA43">ROW()-ROW(Линии[#Headers])</f>
        <v>41</v>
      </c>
      <c r="BC43" s="6" t="str">
        <f t="shared" si="143"/>
        <v>R</v>
      </c>
      <c r="BD43" t="str">
        <f t="shared" si="144"/>
        <v>1.04.1</v>
      </c>
      <c r="BE43" t="str">
        <f t="shared" si="145"/>
        <v>1</v>
      </c>
      <c r="BF43" t="str">
        <f t="shared" si="146"/>
        <v>04.1</v>
      </c>
      <c r="BG43" t="str">
        <f t="shared" si="147"/>
        <v>04</v>
      </c>
      <c r="BH43" t="str">
        <f>IF(X43&lt;&gt;"",X43,IF(AND(B43&lt;&gt;"",B43&lt;&gt;A43,ISNUMBER(_xlfn.XMATCH(B43,Щиты[Щит]))),B43,""))</f>
        <v/>
      </c>
      <c r="BI43" t="str" cm="1">
        <f t="array" ref="BI43">IF(B43="","",IF(BH43&lt;&gt;"","Щит "&amp;BH43,_xlfn.LET(_xlpm.nm,IFERROR(_xlfn.XLOOKUP(BC43,Коды_код,Коды_имя)&amp;"",""),_xlpm.md,IFERROR(N(_xlfn.XLOOKUP(BC43,Коды_код,Коды_режим)),1),_xlpm.ex,IF(Имя_режим="по экспликации",IFERROR(_xlfn.XLOOKUP(BE43&amp;"|"&amp;BG43,Экспликация[Этаж]&amp;"|"&amp;Экспликация[Помещение],Экспликация[Название])&amp;"",""),""),_xlpm.rm,IF(BG43="","",IF(_xlpm.ex&lt;&gt;"",". "&amp;_xlpm.ex&amp;IF(Имя_пом="нет"," ("&amp;BG43&amp;")"," (пом. "&amp;BG43&amp;")"),IF(Имя_пом="нет"," ",", пом. ")&amp;BG43)),IF(_xlpm.nm="","",IF(_xlpm.md=2,_xlpm.nm&amp;" шлейф "&amp;BE43,_xlpm.nm&amp;_xlpm.rm)))))</f>
        <v>Розеточная группа, пом. 04</v>
      </c>
      <c r="BJ43" t="str">
        <f t="shared" si="148"/>
        <v>Розетки гаража (длинная линия)</v>
      </c>
      <c r="BK43">
        <f>IFERROR(_xlfn.XMATCH(A43,Щиты[Щит]),0)</f>
        <v>4</v>
      </c>
      <c r="BL43">
        <f>_xlfn.LET(_xlpm.k,IFERROR(_xlfn.XLOOKUP(A43,Щиты[Щит],Щиты[Мест под вводной узел]),""),IF(_xlpm.k="",Столбцов_на_лист,N(_xlpm.k)))</f>
        <v>3</v>
      </c>
      <c r="BM43">
        <f t="shared" si="149"/>
        <v>20</v>
      </c>
      <c r="BN43" t="str">
        <f t="shared" si="150"/>
        <v>линии</v>
      </c>
      <c r="BO43" s="6">
        <f>IFERROR(N(_xlfn.XLOOKUP(BC43,Коды_код,Коды_квт)),0)</f>
        <v>0.06</v>
      </c>
      <c r="BP43">
        <f t="shared" si="151"/>
        <v>0</v>
      </c>
      <c r="BQ43">
        <f>IF(B43="","",IF(BH43&lt;&gt;"",IFERROR(_xlfn.XLOOKUP(BH43,Щиты[Щит],Щиты[Руст, кВт]),0),IF(BP43=1,IF(OR(N(_xlfn.XLOOKUP(A43,Щиты[Щит],Щиты[Вводов],1))&lt;=1,LOWER(TRIM(_xlfn.XLOOKUP(A43,Щиты[Щит],Щиты[АВР],"")&amp;""))="да"),IFERROR(_xlfn.XLOOKUP(A43,Щиты[Щит],Щиты[Руст, кВт]),0),SUMIFS(Линии[_Р для вводов],Линии[Щит],A43,Линии[Источник для режимов],GF43)),IF(BO43&gt;0,ROUND(BO43*MAX(1,N(D43)),3),""))))</f>
        <v>0.06</v>
      </c>
      <c r="BR43">
        <f t="shared" si="152"/>
        <v>2</v>
      </c>
      <c r="BS43" s="6">
        <f>IF(B43="","",IF(BH43&lt;&gt;"",IFERROR(_xlfn.XLOOKUP(BH43,Щиты[Щит],Щиты[Руст, кВт]),0),N(BR43)))</f>
        <v>2</v>
      </c>
      <c r="BT43">
        <f>IF(B43="","",IFERROR(IF(VLOOKUP(BC43,Потребители_обозначение,8,FALSE)=0,"",VLOOKUP(BC43,Потребители_обозначение,8,FALSE)),""))</f>
        <v>230</v>
      </c>
      <c r="BU43">
        <f t="shared" si="153"/>
        <v>230</v>
      </c>
      <c r="BV43">
        <f t="shared" si="154"/>
        <v>0</v>
      </c>
      <c r="BW43">
        <f>IF(B43="","",IF(BH43&lt;&gt;"",3,IFERROR(IF(N(VLOOKUP(BC43,Потребители_обозначение,9,FALSE))=0,1,VLOOKUP(BC43,Потребители_обозначение,9,FALSE)),1)))</f>
        <v>1</v>
      </c>
      <c r="BX43">
        <f t="shared" si="155"/>
        <v>1</v>
      </c>
      <c r="BY43" t="str">
        <f>IF(B43="","",_xlfn.LET(_xlpm.bc,IFERROR(IF(VLOOKUP(BC43,Потребители_обозначение,6,FALSE)=0,"",VLOOKUP(BC43,Потребители_обозначение,6,FALSE)&amp;""),""),IF(AND(GA43="да",OR(_xlpm.bc="",_xlpm.bc="мс")),Марка_пож,IF(AND(_xlpm.bc="",BH43&lt;&gt;""),"мс",_xlpm.bc))))</f>
        <v>мс</v>
      </c>
      <c r="BZ43" t="str">
        <f t="shared" si="156"/>
        <v>мс</v>
      </c>
      <c r="CA43">
        <f>IF(B43="","",_xlfn.LET(_xlpm.cc,IFERROR(N(VLOOKUP(BC43,Потребители_обозначение,7,FALSE)),0),IF(_xlpm.cc&gt;0,_xlpm.cc,IF(BZ43="","",IF(BV43=1,2,IF(N(BX43)=3,5,3))))))</f>
        <v>3</v>
      </c>
      <c r="CB43">
        <f t="shared" si="157"/>
        <v>3</v>
      </c>
      <c r="CC43">
        <f>IFERROR(N(VLOOKUP(BC43,Потребители_обозначение,10,FALSE)),0)</f>
        <v>2.5</v>
      </c>
      <c r="CD43">
        <f>IFERROR(VLOOKUP(BC43,Потребители_обозначение,5,FALSE),0)</f>
        <v>1</v>
      </c>
      <c r="CE43" s="6" cm="1">
        <f t="array" ref="CE43">IF(B43="","",IF(BH43&lt;&gt;"",IFERROR(_xlfn.XLOOKUP(BH43,Щиты[Щит],Щиты[cos φ]),0.95),IF(BP43=1,IFERROR(_xlfn.XLOOKUP(A43,Щиты[Щит],Щиты[cos φ]),0.95),IF(ISNUMBER(AD43),AD43,IFERROR(IF(CD43=2,_xlfn.IFS(BX43=3,VLOOKUP(BS43,Справочная_двигатели,8,FALSE),BX43=1,VLOOKUP(BS43,Справочная_двигатели,10,TRUE)),IF(AND(Методика="нормы 2026",FG43="Сил"),0.8,0.95)),0.95)))))</f>
        <v>0.95</v>
      </c>
      <c r="CF43">
        <f t="shared" si="158"/>
        <v>0</v>
      </c>
      <c r="CG43">
        <f t="shared" si="159"/>
        <v>1</v>
      </c>
      <c r="CH43">
        <f t="shared" si="160"/>
        <v>0</v>
      </c>
      <c r="CI43">
        <f>IF(B43="","",IF(BV43=1,IFERROR(BS43/((Uн_лин/SQRT(3))*MAX(0.5,N(CE43))),0),N(O43)))</f>
        <v>9.1160568819414589</v>
      </c>
      <c r="CJ43">
        <f t="shared" si="161"/>
        <v>0</v>
      </c>
      <c r="CK43">
        <f t="shared" si="162"/>
        <v>0</v>
      </c>
      <c r="CL43">
        <f t="shared" si="163"/>
        <v>0</v>
      </c>
      <c r="CM43">
        <f t="shared" si="164"/>
        <v>0</v>
      </c>
      <c r="CN43">
        <f t="shared" si="165"/>
        <v>0</v>
      </c>
      <c r="CO43">
        <f>IF(BC43="",0,_xlfn.LET(_xlpm.v,IFERROR(_xlfn.XLOOKUP(B43,Коды_код,Коды_мА),IFERROR(_xlfn.XLOOKUP(BC43,Коды_код,Коды_мА),IFERROR(_xlfn.XLOOKUP(LEFT(BC43,2),Коды_код,Коды_мА),""))),IF(_xlpm.v="да",30,IF(ISNUMBER(_xlpm.v),_xlpm.v,0))))</f>
        <v>30</v>
      </c>
      <c r="CP43">
        <f t="shared" si="166"/>
        <v>30</v>
      </c>
      <c r="CQ43" t="str">
        <f>_xlfn.LET(_xlpm.k,IFERROR(_xlfn.XLOOKUP(BC43,Коды_код,Коды_утечка)&amp;"",""),IF(_xlpm.k="","дифавтомат",_xlpm.k))</f>
        <v>дифавтомат</v>
      </c>
      <c r="CR43" t="str" cm="1">
        <f t="array" ref="CR43">IF(CG43=0,"",_xlfn.LET(_xlpm.sg,TRIM(_xlfn.TEXTSPLIT(DD43&amp;"",";")),_xlpm.f_,_xlfn._xlws.FILTER(_xlpm.sg,LEFT(_xlpm.sg,3)="УЗО",""),IFERROR(INDEX(_xlpm.f_,1)&amp;"","")))</f>
        <v/>
      </c>
      <c r="CS43" t="str">
        <f t="shared" si="167"/>
        <v/>
      </c>
      <c r="CT43" s="6" t="str" cm="1">
        <f t="array" ref="CT43">IF(CR43="","",_xlfn.LET(_xlpm.tk,_xlfn.TEXTSPLIT(UPPER(CR43)," ",,TRUE),_xlpm.a_,_xlfn._xlws.FILTER(_xlpm.tk,ISNUMBER(--LEFT(_xlpm.tk,1))*((ISNUMBER(SEARCH("А",_xlpm.tk))+ISNUMBER(SEARCH("A",_xlpm.tk)))&gt;0)*NOT(ISNUMBER(SEARCH("МА",_xlpm.tk)))*NOT(ISNUMBER(SEARCH("MA",_xlpm.tk))),""),IFERROR(--SUBSTITUTE(SUBSTITUTE(INDEX(_xlpm.a_,1),"А",""),"A",""),"")))</f>
        <v/>
      </c>
      <c r="CU43" t="str" cm="1">
        <f t="array" ref="CU43">IF(CR43="","",_xlfn.LET(_xlpm.tk,_xlfn.TEXTSPLIT(UPPER(CR43)," ",,TRUE),_xlpm.a_,_xlfn._xlws.FILTER(_xlpm.tk,ISNUMBER(--LEFT(_xlpm.tk,1))*((ISNUMBER(SEARCH("МА",_xlpm.tk))+ISNUMBER(SEARCH("MA",_xlpm.tk)))&gt;0),""),IFERROR(--SUBSTITUTE(SUBSTITUTE(INDEX(_xlpm.a_,1),"МА",""),"MA",""),30)))</f>
        <v/>
      </c>
      <c r="CV43" t="str">
        <f>IF(CS43="","",IFERROR(_xlfn.XLOOKUP(CS43,Линии[_n],Линии[_УЗО, мА]),30))</f>
        <v/>
      </c>
      <c r="CW43">
        <f>IF(CS43="",0,IF(ISNUMBER(SEARCH("4P",IFERROR(_xlfn.XLOOKUP(CS43,Линии[_n],Линии[_УЗО строки])&amp;"",""))),0,1))</f>
        <v>0</v>
      </c>
      <c r="CX43" t="str">
        <f>IF(AND(CS43&lt;&gt;"",CS43=BA43),SUMIFS(Линии[_ток на 230 В],Линии[_блок УЗО],BA43,Линии[Щит],A43),"")</f>
        <v/>
      </c>
      <c r="CY43" t="str">
        <f>IF(AND(CS43&lt;&gt;"",CS43=BA43),SUMIFS(Линии[_ток утечки линии, мА],Линии[_блок УЗО],BA43,Линии[Щит],A43),"")</f>
        <v/>
      </c>
      <c r="CZ43">
        <f t="shared" si="168"/>
        <v>30</v>
      </c>
      <c r="DA43">
        <f t="shared" si="169"/>
        <v>30</v>
      </c>
      <c r="DB43">
        <f>IF(B43="",0,IFERROR(--_xlfn.XLOOKUP(B43,Коды_код,Коды_минавт),IFERROR(--_xlfn.XLOOKUP(BC43,Коды_код,Коды_минавт),IFERROR(--_xlfn.XLOOKUP(LEFT(BC43,2),Коды_код,Коды_минавт),0))))</f>
        <v>16</v>
      </c>
      <c r="DC43" t="str">
        <f>IF(B43="","",IFERROR(_xlfn.XLOOKUP(BC43,Коды_код,Коды_апп)&amp;"",""))</f>
        <v/>
      </c>
      <c r="DD43" t="str">
        <f t="shared" si="170"/>
        <v/>
      </c>
      <c r="DE43" t="str" cm="1">
        <f t="array" ref="DE43">IF(TRIM(DD43&amp;"")="","",IFERROR(TRIM(INDEX(_xlfn.TEXTSPLIT(DD43&amp;";;;",";"),1)),""))</f>
        <v/>
      </c>
      <c r="DF43" t="str" cm="1">
        <f t="array" ref="DF43">IF(TRIM(DD43&amp;"")="","",IFERROR(TRIM(INDEX(_xlfn.TEXTSPLIT(DD43&amp;";;;",";"),2)),""))</f>
        <v/>
      </c>
      <c r="DG43" t="str" cm="1">
        <f t="array" ref="DG43">IF(TRIM(DD43&amp;"")="","",IFERROR(TRIM(INDEX(_xlfn.TEXTSPLIT(DD43&amp;";;;",";"),3)),""))</f>
        <v/>
      </c>
      <c r="DH43">
        <f t="shared" si="171"/>
        <v>0</v>
      </c>
      <c r="DI43" t="str">
        <f>IF(B43="","",_xlfn.LET(_xlpm.t,LOWER(AZ43&amp;""),IF(ISNUMBER(SEARCH("dim",_xlpm.t)),"DIM",IF(ISNUMBER(SEARCH("dali",_xlpm.t)),"DALI",IF(OR(ISNUMBER(SEARCH("relay",_xlpm.t)),ISNUMBER(SEARCH("реле",_xlpm.t))),"Relay",IF(ISNUMBER(SEARCH("кнопк",_xlpm.t)),"",IFERROR(_xlfn.XLOOKUP(BC43,Коды_код,Коды_упр)&amp;"","")))))))</f>
        <v/>
      </c>
      <c r="DJ43" t="str">
        <f t="shared" si="172"/>
        <v/>
      </c>
      <c r="DK43">
        <f>IF(B43="","",_xlfn.LET(_xlpm.ig,IF(N(CX43)&gt;0,N(CX43),N(CI43)+IF(AJ43="вручную",0,N(CJ43))),_xlpm.n0,IFERROR(VLOOKUP(_xlpm.ig,Автомат_номиналы,2,TRUE),0),_xlpm.mn,MAX(DB43,IF(AJ43="вручную",0,N(CM43))),MAX(_xlpm.n0,_xlpm.mn,IF(DH43=1,Мин_автомат_БП,0))))</f>
        <v>16</v>
      </c>
      <c r="DL43">
        <f t="shared" si="173"/>
        <v>1</v>
      </c>
      <c r="DM43" t="str">
        <f t="shared" si="174"/>
        <v>2P</v>
      </c>
      <c r="DN43" t="str">
        <f>_xlfn.LET(_xlpm.cc,UPPER(TRIM(IFERROR(_xlfn.XLOOKUP(BC43,Коды_код,Коды_хар)&amp;"",""))),IF(OR(_xlpm.cc="B",_xlpm.cc="В"),"B",IF(_xlpm.cc="D","D","С")))</f>
        <v>С</v>
      </c>
      <c r="DO43" t="str">
        <f t="shared" si="175"/>
        <v>2P С16А 30мА</v>
      </c>
      <c r="DP43" t="str">
        <f t="shared" si="176"/>
        <v>2P С16А 30мА</v>
      </c>
      <c r="DQ43" t="str">
        <f t="shared" si="177"/>
        <v>2P С16А 30мА</v>
      </c>
      <c r="DR43" cm="1">
        <f t="array" ref="DR43">IF(DQ43="","",_xlfn.LET(_xlpm.t,SUBSTITUTE(SUBSTITUTE(SUBSTITUTE(UPPER(DQ43),"С","C"),"А","A"),"В","B"),_xlpm.tk,_xlfn.TEXTSPLIT(_xlpm.t," "),_xlpm.f,_xlfn._xlws.FILTER(_xlpm.tk,ISNUMBER(--MID(_xlpm.tk,2,1))*ISNUMBER(SEARCH(LEFT(_xlpm.tk,1)&amp;"#","B#C#D#"))*(LEN(_xlpm.tk)&gt;1),""),_xlpm.x,INDEX(_xlpm.f,1),IFERROR(--SUBSTITUTE(MID(_xlpm.x,2,9),"A",""),IFERROR(--SUBSTITUTE(INDEX(_xlfn._xlws.FILTER(_xlpm.tk,ISNUMBER(--SUBSTITUTE(_xlpm.tk,"A","")),""),1),"A",""),""))))</f>
        <v>16</v>
      </c>
      <c r="DS43" t="str">
        <f t="shared" si="178"/>
        <v>ok</v>
      </c>
      <c r="DT43">
        <f t="shared" si="179"/>
        <v>16</v>
      </c>
      <c r="DU43" t="str">
        <f t="shared" si="180"/>
        <v>2P С16А 30мА</v>
      </c>
      <c r="DV43">
        <f t="shared" si="181"/>
        <v>30</v>
      </c>
      <c r="DW43">
        <f t="shared" si="182"/>
        <v>1</v>
      </c>
      <c r="DX43">
        <f t="shared" si="183"/>
        <v>0</v>
      </c>
      <c r="DY43">
        <f t="shared" si="184"/>
        <v>9.1160568819414589</v>
      </c>
      <c r="DZ43">
        <f t="shared" si="185"/>
        <v>1</v>
      </c>
      <c r="EA43">
        <f>IF(ISNUMBER(AP43),AP43,К_прокл)</f>
        <v>1</v>
      </c>
      <c r="EB43">
        <f t="shared" si="186"/>
        <v>2</v>
      </c>
      <c r="EC43">
        <f>IFERROR(N(VLOOKUP(BZ43,Кабель_обозначение,3,FALSE)),1)</f>
        <v>1</v>
      </c>
      <c r="ED43">
        <f>IFERROR(N(_xlfn.XLOOKUP(A43,Щиты[Щит],Щиты[ΔU до шин, %])),0)</f>
        <v>1.0560288498727977</v>
      </c>
      <c r="EE43">
        <f>IFERROR(_xlfn.XLOOKUP(A43,Щиты[Щит],Щиты[Zпетли на шинах, Ом]),"")</f>
        <v>0.28247829354840204</v>
      </c>
      <c r="EF43">
        <f>IFERROR(N(_xlfn.XLOOKUP(A43,Щиты[Щит],Щиты[ΔU до шин (подбор), %])),0)</f>
        <v>1.0560288498727977</v>
      </c>
      <c r="EG43">
        <f>IFERROR(_xlfn.XLOOKUP(A43,Щиты[Щит],Щиты[Zпетли на шинах (подбор), Ом]),"")</f>
        <v>0.28247829354840204</v>
      </c>
      <c r="EH43" t="str">
        <f t="shared" si="187"/>
        <v/>
      </c>
      <c r="EI43">
        <f t="shared" si="188"/>
        <v>140</v>
      </c>
      <c r="EJ43">
        <f t="shared" si="189"/>
        <v>2</v>
      </c>
      <c r="EK43">
        <f t="shared" si="190"/>
        <v>0.31</v>
      </c>
      <c r="EL43" s="6">
        <f>IF(B43="","",IF(BV43=1,dU_LED,IF(IFERROR(_xlfn.XLOOKUP(BC43,Коды_код,Коды_уго),"")="Светильник",3,4)+IF(Методика="нормы 2026",MIN(0.5,MAX(0,N(P43)-100)*0.005),0)))</f>
        <v>4.21</v>
      </c>
      <c r="EM43" cm="1">
        <f t="array" ref="EM43">IF(OR(B43="",BZ43="",EC43&lt;&gt;1),"",_xlfn.LET(_xlpm.sz,Iдоп_S,_xlpm.t_,CHOOSE(EB43,Iдоп_1ж,Iдоп_2ж,Iдоп_3ж)*DZ43*EA43,_xlpm.dcx,BV43=1,_xlpm.inn,IF(_xlpm.dcx,N(O43),N(DT43)),_xlpm.smin,MAX(1.5,CC43),_xlpm.L_,N(P43)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43)/N(BU43)*100,999),IFERROR(N(EJ43)*(_xlpm.rho*_xlpm.L_/_xlpm.sz*N(CE43)+_xlpm.xx*_xlpm.L_*N(EK43)/1000)*N(O43)/((Uн_лин/SQRT(3))*1000)*100,999)),_xlpm.kz,IF(OR(_xlpm.dcx,DW43=1,NOT(ISNUMBER(EG43)),_xlpm.L_=0,_xlpm.inn=0),1,IFERROR(--(c_min*(Uн_лин*1000/SQRT(3))/(EG43+2*ρкз_Cu*_xlpm.L_/_xlpm.sz)&gt;=HT43*_xlpm.inn),0)),_xlpm.ok,IFERROR((_xlpm.sz&gt;=_xlpm.smin)*(_xlpm.t_&gt;=_xlpm.inn)*IF(_xlpm.L_&gt;0,(_xlpm.du_+IF(_xlpm.dcx,0,EF43)&lt;=EL43+0.00001),1)*_xlpm.kz,0),_xlpm.r_,_xlfn._xlws.FILTER(_xlpm.sz,_xlpm.ok,"не подобрано"),INDEX(_xlpm.r_,1)))</f>
        <v>10</v>
      </c>
      <c r="EN43">
        <f t="shared" si="191"/>
        <v>10</v>
      </c>
      <c r="EO43" cm="1">
        <f t="array" ref="EO43">IF(OR(B43="",BZ43="",EC43&lt;&gt;1),"",_xlfn.LET(_xlpm.sz,Iдоп_S,_xlpm.t_,CHOOSE(EB43,Iдоп_1ж,Iдоп_2ж,Iдоп_3ж)*DZ43*EA43,_xlpm.ok,IFERROR((_xlpm.sz&gt;=MAX(1.5,CC43))*(_xlpm.t_&gt;=N(DT43)),0),_xlpm.r_,_xlfn._xlws.FILTER(_xlpm.sz,_xlpm.ok,""),INDEX(_xlpm.r_,1)))</f>
        <v>2.5</v>
      </c>
      <c r="EP43" s="6" cm="1">
        <f t="array" ref="EP43">IFERROR(ROUNDUP(N(EJ43)*(_xlfn.XLOOKUP(EO43,INDEX(Кабель_сопротивление,0,1),INDEX(Кабель_сопротивление,0,3))*N(P43)/EO43*N(CE43)+_xlfn.XLOOKUP(EO43,INDEX(Кабель_сопротивление,0,1),INDEX(Кабель_сопротивление,0,2))*N(P43)*N(EK43)/1000)*N(O43)/((Uн_лин/SQRT(3))*1000)*100,2),"")</f>
        <v>9.6199999999999992</v>
      </c>
      <c r="EQ43">
        <f>IFERROR(2*ρкз_Cu*N(P43)/EO43,"")</f>
        <v>2.9876800000000001</v>
      </c>
      <c r="ER43">
        <f>IFERROR(VLOOKUP(EN43,Кабель_сопротивление,3,FALSE),"")</f>
        <v>2.2499999999999999E-2</v>
      </c>
      <c r="ES43">
        <f>IFERROR(VLOOKUP(EN43,Кабель_сопротивление,2,FALSE),"")</f>
        <v>7.2999999999999995E-2</v>
      </c>
      <c r="ET43" t="str">
        <f t="shared" si="192"/>
        <v/>
      </c>
      <c r="EU43" t="str">
        <f t="shared" si="193"/>
        <v/>
      </c>
      <c r="EV43">
        <f t="shared" si="194"/>
        <v>5.5924904984782495</v>
      </c>
      <c r="EW43" s="6">
        <f>IFERROR(ROUNDUP(EV43/IF(BV43=1,BU43,(Uн_лин/SQRT(3))*1000)*100,2),"")</f>
        <v>2.4299999999999997</v>
      </c>
      <c r="EX43" t="str">
        <f>IFERROR(VLOOKUP(BZ43,Кабель_обозначение,2,FALSE),"")</f>
        <v>ВВГнг(А)-LS</v>
      </c>
      <c r="EY43" t="str">
        <f t="shared" si="195"/>
        <v>ВВГнг(А)-LS (3х10)</v>
      </c>
      <c r="EZ43" t="str">
        <f t="shared" si="196"/>
        <v>ВВГнг(А)-LS (3х10)
L=142-2,43%</v>
      </c>
      <c r="FA43">
        <f>IFERROR(2*ρкз_Cu*P43/EN43,"")</f>
        <v>0.74692000000000003</v>
      </c>
      <c r="FB43">
        <f t="shared" si="197"/>
        <v>0.24850000000000003</v>
      </c>
      <c r="FC43" s="6">
        <f>IFERROR(IF(OR(B43="",BV43=1,NOT(ISNUMBER(EN43)),N(P43)=0),"",_xlfn.XLOOKUP(A43,Щиты[Щит],Щиты[Zпетли на шинах, Ом])+FA43),"")</f>
        <v>1.0293982935484021</v>
      </c>
      <c r="FD43" s="6">
        <f>IF(ISNUMBER(FC43),c_min*(Uн_лин*1000/SQRT(3))/FC43,"")</f>
        <v>213.12751698450526</v>
      </c>
      <c r="FE43" s="6">
        <f>IFERROR(IF(OR(B43="",NOT(ISNUMBER(EN43))),"",1.05*(Uн_лин*1000/SQRT(3))/(_xlfn.XLOOKUP(A43,Щиты[Щит],Щиты[Zmax на шинах, Ом])+FB43)/1000),"")</f>
        <v>0.7268503762753965</v>
      </c>
      <c r="FF43" s="6" t="str">
        <f>IF(B43="","",IF(ISNUMBER(AC43),"Сил",IF(IFERROR(_xlfn.XLOOKUP(BC43,Коды_код,Коды_группа)&amp;"","")="","Быт",_xlfn.XLOOKUP(BC43,Коды_код,Коды_группа)&amp;"")))</f>
        <v>Быт</v>
      </c>
      <c r="FG43" s="6" t="str">
        <f t="shared" si="198"/>
        <v>Быт</v>
      </c>
      <c r="FH43" s="6">
        <f>IF(FG43="Щит","щит",IF(FG43="","",IF(FG43="Быт",IFERROR(_xlfn.XLOOKUP(A43,Щиты[Щит],Щиты[Кс быт]),1),IF(FG43="Сил",IF(ISNUMBER(AC43),AC43,IF(Методика="нормы 2026",IFERROR(_xlfn.XLOOKUP(A43,Щиты[Щит],Щиты[Кс силовых (табл. 7.5)]),1),1)),IF(OR(FG43="Пост",FG43="Отоп"),1,IF(FG43="ВНГ",0.7,0))))))</f>
        <v>0.8</v>
      </c>
      <c r="FI43">
        <f>IF(FG43="","",IF(AND(BP43=1,TRIM(AE43&amp;"")=""),IF(COUNTIFS(Линии[Щит],A43,Линии[Секция (1/2/3)],"&gt;=2")&gt;0,MIN(3,MAX(1,IFERROR(--BD43,1))),1),IFERROR(MIN(3,MAX(1,INT(--AE43))),1)))</f>
        <v>1</v>
      </c>
      <c r="FJ43">
        <f t="shared" si="199"/>
        <v>2</v>
      </c>
      <c r="FK43">
        <f t="shared" si="200"/>
        <v>2</v>
      </c>
      <c r="FL43">
        <f t="shared" si="201"/>
        <v>0</v>
      </c>
      <c r="FM43">
        <f t="shared" si="202"/>
        <v>0</v>
      </c>
      <c r="FN43">
        <f t="shared" si="203"/>
        <v>0</v>
      </c>
      <c r="FO43">
        <f t="shared" si="204"/>
        <v>0</v>
      </c>
      <c r="FP43">
        <f t="shared" si="205"/>
        <v>2</v>
      </c>
      <c r="FQ43">
        <f t="shared" si="206"/>
        <v>2</v>
      </c>
      <c r="FR43">
        <f t="shared" si="207"/>
        <v>1.9</v>
      </c>
      <c r="FS43">
        <f>IF(CG43=1,IF(AND(CH43=1,CW43=1),0,IF(AND(CS43&lt;&gt;"",CS43=BA43,CW43=1),SUMIFS(Линии[_Р линии, кВт],Линии[_блок УЗО],BA43,Линии[Щит],A43),N(BS43)+IF(AJ43="вручную",0,N(CK43)))),0)</f>
        <v>2</v>
      </c>
      <c r="FT43" t="str">
        <f t="shared" si="208"/>
        <v/>
      </c>
      <c r="FU43" t="str">
        <f>IF(B43="","",IF(CG43=0,IF(BA43=1,"",FW42),IF(AND(CH43=1,CW43=1,CS43&lt;&gt;""),IFERROR(_xlfn.XLOOKUP(CS43,Линии[_n],Линии[_фаза итог]),"L1"),IF(OR(N(DL43)&gt;=3,N(BX43)&gt;=3),"L1,L2,L3",IFERROR(_xlfn.TEXTBEFORE(_xlfn.TEXTAFTER(_xlfn.XLOOKUP(A43,Щиты[Щит],Щиты[_фазы авто]),";"&amp;BA43&amp;":"),";"),"L1")))))</f>
        <v>L2</v>
      </c>
      <c r="FV43" t="str">
        <f t="shared" si="209"/>
        <v>L2</v>
      </c>
      <c r="FW43" t="str">
        <f t="shared" si="210"/>
        <v>L2</v>
      </c>
      <c r="FX43" cm="1">
        <f t="array" ref="FX43">IFERROR(IF(CD43=2,_xlfn.IFS(BX43=3,VLOOKUP(BS43,Справочная_двигатели,3,FALSE),BX43=1,VLOOKUP(BS43,Справочная_двигатели,5,TRUE)),0),0)</f>
        <v>0</v>
      </c>
      <c r="FY43">
        <f>IFERROR(IF(CD43=3,VLOOKUP(BS43,Справочная_ЛЭД,2,TRUE),0),0)</f>
        <v>0</v>
      </c>
      <c r="FZ43" s="6">
        <f t="shared" si="211"/>
        <v>0</v>
      </c>
      <c r="GA43" t="str">
        <f>IF(B43="","",IF(TRIM(AH43&amp;"")&lt;&gt;"",IF(LOWER(TRIM(AH43&amp;""))="да","да","нет"),IF(IFERROR(_xlfn.XLOOKUP(BC43,Коды_код,Коды_пожарная),"")="да","да","нет")))</f>
        <v>нет</v>
      </c>
      <c r="GB43" t="str">
        <f t="shared" si="212"/>
        <v/>
      </c>
      <c r="GC43" t="str">
        <f t="shared" si="213"/>
        <v>основная</v>
      </c>
      <c r="GD43">
        <f>IF(AND(BP43=1,TRIM(AE43&amp;"")=""),IF(COUNTIFS(Линии[Щит],A43,Линии[Секция (1/2/3)],"&gt;=2")&gt;0,MIN(3,MAX(1,IFERROR(--BD43,1))),1),IFERROR(MIN(3,MAX(1,INT(--AE43))),1))</f>
        <v>1</v>
      </c>
      <c r="GE43" t="str" cm="1">
        <f t="array" ref="GE43">IF(B43="","",_xlfn.LET(_xlpm.t,IFERROR(_xlfn.XLOOKUP(1,(Шины[Шина]=GC43)*(((Шины[Щит]=A43)+(Шины[Щит]=""))&gt;0),Шины[Тип]),"")&amp;"",IF(_xlpm.t&lt;&gt;"",_xlpm.t,IF(ISNUMBER(SEARCH("ИБП",GC43)),"ИБП",IF(ISNUMBER(SEARCH("ДГУ",GC43)),"ДГУ","Ввод "&amp;GD43)))))</f>
        <v>Ввод 1</v>
      </c>
      <c r="GF43" t="str">
        <f t="shared" si="214"/>
        <v>Ввод 1</v>
      </c>
      <c r="GG43" t="str">
        <f>IF(BP43=0,"",IF(TRIM(AG43&amp;"")&lt;&gt;"",TRIM(AG43&amp;""),IF(OR(GE43="ИБП",GE43="ДГУ"),"I особая",_xlfn.XLOOKUP(A43,Щиты[Щит],Щиты[Категория шины «Ввод»],"III"))))</f>
        <v/>
      </c>
      <c r="GH43" t="str">
        <f>IF(A43="","",_xlfn.XLOOKUP(A43,Щиты[Щит],Щиты[Путь],""))</f>
        <v>|ВРУ|ЩР-1|</v>
      </c>
      <c r="GI43" t="str">
        <f>IF(B43="","",IF(AI43&lt;&gt;"",AI43,IF(IFERROR(_xlfn.XLOOKUP(BC43,Коды_код,Коды_вид)&amp;"","")="","Прочее",_xlfn.XLOOKUP(BC43,Коды_код,Коды_вид)&amp;"")))</f>
        <v>Розеточная сеть и бытовые приборы</v>
      </c>
      <c r="GJ43">
        <f>IF(BM43="","",INT((BM43-1)/Столбцов_на_лист)+1)</f>
        <v>2</v>
      </c>
      <c r="GK43" t="str">
        <f t="shared" si="215"/>
        <v>ВВГнг(А)-LS (3х10) L=142-2,43%</v>
      </c>
      <c r="GL43">
        <f t="shared" si="216"/>
        <v>2</v>
      </c>
      <c r="GM43">
        <f t="shared" si="217"/>
        <v>9.1199999999999992</v>
      </c>
      <c r="GN43">
        <f t="shared" si="218"/>
        <v>1</v>
      </c>
      <c r="GO43">
        <f t="shared" si="219"/>
        <v>0</v>
      </c>
      <c r="GP43">
        <f t="shared" si="220"/>
        <v>1</v>
      </c>
      <c r="GQ43">
        <f>IF(BM43="","",IF(AND(CG43=1,GP43=1),COUNTIFS(A$3:A43,A43,CG$3:CG43,1,GP$3:GP43,1),IF(OR(OR(BA43=1,A43&lt;&gt;A42),AJ43="вручную",GP43=0),"",IF(BA43=1,"",GR42))))</f>
        <v>11</v>
      </c>
      <c r="GR43">
        <f t="shared" si="221"/>
        <v>11</v>
      </c>
      <c r="GS43">
        <f>IF(B43="","",IFERROR(LOOKUP(INDEX(CHOOSE(EB43,Iдоп_1ж,Iдоп_2ж,Iдоп_3ж),MATCH(EN43,Iдоп_S,0))*DZ43*EA43,{6,10,16,20,25,32,40,50,63,80,100,125,160,200,250,315,400,500,630}),""))</f>
        <v>63</v>
      </c>
      <c r="GT43" t="str">
        <f t="shared" si="222"/>
        <v>QFD11</v>
      </c>
      <c r="GU43" t="str">
        <f t="shared" si="223"/>
        <v>QFD11</v>
      </c>
      <c r="GV43" t="str">
        <f t="shared" si="224"/>
        <v/>
      </c>
      <c r="GW43">
        <f t="shared" si="225"/>
        <v>0</v>
      </c>
      <c r="GX43" t="str">
        <f>IF(OR(B43="",DJ43=""),"",IFERROR(_xlfn.XLOOKUP(DJ43,Модули_умолч[Управление],Модули_умолч[Модель])&amp;"",""))</f>
        <v/>
      </c>
      <c r="GY43">
        <f>IF(DJ43="",1,IFERROR(MAX(0,N(_xlfn.XLOOKUP(DJ43,Модули_умолч[Управление],Модули_умолч[Каналов на линию]))),1))</f>
        <v>1</v>
      </c>
      <c r="GZ43" t="str">
        <f t="shared" si="226"/>
        <v/>
      </c>
      <c r="HA43" t="str">
        <f t="shared" si="227"/>
        <v/>
      </c>
      <c r="HB43" t="str">
        <f t="shared" si="228"/>
        <v/>
      </c>
      <c r="HC43">
        <f>IF(HB43="",0,IFERROR(N(VLOOKUP(HB43,Модули_спр,3,FALSE)),0))</f>
        <v>0</v>
      </c>
      <c r="HD43" t="str">
        <f t="shared" si="229"/>
        <v/>
      </c>
      <c r="HE43" t="str">
        <f t="shared" si="230"/>
        <v/>
      </c>
      <c r="HF43" t="str">
        <f>IF(OR(HE43="",HE43="-"),"",IFERROR(VLOOKUP(HE43,Модули_спр,2,FALSE),"R"))</f>
        <v/>
      </c>
      <c r="HG43" t="str">
        <f>IF(HF43="","",HF43&amp;"."&amp;COUNTIFS(A$3:A43,A43,HF$3:HF43,HF43))</f>
        <v/>
      </c>
      <c r="HH43" t="str">
        <f t="shared" si="231"/>
        <v/>
      </c>
      <c r="HI43" t="str">
        <f t="shared" si="232"/>
        <v/>
      </c>
      <c r="HJ43" t="str">
        <f t="shared" si="233"/>
        <v/>
      </c>
      <c r="HK43" t="str">
        <f t="shared" si="234"/>
        <v/>
      </c>
      <c r="HL43">
        <f t="shared" si="235"/>
        <v>1</v>
      </c>
      <c r="HM43" t="str">
        <f>IF(HL43=1,"XT"&amp;COUNTIFS(A$3:A43,A43,HL$3:HL43,1),"")</f>
        <v>XT15</v>
      </c>
      <c r="HN43" t="str">
        <f t="shared" si="236"/>
        <v>XT15</v>
      </c>
      <c r="HO43" t="str">
        <f t="shared" si="237"/>
        <v>QFD11</v>
      </c>
      <c r="HP43" t="str">
        <f t="shared" si="238"/>
        <v/>
      </c>
      <c r="HQ43" t="str">
        <f t="shared" si="239"/>
        <v>ok</v>
      </c>
      <c r="HR43" t="str">
        <f>IF(OR(HJ43="",HH43=""),"",IF(HJ43+MAX(0,GY43-1)&gt;IFERROR(VLOOKUP(HI43,Модули_спр,3,FALSE),99),"ЛИШНИЙ КАНАЛ",IF(AND(AL43&lt;&gt;"=",GY43&gt;0,COUNTIFS(Линии[_модуль гр.],HH43,Линии[Канал (итог)],HJ43,Линии[Канал],"&lt;&gt;=",Линии[Щит],A43)&gt;1),"ДУБЛЬ КАНАЛА","")))</f>
        <v/>
      </c>
      <c r="HS43" s="6">
        <f t="shared" si="240"/>
        <v>13.320469811531579</v>
      </c>
      <c r="HT43">
        <f t="shared" si="241"/>
        <v>10</v>
      </c>
      <c r="HU43" t="str">
        <f t="shared" si="242"/>
        <v>ok</v>
      </c>
      <c r="HV43">
        <f t="shared" si="243"/>
        <v>5.0664227527765835</v>
      </c>
      <c r="HW43">
        <f t="shared" si="244"/>
        <v>0</v>
      </c>
      <c r="HX43">
        <f t="shared" si="245"/>
        <v>0</v>
      </c>
      <c r="HY43">
        <f t="shared" si="246"/>
        <v>0</v>
      </c>
      <c r="HZ43">
        <f t="shared" si="247"/>
        <v>0</v>
      </c>
      <c r="IA43">
        <f t="shared" si="248"/>
        <v>0</v>
      </c>
      <c r="IB43">
        <f t="shared" si="249"/>
        <v>0</v>
      </c>
      <c r="IC43" t="str">
        <f t="shared" si="250"/>
        <v/>
      </c>
      <c r="ID43" t="str" cm="1">
        <f t="array" ref="ID43">IF(IC43="","",_xlfn.LET(_xlpm.tk,_xlfn.TEXTSPLIT(SUBSTITUTE(SUBSTITUTE(IC43,";"," "),"→"," ")," ",,TRUE),_xlpm.w_,_xlfn._xlws.FILTER(_xlpm.tk,ISNUMBER(--LEFT(_xlpm.tk,1))*((ISNUMBER(SEARCH("W",_xlpm.tk))+ISNUMBER(SEARCH("Вт",_xlpm.tk)))&gt;0),""),IFERROR(--SUBSTITUTE(SUBSTITUTE(UPPER(INDEX(_xlpm.w_,1)),"W",""),"ВТ",""),"")))</f>
        <v/>
      </c>
      <c r="IE43" t="str" cm="1">
        <f t="array" ref="IE43">IF(IC43="","",_xlfn.LET(_xlpm.tk,_xlfn.TEXTSPLIT(SUBSTITUTE(SUBSTITUTE(IC43,";"," "),"→"," ")," ",,TRUE),_xlpm.v_,_xlfn._xlws.FILTER(_xlpm.tk,ISNUMBER(--LEFT(_xlpm.tk,1))*((ISNUMBER(SEARCH("V",_xlpm.tk))+(RIGHT(UPPER(_xlpm.tk))="В"))&gt;0),""),IFERROR(--SUBSTITUTE(SUBSTITUTE(UPPER(INDEX(_xlpm.v_,1)),"V",""),"В",""),"")))</f>
        <v/>
      </c>
      <c r="IF43" s="6" t="str">
        <f>IF(OR(BV43=0,HI43="",HJ43=""),"",IFERROR(N(_xlfn.XLOOKUP(HI43,Каталог!$C$4:$C$500,Каталог!$Q$4:$Q$500)),""))</f>
        <v/>
      </c>
      <c r="IG43" s="6" t="str">
        <f>IF(N(IF43)=0,"",SUMIFS(Линии[Iр, А],Линии[Щит],A43,Линии[_модуль гр.],HH43,Линии[Канал (итог)],HJ43))</f>
        <v/>
      </c>
      <c r="IH43" t="str">
        <f>IF(AND(B43="",HO43=""),"",_xlfn.TEXTJOIN("; ",TRUE,IF(AND(B43&lt;&gt;"",FV43=""),"нет фазы",""),IF(AND(B43&lt;&gt;"",N(GL43)=0,FG43&lt;&gt;"Нет"),"нет мощности",""),IF(AND(HN43&lt;&gt;"",COUNTIFS(Линии[Щит],A43,Линии[Клемма (итог)],HN43)&gt;1),"дубль клеммы "&amp;HN43,""),IF(AND(HQ43&lt;&gt;"",HQ43&lt;&gt;"ok"),HQ43,""),IF(HR43&lt;&gt;"",HR43,""),IF(AND(N(CB43)&gt;=4,N(BX43)=1),CB43&amp;" жил на 1 фазе",""),IF(AND(BC43="R",CG43=1,IF(CS43&lt;&gt;"",N(CV43)&gt;30,OR(N(DA43)=0,N(DA43)&gt;30))),"розетка без дифзащиты до 30 мА",""),IF(AND(CG43=1,N(DA43)&gt;0,ISNUMBER(T43)),IF(T43&gt;N(DA43)/3,"ток утечки "&amp;FIXED(T43,1)&amp;" мА &gt; 1/3 уставки ("&amp;DA43&amp;" мА)",""),""),IF(AND(CH43=1,CS43=""),"«узо»: нет строки с УЗО выше (УЗО 2P 40А 30мА в «Аппаратах»)",""),IF(AND(CS43&lt;&gt;"",CS43=BA43),IF(CT43="","впишите номинал УЗО (УЗО 2P 40А 30мА)",IF(N(CT43)&lt;N(DT43),"УЗО "&amp;CT43&amp;" А &lt; автомата "&amp;DT43&amp;" А перед ним",IF(N(CT43)&lt;N(CX43),"УЗО "&amp;CT43&amp;" А &lt; тока блока "&amp;FIXED(CX43,1)&amp;" А",""))),""),IF(AND(CS43&lt;&gt;"",CS43=BA43,ISNUMBER(CY43)),IF(CY43&gt;N(CV43)/3,"ток утечки блока УЗО "&amp;FIXED(CY43,1)&amp;" мА &gt; 1/3 уставки ("&amp;CV43&amp;" мА)",""),""),IF(AND(CG43=1,N(BV43)+N(IB43)&gt;0,IC43=""),"линии до 50 В без БП: впишите в «Аппараты» (БП 24V 480W)",""),IF(AND(CG43=1,ISNUMBER(ID43),ISNUMBER(U43)),IF(U43&gt;ID43,"БП "&amp;ID43&amp;" Вт &lt; нужно "&amp;U43&amp;" Вт (×"&amp;Запас_БП&amp;")",""),""),IF(AND(CG43=1,ISNUMBER(IE43),N(BV43)=1),IF(IE43&lt;&gt;N(BU43),"БП на "&amp;IE43&amp;" В, линия "&amp;BU43&amp;" В",""),""),IF(AND(N(IF43)&gt;0,N(IG43)&gt;N(IF43)),HH43&amp;" канал "&amp;HJ43&amp;": "&amp;FIXED(IG43,1)&amp;" А &gt; "&amp;IF43&amp;" А",""),IFERROR(IF(AND(ISNUMBER(Q43),Q43&gt;EL43),"потери "&amp;FIXED(Q43,1)&amp;" % &gt; "&amp;EL43&amp;" %",""),""),IFERROR(IF(LEFT(HU43,4)="мало","Iкз мало — отключение &gt; 0,4 с",""),""),IF(AND(B43&lt;&gt;"",BM43=""),"не на схеме",""),IF(AND(CG43=0,B43&lt;&gt;"",FV43&lt;&gt;"",IF(BA43=1,"",FW42)&lt;&gt;"",FV43&lt;&gt;IF(BA43=1,"",FW42)),"фаза не как у автомата группы ("&amp;IF(BA43=1,"",FW42)&amp;")","")))</f>
        <v/>
      </c>
      <c r="II43" s="6">
        <f>IF(OR(CG43=0,DQ43=""),"",_xlfn.LET(_xlpm.t,IFERROR(_xlfn.XLOOKUP(DQ43,Каталог!$U$4:$U$500,Каталог!$G$4:$G$500),""),_xlpm.k,SEARCH("кА",_xlpm.t),IFERROR(--TRIM(RIGHT(SUBSTITUTE(MID(_xlpm.t,MAX(1,_xlpm.k-4),_xlpm.k-MAX(1,_xlpm.k-4))," ",REPT(" ",9)),5)),"")))</f>
        <v>6</v>
      </c>
      <c r="IJ43" t="str">
        <f>IF(OR(II43="",CG43=0),"",IF(_xlfn.XLOOKUP(A43,Щиты[Щит],Щиты[Iкз max на шинах, кА],"")="","",IF(II43&lt;_xlfn.XLOOKUP(A43,Щиты[Щит],Щиты[Iкз max на шинах, кА]),"Icu "&amp;II43&amp;" кА &lt; Iкз max","ok")))</f>
        <v>ok</v>
      </c>
      <c r="IK43" t="str">
        <f t="shared" si="251"/>
        <v/>
      </c>
      <c r="IL43" t="str">
        <f t="shared" si="252"/>
        <v>QFD11|XT15</v>
      </c>
      <c r="IM43" t="str">
        <f t="shared" si="253"/>
        <v>QFD11|XT15|кабель ВВГнг(А)-LS (3х10) → Розетки гаража (длинная линия)</v>
      </c>
      <c r="IN43" t="str" cm="1">
        <f t="array" ref="IN43">IF(IM43="","",_xlfn.LET(_xlpm.nd,_xlfn.TEXTSPLIT(IM43,"|"),IF(COLUMNS(_xlpm.nd)&gt;1,A43&amp;"¦"&amp;INDEX(_xlpm.nd,1)&amp;"¦"&amp;INDEX(_xlpm.nd,2),"")))</f>
        <v>ЩР-1¦QFD11¦XT15</v>
      </c>
      <c r="IO43" t="str">
        <f t="shared" si="254"/>
        <v>R.1.04.1¦Розетки гаража (длинная линия)</v>
      </c>
      <c r="IP43" t="str" cm="1">
        <f t="array" ref="IP43">IF(IM43="","",_xlfn.LET(_xlpm.nd,_xlfn.TEXTSPLIT(IM43,"|"),IF(COLUMNS(_xlpm.nd)&gt;2,A43&amp;"¦"&amp;INDEX(_xlpm.nd,2)&amp;"¦"&amp;INDEX(_xlpm.nd,3),"")))</f>
        <v>ЩР-1¦XT15¦кабель ВВГнг(А)-LS (3х10) → Розетки гаража (длинная линия)</v>
      </c>
      <c r="IQ43" t="str">
        <f t="shared" si="255"/>
        <v>R.1.04.1¦Розетки гаража (длинная линия)</v>
      </c>
      <c r="IR43" t="str" cm="1">
        <f t="array" ref="IR43">IF(IM43="","",_xlfn.LET(_xlpm.nd,_xlfn.TEXTSPLIT(IM43,"|"),IF(COLUMNS(_xlpm.nd)&gt;3,A43&amp;"¦"&amp;INDEX(_xlpm.nd,3)&amp;"¦"&amp;INDEX(_xlpm.nd,4),"")))</f>
        <v/>
      </c>
      <c r="IS43" t="str">
        <f t="shared" si="256"/>
        <v/>
      </c>
      <c r="IT43" t="str" cm="1">
        <f t="array" ref="IT43">IF(IM43="","",_xlfn.LET(_xlpm.nd,_xlfn.TEXTSPLIT(IM43,"|"),IF(COLUMNS(_xlpm.nd)&gt;4,A43&amp;"¦"&amp;INDEX(_xlpm.nd,4)&amp;"¦"&amp;INDEX(_xlpm.nd,5),"")))</f>
        <v/>
      </c>
      <c r="IU43" t="str">
        <f t="shared" si="257"/>
        <v/>
      </c>
      <c r="IV43" t="str" cm="1">
        <f t="array" ref="IV43">IF(IM43="","",_xlfn.LET(_xlpm.nd,_xlfn.TEXTSPLIT(IM43,"|"),IF(COLUMNS(_xlpm.nd)&gt;5,A43&amp;"¦"&amp;INDEX(_xlpm.nd,5)&amp;"¦"&amp;INDEX(_xlpm.nd,6),"")))</f>
        <v/>
      </c>
      <c r="IW43" t="str">
        <f t="shared" si="258"/>
        <v/>
      </c>
      <c r="IX43" t="str" cm="1">
        <f t="array" ref="IX43">IF(IM43="","",_xlfn.LET(_xlpm.nd,_xlfn.TEXTSPLIT(IM43,"|"),IF(COLUMNS(_xlpm.nd)&gt;6,A43&amp;"¦"&amp;INDEX(_xlpm.nd,6)&amp;"¦"&amp;INDEX(_xlpm.nd,7),"")))</f>
        <v/>
      </c>
      <c r="IY43" t="str">
        <f t="shared" si="259"/>
        <v/>
      </c>
      <c r="IZ43" t="str">
        <f t="shared" si="260"/>
        <v/>
      </c>
      <c r="JA43" t="str">
        <f t="shared" si="261"/>
        <v>QFD11 → XT15</v>
      </c>
      <c r="JB43">
        <f t="shared" si="262"/>
        <v>0</v>
      </c>
      <c r="JC43">
        <f t="shared" si="263"/>
        <v>1</v>
      </c>
      <c r="JD43" t="str">
        <f t="shared" si="264"/>
        <v/>
      </c>
      <c r="JE43" t="str">
        <f t="shared" si="265"/>
        <v/>
      </c>
      <c r="JF43" t="str">
        <f t="shared" si="266"/>
        <v/>
      </c>
      <c r="JG43" t="str">
        <f t="shared" si="267"/>
        <v/>
      </c>
      <c r="JH43" t="str">
        <f>IF(B43="","",IFERROR(_xlfn.XLOOKUP(B43,Коды_код,Коды_уго),IFERROR(_xlfn.XLOOKUP(BC43,Коды_код,Коды_уго),IFERROR(_xlfn.XLOOKUP(LEFT(BC43,2),Коды_код,Коды_уго),""))))</f>
        <v>Розетка</v>
      </c>
      <c r="JI43" t="str">
        <f>IF(B43="","",IF(OR(JH43="",JH43=0),"BOX",IFERROR(IF(VLOOKUP(JH43,УГО_блоки,3,FALSE)&amp;""&lt;&gt;"",VLOOKUP(JH43,УГО_блоки,3,FALSE),VLOOKUP(JH43,УГО_блоки,2,FALSE)),JH43)))</f>
        <v>SOCKET</v>
      </c>
      <c r="JJ43">
        <f t="shared" si="268"/>
        <v>1</v>
      </c>
      <c r="JK43" t="str">
        <f>IF(DQ43="","",IF(COUNTIF(DQ$3:DQ43,DQ43)=1,MAX(JK$2:JK42)+1,""))</f>
        <v/>
      </c>
      <c r="JL43" t="str">
        <f>IF(DE43="","",IF(COUNTIF(DE$3:DE43,DE43)+COUNTIF(DF$2:DF42,DE43)+COUNTIF(DG$2:DG42,DE43)=1,MAX(JL$2:JN42)+1,""))</f>
        <v/>
      </c>
      <c r="JM43" t="str">
        <f>IF(DF43="","",IF(COUNTIF(DE$3:DE43,DF43)+COUNTIF(DF$3:DF43,DF43)+COUNTIF(DG$2:DG42,DF43)=1,MAX(JL$2:JN42,JL43)+1,""))</f>
        <v/>
      </c>
      <c r="JN43" t="str">
        <f>IF(DG43="","",IF(COUNTIF(DE$3:DE43,DG43)+COUNTIF(DF$3:DF43,DG43)+COUNTIF(DG$3:DG43,DG43)=1,MAX(JL$2:JN42,JL43,JM43)+1,""))</f>
        <v/>
      </c>
      <c r="JO43" t="str">
        <f t="shared" si="269"/>
        <v>3х10</v>
      </c>
      <c r="JP43">
        <f>IF(JO43="","",IF(COUNTIF(JO$3:JO43,JO43)=1,MAX(JP$2:JP42)+1,""))</f>
        <v>13</v>
      </c>
      <c r="JQ43" t="str">
        <f>IF(HG43="","",COUNTIF(HG$3:HG43,"?*"))</f>
        <v/>
      </c>
      <c r="JR43" t="str">
        <f>IF(OR(HG43="",HI43=""),"",IF(COUNTIFS(HG$3:HG43,"?*",HI$3:HI43,HI43)=1,MAX(JR$2:JR42)+1,""))</f>
        <v/>
      </c>
      <c r="JS43">
        <f t="shared" si="270"/>
        <v>0</v>
      </c>
      <c r="JT43">
        <f>IF(B43="","",COUNTIF(B$3:B43,"?*"))</f>
        <v>39</v>
      </c>
      <c r="JU43">
        <f>IF(HL43&lt;&gt;1,0,_xlfn.LET(_xlpm.k,MAX(IFERROR(--_xlfn.XLOOKUP(B43,Коды_код,Коды_3L),0),IFERROR(--_xlfn.XLOOKUP(BC43,Коды_код,Коды_3L),0),IFERROR(--_xlfn.XLOOKUP(LEFT(BC43,2),Коды_код,Коды_3L),0)),IF(_xlpm.k&gt;0,_xlpm.k,IF(IFERROR(--LEFT(SUBSTITUTE(JO43,"x","х"),FIND("х",SUBSTITUTE(JO43,"x","х"))-1),3)&gt;3,Каталог!$S$9,1))))</f>
        <v>1</v>
      </c>
      <c r="JV43">
        <f t="shared" si="271"/>
        <v>0</v>
      </c>
      <c r="JW43" t="str">
        <f t="shared" si="272"/>
        <v>авто</v>
      </c>
      <c r="JX43">
        <f t="shared" si="273"/>
        <v>30</v>
      </c>
      <c r="JY43">
        <f t="shared" si="274"/>
        <v>1</v>
      </c>
      <c r="JZ43">
        <f t="shared" si="275"/>
        <v>1</v>
      </c>
    </row>
    <row r="44" spans="1:286" x14ac:dyDescent="0.3">
      <c r="A44" t="s">
        <v>947</v>
      </c>
      <c r="B44" t="s">
        <v>1224</v>
      </c>
      <c r="C44" t="s">
        <v>1251</v>
      </c>
      <c r="E44">
        <v>0</v>
      </c>
      <c r="G44" t="str">
        <f>Линии[[#This Row],[_авто автомат]]</f>
        <v>1P С16А</v>
      </c>
      <c r="H44" t="str">
        <f>Линии[[#This Row],[_авто управление]]</f>
        <v/>
      </c>
      <c r="I44" t="s">
        <v>872</v>
      </c>
      <c r="J44" t="str">
        <f>Линии[[#This Row],[_авто сечение]]</f>
        <v/>
      </c>
      <c r="K44" t="str">
        <f>Линии[[#This Row],[_авто длина по плану]]</f>
        <v/>
      </c>
      <c r="L44" t="str">
        <f>Линии[[#This Row],[_авто фаза]]</f>
        <v>L1</v>
      </c>
      <c r="M44" t="str">
        <f>Линии[[#This Row],[_авто клемма]]</f>
        <v/>
      </c>
      <c r="N44" t="str">
        <f t="shared" si="138"/>
        <v/>
      </c>
      <c r="O44" s="6" cm="1">
        <f t="array" ref="O44">IF(B44="","",IF(BH44&lt;&gt;"",IFERROR(_xlfn.XLOOKUP(BH44,Щиты[Щит],Щиты[Iр, А]),""),IF(BP44=1,IF(OR(N(_xlfn.XLOOKUP(A44,Щиты[Щит],Щиты[Вводов],1))&lt;=1,LOWER(TRIM(_xlfn.XLOOKUP(A44,Щиты[Щит],Щиты[АВР],"")&amp;""))="да"),IFERROR(_xlfn.XLOOKUP(A44,Щиты[Щит],Щиты[Iр, А]),""),IFERROR(N(BS44)*_xlfn.XLOOKUP(A44,Щиты[Щит],Щиты[Кс итог])/(SQRT(3)*Uн_лин*_xlfn.XLOOKUP(A44,Щиты[Щит],Щиты[cos φ])),"")),IF(BV44=1,IFERROR(BS44*1000/BU44,""),IFERROR(_xlfn.IFS(BX44=1,BS44/((Uн_лин/SQRT(3))*CE44),BX44=3,BS44/(SQRT(3)*Uн_лин*CE44)),"")))))</f>
        <v>0</v>
      </c>
      <c r="P44" s="7" t="str">
        <f>IF(B44="","",IFERROR(IF(VLOOKUP(BC44,Потребители_обозначение,4,FALSE)=1,VLOOKUP(BC44,Потребители_обозначение,3,FALSE)*(MAX(1,N(D44))*2-1)+EI44+VLOOKUP(BE44,Этаж_обозначение,3,FALSE)+VLOOKUP(BE44,Этаж_обозначение,4,FALSE),VLOOKUP(BC44,Потребители_обозначение,3,FALSE)*(MAX(1,N(D44))*2-1)+EI44),EI44))</f>
        <v/>
      </c>
      <c r="Q44" s="6" t="str">
        <f t="shared" si="139"/>
        <v/>
      </c>
      <c r="R44" t="str">
        <f t="shared" si="140"/>
        <v/>
      </c>
      <c r="S44" t="str">
        <f>IF(BM44="","",IF(BN44="вводной узел","узел ","")&amp;"л."&amp;(INT((BM44-1)/Столбцов_на_лист)+1)&amp;" / "&amp;(MOD(BM44-1,Столбцов_на_лист)+1))</f>
        <v>л.2 / 4</v>
      </c>
      <c r="T44" s="119">
        <f t="shared" si="141"/>
        <v>5.9</v>
      </c>
      <c r="U44" s="7" t="str">
        <f>IF(OR(CG44=0,N(BV44)+N(IB44)=0),"",ROUNDUP(Запас_БП*(N(HY44)+N(HZ44)),0))</f>
        <v/>
      </c>
      <c r="V44" s="119" t="str">
        <f t="shared" si="142"/>
        <v/>
      </c>
      <c r="W44" s="7" t="str">
        <f>IFERROR(IF(OR(B44="",BP44=1,BV44=1,NOT(ISNUMBER(EN44)),N(DT44)=0),"",MAX(0,ROUNDDOWN((c_min*(Uн_лин*1000/SQRT(3))/(HT44*N(DT44))-_xlfn.XLOOKUP(A44,Щиты[Щит],Щиты[Zпетли на шинах, Ом]))*EN44/(2*ρкз_Cu),0))),"")</f>
        <v/>
      </c>
      <c r="Y44" t="str">
        <f>Линии[[#This Row],[_авто утечка]]</f>
        <v/>
      </c>
      <c r="Z44">
        <v>1</v>
      </c>
      <c r="AA44">
        <v>230</v>
      </c>
      <c r="AB44" t="s">
        <v>556</v>
      </c>
      <c r="AK44" t="str">
        <f>Линии[[#This Row],[_авто модуль]]</f>
        <v/>
      </c>
      <c r="AN44" t="str">
        <f>Линии[[#This Row],[_авто марка]]</f>
        <v/>
      </c>
      <c r="AO44" t="str">
        <f>Линии[[#This Row],[_авто жил]]</f>
        <v/>
      </c>
      <c r="BA44" cm="1">
        <f t="array" ref="BA44">ROW()-ROW(Линии[#Headers])</f>
        <v>42</v>
      </c>
      <c r="BC44" s="6" t="str">
        <f t="shared" si="143"/>
        <v>УЗО</v>
      </c>
      <c r="BD44" t="str">
        <f t="shared" si="144"/>
        <v>1</v>
      </c>
      <c r="BE44" t="str">
        <f t="shared" si="145"/>
        <v>1</v>
      </c>
      <c r="BF44" t="str">
        <f t="shared" si="146"/>
        <v/>
      </c>
      <c r="BG44" t="str">
        <f t="shared" si="147"/>
        <v/>
      </c>
      <c r="BH44" t="str">
        <f>IF(X44&lt;&gt;"",X44,IF(AND(B44&lt;&gt;"",B44&lt;&gt;A44,ISNUMBER(_xlfn.XMATCH(B44,Щиты[Щит]))),B44,""))</f>
        <v/>
      </c>
      <c r="BI44" t="str" cm="1">
        <f t="array" ref="BI44">IF(B44="","",IF(BH44&lt;&gt;"","Щит "&amp;BH44,_xlfn.LET(_xlpm.nm,IFERROR(_xlfn.XLOOKUP(BC44,Коды_код,Коды_имя)&amp;"",""),_xlpm.md,IFERROR(N(_xlfn.XLOOKUP(BC44,Коды_код,Коды_режим)),1),_xlpm.ex,IF(Имя_режим="по экспликации",IFERROR(_xlfn.XLOOKUP(BE44&amp;"|"&amp;BG44,Экспликация[Этаж]&amp;"|"&amp;Экспликация[Помещение],Экспликация[Название])&amp;"",""),""),_xlpm.rm,IF(BG44="","",IF(_xlpm.ex&lt;&gt;"",". "&amp;_xlpm.ex&amp;IF(Имя_пом="нет"," ("&amp;BG44&amp;")"," (пом. "&amp;BG44&amp;")"),IF(Имя_пом="нет"," ",", пом. ")&amp;BG44)),IF(_xlpm.nm="","",IF(_xlpm.md=2,_xlpm.nm&amp;" шлейф "&amp;BE44,_xlpm.nm&amp;_xlpm.rm)))))</f>
        <v>Шина УЗО (линии со своими автоматами, «узо» в «Группе»)</v>
      </c>
      <c r="BJ44" t="str">
        <f t="shared" si="148"/>
        <v>Шина УЗО1</v>
      </c>
      <c r="BK44">
        <f>IFERROR(_xlfn.XMATCH(A44,Щиты[Щит]),0)</f>
        <v>4</v>
      </c>
      <c r="BL44">
        <f>_xlfn.LET(_xlpm.k,IFERROR(_xlfn.XLOOKUP(A44,Щиты[Щит],Щиты[Мест под вводной узел]),""),IF(_xlpm.k="",Столбцов_на_лист,N(_xlpm.k)))</f>
        <v>3</v>
      </c>
      <c r="BM44">
        <f t="shared" si="149"/>
        <v>21</v>
      </c>
      <c r="BN44" t="str">
        <f t="shared" si="150"/>
        <v>линии</v>
      </c>
      <c r="BO44" s="6">
        <f>IFERROR(N(_xlfn.XLOOKUP(BC44,Коды_код,Коды_квт)),0)</f>
        <v>0</v>
      </c>
      <c r="BP44">
        <f t="shared" si="151"/>
        <v>0</v>
      </c>
      <c r="BQ44" t="str">
        <f>IF(B44="","",IF(BH44&lt;&gt;"",IFERROR(_xlfn.XLOOKUP(BH44,Щиты[Щит],Щиты[Руст, кВт]),0),IF(BP44=1,IF(OR(N(_xlfn.XLOOKUP(A44,Щиты[Щит],Щиты[Вводов],1))&lt;=1,LOWER(TRIM(_xlfn.XLOOKUP(A44,Щиты[Щит],Щиты[АВР],"")&amp;""))="да"),IFERROR(_xlfn.XLOOKUP(A44,Щиты[Щит],Щиты[Руст, кВт]),0),SUMIFS(Линии[_Р для вводов],Линии[Щит],A44,Линии[Источник для режимов],GF44)),IF(BO44&gt;0,ROUND(BO44*MAX(1,N(D44)),3),""))))</f>
        <v/>
      </c>
      <c r="BR44">
        <f t="shared" si="152"/>
        <v>0</v>
      </c>
      <c r="BS44" s="6">
        <f>IF(B44="","",IF(BH44&lt;&gt;"",IFERROR(_xlfn.XLOOKUP(BH44,Щиты[Щит],Щиты[Руст, кВт]),0),N(BR44)))</f>
        <v>0</v>
      </c>
      <c r="BT44">
        <f>IF(B44="","",IFERROR(IF(VLOOKUP(BC44,Потребители_обозначение,8,FALSE)=0,"",VLOOKUP(BC44,Потребители_обозначение,8,FALSE)),""))</f>
        <v>230</v>
      </c>
      <c r="BU44">
        <f t="shared" si="153"/>
        <v>230</v>
      </c>
      <c r="BV44">
        <f t="shared" si="154"/>
        <v>0</v>
      </c>
      <c r="BW44">
        <f>IF(B44="","",IF(BH44&lt;&gt;"",3,IFERROR(IF(N(VLOOKUP(BC44,Потребители_обозначение,9,FALSE))=0,1,VLOOKUP(BC44,Потребители_обозначение,9,FALSE)),1)))</f>
        <v>1</v>
      </c>
      <c r="BX44">
        <f t="shared" si="155"/>
        <v>1</v>
      </c>
      <c r="BY44" t="str">
        <f>IF(B44="","",_xlfn.LET(_xlpm.bc,IFERROR(IF(VLOOKUP(BC44,Потребители_обозначение,6,FALSE)=0,"",VLOOKUP(BC44,Потребители_обозначение,6,FALSE)&amp;""),""),IF(AND(GA44="да",OR(_xlpm.bc="",_xlpm.bc="мс")),Марка_пож,IF(AND(_xlpm.bc="",BH44&lt;&gt;""),"мс",_xlpm.bc))))</f>
        <v/>
      </c>
      <c r="BZ44" t="str">
        <f t="shared" si="156"/>
        <v/>
      </c>
      <c r="CA44" t="str">
        <f>IF(B44="","",_xlfn.LET(_xlpm.cc,IFERROR(N(VLOOKUP(BC44,Потребители_обозначение,7,FALSE)),0),IF(_xlpm.cc&gt;0,_xlpm.cc,IF(BZ44="","",IF(BV44=1,2,IF(N(BX44)=3,5,3))))))</f>
        <v/>
      </c>
      <c r="CB44" t="str">
        <f t="shared" si="157"/>
        <v/>
      </c>
      <c r="CC44">
        <f>IFERROR(N(VLOOKUP(BC44,Потребители_обозначение,10,FALSE)),0)</f>
        <v>0</v>
      </c>
      <c r="CD44">
        <f>IFERROR(VLOOKUP(BC44,Потребители_обозначение,5,FALSE),0)</f>
        <v>1</v>
      </c>
      <c r="CE44" s="6" cm="1">
        <f t="array" ref="CE44">IF(B44="","",IF(BH44&lt;&gt;"",IFERROR(_xlfn.XLOOKUP(BH44,Щиты[Щит],Щиты[cos φ]),0.95),IF(BP44=1,IFERROR(_xlfn.XLOOKUP(A44,Щиты[Щит],Щиты[cos φ]),0.95),IF(ISNUMBER(AD44),AD44,IFERROR(IF(CD44=2,_xlfn.IFS(BX44=3,VLOOKUP(BS44,Справочная_двигатели,8,FALSE),BX44=1,VLOOKUP(BS44,Справочная_двигатели,10,TRUE)),IF(AND(Методика="нормы 2026",FG44="Сил"),0.8,0.95)),0.95)))))</f>
        <v>0.95</v>
      </c>
      <c r="CF44">
        <f t="shared" si="158"/>
        <v>0</v>
      </c>
      <c r="CG44">
        <f t="shared" si="159"/>
        <v>1</v>
      </c>
      <c r="CH44">
        <f t="shared" si="160"/>
        <v>0</v>
      </c>
      <c r="CI44">
        <f>IF(B44="","",IF(BV44=1,IFERROR(BS44/((Uн_лин/SQRT(3))*MAX(0.5,N(CE44))),0),N(O44)))</f>
        <v>0</v>
      </c>
      <c r="CJ44">
        <f t="shared" si="161"/>
        <v>0</v>
      </c>
      <c r="CK44">
        <f t="shared" si="162"/>
        <v>0</v>
      </c>
      <c r="CL44">
        <f t="shared" si="163"/>
        <v>0</v>
      </c>
      <c r="CM44">
        <f t="shared" si="164"/>
        <v>0</v>
      </c>
      <c r="CN44">
        <f t="shared" si="165"/>
        <v>0</v>
      </c>
      <c r="CO44">
        <f>IF(BC44="",0,_xlfn.LET(_xlpm.v,IFERROR(_xlfn.XLOOKUP(B44,Коды_код,Коды_мА),IFERROR(_xlfn.XLOOKUP(BC44,Коды_код,Коды_мА),IFERROR(_xlfn.XLOOKUP(LEFT(BC44,2),Коды_код,Коды_мА),""))),IF(_xlpm.v="да",30,IF(ISNUMBER(_xlpm.v),_xlpm.v,0))))</f>
        <v>0</v>
      </c>
      <c r="CP44" t="str">
        <f t="shared" si="166"/>
        <v/>
      </c>
      <c r="CQ44" t="str">
        <f>_xlfn.LET(_xlpm.k,IFERROR(_xlfn.XLOOKUP(BC44,Коды_код,Коды_утечка)&amp;"",""),IF(_xlpm.k="","дифавтомат",_xlpm.k))</f>
        <v>дифавтомат</v>
      </c>
      <c r="CR44" t="str" cm="1">
        <f t="array" ref="CR44">IF(CG44=0,"",_xlfn.LET(_xlpm.sg,TRIM(_xlfn.TEXTSPLIT(DD44&amp;"",";")),_xlpm.f_,_xlfn._xlws.FILTER(_xlpm.sg,LEFT(_xlpm.sg,3)="УЗО",""),IFERROR(INDEX(_xlpm.f_,1)&amp;"","")))</f>
        <v>УЗО 2P 40А 30мА</v>
      </c>
      <c r="CS44">
        <f t="shared" si="167"/>
        <v>42</v>
      </c>
      <c r="CT44" s="6" cm="1">
        <f t="array" ref="CT44">IF(CR44="","",_xlfn.LET(_xlpm.tk,_xlfn.TEXTSPLIT(UPPER(CR44)," ",,TRUE),_xlpm.a_,_xlfn._xlws.FILTER(_xlpm.tk,ISNUMBER(--LEFT(_xlpm.tk,1))*((ISNUMBER(SEARCH("А",_xlpm.tk))+ISNUMBER(SEARCH("A",_xlpm.tk)))&gt;0)*NOT(ISNUMBER(SEARCH("МА",_xlpm.tk)))*NOT(ISNUMBER(SEARCH("MA",_xlpm.tk))),""),IFERROR(--SUBSTITUTE(SUBSTITUTE(INDEX(_xlpm.a_,1),"А",""),"A",""),"")))</f>
        <v>40</v>
      </c>
      <c r="CU44" cm="1">
        <f t="array" ref="CU44">IF(CR44="","",_xlfn.LET(_xlpm.tk,_xlfn.TEXTSPLIT(UPPER(CR44)," ",,TRUE),_xlpm.a_,_xlfn._xlws.FILTER(_xlpm.tk,ISNUMBER(--LEFT(_xlpm.tk,1))*((ISNUMBER(SEARCH("МА",_xlpm.tk))+ISNUMBER(SEARCH("MA",_xlpm.tk)))&gt;0),""),IFERROR(--SUBSTITUTE(SUBSTITUTE(INDEX(_xlpm.a_,1),"МА",""),"MA",""),30)))</f>
        <v>30</v>
      </c>
      <c r="CV44">
        <f>IF(CS44="","",IFERROR(_xlfn.XLOOKUP(CS44,Линии[_n],Линии[_УЗО, мА]),30))</f>
        <v>30</v>
      </c>
      <c r="CW44">
        <f>IF(CS44="",0,IF(ISNUMBER(SEARCH("4P",IFERROR(_xlfn.XLOOKUP(CS44,Линии[_n],Линии[_УЗО строки])&amp;"",""))),0,1))</f>
        <v>1</v>
      </c>
      <c r="CX44">
        <f>IF(AND(CS44&lt;&gt;"",CS44=BA44),SUMIFS(Линии[_ток на 230 В],Линии[_блок УЗО],BA44,Линии[Щит],A44),"")</f>
        <v>13.218282478815116</v>
      </c>
      <c r="CY44">
        <f>IF(AND(CS44&lt;&gt;"",CS44=BA44),SUMIFS(Линии[_ток утечки линии, мА],Линии[_блок УЗО],BA44,Линии[Щит],A44),"")</f>
        <v>5.8773129915260469</v>
      </c>
      <c r="CZ44">
        <f t="shared" si="168"/>
        <v>0</v>
      </c>
      <c r="DA44">
        <f t="shared" si="169"/>
        <v>0</v>
      </c>
      <c r="DB44">
        <f>IF(B44="",0,IFERROR(--_xlfn.XLOOKUP(B44,Коды_код,Коды_минавт),IFERROR(--_xlfn.XLOOKUP(BC44,Коды_код,Коды_минавт),IFERROR(--_xlfn.XLOOKUP(LEFT(BC44,2),Коды_код,Коды_минавт),0))))</f>
        <v>0</v>
      </c>
      <c r="DC44" t="str">
        <f>IF(B44="","",IFERROR(_xlfn.XLOOKUP(BC44,Коды_код,Коды_апп)&amp;"",""))</f>
        <v>УЗО 2P 40А 30мА</v>
      </c>
      <c r="DD44" t="str">
        <f t="shared" si="170"/>
        <v>УЗО 2P 40А 30мА</v>
      </c>
      <c r="DE44" t="str" cm="1">
        <f t="array" ref="DE44">IF(TRIM(DD44&amp;"")="","",IFERROR(TRIM(INDEX(_xlfn.TEXTSPLIT(DD44&amp;";;;",";"),1)),""))</f>
        <v>УЗО 2P 40А 30мА</v>
      </c>
      <c r="DF44" t="str" cm="1">
        <f t="array" ref="DF44">IF(TRIM(DD44&amp;"")="","",IFERROR(TRIM(INDEX(_xlfn.TEXTSPLIT(DD44&amp;";;;",";"),2)),""))</f>
        <v/>
      </c>
      <c r="DG44" t="str" cm="1">
        <f t="array" ref="DG44">IF(TRIM(DD44&amp;"")="","",IFERROR(TRIM(INDEX(_xlfn.TEXTSPLIT(DD44&amp;";;;",";"),3)),""))</f>
        <v/>
      </c>
      <c r="DH44">
        <f t="shared" si="171"/>
        <v>0</v>
      </c>
      <c r="DI44" t="str">
        <f>IF(B44="","",_xlfn.LET(_xlpm.t,LOWER(AZ44&amp;""),IF(ISNUMBER(SEARCH("dim",_xlpm.t)),"DIM",IF(ISNUMBER(SEARCH("dali",_xlpm.t)),"DALI",IF(OR(ISNUMBER(SEARCH("relay",_xlpm.t)),ISNUMBER(SEARCH("реле",_xlpm.t))),"Relay",IF(ISNUMBER(SEARCH("кнопк",_xlpm.t)),"",IFERROR(_xlfn.XLOOKUP(BC44,Коды_код,Коды_упр)&amp;"","")))))))</f>
        <v/>
      </c>
      <c r="DJ44" t="str">
        <f t="shared" si="172"/>
        <v/>
      </c>
      <c r="DK44">
        <f>IF(B44="","",_xlfn.LET(_xlpm.ig,IF(N(CX44)&gt;0,N(CX44),N(CI44)+IF(AJ44="вручную",0,N(CJ44))),_xlpm.n0,IFERROR(VLOOKUP(_xlpm.ig,Автомат_номиналы,2,TRUE),0),_xlpm.mn,MAX(DB44,IF(AJ44="вручную",0,N(CM44))),MAX(_xlpm.n0,_xlpm.mn,IF(DH44=1,Мин_автомат_БП,0))))</f>
        <v>16</v>
      </c>
      <c r="DL44">
        <f t="shared" si="173"/>
        <v>1</v>
      </c>
      <c r="DM44" t="str">
        <f t="shared" si="174"/>
        <v>1P</v>
      </c>
      <c r="DN44" t="str">
        <f>_xlfn.LET(_xlpm.cc,UPPER(TRIM(IFERROR(_xlfn.XLOOKUP(BC44,Коды_код,Коды_хар)&amp;"",""))),IF(OR(_xlpm.cc="B",_xlpm.cc="В"),"B",IF(_xlpm.cc="D","D","С")))</f>
        <v>С</v>
      </c>
      <c r="DO44" t="str">
        <f t="shared" si="175"/>
        <v>1P С16А</v>
      </c>
      <c r="DP44" t="str">
        <f t="shared" si="176"/>
        <v>1P С16А</v>
      </c>
      <c r="DQ44" t="str">
        <f t="shared" si="177"/>
        <v>1P С16А</v>
      </c>
      <c r="DR44" cm="1">
        <f t="array" ref="DR44">IF(DQ44="","",_xlfn.LET(_xlpm.t,SUBSTITUTE(SUBSTITUTE(SUBSTITUTE(UPPER(DQ44),"С","C"),"А","A"),"В","B"),_xlpm.tk,_xlfn.TEXTSPLIT(_xlpm.t," "),_xlpm.f,_xlfn._xlws.FILTER(_xlpm.tk,ISNUMBER(--MID(_xlpm.tk,2,1))*ISNUMBER(SEARCH(LEFT(_xlpm.tk,1)&amp;"#","B#C#D#"))*(LEN(_xlpm.tk)&gt;1),""),_xlpm.x,INDEX(_xlpm.f,1),IFERROR(--SUBSTITUTE(MID(_xlpm.x,2,9),"A",""),IFERROR(--SUBSTITUTE(INDEX(_xlfn._xlws.FILTER(_xlpm.tk,ISNUMBER(--SUBSTITUTE(_xlpm.tk,"A","")),""),1),"A",""),""))))</f>
        <v>16</v>
      </c>
      <c r="DS44" t="str">
        <f t="shared" si="178"/>
        <v>ok</v>
      </c>
      <c r="DT44">
        <f t="shared" si="179"/>
        <v>16</v>
      </c>
      <c r="DU44" t="str">
        <f t="shared" si="180"/>
        <v>1P С16А</v>
      </c>
      <c r="DV44">
        <f t="shared" si="181"/>
        <v>0</v>
      </c>
      <c r="DW44">
        <f t="shared" si="182"/>
        <v>1</v>
      </c>
      <c r="DX44">
        <f t="shared" si="183"/>
        <v>0</v>
      </c>
      <c r="DY44">
        <f t="shared" si="184"/>
        <v>13.218282478815116</v>
      </c>
      <c r="DZ44">
        <f t="shared" si="185"/>
        <v>1</v>
      </c>
      <c r="EA44">
        <f>IF(ISNUMBER(AP44),AP44,К_прокл)</f>
        <v>1</v>
      </c>
      <c r="EB44">
        <f t="shared" si="186"/>
        <v>2</v>
      </c>
      <c r="EC44">
        <f>IFERROR(N(VLOOKUP(BZ44,Кабель_обозначение,3,FALSE)),1)</f>
        <v>1</v>
      </c>
      <c r="ED44">
        <f>IFERROR(N(_xlfn.XLOOKUP(A44,Щиты[Щит],Щиты[ΔU до шин, %])),0)</f>
        <v>1.0560288498727977</v>
      </c>
      <c r="EE44">
        <f>IFERROR(_xlfn.XLOOKUP(A44,Щиты[Щит],Щиты[Zпетли на шинах, Ом]),"")</f>
        <v>0.28247829354840204</v>
      </c>
      <c r="EF44">
        <f>IFERROR(N(_xlfn.XLOOKUP(A44,Щиты[Щит],Щиты[ΔU до шин (подбор), %])),0)</f>
        <v>1.0560288498727977</v>
      </c>
      <c r="EG44">
        <f>IFERROR(_xlfn.XLOOKUP(A44,Щиты[Щит],Щиты[Zпетли на шинах (подбор), Ом]),"")</f>
        <v>0.28247829354840204</v>
      </c>
      <c r="EH44" t="str">
        <f t="shared" si="187"/>
        <v/>
      </c>
      <c r="EI44" t="str">
        <f t="shared" si="188"/>
        <v/>
      </c>
      <c r="EJ44">
        <f t="shared" si="189"/>
        <v>2</v>
      </c>
      <c r="EK44">
        <f t="shared" si="190"/>
        <v>0.31</v>
      </c>
      <c r="EL44" s="6">
        <f>IF(B44="","",IF(BV44=1,dU_LED,IF(IFERROR(_xlfn.XLOOKUP(BC44,Коды_код,Коды_уго),"")="Светильник",3,4)+IF(Методика="нормы 2026",MIN(0.5,MAX(0,N(P44)-100)*0.005),0)))</f>
        <v>4</v>
      </c>
      <c r="EM44" t="str" cm="1">
        <f t="array" ref="EM44">IF(OR(B44="",BZ44="",EC44&lt;&gt;1),"",_xlfn.LET(_xlpm.sz,Iдоп_S,_xlpm.t_,CHOOSE(EB44,Iдоп_1ж,Iдоп_2ж,Iдоп_3ж)*DZ44*EA44,_xlpm.dcx,BV44=1,_xlpm.inn,IF(_xlpm.dcx,N(O44),N(DT44)),_xlpm.smin,MAX(1.5,CC44),_xlpm.L_,N(P44)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44)/N(BU44)*100,999),IFERROR(N(EJ44)*(_xlpm.rho*_xlpm.L_/_xlpm.sz*N(CE44)+_xlpm.xx*_xlpm.L_*N(EK44)/1000)*N(O44)/((Uн_лин/SQRT(3))*1000)*100,999)),_xlpm.kz,IF(OR(_xlpm.dcx,DW44=1,NOT(ISNUMBER(EG44)),_xlpm.L_=0,_xlpm.inn=0),1,IFERROR(--(c_min*(Uн_лин*1000/SQRT(3))/(EG44+2*ρкз_Cu*_xlpm.L_/_xlpm.sz)&gt;=HT44*_xlpm.inn),0)),_xlpm.ok,IFERROR((_xlpm.sz&gt;=_xlpm.smin)*(_xlpm.t_&gt;=_xlpm.inn)*IF(_xlpm.L_&gt;0,(_xlpm.du_+IF(_xlpm.dcx,0,EF44)&lt;=EL44+0.00001),1)*_xlpm.kz,0),_xlpm.r_,_xlfn._xlws.FILTER(_xlpm.sz,_xlpm.ok,"не подобрано"),INDEX(_xlpm.r_,1)))</f>
        <v/>
      </c>
      <c r="EN44" t="str">
        <f t="shared" si="191"/>
        <v/>
      </c>
      <c r="EO44" t="str" cm="1">
        <f t="array" ref="EO44">IF(OR(B44="",BZ44="",EC44&lt;&gt;1),"",_xlfn.LET(_xlpm.sz,Iдоп_S,_xlpm.t_,CHOOSE(EB44,Iдоп_1ж,Iдоп_2ж,Iдоп_3ж)*DZ44*EA44,_xlpm.ok,IFERROR((_xlpm.sz&gt;=MAX(1.5,CC44))*(_xlpm.t_&gt;=N(DT44)),0),_xlpm.r_,_xlfn._xlws.FILTER(_xlpm.sz,_xlpm.ok,""),INDEX(_xlpm.r_,1)))</f>
        <v/>
      </c>
      <c r="EP44" s="6" t="str" cm="1">
        <f t="array" ref="EP44">IFERROR(ROUNDUP(N(EJ44)*(_xlfn.XLOOKUP(EO44,INDEX(Кабель_сопротивление,0,1),INDEX(Кабель_сопротивление,0,3))*N(P44)/EO44*N(CE44)+_xlfn.XLOOKUP(EO44,INDEX(Кабель_сопротивление,0,1),INDEX(Кабель_сопротивление,0,2))*N(P44)*N(EK44)/1000)*N(O44)/((Uн_лин/SQRT(3))*1000)*100,2),"")</f>
        <v/>
      </c>
      <c r="EQ44" t="str">
        <f>IFERROR(2*ρкз_Cu*N(P44)/EO44,"")</f>
        <v/>
      </c>
      <c r="ER44" t="str">
        <f>IFERROR(VLOOKUP(EN44,Кабель_сопротивление,3,FALSE),"")</f>
        <v/>
      </c>
      <c r="ES44" t="str">
        <f>IFERROR(VLOOKUP(EN44,Кабель_сопротивление,2,FALSE),"")</f>
        <v/>
      </c>
      <c r="ET44" t="str">
        <f t="shared" si="192"/>
        <v/>
      </c>
      <c r="EU44" t="str">
        <f t="shared" si="193"/>
        <v/>
      </c>
      <c r="EV44" t="str">
        <f t="shared" si="194"/>
        <v/>
      </c>
      <c r="EW44" s="6" t="str">
        <f>IFERROR(ROUNDUP(EV44/IF(BV44=1,BU44,(Uн_лин/SQRT(3))*1000)*100,2),"")</f>
        <v/>
      </c>
      <c r="EX44" t="str">
        <f>IFERROR(VLOOKUP(BZ44,Кабель_обозначение,2,FALSE),"")</f>
        <v/>
      </c>
      <c r="EY44" t="str">
        <f t="shared" si="195"/>
        <v/>
      </c>
      <c r="EZ44" t="str">
        <f t="shared" si="196"/>
        <v/>
      </c>
      <c r="FA44" t="str">
        <f>IFERROR(2*ρкз_Cu*P44/EN44,"")</f>
        <v/>
      </c>
      <c r="FB44" t="str">
        <f t="shared" si="197"/>
        <v/>
      </c>
      <c r="FC44" s="6" t="str">
        <f>IFERROR(IF(OR(B44="",BV44=1,NOT(ISNUMBER(EN44)),N(P44)=0),"",_xlfn.XLOOKUP(A44,Щиты[Щит],Щиты[Zпетли на шинах, Ом])+FA44),"")</f>
        <v/>
      </c>
      <c r="FD44" s="6" t="str">
        <f>IF(ISNUMBER(FC44),c_min*(Uн_лин*1000/SQRT(3))/FC44,"")</f>
        <v/>
      </c>
      <c r="FE44" s="6" t="str">
        <f>IFERROR(IF(OR(B44="",NOT(ISNUMBER(EN44))),"",1.05*(Uн_лин*1000/SQRT(3))/(_xlfn.XLOOKUP(A44,Щиты[Щит],Щиты[Zmax на шинах, Ом])+FB44)/1000),"")</f>
        <v/>
      </c>
      <c r="FF44" s="6" t="str">
        <f>IF(B44="","",IF(ISNUMBER(AC44),"Сил",IF(IFERROR(_xlfn.XLOOKUP(BC44,Коды_код,Коды_группа)&amp;"","")="","Быт",_xlfn.XLOOKUP(BC44,Коды_код,Коды_группа)&amp;"")))</f>
        <v>Нет</v>
      </c>
      <c r="FG44" s="6" t="str">
        <f t="shared" si="198"/>
        <v>Нет</v>
      </c>
      <c r="FH44" s="6">
        <f>IF(FG44="Щит","щит",IF(FG44="","",IF(FG44="Быт",IFERROR(_xlfn.XLOOKUP(A44,Щиты[Щит],Щиты[Кс быт]),1),IF(FG44="Сил",IF(ISNUMBER(AC44),AC44,IF(Методика="нормы 2026",IFERROR(_xlfn.XLOOKUP(A44,Щиты[Щит],Щиты[Кс силовых (табл. 7.5)]),1),1)),IF(OR(FG44="Пост",FG44="Отоп"),1,IF(FG44="ВНГ",0.7,0))))))</f>
        <v>0</v>
      </c>
      <c r="FI44">
        <f>IF(FG44="","",IF(AND(BP44=1,TRIM(AE44&amp;"")=""),IF(COUNTIFS(Линии[Щит],A44,Линии[Секция (1/2/3)],"&gt;=2")&gt;0,MIN(3,MAX(1,IFERROR(--BD44,1))),1),IFERROR(MIN(3,MAX(1,INT(--AE44))),1)))</f>
        <v>1</v>
      </c>
      <c r="FJ44">
        <f t="shared" si="199"/>
        <v>0</v>
      </c>
      <c r="FK44">
        <f t="shared" si="200"/>
        <v>0</v>
      </c>
      <c r="FL44">
        <f t="shared" si="201"/>
        <v>0</v>
      </c>
      <c r="FM44">
        <f t="shared" si="202"/>
        <v>0</v>
      </c>
      <c r="FN44">
        <f t="shared" si="203"/>
        <v>0</v>
      </c>
      <c r="FO44">
        <f t="shared" si="204"/>
        <v>0</v>
      </c>
      <c r="FP44">
        <f t="shared" si="205"/>
        <v>0</v>
      </c>
      <c r="FQ44">
        <f t="shared" si="206"/>
        <v>0</v>
      </c>
      <c r="FR44">
        <f t="shared" si="207"/>
        <v>0</v>
      </c>
      <c r="FS44">
        <f>IF(CG44=1,IF(AND(CH44=1,CW44=1),0,IF(AND(CS44&lt;&gt;"",CS44=BA44,CW44=1),SUMIFS(Линии[_Р линии, кВт],Линии[_блок УЗО],BA44,Линии[Щит],A44),N(BS44)+IF(AJ44="вручную",0,N(CK44)))),0)</f>
        <v>2.9000000000000004</v>
      </c>
      <c r="FT44" t="str">
        <f t="shared" si="208"/>
        <v/>
      </c>
      <c r="FU44" t="str">
        <f>IF(B44="","",IF(CG44=0,IF(BA44=1,"",FW43),IF(AND(CH44=1,CW44=1,CS44&lt;&gt;""),IFERROR(_xlfn.XLOOKUP(CS44,Линии[_n],Линии[_фаза итог]),"L1"),IF(OR(N(DL44)&gt;=3,N(BX44)&gt;=3),"L1,L2,L3",IFERROR(_xlfn.TEXTBEFORE(_xlfn.TEXTAFTER(_xlfn.XLOOKUP(A44,Щиты[Щит],Щиты[_фазы авто]),";"&amp;BA44&amp;":"),";"),"L1")))))</f>
        <v>L1</v>
      </c>
      <c r="FV44" t="str">
        <f t="shared" si="209"/>
        <v>L1</v>
      </c>
      <c r="FW44" t="str">
        <f t="shared" si="210"/>
        <v>L1</v>
      </c>
      <c r="FX44" cm="1">
        <f t="array" ref="FX44">IFERROR(IF(CD44=2,_xlfn.IFS(BX44=3,VLOOKUP(BS44,Справочная_двигатели,3,FALSE),BX44=1,VLOOKUP(BS44,Справочная_двигатели,5,TRUE)),0),0)</f>
        <v>0</v>
      </c>
      <c r="FY44">
        <f>IFERROR(IF(CD44=3,VLOOKUP(BS44,Справочная_ЛЭД,2,TRUE),0),0)</f>
        <v>0</v>
      </c>
      <c r="FZ44" s="6">
        <f t="shared" si="211"/>
        <v>0</v>
      </c>
      <c r="GA44" t="str">
        <f>IF(B44="","",IF(TRIM(AH44&amp;"")&lt;&gt;"",IF(LOWER(TRIM(AH44&amp;""))="да","да","нет"),IF(IFERROR(_xlfn.XLOOKUP(BC44,Коды_код,Коды_пожарная),"")="да","да","нет")))</f>
        <v>нет</v>
      </c>
      <c r="GB44" t="str">
        <f t="shared" si="212"/>
        <v/>
      </c>
      <c r="GC44" t="str">
        <f t="shared" si="213"/>
        <v>основная</v>
      </c>
      <c r="GD44">
        <f>IF(AND(BP44=1,TRIM(AE44&amp;"")=""),IF(COUNTIFS(Линии[Щит],A44,Линии[Секция (1/2/3)],"&gt;=2")&gt;0,MIN(3,MAX(1,IFERROR(--BD44,1))),1),IFERROR(MIN(3,MAX(1,INT(--AE44))),1))</f>
        <v>1</v>
      </c>
      <c r="GE44" t="str" cm="1">
        <f t="array" ref="GE44">IF(B44="","",_xlfn.LET(_xlpm.t,IFERROR(_xlfn.XLOOKUP(1,(Шины[Шина]=GC44)*(((Шины[Щит]=A44)+(Шины[Щит]=""))&gt;0),Шины[Тип]),"")&amp;"",IF(_xlpm.t&lt;&gt;"",_xlpm.t,IF(ISNUMBER(SEARCH("ИБП",GC44)),"ИБП",IF(ISNUMBER(SEARCH("ДГУ",GC44)),"ДГУ","Ввод "&amp;GD44)))))</f>
        <v>Ввод 1</v>
      </c>
      <c r="GF44" t="str">
        <f t="shared" si="214"/>
        <v>Ввод 1</v>
      </c>
      <c r="GG44" t="str">
        <f>IF(BP44=0,"",IF(TRIM(AG44&amp;"")&lt;&gt;"",TRIM(AG44&amp;""),IF(OR(GE44="ИБП",GE44="ДГУ"),"I особая",_xlfn.XLOOKUP(A44,Щиты[Щит],Щиты[Категория шины «Ввод»],"III"))))</f>
        <v/>
      </c>
      <c r="GH44" t="str">
        <f>IF(A44="","",_xlfn.XLOOKUP(A44,Щиты[Щит],Щиты[Путь],""))</f>
        <v>|ВРУ|ЩР-1|</v>
      </c>
      <c r="GI44" t="str">
        <f>IF(B44="","",IF(AI44&lt;&gt;"",AI44,IF(IFERROR(_xlfn.XLOOKUP(BC44,Коды_код,Коды_вид)&amp;"","")="","Прочее",_xlfn.XLOOKUP(BC44,Коды_код,Коды_вид)&amp;"")))</f>
        <v>Прочее</v>
      </c>
      <c r="GJ44">
        <f>IF(BM44="","",INT((BM44-1)/Столбцов_на_лист)+1)</f>
        <v>2</v>
      </c>
      <c r="GK44" t="str">
        <f t="shared" si="215"/>
        <v/>
      </c>
      <c r="GL44">
        <f t="shared" si="216"/>
        <v>0</v>
      </c>
      <c r="GM44">
        <f t="shared" si="217"/>
        <v>0</v>
      </c>
      <c r="GN44">
        <f t="shared" si="218"/>
        <v>1</v>
      </c>
      <c r="GO44">
        <f t="shared" si="219"/>
        <v>0</v>
      </c>
      <c r="GP44">
        <f t="shared" si="220"/>
        <v>1</v>
      </c>
      <c r="GQ44">
        <f>IF(BM44="","",IF(AND(CG44=1,GP44=1),COUNTIFS(A$3:A44,A44,CG$3:CG44,1,GP$3:GP44,1),IF(OR(OR(BA44=1,A44&lt;&gt;A43),AJ44="вручную",GP44=0),"",IF(BA44=1,"",GR43))))</f>
        <v>12</v>
      </c>
      <c r="GR44">
        <f t="shared" si="221"/>
        <v>12</v>
      </c>
      <c r="GS44" t="str">
        <f>IF(B44="","",IFERROR(LOOKUP(INDEX(CHOOSE(EB44,Iдоп_1ж,Iдоп_2ж,Iдоп_3ж),MATCH(EN44,Iдоп_S,0))*DZ44*EA44,{6,10,16,20,25,32,40,50,63,80,100,125,160,200,250,315,400,500,630}),""))</f>
        <v/>
      </c>
      <c r="GT44" t="str">
        <f t="shared" si="222"/>
        <v>QF12</v>
      </c>
      <c r="GU44" t="str">
        <f t="shared" si="223"/>
        <v>QF12</v>
      </c>
      <c r="GV44" t="str">
        <f t="shared" si="224"/>
        <v>УЗО 2P 40А 30мА</v>
      </c>
      <c r="GW44">
        <f t="shared" si="225"/>
        <v>0</v>
      </c>
      <c r="GX44" t="str">
        <f>IF(OR(B44="",DJ44=""),"",IFERROR(_xlfn.XLOOKUP(DJ44,Модули_умолч[Управление],Модули_умолч[Модель])&amp;"",""))</f>
        <v/>
      </c>
      <c r="GY44">
        <f>IF(DJ44="",1,IFERROR(MAX(0,N(_xlfn.XLOOKUP(DJ44,Модули_умолч[Управление],Модули_умолч[Каналов на линию]))),1))</f>
        <v>1</v>
      </c>
      <c r="GZ44" t="str">
        <f t="shared" si="226"/>
        <v/>
      </c>
      <c r="HA44" t="str">
        <f t="shared" si="227"/>
        <v/>
      </c>
      <c r="HB44" t="str">
        <f t="shared" si="228"/>
        <v/>
      </c>
      <c r="HC44">
        <f>IF(HB44="",0,IFERROR(N(VLOOKUP(HB44,Модули_спр,3,FALSE)),0))</f>
        <v>0</v>
      </c>
      <c r="HD44" t="str">
        <f t="shared" si="229"/>
        <v/>
      </c>
      <c r="HE44" t="str">
        <f t="shared" si="230"/>
        <v/>
      </c>
      <c r="HF44" t="str">
        <f>IF(OR(HE44="",HE44="-"),"",IFERROR(VLOOKUP(HE44,Модули_спр,2,FALSE),"R"))</f>
        <v/>
      </c>
      <c r="HG44" t="str">
        <f>IF(HF44="","",HF44&amp;"."&amp;COUNTIFS(A$3:A44,A44,HF$3:HF44,HF44))</f>
        <v/>
      </c>
      <c r="HH44" t="str">
        <f t="shared" si="231"/>
        <v/>
      </c>
      <c r="HI44" t="str">
        <f t="shared" si="232"/>
        <v/>
      </c>
      <c r="HJ44" t="str">
        <f t="shared" si="233"/>
        <v/>
      </c>
      <c r="HK44" t="str">
        <f t="shared" si="234"/>
        <v/>
      </c>
      <c r="HL44">
        <f t="shared" si="235"/>
        <v>0</v>
      </c>
      <c r="HM44" t="str">
        <f>IF(HL44=1,"XT"&amp;COUNTIFS(A$3:A44,A44,HL$3:HL44,1),"")</f>
        <v/>
      </c>
      <c r="HN44" t="str">
        <f t="shared" si="236"/>
        <v/>
      </c>
      <c r="HO44" t="str">
        <f t="shared" si="237"/>
        <v>QF12</v>
      </c>
      <c r="HP44" t="str">
        <f t="shared" si="238"/>
        <v/>
      </c>
      <c r="HQ44" t="str">
        <f t="shared" si="239"/>
        <v>ok</v>
      </c>
      <c r="HR44" t="str">
        <f>IF(OR(HJ44="",HH44=""),"",IF(HJ44+MAX(0,GY44-1)&gt;IFERROR(VLOOKUP(HI44,Модули_спр,3,FALSE),99),"ЛИШНИЙ КАНАЛ",IF(AND(AL44&lt;&gt;"=",GY44&gt;0,COUNTIFS(Линии[_модуль гр.],HH44,Линии[Канал (итог)],HJ44,Линии[Канал],"&lt;&gt;=",Линии[Щит],A44)&gt;1),"ДУБЛЬ КАНАЛА","")))</f>
        <v/>
      </c>
      <c r="HS44" s="6" t="str">
        <f t="shared" si="240"/>
        <v/>
      </c>
      <c r="HT44">
        <f t="shared" si="241"/>
        <v>10</v>
      </c>
      <c r="HU44" t="str">
        <f t="shared" si="242"/>
        <v/>
      </c>
      <c r="HV44">
        <f t="shared" si="243"/>
        <v>0</v>
      </c>
      <c r="HW44">
        <f t="shared" si="244"/>
        <v>0</v>
      </c>
      <c r="HX44">
        <f t="shared" si="245"/>
        <v>0</v>
      </c>
      <c r="HY44">
        <f t="shared" si="246"/>
        <v>0</v>
      </c>
      <c r="HZ44">
        <f t="shared" si="247"/>
        <v>0</v>
      </c>
      <c r="IA44">
        <f t="shared" si="248"/>
        <v>0</v>
      </c>
      <c r="IB44">
        <f t="shared" si="249"/>
        <v>0</v>
      </c>
      <c r="IC44" t="str">
        <f t="shared" si="250"/>
        <v/>
      </c>
      <c r="ID44" t="str" cm="1">
        <f t="array" ref="ID44">IF(IC44="","",_xlfn.LET(_xlpm.tk,_xlfn.TEXTSPLIT(SUBSTITUTE(SUBSTITUTE(IC44,";"," "),"→"," ")," ",,TRUE),_xlpm.w_,_xlfn._xlws.FILTER(_xlpm.tk,ISNUMBER(--LEFT(_xlpm.tk,1))*((ISNUMBER(SEARCH("W",_xlpm.tk))+ISNUMBER(SEARCH("Вт",_xlpm.tk)))&gt;0),""),IFERROR(--SUBSTITUTE(SUBSTITUTE(UPPER(INDEX(_xlpm.w_,1)),"W",""),"ВТ",""),"")))</f>
        <v/>
      </c>
      <c r="IE44" t="str" cm="1">
        <f t="array" ref="IE44">IF(IC44="","",_xlfn.LET(_xlpm.tk,_xlfn.TEXTSPLIT(SUBSTITUTE(SUBSTITUTE(IC44,";"," "),"→"," ")," ",,TRUE),_xlpm.v_,_xlfn._xlws.FILTER(_xlpm.tk,ISNUMBER(--LEFT(_xlpm.tk,1))*((ISNUMBER(SEARCH("V",_xlpm.tk))+(RIGHT(UPPER(_xlpm.tk))="В"))&gt;0),""),IFERROR(--SUBSTITUTE(SUBSTITUTE(UPPER(INDEX(_xlpm.v_,1)),"V",""),"В",""),"")))</f>
        <v/>
      </c>
      <c r="IF44" s="6" t="str">
        <f>IF(OR(BV44=0,HI44="",HJ44=""),"",IFERROR(N(_xlfn.XLOOKUP(HI44,Каталог!$C$4:$C$500,Каталог!$Q$4:$Q$500)),""))</f>
        <v/>
      </c>
      <c r="IG44" s="6" t="str">
        <f>IF(N(IF44)=0,"",SUMIFS(Линии[Iр, А],Линии[Щит],A44,Линии[_модуль гр.],HH44,Линии[Канал (итог)],HJ44))</f>
        <v/>
      </c>
      <c r="IH44" t="str">
        <f>IF(AND(B44="",HO44=""),"",_xlfn.TEXTJOIN("; ",TRUE,IF(AND(B44&lt;&gt;"",FV44=""),"нет фазы",""),IF(AND(B44&lt;&gt;"",N(GL44)=0,FG44&lt;&gt;"Нет"),"нет мощности",""),IF(AND(HN44&lt;&gt;"",COUNTIFS(Линии[Щит],A44,Линии[Клемма (итог)],HN44)&gt;1),"дубль клеммы "&amp;HN44,""),IF(AND(HQ44&lt;&gt;"",HQ44&lt;&gt;"ok"),HQ44,""),IF(HR44&lt;&gt;"",HR44,""),IF(AND(N(CB44)&gt;=4,N(BX44)=1),CB44&amp;" жил на 1 фазе",""),IF(AND(BC44="R",CG44=1,IF(CS44&lt;&gt;"",N(CV44)&gt;30,OR(N(DA44)=0,N(DA44)&gt;30))),"розетка без дифзащиты до 30 мА",""),IF(AND(CG44=1,N(DA44)&gt;0,ISNUMBER(T44)),IF(T44&gt;N(DA44)/3,"ток утечки "&amp;FIXED(T44,1)&amp;" мА &gt; 1/3 уставки ("&amp;DA44&amp;" мА)",""),""),IF(AND(CH44=1,CS44=""),"«узо»: нет строки с УЗО выше (УЗО 2P 40А 30мА в «Аппаратах»)",""),IF(AND(CS44&lt;&gt;"",CS44=BA44),IF(CT44="","впишите номинал УЗО (УЗО 2P 40А 30мА)",IF(N(CT44)&lt;N(DT44),"УЗО "&amp;CT44&amp;" А &lt; автомата "&amp;DT44&amp;" А перед ним",IF(N(CT44)&lt;N(CX44),"УЗО "&amp;CT44&amp;" А &lt; тока блока "&amp;FIXED(CX44,1)&amp;" А",""))),""),IF(AND(CS44&lt;&gt;"",CS44=BA44,ISNUMBER(CY44)),IF(CY44&gt;N(CV44)/3,"ток утечки блока УЗО "&amp;FIXED(CY44,1)&amp;" мА &gt; 1/3 уставки ("&amp;CV44&amp;" мА)",""),""),IF(AND(CG44=1,N(BV44)+N(IB44)&gt;0,IC44=""),"линии до 50 В без БП: впишите в «Аппараты» (БП 24V 480W)",""),IF(AND(CG44=1,ISNUMBER(ID44),ISNUMBER(U44)),IF(U44&gt;ID44,"БП "&amp;ID44&amp;" Вт &lt; нужно "&amp;U44&amp;" Вт (×"&amp;Запас_БП&amp;")",""),""),IF(AND(CG44=1,ISNUMBER(IE44),N(BV44)=1),IF(IE44&lt;&gt;N(BU44),"БП на "&amp;IE44&amp;" В, линия "&amp;BU44&amp;" В",""),""),IF(AND(N(IF44)&gt;0,N(IG44)&gt;N(IF44)),HH44&amp;" канал "&amp;HJ44&amp;": "&amp;FIXED(IG44,1)&amp;" А &gt; "&amp;IF44&amp;" А",""),IFERROR(IF(AND(ISNUMBER(Q44),Q44&gt;EL44),"потери "&amp;FIXED(Q44,1)&amp;" % &gt; "&amp;EL44&amp;" %",""),""),IFERROR(IF(LEFT(HU44,4)="мало","Iкз мало — отключение &gt; 0,4 с",""),""),IF(AND(B44&lt;&gt;"",BM44=""),"не на схеме",""),IF(AND(CG44=0,B44&lt;&gt;"",FV44&lt;&gt;"",IF(BA44=1,"",FW43)&lt;&gt;"",FV44&lt;&gt;IF(BA44=1,"",FW43)),"фаза не как у автомата группы ("&amp;IF(BA44=1,"",FW43)&amp;")","")))</f>
        <v/>
      </c>
      <c r="II44" s="6">
        <f>IF(OR(CG44=0,DQ44=""),"",_xlfn.LET(_xlpm.t,IFERROR(_xlfn.XLOOKUP(DQ44,Каталог!$U$4:$U$500,Каталог!$G$4:$G$500),""),_xlpm.k,SEARCH("кА",_xlpm.t),IFERROR(--TRIM(RIGHT(SUBSTITUTE(MID(_xlpm.t,MAX(1,_xlpm.k-4),_xlpm.k-MAX(1,_xlpm.k-4))," ",REPT(" ",9)),5)),"")))</f>
        <v>6</v>
      </c>
      <c r="IJ44" t="str">
        <f>IF(OR(II44="",CG44=0),"",IF(_xlfn.XLOOKUP(A44,Щиты[Щит],Щиты[Iкз max на шинах, кА],"")="","",IF(II44&lt;_xlfn.XLOOKUP(A44,Щиты[Щит],Щиты[Iкз max на шинах, кА]),"Icu "&amp;II44&amp;" кА &lt; Iкз max","ok")))</f>
        <v>ok</v>
      </c>
      <c r="IK44" t="str">
        <f t="shared" si="251"/>
        <v/>
      </c>
      <c r="IL44" t="str">
        <f t="shared" si="252"/>
        <v>QF12|УЗО 2P 40А 30мА</v>
      </c>
      <c r="IM44" t="str">
        <f t="shared" si="253"/>
        <v>QF12|УЗО 2P 40А 30мА|кабель  → Шина УЗО1</v>
      </c>
      <c r="IN44" t="str" cm="1">
        <f t="array" ref="IN44">IF(IM44="","",_xlfn.LET(_xlpm.nd,_xlfn.TEXTSPLIT(IM44,"|"),IF(COLUMNS(_xlpm.nd)&gt;1,A44&amp;"¦"&amp;INDEX(_xlpm.nd,1)&amp;"¦"&amp;INDEX(_xlpm.nd,2),"")))</f>
        <v>ЩР-1¦QF12¦УЗО 2P 40А 30мА</v>
      </c>
      <c r="IO44" t="str">
        <f t="shared" si="254"/>
        <v>УЗО.1¦Шина УЗО1</v>
      </c>
      <c r="IP44" t="str" cm="1">
        <f t="array" ref="IP44">IF(IM44="","",_xlfn.LET(_xlpm.nd,_xlfn.TEXTSPLIT(IM44,"|"),IF(COLUMNS(_xlpm.nd)&gt;2,A44&amp;"¦"&amp;INDEX(_xlpm.nd,2)&amp;"¦"&amp;INDEX(_xlpm.nd,3),"")))</f>
        <v>ЩР-1¦УЗО 2P 40А 30мА¦кабель  → Шина УЗО1</v>
      </c>
      <c r="IQ44" t="str">
        <f t="shared" si="255"/>
        <v>УЗО.1¦Шина УЗО1</v>
      </c>
      <c r="IR44" t="str" cm="1">
        <f t="array" ref="IR44">IF(IM44="","",_xlfn.LET(_xlpm.nd,_xlfn.TEXTSPLIT(IM44,"|"),IF(COLUMNS(_xlpm.nd)&gt;3,A44&amp;"¦"&amp;INDEX(_xlpm.nd,3)&amp;"¦"&amp;INDEX(_xlpm.nd,4),"")))</f>
        <v/>
      </c>
      <c r="IS44" t="str">
        <f t="shared" si="256"/>
        <v/>
      </c>
      <c r="IT44" t="str" cm="1">
        <f t="array" ref="IT44">IF(IM44="","",_xlfn.LET(_xlpm.nd,_xlfn.TEXTSPLIT(IM44,"|"),IF(COLUMNS(_xlpm.nd)&gt;4,A44&amp;"¦"&amp;INDEX(_xlpm.nd,4)&amp;"¦"&amp;INDEX(_xlpm.nd,5),"")))</f>
        <v/>
      </c>
      <c r="IU44" t="str">
        <f t="shared" si="257"/>
        <v/>
      </c>
      <c r="IV44" t="str" cm="1">
        <f t="array" ref="IV44">IF(IM44="","",_xlfn.LET(_xlpm.nd,_xlfn.TEXTSPLIT(IM44,"|"),IF(COLUMNS(_xlpm.nd)&gt;5,A44&amp;"¦"&amp;INDEX(_xlpm.nd,5)&amp;"¦"&amp;INDEX(_xlpm.nd,6),"")))</f>
        <v/>
      </c>
      <c r="IW44" t="str">
        <f t="shared" si="258"/>
        <v/>
      </c>
      <c r="IX44" t="str" cm="1">
        <f t="array" ref="IX44">IF(IM44="","",_xlfn.LET(_xlpm.nd,_xlfn.TEXTSPLIT(IM44,"|"),IF(COLUMNS(_xlpm.nd)&gt;6,A44&amp;"¦"&amp;INDEX(_xlpm.nd,6)&amp;"¦"&amp;INDEX(_xlpm.nd,7),"")))</f>
        <v/>
      </c>
      <c r="IY44" t="str">
        <f t="shared" si="259"/>
        <v/>
      </c>
      <c r="IZ44" t="str">
        <f t="shared" si="260"/>
        <v/>
      </c>
      <c r="JA44" t="str">
        <f t="shared" si="261"/>
        <v>QF12 → УЗО 2P 40А 30мА</v>
      </c>
      <c r="JB44">
        <f t="shared" si="262"/>
        <v>0</v>
      </c>
      <c r="JC44">
        <f t="shared" si="263"/>
        <v>0</v>
      </c>
      <c r="JD44" t="str">
        <f t="shared" si="264"/>
        <v/>
      </c>
      <c r="JE44" t="str">
        <f t="shared" si="265"/>
        <v>X</v>
      </c>
      <c r="JF44" t="str">
        <f t="shared" si="266"/>
        <v/>
      </c>
      <c r="JG44" t="str">
        <f t="shared" si="267"/>
        <v/>
      </c>
      <c r="JH44">
        <f>IF(B44="","",IFERROR(_xlfn.XLOOKUP(B44,Коды_код,Коды_уго),IFERROR(_xlfn.XLOOKUP(BC44,Коды_код,Коды_уго),IFERROR(_xlfn.XLOOKUP(LEFT(BC44,2),Коды_код,Коды_уго),""))))</f>
        <v>0</v>
      </c>
      <c r="JI44" t="str">
        <f>IF(B44="","",IF(OR(JH44="",JH44=0),"BOX",IFERROR(IF(VLOOKUP(JH44,УГО_блоки,3,FALSE)&amp;""&lt;&gt;"",VLOOKUP(JH44,УГО_блоки,3,FALSE),VLOOKUP(JH44,УГО_блоки,2,FALSE)),JH44)))</f>
        <v>BOX</v>
      </c>
      <c r="JJ44">
        <f t="shared" si="268"/>
        <v>1</v>
      </c>
      <c r="JK44" t="str">
        <f>IF(DQ44="","",IF(COUNTIF(DQ$3:DQ44,DQ44)=1,MAX(JK$2:JK43)+1,""))</f>
        <v/>
      </c>
      <c r="JL44">
        <f>IF(DE44="","",IF(COUNTIF(DE$3:DE44,DE44)+COUNTIF(DF$2:DF43,DE44)+COUNTIF(DG$2:DG43,DE44)=1,MAX(JL$2:JN43)+1,""))</f>
        <v>5</v>
      </c>
      <c r="JM44" t="str">
        <f>IF(DF44="","",IF(COUNTIF(DE$3:DE44,DF44)+COUNTIF(DF$3:DF44,DF44)+COUNTIF(DG$2:DG43,DF44)=1,MAX(JL$2:JN43,JL44)+1,""))</f>
        <v/>
      </c>
      <c r="JN44" t="str">
        <f>IF(DG44="","",IF(COUNTIF(DE$3:DE44,DG44)+COUNTIF(DF$3:DF44,DG44)+COUNTIF(DG$3:DG44,DG44)=1,MAX(JL$2:JN43,JL44,JM44)+1,""))</f>
        <v/>
      </c>
      <c r="JO44" t="str">
        <f t="shared" si="269"/>
        <v/>
      </c>
      <c r="JP44" t="str">
        <f>IF(JO44="","",IF(COUNTIF(JO$3:JO44,JO44)=1,MAX(JP$2:JP43)+1,""))</f>
        <v/>
      </c>
      <c r="JQ44" t="str">
        <f>IF(HG44="","",COUNTIF(HG$3:HG44,"?*"))</f>
        <v/>
      </c>
      <c r="JR44" t="str">
        <f>IF(OR(HG44="",HI44=""),"",IF(COUNTIFS(HG$3:HG44,"?*",HI$3:HI44,HI44)=1,MAX(JR$2:JR43)+1,""))</f>
        <v/>
      </c>
      <c r="JS44">
        <f t="shared" si="270"/>
        <v>0</v>
      </c>
      <c r="JT44">
        <f>IF(B44="","",COUNTIF(B$3:B44,"?*"))</f>
        <v>40</v>
      </c>
      <c r="JU44">
        <f>IF(HL44&lt;&gt;1,0,_xlfn.LET(_xlpm.k,MAX(IFERROR(--_xlfn.XLOOKUP(B44,Коды_код,Коды_3L),0),IFERROR(--_xlfn.XLOOKUP(BC44,Коды_код,Коды_3L),0),IFERROR(--_xlfn.XLOOKUP(LEFT(BC44,2),Коды_код,Коды_3L),0)),IF(_xlpm.k&gt;0,_xlpm.k,IF(IFERROR(--LEFT(SUBSTITUTE(JO44,"x","х"),FIND("х",SUBSTITUTE(JO44,"x","х"))-1),3)&gt;3,Каталог!$S$9,1))))</f>
        <v>0</v>
      </c>
      <c r="JV44">
        <f t="shared" si="271"/>
        <v>0</v>
      </c>
      <c r="JW44" t="str">
        <f t="shared" si="272"/>
        <v>авто</v>
      </c>
      <c r="JX44" t="str">
        <f t="shared" si="273"/>
        <v/>
      </c>
      <c r="JY44">
        <f t="shared" si="274"/>
        <v>0</v>
      </c>
      <c r="JZ44">
        <f t="shared" si="275"/>
        <v>1</v>
      </c>
    </row>
    <row r="45" spans="1:286" x14ac:dyDescent="0.3">
      <c r="A45" t="s">
        <v>947</v>
      </c>
      <c r="B45" t="s">
        <v>1225</v>
      </c>
      <c r="C45" t="str">
        <f>Линии[[#This Row],[_авто наименование]]</f>
        <v>Розеточная группа, пом. 05</v>
      </c>
      <c r="D45">
        <v>3</v>
      </c>
      <c r="E45">
        <v>1.5</v>
      </c>
      <c r="F45" t="s">
        <v>1226</v>
      </c>
      <c r="G45" t="str">
        <f>Линии[[#This Row],[_авто автомат]]</f>
        <v>1P С16А</v>
      </c>
      <c r="H45" t="str">
        <f>Линии[[#This Row],[_авто управление]]</f>
        <v/>
      </c>
      <c r="I45" t="str">
        <f>Линии[[#This Row],[_авто аппараты]]</f>
        <v/>
      </c>
      <c r="J45">
        <f>Линии[[#This Row],[_авто сечение]]</f>
        <v>2.5</v>
      </c>
      <c r="K45">
        <v>18</v>
      </c>
      <c r="L45" t="str">
        <f>Линии[[#This Row],[_авто фаза]]</f>
        <v>L1</v>
      </c>
      <c r="M45" t="str">
        <f>Линии[[#This Row],[_авто клемма]]</f>
        <v>XT16</v>
      </c>
      <c r="N45" t="str">
        <f t="shared" si="138"/>
        <v/>
      </c>
      <c r="O45" s="6" cm="1">
        <f t="array" ref="O45">IF(B45="","",IF(BH45&lt;&gt;"",IFERROR(_xlfn.XLOOKUP(BH45,Щиты[Щит],Щиты[Iр, А]),""),IF(BP45=1,IF(OR(N(_xlfn.XLOOKUP(A45,Щиты[Щит],Щиты[Вводов],1))&lt;=1,LOWER(TRIM(_xlfn.XLOOKUP(A45,Щиты[Щит],Щиты[АВР],"")&amp;""))="да"),IFERROR(_xlfn.XLOOKUP(A45,Щиты[Щит],Щиты[Iр, А]),""),IFERROR(N(BS45)*_xlfn.XLOOKUP(A45,Щиты[Щит],Щиты[Кс итог])/(SQRT(3)*Uн_лин*_xlfn.XLOOKUP(A45,Щиты[Щит],Щиты[cos φ])),"")),IF(BV45=1,IFERROR(BS45*1000/BU45,""),IFERROR(_xlfn.IFS(BX45=1,BS45/((Uн_лин/SQRT(3))*CE45),BX45=3,BS45/(SQRT(3)*Uн_лин*CE45)),"")))))</f>
        <v>6.8370426614560946</v>
      </c>
      <c r="P45" s="7">
        <f>IF(B45="","",IFERROR(IF(VLOOKUP(BC45,Потребители_обозначение,4,FALSE)=1,VLOOKUP(BC45,Потребители_обозначение,3,FALSE)*(MAX(1,N(D45))*2-1)+EI45+VLOOKUP(BE45,Этаж_обозначение,3,FALSE)+VLOOKUP(BE45,Этаж_обозначение,4,FALSE),VLOOKUP(BC45,Потребители_обозначение,3,FALSE)*(MAX(1,N(D45))*2-1)+EI45),EI45))</f>
        <v>28</v>
      </c>
      <c r="Q45" s="6">
        <f t="shared" si="139"/>
        <v>2.4860288498727976</v>
      </c>
      <c r="R45" t="str">
        <f t="shared" si="140"/>
        <v>ВВГнг(А)-LS (3х2,5)</v>
      </c>
      <c r="S45" t="str">
        <f>IF(BM45="","",IF(BN45="вводной узел","узел ","")&amp;"л."&amp;(INT((BM45-1)/Столбцов_на_лист)+1)&amp;" / "&amp;(MOD(BM45-1,Столбцов_на_лист)+1))</f>
        <v>л.2 / 5</v>
      </c>
      <c r="T45" s="119">
        <f t="shared" si="141"/>
        <v>3</v>
      </c>
      <c r="U45" s="7" t="str">
        <f>IF(OR(CG45=0,N(BV45)+N(IB45)=0),"",ROUNDUP(Запас_БП*(N(HY45)+N(HZ45)),0))</f>
        <v/>
      </c>
      <c r="V45" s="119" t="str">
        <f t="shared" si="142"/>
        <v/>
      </c>
      <c r="W45" s="7">
        <f>IFERROR(IF(OR(B45="",BP45=1,BV45=1,NOT(ISNUMBER(EN45)),N(DT45)=0),"",MAX(0,ROUNDDOWN((c_min*(Uн_лин*1000/SQRT(3))/(HT45*N(DT45))-_xlfn.XLOOKUP(A45,Щиты[Щит],Щиты[Zпетли на шинах, Ом]))*EN45/(2*ρкз_Cu),0))),"")</f>
        <v>51</v>
      </c>
      <c r="Y45">
        <f>Линии[[#This Row],[_авто утечка]]</f>
        <v>30</v>
      </c>
      <c r="Z45">
        <v>1</v>
      </c>
      <c r="AA45">
        <v>230</v>
      </c>
      <c r="AB45" t="str">
        <f>Линии[[#This Row],[_авто группа Кс]]</f>
        <v>Быт</v>
      </c>
      <c r="AK45" t="str">
        <f>Линии[[#This Row],[_авто модуль]]</f>
        <v/>
      </c>
      <c r="AN45" t="s">
        <v>11</v>
      </c>
      <c r="AO45">
        <v>3</v>
      </c>
      <c r="AT45">
        <v>2</v>
      </c>
      <c r="BA45" cm="1">
        <f t="array" ref="BA45">ROW()-ROW(Линии[#Headers])</f>
        <v>43</v>
      </c>
      <c r="BC45" s="6" t="str">
        <f t="shared" si="143"/>
        <v>R</v>
      </c>
      <c r="BD45" t="str">
        <f t="shared" si="144"/>
        <v>1.05.1</v>
      </c>
      <c r="BE45" t="str">
        <f t="shared" si="145"/>
        <v>1</v>
      </c>
      <c r="BF45" t="str">
        <f t="shared" si="146"/>
        <v>05.1</v>
      </c>
      <c r="BG45" t="str">
        <f t="shared" si="147"/>
        <v>05</v>
      </c>
      <c r="BH45" t="str">
        <f>IF(X45&lt;&gt;"",X45,IF(AND(B45&lt;&gt;"",B45&lt;&gt;A45,ISNUMBER(_xlfn.XMATCH(B45,Щиты[Щит]))),B45,""))</f>
        <v/>
      </c>
      <c r="BI45" t="str" cm="1">
        <f t="array" ref="BI45">IF(B45="","",IF(BH45&lt;&gt;"","Щит "&amp;BH45,_xlfn.LET(_xlpm.nm,IFERROR(_xlfn.XLOOKUP(BC45,Коды_код,Коды_имя)&amp;"",""),_xlpm.md,IFERROR(N(_xlfn.XLOOKUP(BC45,Коды_код,Коды_режим)),1),_xlpm.ex,IF(Имя_режим="по экспликации",IFERROR(_xlfn.XLOOKUP(BE45&amp;"|"&amp;BG45,Экспликация[Этаж]&amp;"|"&amp;Экспликация[Помещение],Экспликация[Название])&amp;"",""),""),_xlpm.rm,IF(BG45="","",IF(_xlpm.ex&lt;&gt;"",". "&amp;_xlpm.ex&amp;IF(Имя_пом="нет"," ("&amp;BG45&amp;")"," (пом. "&amp;BG45&amp;")"),IF(Имя_пом="нет"," ",", пом. ")&amp;BG45)),IF(_xlpm.nm="","",IF(_xlpm.md=2,_xlpm.nm&amp;" шлейф "&amp;BE45,_xlpm.nm&amp;_xlpm.rm)))))</f>
        <v>Розеточная группа, пом. 05</v>
      </c>
      <c r="BJ45" t="str">
        <f t="shared" si="148"/>
        <v>Розеточная группа, пом. 05</v>
      </c>
      <c r="BK45">
        <f>IFERROR(_xlfn.XMATCH(A45,Щиты[Щит]),0)</f>
        <v>4</v>
      </c>
      <c r="BL45">
        <f>_xlfn.LET(_xlpm.k,IFERROR(_xlfn.XLOOKUP(A45,Щиты[Щит],Щиты[Мест под вводной узел]),""),IF(_xlpm.k="",Столбцов_на_лист,N(_xlpm.k)))</f>
        <v>3</v>
      </c>
      <c r="BM45">
        <f t="shared" si="149"/>
        <v>22</v>
      </c>
      <c r="BN45" t="str">
        <f t="shared" si="150"/>
        <v>линии</v>
      </c>
      <c r="BO45" s="6">
        <f>IFERROR(N(_xlfn.XLOOKUP(BC45,Коды_код,Коды_квт)),0)</f>
        <v>0.06</v>
      </c>
      <c r="BP45">
        <f t="shared" si="151"/>
        <v>0</v>
      </c>
      <c r="BQ45">
        <f>IF(B45="","",IF(BH45&lt;&gt;"",IFERROR(_xlfn.XLOOKUP(BH45,Щиты[Щит],Щиты[Руст, кВт]),0),IF(BP45=1,IF(OR(N(_xlfn.XLOOKUP(A45,Щиты[Щит],Щиты[Вводов],1))&lt;=1,LOWER(TRIM(_xlfn.XLOOKUP(A45,Щиты[Щит],Щиты[АВР],"")&amp;""))="да"),IFERROR(_xlfn.XLOOKUP(A45,Щиты[Щит],Щиты[Руст, кВт]),0),SUMIFS(Линии[_Р для вводов],Линии[Щит],A45,Линии[Источник для режимов],GF45)),IF(BO45&gt;0,ROUND(BO45*MAX(1,N(D45)),3),""))))</f>
        <v>0.18</v>
      </c>
      <c r="BR45">
        <f t="shared" si="152"/>
        <v>1.5</v>
      </c>
      <c r="BS45" s="6">
        <f>IF(B45="","",IF(BH45&lt;&gt;"",IFERROR(_xlfn.XLOOKUP(BH45,Щиты[Щит],Щиты[Руст, кВт]),0),N(BR45)))</f>
        <v>1.5</v>
      </c>
      <c r="BT45">
        <f>IF(B45="","",IFERROR(IF(VLOOKUP(BC45,Потребители_обозначение,8,FALSE)=0,"",VLOOKUP(BC45,Потребители_обозначение,8,FALSE)),""))</f>
        <v>230</v>
      </c>
      <c r="BU45">
        <f t="shared" si="153"/>
        <v>230</v>
      </c>
      <c r="BV45">
        <f t="shared" si="154"/>
        <v>0</v>
      </c>
      <c r="BW45">
        <f>IF(B45="","",IF(BH45&lt;&gt;"",3,IFERROR(IF(N(VLOOKUP(BC45,Потребители_обозначение,9,FALSE))=0,1,VLOOKUP(BC45,Потребители_обозначение,9,FALSE)),1)))</f>
        <v>1</v>
      </c>
      <c r="BX45">
        <f t="shared" si="155"/>
        <v>1</v>
      </c>
      <c r="BY45" t="str">
        <f>IF(B45="","",_xlfn.LET(_xlpm.bc,IFERROR(IF(VLOOKUP(BC45,Потребители_обозначение,6,FALSE)=0,"",VLOOKUP(BC45,Потребители_обозначение,6,FALSE)&amp;""),""),IF(AND(GA45="да",OR(_xlpm.bc="",_xlpm.bc="мс")),Марка_пож,IF(AND(_xlpm.bc="",BH45&lt;&gt;""),"мс",_xlpm.bc))))</f>
        <v>мс</v>
      </c>
      <c r="BZ45" t="str">
        <f t="shared" si="156"/>
        <v>мс</v>
      </c>
      <c r="CA45">
        <f>IF(B45="","",_xlfn.LET(_xlpm.cc,IFERROR(N(VLOOKUP(BC45,Потребители_обозначение,7,FALSE)),0),IF(_xlpm.cc&gt;0,_xlpm.cc,IF(BZ45="","",IF(BV45=1,2,IF(N(BX45)=3,5,3))))))</f>
        <v>3</v>
      </c>
      <c r="CB45">
        <f t="shared" si="157"/>
        <v>3</v>
      </c>
      <c r="CC45">
        <f>IFERROR(N(VLOOKUP(BC45,Потребители_обозначение,10,FALSE)),0)</f>
        <v>2.5</v>
      </c>
      <c r="CD45">
        <f>IFERROR(VLOOKUP(BC45,Потребители_обозначение,5,FALSE),0)</f>
        <v>1</v>
      </c>
      <c r="CE45" s="6" cm="1">
        <f t="array" ref="CE45">IF(B45="","",IF(BH45&lt;&gt;"",IFERROR(_xlfn.XLOOKUP(BH45,Щиты[Щит],Щиты[cos φ]),0.95),IF(BP45=1,IFERROR(_xlfn.XLOOKUP(A45,Щиты[Щит],Щиты[cos φ]),0.95),IF(ISNUMBER(AD45),AD45,IFERROR(IF(CD45=2,_xlfn.IFS(BX45=3,VLOOKUP(BS45,Справочная_двигатели,8,FALSE),BX45=1,VLOOKUP(BS45,Справочная_двигатели,10,TRUE)),IF(AND(Методика="нормы 2026",FG45="Сил"),0.8,0.95)),0.95)))))</f>
        <v>0.95</v>
      </c>
      <c r="CF45">
        <f t="shared" si="158"/>
        <v>0</v>
      </c>
      <c r="CG45">
        <f t="shared" si="159"/>
        <v>1</v>
      </c>
      <c r="CH45">
        <f t="shared" si="160"/>
        <v>1</v>
      </c>
      <c r="CI45">
        <f>IF(B45="","",IF(BV45=1,IFERROR(BS45/((Uн_лин/SQRT(3))*MAX(0.5,N(CE45))),0),N(O45)))</f>
        <v>6.8370426614560946</v>
      </c>
      <c r="CJ45">
        <f t="shared" si="161"/>
        <v>0</v>
      </c>
      <c r="CK45">
        <f t="shared" si="162"/>
        <v>0</v>
      </c>
      <c r="CL45">
        <f t="shared" si="163"/>
        <v>0</v>
      </c>
      <c r="CM45">
        <f t="shared" si="164"/>
        <v>0</v>
      </c>
      <c r="CN45">
        <f t="shared" si="165"/>
        <v>0</v>
      </c>
      <c r="CO45">
        <f>IF(BC45="",0,_xlfn.LET(_xlpm.v,IFERROR(_xlfn.XLOOKUP(B45,Коды_код,Коды_мА),IFERROR(_xlfn.XLOOKUP(BC45,Коды_код,Коды_мА),IFERROR(_xlfn.XLOOKUP(LEFT(BC45,2),Коды_код,Коды_мА),""))),IF(_xlpm.v="да",30,IF(ISNUMBER(_xlpm.v),_xlpm.v,0))))</f>
        <v>30</v>
      </c>
      <c r="CP45">
        <f t="shared" si="166"/>
        <v>30</v>
      </c>
      <c r="CQ45" t="str">
        <f>_xlfn.LET(_xlpm.k,IFERROR(_xlfn.XLOOKUP(BC45,Коды_код,Коды_утечка)&amp;"",""),IF(_xlpm.k="","дифавтомат",_xlpm.k))</f>
        <v>дифавтомат</v>
      </c>
      <c r="CR45" t="str" cm="1">
        <f t="array" ref="CR45">IF(CG45=0,"",_xlfn.LET(_xlpm.sg,TRIM(_xlfn.TEXTSPLIT(DD45&amp;"",";")),_xlpm.f_,_xlfn._xlws.FILTER(_xlpm.sg,LEFT(_xlpm.sg,3)="УЗО",""),IFERROR(INDEX(_xlpm.f_,1)&amp;"","")))</f>
        <v/>
      </c>
      <c r="CS45">
        <f t="shared" si="167"/>
        <v>42</v>
      </c>
      <c r="CT45" s="6" t="str" cm="1">
        <f t="array" ref="CT45">IF(CR45="","",_xlfn.LET(_xlpm.tk,_xlfn.TEXTSPLIT(UPPER(CR45)," ",,TRUE),_xlpm.a_,_xlfn._xlws.FILTER(_xlpm.tk,ISNUMBER(--LEFT(_xlpm.tk,1))*((ISNUMBER(SEARCH("А",_xlpm.tk))+ISNUMBER(SEARCH("A",_xlpm.tk)))&gt;0)*NOT(ISNUMBER(SEARCH("МА",_xlpm.tk)))*NOT(ISNUMBER(SEARCH("MA",_xlpm.tk))),""),IFERROR(--SUBSTITUTE(SUBSTITUTE(INDEX(_xlpm.a_,1),"А",""),"A",""),"")))</f>
        <v/>
      </c>
      <c r="CU45" t="str" cm="1">
        <f t="array" ref="CU45">IF(CR45="","",_xlfn.LET(_xlpm.tk,_xlfn.TEXTSPLIT(UPPER(CR45)," ",,TRUE),_xlpm.a_,_xlfn._xlws.FILTER(_xlpm.tk,ISNUMBER(--LEFT(_xlpm.tk,1))*((ISNUMBER(SEARCH("МА",_xlpm.tk))+ISNUMBER(SEARCH("MA",_xlpm.tk)))&gt;0),""),IFERROR(--SUBSTITUTE(SUBSTITUTE(INDEX(_xlpm.a_,1),"МА",""),"MA",""),30)))</f>
        <v/>
      </c>
      <c r="CV45">
        <f>IF(CS45="","",IFERROR(_xlfn.XLOOKUP(CS45,Линии[_n],Линии[_УЗО, мА]),30))</f>
        <v>30</v>
      </c>
      <c r="CW45">
        <f>IF(CS45="",0,IF(ISNUMBER(SEARCH("4P",IFERROR(_xlfn.XLOOKUP(CS45,Линии[_n],Линии[_УЗО строки])&amp;"",""))),0,1))</f>
        <v>1</v>
      </c>
      <c r="CX45" t="str">
        <f>IF(AND(CS45&lt;&gt;"",CS45=BA45),SUMIFS(Линии[_ток на 230 В],Линии[_блок УЗО],BA45,Линии[Щит],A45),"")</f>
        <v/>
      </c>
      <c r="CY45" t="str">
        <f>IF(AND(CS45&lt;&gt;"",CS45=BA45),SUMIFS(Линии[_ток утечки линии, мА],Линии[_блок УЗО],BA45,Линии[Щит],A45),"")</f>
        <v/>
      </c>
      <c r="CZ45">
        <f t="shared" si="168"/>
        <v>0</v>
      </c>
      <c r="DA45">
        <f t="shared" si="169"/>
        <v>0</v>
      </c>
      <c r="DB45">
        <f>IF(B45="",0,IFERROR(--_xlfn.XLOOKUP(B45,Коды_код,Коды_минавт),IFERROR(--_xlfn.XLOOKUP(BC45,Коды_код,Коды_минавт),IFERROR(--_xlfn.XLOOKUP(LEFT(BC45,2),Коды_код,Коды_минавт),0))))</f>
        <v>16</v>
      </c>
      <c r="DC45" t="str">
        <f>IF(B45="","",IFERROR(_xlfn.XLOOKUP(BC45,Коды_код,Коды_апп)&amp;"",""))</f>
        <v/>
      </c>
      <c r="DD45" t="str">
        <f t="shared" si="170"/>
        <v/>
      </c>
      <c r="DE45" t="str" cm="1">
        <f t="array" ref="DE45">IF(TRIM(DD45&amp;"")="","",IFERROR(TRIM(INDEX(_xlfn.TEXTSPLIT(DD45&amp;";;;",";"),1)),""))</f>
        <v/>
      </c>
      <c r="DF45" t="str" cm="1">
        <f t="array" ref="DF45">IF(TRIM(DD45&amp;"")="","",IFERROR(TRIM(INDEX(_xlfn.TEXTSPLIT(DD45&amp;";;;",";"),2)),""))</f>
        <v/>
      </c>
      <c r="DG45" t="str" cm="1">
        <f t="array" ref="DG45">IF(TRIM(DD45&amp;"")="","",IFERROR(TRIM(INDEX(_xlfn.TEXTSPLIT(DD45&amp;";;;",";"),3)),""))</f>
        <v/>
      </c>
      <c r="DH45">
        <f t="shared" si="171"/>
        <v>0</v>
      </c>
      <c r="DI45" t="str">
        <f>IF(B45="","",_xlfn.LET(_xlpm.t,LOWER(AZ45&amp;""),IF(ISNUMBER(SEARCH("dim",_xlpm.t)),"DIM",IF(ISNUMBER(SEARCH("dali",_xlpm.t)),"DALI",IF(OR(ISNUMBER(SEARCH("relay",_xlpm.t)),ISNUMBER(SEARCH("реле",_xlpm.t))),"Relay",IF(ISNUMBER(SEARCH("кнопк",_xlpm.t)),"",IFERROR(_xlfn.XLOOKUP(BC45,Коды_код,Коды_упр)&amp;"","")))))))</f>
        <v/>
      </c>
      <c r="DJ45" t="str">
        <f t="shared" si="172"/>
        <v/>
      </c>
      <c r="DK45">
        <f>IF(B45="","",_xlfn.LET(_xlpm.ig,IF(N(CX45)&gt;0,N(CX45),N(CI45)+IF(AJ45="вручную",0,N(CJ45))),_xlpm.n0,IFERROR(VLOOKUP(_xlpm.ig,Автомат_номиналы,2,TRUE),0),_xlpm.mn,MAX(DB45,IF(AJ45="вручную",0,N(CM45))),MAX(_xlpm.n0,_xlpm.mn,IF(DH45=1,Мин_автомат_БП,0))))</f>
        <v>16</v>
      </c>
      <c r="DL45">
        <f t="shared" si="173"/>
        <v>1</v>
      </c>
      <c r="DM45" t="str">
        <f t="shared" si="174"/>
        <v>1P</v>
      </c>
      <c r="DN45" t="str">
        <f>_xlfn.LET(_xlpm.cc,UPPER(TRIM(IFERROR(_xlfn.XLOOKUP(BC45,Коды_код,Коды_хар)&amp;"",""))),IF(OR(_xlpm.cc="B",_xlpm.cc="В"),"B",IF(_xlpm.cc="D","D","С")))</f>
        <v>С</v>
      </c>
      <c r="DO45" t="str">
        <f t="shared" si="175"/>
        <v>1P С16А</v>
      </c>
      <c r="DP45" t="str">
        <f t="shared" si="176"/>
        <v>1P С16А</v>
      </c>
      <c r="DQ45" t="str">
        <f t="shared" si="177"/>
        <v>1P С16А</v>
      </c>
      <c r="DR45" cm="1">
        <f t="array" ref="DR45">IF(DQ45="","",_xlfn.LET(_xlpm.t,SUBSTITUTE(SUBSTITUTE(SUBSTITUTE(UPPER(DQ45),"С","C"),"А","A"),"В","B"),_xlpm.tk,_xlfn.TEXTSPLIT(_xlpm.t," "),_xlpm.f,_xlfn._xlws.FILTER(_xlpm.tk,ISNUMBER(--MID(_xlpm.tk,2,1))*ISNUMBER(SEARCH(LEFT(_xlpm.tk,1)&amp;"#","B#C#D#"))*(LEN(_xlpm.tk)&gt;1),""),_xlpm.x,INDEX(_xlpm.f,1),IFERROR(--SUBSTITUTE(MID(_xlpm.x,2,9),"A",""),IFERROR(--SUBSTITUTE(INDEX(_xlfn._xlws.FILTER(_xlpm.tk,ISNUMBER(--SUBSTITUTE(_xlpm.tk,"A","")),""),1),"A",""),""))))</f>
        <v>16</v>
      </c>
      <c r="DS45" t="str">
        <f t="shared" si="178"/>
        <v>ok</v>
      </c>
      <c r="DT45">
        <f t="shared" si="179"/>
        <v>16</v>
      </c>
      <c r="DU45" t="str">
        <f t="shared" si="180"/>
        <v>1P С16А</v>
      </c>
      <c r="DV45">
        <f t="shared" si="181"/>
        <v>0</v>
      </c>
      <c r="DW45">
        <f t="shared" si="182"/>
        <v>1</v>
      </c>
      <c r="DX45">
        <f t="shared" si="183"/>
        <v>0</v>
      </c>
      <c r="DY45">
        <f t="shared" si="184"/>
        <v>6.8370426614560946</v>
      </c>
      <c r="DZ45">
        <f t="shared" si="185"/>
        <v>1</v>
      </c>
      <c r="EA45">
        <f>IF(ISNUMBER(AP45),AP45,К_прокл)</f>
        <v>1</v>
      </c>
      <c r="EB45">
        <f t="shared" si="186"/>
        <v>2</v>
      </c>
      <c r="EC45">
        <f>IFERROR(N(VLOOKUP(BZ45,Кабель_обозначение,3,FALSE)),1)</f>
        <v>1</v>
      </c>
      <c r="ED45">
        <f>IFERROR(N(_xlfn.XLOOKUP(A45,Щиты[Щит],Щиты[ΔU до шин, %])),0)</f>
        <v>1.0560288498727977</v>
      </c>
      <c r="EE45">
        <f>IFERROR(_xlfn.XLOOKUP(A45,Щиты[Щит],Щиты[Zпетли на шинах, Ом]),"")</f>
        <v>0.28247829354840204</v>
      </c>
      <c r="EF45">
        <f>IFERROR(N(_xlfn.XLOOKUP(A45,Щиты[Щит],Щиты[ΔU до шин (подбор), %])),0)</f>
        <v>1.0560288498727977</v>
      </c>
      <c r="EG45">
        <f>IFERROR(_xlfn.XLOOKUP(A45,Щиты[Щит],Щиты[Zпетли на шинах (подбор), Ом]),"")</f>
        <v>0.28247829354840204</v>
      </c>
      <c r="EH45" t="str">
        <f t="shared" si="187"/>
        <v/>
      </c>
      <c r="EI45">
        <f t="shared" si="188"/>
        <v>18</v>
      </c>
      <c r="EJ45">
        <f t="shared" si="189"/>
        <v>2</v>
      </c>
      <c r="EK45">
        <f t="shared" si="190"/>
        <v>0.31</v>
      </c>
      <c r="EL45" s="6">
        <f>IF(B45="","",IF(BV45=1,dU_LED,IF(IFERROR(_xlfn.XLOOKUP(BC45,Коды_код,Коды_уго),"")="Светильник",3,4)+IF(Методика="нормы 2026",MIN(0.5,MAX(0,N(P45)-100)*0.005),0)))</f>
        <v>4</v>
      </c>
      <c r="EM45" cm="1">
        <f t="array" ref="EM45">IF(OR(B45="",BZ45="",EC45&lt;&gt;1),"",_xlfn.LET(_xlpm.sz,Iдоп_S,_xlpm.t_,CHOOSE(EB45,Iдоп_1ж,Iдоп_2ж,Iдоп_3ж)*DZ45*EA45,_xlpm.dcx,BV45=1,_xlpm.inn,IF(_xlpm.dcx,N(O45),N(DT45)),_xlpm.smin,MAX(1.5,CC45),_xlpm.L_,N(P45)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45)/N(BU45)*100,999),IFERROR(N(EJ45)*(_xlpm.rho*_xlpm.L_/_xlpm.sz*N(CE45)+_xlpm.xx*_xlpm.L_*N(EK45)/1000)*N(O45)/((Uн_лин/SQRT(3))*1000)*100,999)),_xlpm.kz,IF(OR(_xlpm.dcx,DW45=1,NOT(ISNUMBER(EG45)),_xlpm.L_=0,_xlpm.inn=0),1,IFERROR(--(c_min*(Uн_лин*1000/SQRT(3))/(EG45+2*ρкз_Cu*_xlpm.L_/_xlpm.sz)&gt;=HT45*_xlpm.inn),0)),_xlpm.ok,IFERROR((_xlpm.sz&gt;=_xlpm.smin)*(_xlpm.t_&gt;=_xlpm.inn)*IF(_xlpm.L_&gt;0,(_xlpm.du_+IF(_xlpm.dcx,0,EF45)&lt;=EL45+0.00001),1)*_xlpm.kz,0),_xlpm.r_,_xlfn._xlws.FILTER(_xlpm.sz,_xlpm.ok,"не подобрано"),INDEX(_xlpm.r_,1)))</f>
        <v>2.5</v>
      </c>
      <c r="EN45">
        <f t="shared" si="191"/>
        <v>2.5</v>
      </c>
      <c r="EO45" cm="1">
        <f t="array" ref="EO45">IF(OR(B45="",BZ45="",EC45&lt;&gt;1),"",_xlfn.LET(_xlpm.sz,Iдоп_S,_xlpm.t_,CHOOSE(EB45,Iдоп_1ж,Iдоп_2ж,Iдоп_3ж)*DZ45*EA45,_xlpm.ok,IFERROR((_xlpm.sz&gt;=MAX(1.5,CC45))*(_xlpm.t_&gt;=N(DT45)),0),_xlpm.r_,_xlfn._xlws.FILTER(_xlpm.sz,_xlpm.ok,""),INDEX(_xlpm.r_,1)))</f>
        <v>2.5</v>
      </c>
      <c r="EP45" s="6" cm="1">
        <f t="array" ref="EP45">IFERROR(ROUNDUP(N(EJ45)*(_xlfn.XLOOKUP(EO45,INDEX(Кабель_сопротивление,0,1),INDEX(Кабель_сопротивление,0,3))*N(P45)/EO45*N(CE45)+_xlfn.XLOOKUP(EO45,INDEX(Кабель_сопротивление,0,1),INDEX(Кабель_сопротивление,0,2))*N(P45)*N(EK45)/1000)*N(O45)/((Uн_лин/SQRT(3))*1000)*100,2),"")</f>
        <v>1.43</v>
      </c>
      <c r="EQ45">
        <f>IFERROR(2*ρкз_Cu*N(P45)/EO45,"")</f>
        <v>0.58912000000000009</v>
      </c>
      <c r="ER45">
        <f>IFERROR(VLOOKUP(EN45,Кабель_сопротивление,3,FALSE),"")</f>
        <v>2.2499999999999999E-2</v>
      </c>
      <c r="ES45">
        <f>IFERROR(VLOOKUP(EN45,Кабель_сопротивление,2,FALSE),"")</f>
        <v>0.1</v>
      </c>
      <c r="ET45">
        <f t="shared" si="192"/>
        <v>0</v>
      </c>
      <c r="EU45">
        <f t="shared" si="193"/>
        <v>24</v>
      </c>
      <c r="EV45">
        <f t="shared" si="194"/>
        <v>3.2854451323654659</v>
      </c>
      <c r="EW45" s="6">
        <f>IFERROR(ROUNDUP(EV45/IF(BV45=1,BU45,(Uн_лин/SQRT(3))*1000)*100,2),"")</f>
        <v>1.43</v>
      </c>
      <c r="EX45" t="str">
        <f>IFERROR(VLOOKUP(BZ45,Кабель_обозначение,2,FALSE),"")</f>
        <v>ВВГнг(А)-LS</v>
      </c>
      <c r="EY45" t="str">
        <f t="shared" si="195"/>
        <v>ВВГнг(А)-LS (3х2,5)</v>
      </c>
      <c r="EZ45" t="str">
        <f t="shared" si="196"/>
        <v>ВВГнг(А)-LS (3х2,5)
L=28-1,43%</v>
      </c>
      <c r="FA45">
        <f>IFERROR(2*ρкз_Cu*P45/EN45,"")</f>
        <v>0.58912000000000009</v>
      </c>
      <c r="FB45">
        <f t="shared" si="197"/>
        <v>0.19600000000000001</v>
      </c>
      <c r="FC45" s="6">
        <f>IFERROR(IF(OR(B45="",BV45=1,NOT(ISNUMBER(EN45)),N(P45)=0),"",_xlfn.XLOOKUP(A45,Щиты[Щит],Щиты[Zпетли на шинах, Ом])+FA45),"")</f>
        <v>0.87159829354840213</v>
      </c>
      <c r="FD45" s="6">
        <f>IF(ISNUMBER(FC45),c_min*(Uн_лин*1000/SQRT(3))/FC45,"")</f>
        <v>251.71355189198098</v>
      </c>
      <c r="FE45" s="6">
        <f>IFERROR(IF(OR(B45="",NOT(ISNUMBER(EN45))),"",1.05*(Uн_лин*1000/SQRT(3))/(_xlfn.XLOOKUP(A45,Щиты[Щит],Щиты[Zmax на шинах, Ом])+FB45)/1000),"")</f>
        <v>0.86259498456705475</v>
      </c>
      <c r="FF45" s="6" t="str">
        <f>IF(B45="","",IF(ISNUMBER(AC45),"Сил",IF(IFERROR(_xlfn.XLOOKUP(BC45,Коды_код,Коды_группа)&amp;"","")="","Быт",_xlfn.XLOOKUP(BC45,Коды_код,Коды_группа)&amp;"")))</f>
        <v>Быт</v>
      </c>
      <c r="FG45" s="6" t="str">
        <f t="shared" si="198"/>
        <v>Быт</v>
      </c>
      <c r="FH45" s="6">
        <f>IF(FG45="Щит","щит",IF(FG45="","",IF(FG45="Быт",IFERROR(_xlfn.XLOOKUP(A45,Щиты[Щит],Щиты[Кс быт]),1),IF(FG45="Сил",IF(ISNUMBER(AC45),AC45,IF(Методика="нормы 2026",IFERROR(_xlfn.XLOOKUP(A45,Щиты[Щит],Щиты[Кс силовых (табл. 7.5)]),1),1)),IF(OR(FG45="Пост",FG45="Отоп"),1,IF(FG45="ВНГ",0.7,0))))))</f>
        <v>0.8</v>
      </c>
      <c r="FI45">
        <f>IF(FG45="","",IF(AND(BP45=1,TRIM(AE45&amp;"")=""),IF(COUNTIFS(Линии[Щит],A45,Линии[Секция (1/2/3)],"&gt;=2")&gt;0,MIN(3,MAX(1,IFERROR(--BD45,1))),1),IFERROR(MIN(3,MAX(1,INT(--AE45))),1)))</f>
        <v>1</v>
      </c>
      <c r="FJ45">
        <f t="shared" si="199"/>
        <v>1.5</v>
      </c>
      <c r="FK45">
        <f t="shared" si="200"/>
        <v>1.5</v>
      </c>
      <c r="FL45">
        <f t="shared" si="201"/>
        <v>0</v>
      </c>
      <c r="FM45">
        <f t="shared" si="202"/>
        <v>0</v>
      </c>
      <c r="FN45">
        <f t="shared" si="203"/>
        <v>0</v>
      </c>
      <c r="FO45">
        <f t="shared" si="204"/>
        <v>0</v>
      </c>
      <c r="FP45">
        <f t="shared" si="205"/>
        <v>1.5</v>
      </c>
      <c r="FQ45">
        <f t="shared" si="206"/>
        <v>1.5</v>
      </c>
      <c r="FR45">
        <f t="shared" si="207"/>
        <v>1.4249999999999998</v>
      </c>
      <c r="FS45">
        <f>IF(CG45=1,IF(AND(CH45=1,CW45=1),0,IF(AND(CS45&lt;&gt;"",CS45=BA45,CW45=1),SUMIFS(Линии[_Р линии, кВт],Линии[_блок УЗО],BA45,Линии[Щит],A45),N(BS45)+IF(AJ45="вручную",0,N(CK45)))),0)</f>
        <v>0</v>
      </c>
      <c r="FT45" t="str">
        <f t="shared" si="208"/>
        <v/>
      </c>
      <c r="FU45" t="str">
        <f>IF(B45="","",IF(CG45=0,IF(BA45=1,"",FW44),IF(AND(CH45=1,CW45=1,CS45&lt;&gt;""),IFERROR(_xlfn.XLOOKUP(CS45,Линии[_n],Линии[_фаза итог]),"L1"),IF(OR(N(DL45)&gt;=3,N(BX45)&gt;=3),"L1,L2,L3",IFERROR(_xlfn.TEXTBEFORE(_xlfn.TEXTAFTER(_xlfn.XLOOKUP(A45,Щиты[Щит],Щиты[_фазы авто]),";"&amp;BA45&amp;":"),";"),"L1")))))</f>
        <v>L1</v>
      </c>
      <c r="FV45" t="str">
        <f t="shared" si="209"/>
        <v>L1</v>
      </c>
      <c r="FW45" t="str">
        <f t="shared" si="210"/>
        <v>L1</v>
      </c>
      <c r="FX45" cm="1">
        <f t="array" ref="FX45">IFERROR(IF(CD45=2,_xlfn.IFS(BX45=3,VLOOKUP(BS45,Справочная_двигатели,3,FALSE),BX45=1,VLOOKUP(BS45,Справочная_двигатели,5,TRUE)),0),0)</f>
        <v>0</v>
      </c>
      <c r="FY45">
        <f>IFERROR(IF(CD45=3,VLOOKUP(BS45,Справочная_ЛЭД,2,TRUE),0),0)</f>
        <v>0</v>
      </c>
      <c r="FZ45" s="6">
        <f t="shared" si="211"/>
        <v>0</v>
      </c>
      <c r="GA45" t="str">
        <f>IF(B45="","",IF(TRIM(AH45&amp;"")&lt;&gt;"",IF(LOWER(TRIM(AH45&amp;""))="да","да","нет"),IF(IFERROR(_xlfn.XLOOKUP(BC45,Коды_код,Коды_пожарная),"")="да","да","нет")))</f>
        <v>нет</v>
      </c>
      <c r="GB45" t="str">
        <f t="shared" si="212"/>
        <v/>
      </c>
      <c r="GC45" t="str">
        <f t="shared" si="213"/>
        <v>основная</v>
      </c>
      <c r="GD45">
        <f>IF(AND(BP45=1,TRIM(AE45&amp;"")=""),IF(COUNTIFS(Линии[Щит],A45,Линии[Секция (1/2/3)],"&gt;=2")&gt;0,MIN(3,MAX(1,IFERROR(--BD45,1))),1),IFERROR(MIN(3,MAX(1,INT(--AE45))),1))</f>
        <v>1</v>
      </c>
      <c r="GE45" t="str" cm="1">
        <f t="array" ref="GE45">IF(B45="","",_xlfn.LET(_xlpm.t,IFERROR(_xlfn.XLOOKUP(1,(Шины[Шина]=GC45)*(((Шины[Щит]=A45)+(Шины[Щит]=""))&gt;0),Шины[Тип]),"")&amp;"",IF(_xlpm.t&lt;&gt;"",_xlpm.t,IF(ISNUMBER(SEARCH("ИБП",GC45)),"ИБП",IF(ISNUMBER(SEARCH("ДГУ",GC45)),"ДГУ","Ввод "&amp;GD45)))))</f>
        <v>Ввод 1</v>
      </c>
      <c r="GF45" t="str">
        <f t="shared" si="214"/>
        <v>Ввод 1</v>
      </c>
      <c r="GG45" t="str">
        <f>IF(BP45=0,"",IF(TRIM(AG45&amp;"")&lt;&gt;"",TRIM(AG45&amp;""),IF(OR(GE45="ИБП",GE45="ДГУ"),"I особая",_xlfn.XLOOKUP(A45,Щиты[Щит],Щиты[Категория шины «Ввод»],"III"))))</f>
        <v/>
      </c>
      <c r="GH45" t="str">
        <f>IF(A45="","",_xlfn.XLOOKUP(A45,Щиты[Щит],Щиты[Путь],""))</f>
        <v>|ВРУ|ЩР-1|</v>
      </c>
      <c r="GI45" t="str">
        <f>IF(B45="","",IF(AI45&lt;&gt;"",AI45,IF(IFERROR(_xlfn.XLOOKUP(BC45,Коды_код,Коды_вид)&amp;"","")="","Прочее",_xlfn.XLOOKUP(BC45,Коды_код,Коды_вид)&amp;"")))</f>
        <v>Розеточная сеть и бытовые приборы</v>
      </c>
      <c r="GJ45">
        <f>IF(BM45="","",INT((BM45-1)/Столбцов_на_лист)+1)</f>
        <v>2</v>
      </c>
      <c r="GK45" t="str">
        <f t="shared" si="215"/>
        <v>ВВГнг(А)-LS (3х2,5) L=28-1,43%</v>
      </c>
      <c r="GL45">
        <f t="shared" si="216"/>
        <v>1.5</v>
      </c>
      <c r="GM45">
        <f t="shared" si="217"/>
        <v>6.84</v>
      </c>
      <c r="GN45">
        <f t="shared" si="218"/>
        <v>1</v>
      </c>
      <c r="GO45">
        <f t="shared" si="219"/>
        <v>0</v>
      </c>
      <c r="GP45">
        <f t="shared" si="220"/>
        <v>1</v>
      </c>
      <c r="GQ45">
        <f>IF(BM45="","",IF(AND(CG45=1,GP45=1),COUNTIFS(A$3:A45,A45,CG$3:CG45,1,GP$3:GP45,1),IF(OR(OR(BA45=1,A45&lt;&gt;A44),AJ45="вручную",GP45=0),"",IF(BA45=1,"",GR44))))</f>
        <v>13</v>
      </c>
      <c r="GR45">
        <f t="shared" si="221"/>
        <v>13</v>
      </c>
      <c r="GS45">
        <f>IF(B45="","",IFERROR(LOOKUP(INDEX(CHOOSE(EB45,Iдоп_1ж,Iдоп_2ж,Iдоп_3ж),MATCH(EN45,Iдоп_S,0))*DZ45*EA45,{6,10,16,20,25,32,40,50,63,80,100,125,160,200,250,315,400,500,630}),""))</f>
        <v>25</v>
      </c>
      <c r="GT45" t="str">
        <f t="shared" si="222"/>
        <v>QF13</v>
      </c>
      <c r="GU45" t="str">
        <f t="shared" si="223"/>
        <v>QF13</v>
      </c>
      <c r="GV45" t="str">
        <f t="shared" si="224"/>
        <v/>
      </c>
      <c r="GW45">
        <f t="shared" si="225"/>
        <v>0</v>
      </c>
      <c r="GX45" t="str">
        <f>IF(OR(B45="",DJ45=""),"",IFERROR(_xlfn.XLOOKUP(DJ45,Модули_умолч[Управление],Модули_умолч[Модель])&amp;"",""))</f>
        <v/>
      </c>
      <c r="GY45">
        <f>IF(DJ45="",1,IFERROR(MAX(0,N(_xlfn.XLOOKUP(DJ45,Модули_умолч[Управление],Модули_умолч[Каналов на линию]))),1))</f>
        <v>1</v>
      </c>
      <c r="GZ45" t="str">
        <f t="shared" si="226"/>
        <v/>
      </c>
      <c r="HA45" t="str">
        <f t="shared" si="227"/>
        <v/>
      </c>
      <c r="HB45" t="str">
        <f t="shared" si="228"/>
        <v/>
      </c>
      <c r="HC45">
        <f>IF(HB45="",0,IFERROR(N(VLOOKUP(HB45,Модули_спр,3,FALSE)),0))</f>
        <v>0</v>
      </c>
      <c r="HD45" t="str">
        <f t="shared" si="229"/>
        <v/>
      </c>
      <c r="HE45" t="str">
        <f t="shared" si="230"/>
        <v/>
      </c>
      <c r="HF45" t="str">
        <f>IF(OR(HE45="",HE45="-"),"",IFERROR(VLOOKUP(HE45,Модули_спр,2,FALSE),"R"))</f>
        <v/>
      </c>
      <c r="HG45" t="str">
        <f>IF(HF45="","",HF45&amp;"."&amp;COUNTIFS(A$3:A45,A45,HF$3:HF45,HF45))</f>
        <v/>
      </c>
      <c r="HH45" t="str">
        <f t="shared" si="231"/>
        <v/>
      </c>
      <c r="HI45" t="str">
        <f t="shared" si="232"/>
        <v/>
      </c>
      <c r="HJ45" t="str">
        <f t="shared" si="233"/>
        <v/>
      </c>
      <c r="HK45" t="str">
        <f t="shared" si="234"/>
        <v/>
      </c>
      <c r="HL45">
        <f t="shared" si="235"/>
        <v>1</v>
      </c>
      <c r="HM45" t="str">
        <f>IF(HL45=1,"XT"&amp;COUNTIFS(A$3:A45,A45,HL$3:HL45,1),"")</f>
        <v>XT16</v>
      </c>
      <c r="HN45" t="str">
        <f t="shared" si="236"/>
        <v>XT16</v>
      </c>
      <c r="HO45" t="str">
        <f t="shared" si="237"/>
        <v>QF13</v>
      </c>
      <c r="HP45" t="str">
        <f t="shared" si="238"/>
        <v/>
      </c>
      <c r="HQ45" t="str">
        <f t="shared" si="239"/>
        <v>ok</v>
      </c>
      <c r="HR45" t="str">
        <f>IF(OR(HJ45="",HH45=""),"",IF(HJ45+MAX(0,GY45-1)&gt;IFERROR(VLOOKUP(HI45,Модули_спр,3,FALSE),99),"ЛИШНИЙ КАНАЛ",IF(AND(AL45&lt;&gt;"=",GY45&gt;0,COUNTIFS(Линии[_модуль гр.],HH45,Линии[Канал (итог)],HJ45,Линии[Канал],"&lt;&gt;=",Линии[Щит],A45)&gt;1),"ДУБЛЬ КАНАЛА","")))</f>
        <v/>
      </c>
      <c r="HS45" s="6">
        <f t="shared" si="240"/>
        <v>15.732096993248812</v>
      </c>
      <c r="HT45">
        <f t="shared" si="241"/>
        <v>10</v>
      </c>
      <c r="HU45" t="str">
        <f t="shared" si="242"/>
        <v>ok</v>
      </c>
      <c r="HV45">
        <f t="shared" si="243"/>
        <v>3.0148170645824379</v>
      </c>
      <c r="HW45">
        <f t="shared" si="244"/>
        <v>0</v>
      </c>
      <c r="HX45">
        <f t="shared" si="245"/>
        <v>0</v>
      </c>
      <c r="HY45">
        <f t="shared" si="246"/>
        <v>0</v>
      </c>
      <c r="HZ45">
        <f t="shared" si="247"/>
        <v>0</v>
      </c>
      <c r="IA45">
        <f t="shared" si="248"/>
        <v>0</v>
      </c>
      <c r="IB45">
        <f t="shared" si="249"/>
        <v>0</v>
      </c>
      <c r="IC45" t="str">
        <f t="shared" si="250"/>
        <v/>
      </c>
      <c r="ID45" t="str" cm="1">
        <f t="array" ref="ID45">IF(IC45="","",_xlfn.LET(_xlpm.tk,_xlfn.TEXTSPLIT(SUBSTITUTE(SUBSTITUTE(IC45,";"," "),"→"," ")," ",,TRUE),_xlpm.w_,_xlfn._xlws.FILTER(_xlpm.tk,ISNUMBER(--LEFT(_xlpm.tk,1))*((ISNUMBER(SEARCH("W",_xlpm.tk))+ISNUMBER(SEARCH("Вт",_xlpm.tk)))&gt;0),""),IFERROR(--SUBSTITUTE(SUBSTITUTE(UPPER(INDEX(_xlpm.w_,1)),"W",""),"ВТ",""),"")))</f>
        <v/>
      </c>
      <c r="IE45" t="str" cm="1">
        <f t="array" ref="IE45">IF(IC45="","",_xlfn.LET(_xlpm.tk,_xlfn.TEXTSPLIT(SUBSTITUTE(SUBSTITUTE(IC45,";"," "),"→"," ")," ",,TRUE),_xlpm.v_,_xlfn._xlws.FILTER(_xlpm.tk,ISNUMBER(--LEFT(_xlpm.tk,1))*((ISNUMBER(SEARCH("V",_xlpm.tk))+(RIGHT(UPPER(_xlpm.tk))="В"))&gt;0),""),IFERROR(--SUBSTITUTE(SUBSTITUTE(UPPER(INDEX(_xlpm.v_,1)),"V",""),"В",""),"")))</f>
        <v/>
      </c>
      <c r="IF45" s="6" t="str">
        <f>IF(OR(BV45=0,HI45="",HJ45=""),"",IFERROR(N(_xlfn.XLOOKUP(HI45,Каталог!$C$4:$C$500,Каталог!$Q$4:$Q$500)),""))</f>
        <v/>
      </c>
      <c r="IG45" s="6" t="str">
        <f>IF(N(IF45)=0,"",SUMIFS(Линии[Iр, А],Линии[Щит],A45,Линии[_модуль гр.],HH45,Линии[Канал (итог)],HJ45))</f>
        <v/>
      </c>
      <c r="IH45" t="str">
        <f>IF(AND(B45="",HO45=""),"",_xlfn.TEXTJOIN("; ",TRUE,IF(AND(B45&lt;&gt;"",FV45=""),"нет фазы",""),IF(AND(B45&lt;&gt;"",N(GL45)=0,FG45&lt;&gt;"Нет"),"нет мощности",""),IF(AND(HN45&lt;&gt;"",COUNTIFS(Линии[Щит],A45,Линии[Клемма (итог)],HN45)&gt;1),"дубль клеммы "&amp;HN45,""),IF(AND(HQ45&lt;&gt;"",HQ45&lt;&gt;"ok"),HQ45,""),IF(HR45&lt;&gt;"",HR45,""),IF(AND(N(CB45)&gt;=4,N(BX45)=1),CB45&amp;" жил на 1 фазе",""),IF(AND(BC45="R",CG45=1,IF(CS45&lt;&gt;"",N(CV45)&gt;30,OR(N(DA45)=0,N(DA45)&gt;30))),"розетка без дифзащиты до 30 мА",""),IF(AND(CG45=1,N(DA45)&gt;0,ISNUMBER(T45)),IF(T45&gt;N(DA45)/3,"ток утечки "&amp;FIXED(T45,1)&amp;" мА &gt; 1/3 уставки ("&amp;DA45&amp;" мА)",""),""),IF(AND(CH45=1,CS45=""),"«узо»: нет строки с УЗО выше (УЗО 2P 40А 30мА в «Аппаратах»)",""),IF(AND(CS45&lt;&gt;"",CS45=BA45),IF(CT45="","впишите номинал УЗО (УЗО 2P 40А 30мА)",IF(N(CT45)&lt;N(DT45),"УЗО "&amp;CT45&amp;" А &lt; автомата "&amp;DT45&amp;" А перед ним",IF(N(CT45)&lt;N(CX45),"УЗО "&amp;CT45&amp;" А &lt; тока блока "&amp;FIXED(CX45,1)&amp;" А",""))),""),IF(AND(CS45&lt;&gt;"",CS45=BA45,ISNUMBER(CY45)),IF(CY45&gt;N(CV45)/3,"ток утечки блока УЗО "&amp;FIXED(CY45,1)&amp;" мА &gt; 1/3 уставки ("&amp;CV45&amp;" мА)",""),""),IF(AND(CG45=1,N(BV45)+N(IB45)&gt;0,IC45=""),"линии до 50 В без БП: впишите в «Аппараты» (БП 24V 480W)",""),IF(AND(CG45=1,ISNUMBER(ID45),ISNUMBER(U45)),IF(U45&gt;ID45,"БП "&amp;ID45&amp;" Вт &lt; нужно "&amp;U45&amp;" Вт (×"&amp;Запас_БП&amp;")",""),""),IF(AND(CG45=1,ISNUMBER(IE45),N(BV45)=1),IF(IE45&lt;&gt;N(BU45),"БП на "&amp;IE45&amp;" В, линия "&amp;BU45&amp;" В",""),""),IF(AND(N(IF45)&gt;0,N(IG45)&gt;N(IF45)),HH45&amp;" канал "&amp;HJ45&amp;": "&amp;FIXED(IG45,1)&amp;" А &gt; "&amp;IF45&amp;" А",""),IFERROR(IF(AND(ISNUMBER(Q45),Q45&gt;EL45),"потери "&amp;FIXED(Q45,1)&amp;" % &gt; "&amp;EL45&amp;" %",""),""),IFERROR(IF(LEFT(HU45,4)="мало","Iкз мало — отключение &gt; 0,4 с",""),""),IF(AND(B45&lt;&gt;"",BM45=""),"не на схеме",""),IF(AND(CG45=0,B45&lt;&gt;"",FV45&lt;&gt;"",IF(BA45=1,"",FW44)&lt;&gt;"",FV45&lt;&gt;IF(BA45=1,"",FW44)),"фаза не как у автомата группы ("&amp;IF(BA45=1,"",FW44)&amp;")","")))</f>
        <v/>
      </c>
      <c r="II45" s="6">
        <f>IF(OR(CG45=0,DQ45=""),"",_xlfn.LET(_xlpm.t,IFERROR(_xlfn.XLOOKUP(DQ45,Каталог!$U$4:$U$500,Каталог!$G$4:$G$500),""),_xlpm.k,SEARCH("кА",_xlpm.t),IFERROR(--TRIM(RIGHT(SUBSTITUTE(MID(_xlpm.t,MAX(1,_xlpm.k-4),_xlpm.k-MAX(1,_xlpm.k-4))," ",REPT(" ",9)),5)),"")))</f>
        <v>6</v>
      </c>
      <c r="IJ45" t="str">
        <f>IF(OR(II45="",CG45=0),"",IF(_xlfn.XLOOKUP(A45,Щиты[Щит],Щиты[Iкз max на шинах, кА],"")="","",IF(II45&lt;_xlfn.XLOOKUP(A45,Щиты[Щит],Щиты[Iкз max на шинах, кА]),"Icu "&amp;II45&amp;" кА &lt; Iкз max","ok")))</f>
        <v>ok</v>
      </c>
      <c r="IK45" t="str">
        <f t="shared" si="251"/>
        <v/>
      </c>
      <c r="IL45" t="str">
        <f t="shared" si="252"/>
        <v>QF13|XT16</v>
      </c>
      <c r="IM45" t="str">
        <f t="shared" si="253"/>
        <v>QF13|XT16|кабель ВВГнг(А)-LS (3х2,5) → Розеточная группа, пом. 05</v>
      </c>
      <c r="IN45" t="str" cm="1">
        <f t="array" ref="IN45">IF(IM45="","",_xlfn.LET(_xlpm.nd,_xlfn.TEXTSPLIT(IM45,"|"),IF(COLUMNS(_xlpm.nd)&gt;1,A45&amp;"¦"&amp;INDEX(_xlpm.nd,1)&amp;"¦"&amp;INDEX(_xlpm.nd,2),"")))</f>
        <v>ЩР-1¦QF13¦XT16</v>
      </c>
      <c r="IO45" t="str">
        <f t="shared" si="254"/>
        <v>R.1.05.1¦Розеточная группа, пом. 05</v>
      </c>
      <c r="IP45" t="str" cm="1">
        <f t="array" ref="IP45">IF(IM45="","",_xlfn.LET(_xlpm.nd,_xlfn.TEXTSPLIT(IM45,"|"),IF(COLUMNS(_xlpm.nd)&gt;2,A45&amp;"¦"&amp;INDEX(_xlpm.nd,2)&amp;"¦"&amp;INDEX(_xlpm.nd,3),"")))</f>
        <v>ЩР-1¦XT16¦кабель ВВГнг(А)-LS (3х2,5) → Розеточная группа, пом. 05</v>
      </c>
      <c r="IQ45" t="str">
        <f t="shared" si="255"/>
        <v>R.1.05.1¦Розеточная группа, пом. 05</v>
      </c>
      <c r="IR45" t="str" cm="1">
        <f t="array" ref="IR45">IF(IM45="","",_xlfn.LET(_xlpm.nd,_xlfn.TEXTSPLIT(IM45,"|"),IF(COLUMNS(_xlpm.nd)&gt;3,A45&amp;"¦"&amp;INDEX(_xlpm.nd,3)&amp;"¦"&amp;INDEX(_xlpm.nd,4),"")))</f>
        <v/>
      </c>
      <c r="IS45" t="str">
        <f t="shared" si="256"/>
        <v/>
      </c>
      <c r="IT45" t="str" cm="1">
        <f t="array" ref="IT45">IF(IM45="","",_xlfn.LET(_xlpm.nd,_xlfn.TEXTSPLIT(IM45,"|"),IF(COLUMNS(_xlpm.nd)&gt;4,A45&amp;"¦"&amp;INDEX(_xlpm.nd,4)&amp;"¦"&amp;INDEX(_xlpm.nd,5),"")))</f>
        <v/>
      </c>
      <c r="IU45" t="str">
        <f t="shared" si="257"/>
        <v/>
      </c>
      <c r="IV45" t="str" cm="1">
        <f t="array" ref="IV45">IF(IM45="","",_xlfn.LET(_xlpm.nd,_xlfn.TEXTSPLIT(IM45,"|"),IF(COLUMNS(_xlpm.nd)&gt;5,A45&amp;"¦"&amp;INDEX(_xlpm.nd,5)&amp;"¦"&amp;INDEX(_xlpm.nd,6),"")))</f>
        <v/>
      </c>
      <c r="IW45" t="str">
        <f t="shared" si="258"/>
        <v/>
      </c>
      <c r="IX45" t="str" cm="1">
        <f t="array" ref="IX45">IF(IM45="","",_xlfn.LET(_xlpm.nd,_xlfn.TEXTSPLIT(IM45,"|"),IF(COLUMNS(_xlpm.nd)&gt;6,A45&amp;"¦"&amp;INDEX(_xlpm.nd,6)&amp;"¦"&amp;INDEX(_xlpm.nd,7),"")))</f>
        <v/>
      </c>
      <c r="IY45" t="str">
        <f t="shared" si="259"/>
        <v/>
      </c>
      <c r="IZ45" t="str">
        <f t="shared" si="260"/>
        <v/>
      </c>
      <c r="JA45" t="str">
        <f t="shared" si="261"/>
        <v>QF13 → XT16</v>
      </c>
      <c r="JB45">
        <f t="shared" si="262"/>
        <v>0</v>
      </c>
      <c r="JC45">
        <f t="shared" si="263"/>
        <v>0</v>
      </c>
      <c r="JD45" t="str">
        <f t="shared" si="264"/>
        <v/>
      </c>
      <c r="JE45" t="str">
        <f t="shared" si="265"/>
        <v/>
      </c>
      <c r="JF45" t="str">
        <f t="shared" si="266"/>
        <v/>
      </c>
      <c r="JG45" t="str">
        <f t="shared" si="267"/>
        <v/>
      </c>
      <c r="JH45" t="str">
        <f>IF(B45="","",IFERROR(_xlfn.XLOOKUP(B45,Коды_код,Коды_уго),IFERROR(_xlfn.XLOOKUP(BC45,Коды_код,Коды_уго),IFERROR(_xlfn.XLOOKUP(LEFT(BC45,2),Коды_код,Коды_уго),""))))</f>
        <v>Розетка</v>
      </c>
      <c r="JI45" t="str">
        <f>IF(B45="","",IF(OR(JH45="",JH45=0),"BOX",IFERROR(IF(VLOOKUP(JH45,УГО_блоки,3,FALSE)&amp;""&lt;&gt;"",VLOOKUP(JH45,УГО_блоки,3,FALSE),VLOOKUP(JH45,УГО_блоки,2,FALSE)),JH45)))</f>
        <v>SOCKET</v>
      </c>
      <c r="JJ45">
        <f t="shared" si="268"/>
        <v>1</v>
      </c>
      <c r="JK45" t="str">
        <f>IF(DQ45="","",IF(COUNTIF(DQ$3:DQ45,DQ45)=1,MAX(JK$2:JK44)+1,""))</f>
        <v/>
      </c>
      <c r="JL45" t="str">
        <f>IF(DE45="","",IF(COUNTIF(DE$3:DE45,DE45)+COUNTIF(DF$2:DF44,DE45)+COUNTIF(DG$2:DG44,DE45)=1,MAX(JL$2:JN44)+1,""))</f>
        <v/>
      </c>
      <c r="JM45" t="str">
        <f>IF(DF45="","",IF(COUNTIF(DE$3:DE45,DF45)+COUNTIF(DF$3:DF45,DF45)+COUNTIF(DG$2:DG44,DF45)=1,MAX(JL$2:JN44,JL45)+1,""))</f>
        <v/>
      </c>
      <c r="JN45" t="str">
        <f>IF(DG45="","",IF(COUNTIF(DE$3:DE45,DG45)+COUNTIF(DF$3:DF45,DG45)+COUNTIF(DG$3:DG45,DG45)=1,MAX(JL$2:JN44,JL45,JM45)+1,""))</f>
        <v/>
      </c>
      <c r="JO45" t="str">
        <f t="shared" si="269"/>
        <v>3х2,5</v>
      </c>
      <c r="JP45" t="str">
        <f>IF(JO45="","",IF(COUNTIF(JO$3:JO45,JO45)=1,MAX(JP$2:JP44)+1,""))</f>
        <v/>
      </c>
      <c r="JQ45" t="str">
        <f>IF(HG45="","",COUNTIF(HG$3:HG45,"?*"))</f>
        <v/>
      </c>
      <c r="JR45" t="str">
        <f>IF(OR(HG45="",HI45=""),"",IF(COUNTIFS(HG$3:HG45,"?*",HI$3:HI45,HI45)=1,MAX(JR$2:JR44)+1,""))</f>
        <v/>
      </c>
      <c r="JS45">
        <f t="shared" si="270"/>
        <v>0</v>
      </c>
      <c r="JT45">
        <f>IF(B45="","",COUNTIF(B$3:B45,"?*"))</f>
        <v>41</v>
      </c>
      <c r="JU45">
        <f>IF(HL45&lt;&gt;1,0,_xlfn.LET(_xlpm.k,MAX(IFERROR(--_xlfn.XLOOKUP(B45,Коды_код,Коды_3L),0),IFERROR(--_xlfn.XLOOKUP(BC45,Коды_код,Коды_3L),0),IFERROR(--_xlfn.XLOOKUP(LEFT(BC45,2),Коды_код,Коды_3L),0)),IF(_xlpm.k&gt;0,_xlpm.k,IF(IFERROR(--LEFT(SUBSTITUTE(JO45,"x","х"),FIND("х",SUBSTITUTE(JO45,"x","х"))-1),3)&gt;3,Каталог!$S$9,1))))</f>
        <v>1</v>
      </c>
      <c r="JV45">
        <f t="shared" si="271"/>
        <v>0</v>
      </c>
      <c r="JW45" t="str">
        <f t="shared" si="272"/>
        <v>авто</v>
      </c>
      <c r="JX45" t="str">
        <f t="shared" si="273"/>
        <v/>
      </c>
      <c r="JY45">
        <f t="shared" si="274"/>
        <v>0</v>
      </c>
      <c r="JZ45">
        <f t="shared" si="275"/>
        <v>1</v>
      </c>
    </row>
    <row r="46" spans="1:286" x14ac:dyDescent="0.3">
      <c r="A46" t="s">
        <v>947</v>
      </c>
      <c r="B46" t="s">
        <v>1227</v>
      </c>
      <c r="C46" t="str">
        <f>Линии[[#This Row],[_авто наименование]]</f>
        <v>Розеточная группа, пом. 05</v>
      </c>
      <c r="D46">
        <v>2</v>
      </c>
      <c r="E46">
        <v>1.2</v>
      </c>
      <c r="F46" t="s">
        <v>1226</v>
      </c>
      <c r="G46" t="str">
        <f>Линии[[#This Row],[_авто автомат]]</f>
        <v>1P С16А</v>
      </c>
      <c r="H46" t="str">
        <f>Линии[[#This Row],[_авто управление]]</f>
        <v/>
      </c>
      <c r="I46" t="str">
        <f>Линии[[#This Row],[_авто аппараты]]</f>
        <v/>
      </c>
      <c r="J46">
        <f>Линии[[#This Row],[_авто сечение]]</f>
        <v>2.5</v>
      </c>
      <c r="K46">
        <v>14</v>
      </c>
      <c r="L46" t="str">
        <f>Линии[[#This Row],[_авто фаза]]</f>
        <v>L1</v>
      </c>
      <c r="M46" t="str">
        <f>Линии[[#This Row],[_авто клемма]]</f>
        <v>XT17</v>
      </c>
      <c r="N46" t="str">
        <f t="shared" si="138"/>
        <v/>
      </c>
      <c r="O46" s="6" cm="1">
        <f t="array" ref="O46">IF(B46="","",IF(BH46&lt;&gt;"",IFERROR(_xlfn.XLOOKUP(BH46,Щиты[Щит],Щиты[Iр, А]),""),IF(BP46=1,IF(OR(N(_xlfn.XLOOKUP(A46,Щиты[Щит],Щиты[Вводов],1))&lt;=1,LOWER(TRIM(_xlfn.XLOOKUP(A46,Щиты[Щит],Щиты[АВР],"")&amp;""))="да"),IFERROR(_xlfn.XLOOKUP(A46,Щиты[Щит],Щиты[Iр, А]),""),IFERROR(N(BS46)*_xlfn.XLOOKUP(A46,Щиты[Щит],Щиты[Кс итог])/(SQRT(3)*Uн_лин*_xlfn.XLOOKUP(A46,Щиты[Щит],Щиты[cos φ])),"")),IF(BV46=1,IFERROR(BS46*1000/BU46,""),IFERROR(_xlfn.IFS(BX46=1,BS46/((Uн_лин/SQRT(3))*CE46),BX46=3,BS46/(SQRT(3)*Uн_лин*CE46)),"")))))</f>
        <v>5.4696341291648753</v>
      </c>
      <c r="P46" s="7">
        <f>IF(B46="","",IFERROR(IF(VLOOKUP(BC46,Потребители_обозначение,4,FALSE)=1,VLOOKUP(BC46,Потребители_обозначение,3,FALSE)*(MAX(1,N(D46))*2-1)+EI46+VLOOKUP(BE46,Этаж_обозначение,3,FALSE)+VLOOKUP(BE46,Этаж_обозначение,4,FALSE),VLOOKUP(BC46,Потребители_обозначение,3,FALSE)*(MAX(1,N(D46))*2-1)+EI46),EI46))</f>
        <v>20</v>
      </c>
      <c r="Q46" s="6">
        <f t="shared" si="139"/>
        <v>1.8760288498727977</v>
      </c>
      <c r="R46" t="str">
        <f t="shared" si="140"/>
        <v>ВВГнг(А)-LS (3х2,5)</v>
      </c>
      <c r="S46" t="str">
        <f>IF(BM46="","",IF(BN46="вводной узел","узел ","")&amp;"л."&amp;(INT((BM46-1)/Столбцов_на_лист)+1)&amp;" / "&amp;(MOD(BM46-1,Столбцов_на_лист)+1))</f>
        <v>л.2 / 6</v>
      </c>
      <c r="T46" s="119">
        <f t="shared" si="141"/>
        <v>2.4</v>
      </c>
      <c r="U46" s="7" t="str">
        <f>IF(OR(CG46=0,N(BV46)+N(IB46)=0),"",ROUNDUP(Запас_БП*(N(HY46)+N(HZ46)),0))</f>
        <v/>
      </c>
      <c r="V46" s="119" t="str">
        <f t="shared" si="142"/>
        <v/>
      </c>
      <c r="W46" s="7">
        <f>IFERROR(IF(OR(B46="",BP46=1,BV46=1,NOT(ISNUMBER(EN46)),N(DT46)=0),"",MAX(0,ROUNDDOWN((c_min*(Uн_лин*1000/SQRT(3))/(HT46*N(DT46))-_xlfn.XLOOKUP(A46,Щиты[Щит],Щиты[Zпетли на шинах, Ом]))*EN46/(2*ρкз_Cu),0))),"")</f>
        <v>51</v>
      </c>
      <c r="Y46">
        <f>Линии[[#This Row],[_авто утечка]]</f>
        <v>30</v>
      </c>
      <c r="Z46">
        <v>1</v>
      </c>
      <c r="AA46">
        <v>230</v>
      </c>
      <c r="AB46" t="str">
        <f>Линии[[#This Row],[_авто группа Кс]]</f>
        <v>Быт</v>
      </c>
      <c r="AK46" t="str">
        <f>Линии[[#This Row],[_авто модуль]]</f>
        <v/>
      </c>
      <c r="AN46" t="s">
        <v>11</v>
      </c>
      <c r="AO46">
        <v>3</v>
      </c>
      <c r="AT46">
        <v>2</v>
      </c>
      <c r="BA46" cm="1">
        <f t="array" ref="BA46">ROW()-ROW(Линии[#Headers])</f>
        <v>44</v>
      </c>
      <c r="BC46" s="6" t="str">
        <f t="shared" si="143"/>
        <v>R</v>
      </c>
      <c r="BD46" t="str">
        <f t="shared" si="144"/>
        <v>1.05.2</v>
      </c>
      <c r="BE46" t="str">
        <f t="shared" si="145"/>
        <v>1</v>
      </c>
      <c r="BF46" t="str">
        <f t="shared" si="146"/>
        <v>05.2</v>
      </c>
      <c r="BG46" t="str">
        <f t="shared" si="147"/>
        <v>05</v>
      </c>
      <c r="BH46" t="str">
        <f>IF(X46&lt;&gt;"",X46,IF(AND(B46&lt;&gt;"",B46&lt;&gt;A46,ISNUMBER(_xlfn.XMATCH(B46,Щиты[Щит]))),B46,""))</f>
        <v/>
      </c>
      <c r="BI46" t="str" cm="1">
        <f t="array" ref="BI46">IF(B46="","",IF(BH46&lt;&gt;"","Щит "&amp;BH46,_xlfn.LET(_xlpm.nm,IFERROR(_xlfn.XLOOKUP(BC46,Коды_код,Коды_имя)&amp;"",""),_xlpm.md,IFERROR(N(_xlfn.XLOOKUP(BC46,Коды_код,Коды_режим)),1),_xlpm.ex,IF(Имя_режим="по экспликации",IFERROR(_xlfn.XLOOKUP(BE46&amp;"|"&amp;BG46,Экспликация[Этаж]&amp;"|"&amp;Экспликация[Помещение],Экспликация[Название])&amp;"",""),""),_xlpm.rm,IF(BG46="","",IF(_xlpm.ex&lt;&gt;"",". "&amp;_xlpm.ex&amp;IF(Имя_пом="нет"," ("&amp;BG46&amp;")"," (пом. "&amp;BG46&amp;")"),IF(Имя_пом="нет"," ",", пом. ")&amp;BG46)),IF(_xlpm.nm="","",IF(_xlpm.md=2,_xlpm.nm&amp;" шлейф "&amp;BE46,_xlpm.nm&amp;_xlpm.rm)))))</f>
        <v>Розеточная группа, пом. 05</v>
      </c>
      <c r="BJ46" t="str">
        <f t="shared" si="148"/>
        <v>Розеточная группа, пом. 05</v>
      </c>
      <c r="BK46">
        <f>IFERROR(_xlfn.XMATCH(A46,Щиты[Щит]),0)</f>
        <v>4</v>
      </c>
      <c r="BL46">
        <f>_xlfn.LET(_xlpm.k,IFERROR(_xlfn.XLOOKUP(A46,Щиты[Щит],Щиты[Мест под вводной узел]),""),IF(_xlpm.k="",Столбцов_на_лист,N(_xlpm.k)))</f>
        <v>3</v>
      </c>
      <c r="BM46">
        <f t="shared" si="149"/>
        <v>23</v>
      </c>
      <c r="BN46" t="str">
        <f t="shared" si="150"/>
        <v>линии</v>
      </c>
      <c r="BO46" s="6">
        <f>IFERROR(N(_xlfn.XLOOKUP(BC46,Коды_код,Коды_квт)),0)</f>
        <v>0.06</v>
      </c>
      <c r="BP46">
        <f t="shared" si="151"/>
        <v>0</v>
      </c>
      <c r="BQ46">
        <f>IF(B46="","",IF(BH46&lt;&gt;"",IFERROR(_xlfn.XLOOKUP(BH46,Щиты[Щит],Щиты[Руст, кВт]),0),IF(BP46=1,IF(OR(N(_xlfn.XLOOKUP(A46,Щиты[Щит],Щиты[Вводов],1))&lt;=1,LOWER(TRIM(_xlfn.XLOOKUP(A46,Щиты[Щит],Щиты[АВР],"")&amp;""))="да"),IFERROR(_xlfn.XLOOKUP(A46,Щиты[Щит],Щиты[Руст, кВт]),0),SUMIFS(Линии[_Р для вводов],Линии[Щит],A46,Линии[Источник для режимов],GF46)),IF(BO46&gt;0,ROUND(BO46*MAX(1,N(D46)),3),""))))</f>
        <v>0.12</v>
      </c>
      <c r="BR46">
        <f t="shared" si="152"/>
        <v>1.2</v>
      </c>
      <c r="BS46" s="6">
        <f>IF(B46="","",IF(BH46&lt;&gt;"",IFERROR(_xlfn.XLOOKUP(BH46,Щиты[Щит],Щиты[Руст, кВт]),0),N(BR46)))</f>
        <v>1.2</v>
      </c>
      <c r="BT46">
        <f>IF(B46="","",IFERROR(IF(VLOOKUP(BC46,Потребители_обозначение,8,FALSE)=0,"",VLOOKUP(BC46,Потребители_обозначение,8,FALSE)),""))</f>
        <v>230</v>
      </c>
      <c r="BU46">
        <f t="shared" si="153"/>
        <v>230</v>
      </c>
      <c r="BV46">
        <f t="shared" si="154"/>
        <v>0</v>
      </c>
      <c r="BW46">
        <f>IF(B46="","",IF(BH46&lt;&gt;"",3,IFERROR(IF(N(VLOOKUP(BC46,Потребители_обозначение,9,FALSE))=0,1,VLOOKUP(BC46,Потребители_обозначение,9,FALSE)),1)))</f>
        <v>1</v>
      </c>
      <c r="BX46">
        <f t="shared" si="155"/>
        <v>1</v>
      </c>
      <c r="BY46" t="str">
        <f>IF(B46="","",_xlfn.LET(_xlpm.bc,IFERROR(IF(VLOOKUP(BC46,Потребители_обозначение,6,FALSE)=0,"",VLOOKUP(BC46,Потребители_обозначение,6,FALSE)&amp;""),""),IF(AND(GA46="да",OR(_xlpm.bc="",_xlpm.bc="мс")),Марка_пож,IF(AND(_xlpm.bc="",BH46&lt;&gt;""),"мс",_xlpm.bc))))</f>
        <v>мс</v>
      </c>
      <c r="BZ46" t="str">
        <f t="shared" si="156"/>
        <v>мс</v>
      </c>
      <c r="CA46">
        <f>IF(B46="","",_xlfn.LET(_xlpm.cc,IFERROR(N(VLOOKUP(BC46,Потребители_обозначение,7,FALSE)),0),IF(_xlpm.cc&gt;0,_xlpm.cc,IF(BZ46="","",IF(BV46=1,2,IF(N(BX46)=3,5,3))))))</f>
        <v>3</v>
      </c>
      <c r="CB46">
        <f t="shared" si="157"/>
        <v>3</v>
      </c>
      <c r="CC46">
        <f>IFERROR(N(VLOOKUP(BC46,Потребители_обозначение,10,FALSE)),0)</f>
        <v>2.5</v>
      </c>
      <c r="CD46">
        <f>IFERROR(VLOOKUP(BC46,Потребители_обозначение,5,FALSE),0)</f>
        <v>1</v>
      </c>
      <c r="CE46" s="6" cm="1">
        <f t="array" ref="CE46">IF(B46="","",IF(BH46&lt;&gt;"",IFERROR(_xlfn.XLOOKUP(BH46,Щиты[Щит],Щиты[cos φ]),0.95),IF(BP46=1,IFERROR(_xlfn.XLOOKUP(A46,Щиты[Щит],Щиты[cos φ]),0.95),IF(ISNUMBER(AD46),AD46,IFERROR(IF(CD46=2,_xlfn.IFS(BX46=3,VLOOKUP(BS46,Справочная_двигатели,8,FALSE),BX46=1,VLOOKUP(BS46,Справочная_двигатели,10,TRUE)),IF(AND(Методика="нормы 2026",FG46="Сил"),0.8,0.95)),0.95)))))</f>
        <v>0.95</v>
      </c>
      <c r="CF46">
        <f t="shared" si="158"/>
        <v>0</v>
      </c>
      <c r="CG46">
        <f t="shared" si="159"/>
        <v>1</v>
      </c>
      <c r="CH46">
        <f t="shared" si="160"/>
        <v>1</v>
      </c>
      <c r="CI46">
        <f>IF(B46="","",IF(BV46=1,IFERROR(BS46/((Uн_лин/SQRT(3))*MAX(0.5,N(CE46))),0),N(O46)))</f>
        <v>5.4696341291648753</v>
      </c>
      <c r="CJ46">
        <f t="shared" si="161"/>
        <v>0</v>
      </c>
      <c r="CK46">
        <f t="shared" si="162"/>
        <v>0</v>
      </c>
      <c r="CL46">
        <f t="shared" si="163"/>
        <v>0</v>
      </c>
      <c r="CM46">
        <f t="shared" si="164"/>
        <v>0</v>
      </c>
      <c r="CN46">
        <f t="shared" si="165"/>
        <v>0</v>
      </c>
      <c r="CO46">
        <f>IF(BC46="",0,_xlfn.LET(_xlpm.v,IFERROR(_xlfn.XLOOKUP(B46,Коды_код,Коды_мА),IFERROR(_xlfn.XLOOKUP(BC46,Коды_код,Коды_мА),IFERROR(_xlfn.XLOOKUP(LEFT(BC46,2),Коды_код,Коды_мА),""))),IF(_xlpm.v="да",30,IF(ISNUMBER(_xlpm.v),_xlpm.v,0))))</f>
        <v>30</v>
      </c>
      <c r="CP46">
        <f t="shared" si="166"/>
        <v>30</v>
      </c>
      <c r="CQ46" t="str">
        <f>_xlfn.LET(_xlpm.k,IFERROR(_xlfn.XLOOKUP(BC46,Коды_код,Коды_утечка)&amp;"",""),IF(_xlpm.k="","дифавтомат",_xlpm.k))</f>
        <v>дифавтомат</v>
      </c>
      <c r="CR46" t="str" cm="1">
        <f t="array" ref="CR46">IF(CG46=0,"",_xlfn.LET(_xlpm.sg,TRIM(_xlfn.TEXTSPLIT(DD46&amp;"",";")),_xlpm.f_,_xlfn._xlws.FILTER(_xlpm.sg,LEFT(_xlpm.sg,3)="УЗО",""),IFERROR(INDEX(_xlpm.f_,1)&amp;"","")))</f>
        <v/>
      </c>
      <c r="CS46">
        <f t="shared" si="167"/>
        <v>42</v>
      </c>
      <c r="CT46" s="6" t="str" cm="1">
        <f t="array" ref="CT46">IF(CR46="","",_xlfn.LET(_xlpm.tk,_xlfn.TEXTSPLIT(UPPER(CR46)," ",,TRUE),_xlpm.a_,_xlfn._xlws.FILTER(_xlpm.tk,ISNUMBER(--LEFT(_xlpm.tk,1))*((ISNUMBER(SEARCH("А",_xlpm.tk))+ISNUMBER(SEARCH("A",_xlpm.tk)))&gt;0)*NOT(ISNUMBER(SEARCH("МА",_xlpm.tk)))*NOT(ISNUMBER(SEARCH("MA",_xlpm.tk))),""),IFERROR(--SUBSTITUTE(SUBSTITUTE(INDEX(_xlpm.a_,1),"А",""),"A",""),"")))</f>
        <v/>
      </c>
      <c r="CU46" t="str" cm="1">
        <f t="array" ref="CU46">IF(CR46="","",_xlfn.LET(_xlpm.tk,_xlfn.TEXTSPLIT(UPPER(CR46)," ",,TRUE),_xlpm.a_,_xlfn._xlws.FILTER(_xlpm.tk,ISNUMBER(--LEFT(_xlpm.tk,1))*((ISNUMBER(SEARCH("МА",_xlpm.tk))+ISNUMBER(SEARCH("MA",_xlpm.tk)))&gt;0),""),IFERROR(--SUBSTITUTE(SUBSTITUTE(INDEX(_xlpm.a_,1),"МА",""),"MA",""),30)))</f>
        <v/>
      </c>
      <c r="CV46">
        <f>IF(CS46="","",IFERROR(_xlfn.XLOOKUP(CS46,Линии[_n],Линии[_УЗО, мА]),30))</f>
        <v>30</v>
      </c>
      <c r="CW46">
        <f>IF(CS46="",0,IF(ISNUMBER(SEARCH("4P",IFERROR(_xlfn.XLOOKUP(CS46,Линии[_n],Линии[_УЗО строки])&amp;"",""))),0,1))</f>
        <v>1</v>
      </c>
      <c r="CX46" t="str">
        <f>IF(AND(CS46&lt;&gt;"",CS46=BA46),SUMIFS(Линии[_ток на 230 В],Линии[_блок УЗО],BA46,Линии[Щит],A46),"")</f>
        <v/>
      </c>
      <c r="CY46" t="str">
        <f>IF(AND(CS46&lt;&gt;"",CS46=BA46),SUMIFS(Линии[_ток утечки линии, мА],Линии[_блок УЗО],BA46,Линии[Щит],A46),"")</f>
        <v/>
      </c>
      <c r="CZ46">
        <f t="shared" si="168"/>
        <v>0</v>
      </c>
      <c r="DA46">
        <f t="shared" si="169"/>
        <v>0</v>
      </c>
      <c r="DB46">
        <f>IF(B46="",0,IFERROR(--_xlfn.XLOOKUP(B46,Коды_код,Коды_минавт),IFERROR(--_xlfn.XLOOKUP(BC46,Коды_код,Коды_минавт),IFERROR(--_xlfn.XLOOKUP(LEFT(BC46,2),Коды_код,Коды_минавт),0))))</f>
        <v>16</v>
      </c>
      <c r="DC46" t="str">
        <f>IF(B46="","",IFERROR(_xlfn.XLOOKUP(BC46,Коды_код,Коды_апп)&amp;"",""))</f>
        <v/>
      </c>
      <c r="DD46" t="str">
        <f t="shared" si="170"/>
        <v/>
      </c>
      <c r="DE46" t="str" cm="1">
        <f t="array" ref="DE46">IF(TRIM(DD46&amp;"")="","",IFERROR(TRIM(INDEX(_xlfn.TEXTSPLIT(DD46&amp;";;;",";"),1)),""))</f>
        <v/>
      </c>
      <c r="DF46" t="str" cm="1">
        <f t="array" ref="DF46">IF(TRIM(DD46&amp;"")="","",IFERROR(TRIM(INDEX(_xlfn.TEXTSPLIT(DD46&amp;";;;",";"),2)),""))</f>
        <v/>
      </c>
      <c r="DG46" t="str" cm="1">
        <f t="array" ref="DG46">IF(TRIM(DD46&amp;"")="","",IFERROR(TRIM(INDEX(_xlfn.TEXTSPLIT(DD46&amp;";;;",";"),3)),""))</f>
        <v/>
      </c>
      <c r="DH46">
        <f t="shared" si="171"/>
        <v>0</v>
      </c>
      <c r="DI46" t="str">
        <f>IF(B46="","",_xlfn.LET(_xlpm.t,LOWER(AZ46&amp;""),IF(ISNUMBER(SEARCH("dim",_xlpm.t)),"DIM",IF(ISNUMBER(SEARCH("dali",_xlpm.t)),"DALI",IF(OR(ISNUMBER(SEARCH("relay",_xlpm.t)),ISNUMBER(SEARCH("реле",_xlpm.t))),"Relay",IF(ISNUMBER(SEARCH("кнопк",_xlpm.t)),"",IFERROR(_xlfn.XLOOKUP(BC46,Коды_код,Коды_упр)&amp;"","")))))))</f>
        <v/>
      </c>
      <c r="DJ46" t="str">
        <f t="shared" si="172"/>
        <v/>
      </c>
      <c r="DK46">
        <f>IF(B46="","",_xlfn.LET(_xlpm.ig,IF(N(CX46)&gt;0,N(CX46),N(CI46)+IF(AJ46="вручную",0,N(CJ46))),_xlpm.n0,IFERROR(VLOOKUP(_xlpm.ig,Автомат_номиналы,2,TRUE),0),_xlpm.mn,MAX(DB46,IF(AJ46="вручную",0,N(CM46))),MAX(_xlpm.n0,_xlpm.mn,IF(DH46=1,Мин_автомат_БП,0))))</f>
        <v>16</v>
      </c>
      <c r="DL46">
        <f t="shared" si="173"/>
        <v>1</v>
      </c>
      <c r="DM46" t="str">
        <f t="shared" si="174"/>
        <v>1P</v>
      </c>
      <c r="DN46" t="str">
        <f>_xlfn.LET(_xlpm.cc,UPPER(TRIM(IFERROR(_xlfn.XLOOKUP(BC46,Коды_код,Коды_хар)&amp;"",""))),IF(OR(_xlpm.cc="B",_xlpm.cc="В"),"B",IF(_xlpm.cc="D","D","С")))</f>
        <v>С</v>
      </c>
      <c r="DO46" t="str">
        <f t="shared" si="175"/>
        <v>1P С16А</v>
      </c>
      <c r="DP46" t="str">
        <f t="shared" si="176"/>
        <v>1P С16А</v>
      </c>
      <c r="DQ46" t="str">
        <f t="shared" si="177"/>
        <v>1P С16А</v>
      </c>
      <c r="DR46" cm="1">
        <f t="array" ref="DR46">IF(DQ46="","",_xlfn.LET(_xlpm.t,SUBSTITUTE(SUBSTITUTE(SUBSTITUTE(UPPER(DQ46),"С","C"),"А","A"),"В","B"),_xlpm.tk,_xlfn.TEXTSPLIT(_xlpm.t," "),_xlpm.f,_xlfn._xlws.FILTER(_xlpm.tk,ISNUMBER(--MID(_xlpm.tk,2,1))*ISNUMBER(SEARCH(LEFT(_xlpm.tk,1)&amp;"#","B#C#D#"))*(LEN(_xlpm.tk)&gt;1),""),_xlpm.x,INDEX(_xlpm.f,1),IFERROR(--SUBSTITUTE(MID(_xlpm.x,2,9),"A",""),IFERROR(--SUBSTITUTE(INDEX(_xlfn._xlws.FILTER(_xlpm.tk,ISNUMBER(--SUBSTITUTE(_xlpm.tk,"A","")),""),1),"A",""),""))))</f>
        <v>16</v>
      </c>
      <c r="DS46" t="str">
        <f t="shared" si="178"/>
        <v>ok</v>
      </c>
      <c r="DT46">
        <f t="shared" si="179"/>
        <v>16</v>
      </c>
      <c r="DU46" t="str">
        <f t="shared" si="180"/>
        <v>1P С16А</v>
      </c>
      <c r="DV46">
        <f t="shared" si="181"/>
        <v>0</v>
      </c>
      <c r="DW46">
        <f t="shared" si="182"/>
        <v>1</v>
      </c>
      <c r="DX46">
        <f t="shared" si="183"/>
        <v>0</v>
      </c>
      <c r="DY46">
        <f t="shared" si="184"/>
        <v>5.4696341291648753</v>
      </c>
      <c r="DZ46">
        <f t="shared" si="185"/>
        <v>1</v>
      </c>
      <c r="EA46">
        <f>IF(ISNUMBER(AP46),AP46,К_прокл)</f>
        <v>1</v>
      </c>
      <c r="EB46">
        <f t="shared" si="186"/>
        <v>2</v>
      </c>
      <c r="EC46">
        <f>IFERROR(N(VLOOKUP(BZ46,Кабель_обозначение,3,FALSE)),1)</f>
        <v>1</v>
      </c>
      <c r="ED46">
        <f>IFERROR(N(_xlfn.XLOOKUP(A46,Щиты[Щит],Щиты[ΔU до шин, %])),0)</f>
        <v>1.0560288498727977</v>
      </c>
      <c r="EE46">
        <f>IFERROR(_xlfn.XLOOKUP(A46,Щиты[Щит],Щиты[Zпетли на шинах, Ом]),"")</f>
        <v>0.28247829354840204</v>
      </c>
      <c r="EF46">
        <f>IFERROR(N(_xlfn.XLOOKUP(A46,Щиты[Щит],Щиты[ΔU до шин (подбор), %])),0)</f>
        <v>1.0560288498727977</v>
      </c>
      <c r="EG46">
        <f>IFERROR(_xlfn.XLOOKUP(A46,Щиты[Щит],Щиты[Zпетли на шинах (подбор), Ом]),"")</f>
        <v>0.28247829354840204</v>
      </c>
      <c r="EH46" t="str">
        <f t="shared" si="187"/>
        <v/>
      </c>
      <c r="EI46">
        <f t="shared" si="188"/>
        <v>14</v>
      </c>
      <c r="EJ46">
        <f t="shared" si="189"/>
        <v>2</v>
      </c>
      <c r="EK46">
        <f t="shared" si="190"/>
        <v>0.31</v>
      </c>
      <c r="EL46" s="6">
        <f>IF(B46="","",IF(BV46=1,dU_LED,IF(IFERROR(_xlfn.XLOOKUP(BC46,Коды_код,Коды_уго),"")="Светильник",3,4)+IF(Методика="нормы 2026",MIN(0.5,MAX(0,N(P46)-100)*0.005),0)))</f>
        <v>4</v>
      </c>
      <c r="EM46" cm="1">
        <f t="array" ref="EM46">IF(OR(B46="",BZ46="",EC46&lt;&gt;1),"",_xlfn.LET(_xlpm.sz,Iдоп_S,_xlpm.t_,CHOOSE(EB46,Iдоп_1ж,Iдоп_2ж,Iдоп_3ж)*DZ46*EA46,_xlpm.dcx,BV46=1,_xlpm.inn,IF(_xlpm.dcx,N(O46),N(DT46)),_xlpm.smin,MAX(1.5,CC46),_xlpm.L_,N(P46)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46)/N(BU46)*100,999),IFERROR(N(EJ46)*(_xlpm.rho*_xlpm.L_/_xlpm.sz*N(CE46)+_xlpm.xx*_xlpm.L_*N(EK46)/1000)*N(O46)/((Uн_лин/SQRT(3))*1000)*100,999)),_xlpm.kz,IF(OR(_xlpm.dcx,DW46=1,NOT(ISNUMBER(EG46)),_xlpm.L_=0,_xlpm.inn=0),1,IFERROR(--(c_min*(Uн_лин*1000/SQRT(3))/(EG46+2*ρкз_Cu*_xlpm.L_/_xlpm.sz)&gt;=HT46*_xlpm.inn),0)),_xlpm.ok,IFERROR((_xlpm.sz&gt;=_xlpm.smin)*(_xlpm.t_&gt;=_xlpm.inn)*IF(_xlpm.L_&gt;0,(_xlpm.du_+IF(_xlpm.dcx,0,EF46)&lt;=EL46+0.00001),1)*_xlpm.kz,0),_xlpm.r_,_xlfn._xlws.FILTER(_xlpm.sz,_xlpm.ok,"не подобрано"),INDEX(_xlpm.r_,1)))</f>
        <v>2.5</v>
      </c>
      <c r="EN46">
        <f t="shared" si="191"/>
        <v>2.5</v>
      </c>
      <c r="EO46" cm="1">
        <f t="array" ref="EO46">IF(OR(B46="",BZ46="",EC46&lt;&gt;1),"",_xlfn.LET(_xlpm.sz,Iдоп_S,_xlpm.t_,CHOOSE(EB46,Iдоп_1ж,Iдоп_2ж,Iдоп_3ж)*DZ46*EA46,_xlpm.ok,IFERROR((_xlpm.sz&gt;=MAX(1.5,CC46))*(_xlpm.t_&gt;=N(DT46)),0),_xlpm.r_,_xlfn._xlws.FILTER(_xlpm.sz,_xlpm.ok,""),INDEX(_xlpm.r_,1)))</f>
        <v>2.5</v>
      </c>
      <c r="EP46" s="6" cm="1">
        <f t="array" ref="EP46">IFERROR(ROUNDUP(N(EJ46)*(_xlfn.XLOOKUP(EO46,INDEX(Кабель_сопротивление,0,1),INDEX(Кабель_сопротивление,0,3))*N(P46)/EO46*N(CE46)+_xlfn.XLOOKUP(EO46,INDEX(Кабель_сопротивление,0,1),INDEX(Кабель_сопротивление,0,2))*N(P46)*N(EK46)/1000)*N(O46)/((Uн_лин/SQRT(3))*1000)*100,2),"")</f>
        <v>0.82000000000000006</v>
      </c>
      <c r="EQ46">
        <f>IFERROR(2*ρкз_Cu*N(P46)/EO46,"")</f>
        <v>0.42080000000000001</v>
      </c>
      <c r="ER46">
        <f>IFERROR(VLOOKUP(EN46,Кабель_сопротивление,3,FALSE),"")</f>
        <v>2.2499999999999999E-2</v>
      </c>
      <c r="ES46">
        <f>IFERROR(VLOOKUP(EN46,Кабель_сопротивление,2,FALSE),"")</f>
        <v>0.1</v>
      </c>
      <c r="ET46">
        <f t="shared" si="192"/>
        <v>0</v>
      </c>
      <c r="EU46">
        <f t="shared" si="193"/>
        <v>16</v>
      </c>
      <c r="EV46">
        <f t="shared" si="194"/>
        <v>1.8773972184945518</v>
      </c>
      <c r="EW46" s="6">
        <f>IFERROR(ROUNDUP(EV46/IF(BV46=1,BU46,(Uн_лин/SQRT(3))*1000)*100,2),"")</f>
        <v>0.82000000000000006</v>
      </c>
      <c r="EX46" t="str">
        <f>IFERROR(VLOOKUP(BZ46,Кабель_обозначение,2,FALSE),"")</f>
        <v>ВВГнг(А)-LS</v>
      </c>
      <c r="EY46" t="str">
        <f t="shared" si="195"/>
        <v>ВВГнг(А)-LS (3х2,5)</v>
      </c>
      <c r="EZ46" t="str">
        <f t="shared" si="196"/>
        <v>ВВГнг(А)-LS (3х2,5)
L=20-0,82%</v>
      </c>
      <c r="FA46">
        <f>IFERROR(2*ρкз_Cu*P46/EN46,"")</f>
        <v>0.42080000000000001</v>
      </c>
      <c r="FB46">
        <f t="shared" si="197"/>
        <v>0.14000000000000001</v>
      </c>
      <c r="FC46" s="6">
        <f>IFERROR(IF(OR(B46="",BV46=1,NOT(ISNUMBER(EN46)),N(P46)=0),"",_xlfn.XLOOKUP(A46,Щиты[Щит],Щиты[Zпетли на шинах, Ом])+FA46),"")</f>
        <v>0.7032782935484021</v>
      </c>
      <c r="FD46" s="6">
        <f>IF(ISNUMBER(FC46),c_min*(Uн_лин*1000/SQRT(3))/FC46,"")</f>
        <v>311.9577332397198</v>
      </c>
      <c r="FE46" s="6">
        <f>IFERROR(IF(OR(B46="",NOT(ISNUMBER(EN46))),"",1.05*(Uн_лин*1000/SQRT(3))/(_xlfn.XLOOKUP(A46,Щиты[Щит],Щиты[Zmax на шинах, Ом])+FB46)/1000),"")</f>
        <v>1.0771770273652874</v>
      </c>
      <c r="FF46" s="6" t="str">
        <f>IF(B46="","",IF(ISNUMBER(AC46),"Сил",IF(IFERROR(_xlfn.XLOOKUP(BC46,Коды_код,Коды_группа)&amp;"","")="","Быт",_xlfn.XLOOKUP(BC46,Коды_код,Коды_группа)&amp;"")))</f>
        <v>Быт</v>
      </c>
      <c r="FG46" s="6" t="str">
        <f t="shared" si="198"/>
        <v>Быт</v>
      </c>
      <c r="FH46" s="6">
        <f>IF(FG46="Щит","щит",IF(FG46="","",IF(FG46="Быт",IFERROR(_xlfn.XLOOKUP(A46,Щиты[Щит],Щиты[Кс быт]),1),IF(FG46="Сил",IF(ISNUMBER(AC46),AC46,IF(Методика="нормы 2026",IFERROR(_xlfn.XLOOKUP(A46,Щиты[Щит],Щиты[Кс силовых (табл. 7.5)]),1),1)),IF(OR(FG46="Пост",FG46="Отоп"),1,IF(FG46="ВНГ",0.7,0))))))</f>
        <v>0.8</v>
      </c>
      <c r="FI46">
        <f>IF(FG46="","",IF(AND(BP46=1,TRIM(AE46&amp;"")=""),IF(COUNTIFS(Линии[Щит],A46,Линии[Секция (1/2/3)],"&gt;=2")&gt;0,MIN(3,MAX(1,IFERROR(--BD46,1))),1),IFERROR(MIN(3,MAX(1,INT(--AE46))),1)))</f>
        <v>1</v>
      </c>
      <c r="FJ46">
        <f t="shared" si="199"/>
        <v>1.2</v>
      </c>
      <c r="FK46">
        <f t="shared" si="200"/>
        <v>1.2</v>
      </c>
      <c r="FL46">
        <f t="shared" si="201"/>
        <v>0</v>
      </c>
      <c r="FM46">
        <f t="shared" si="202"/>
        <v>0</v>
      </c>
      <c r="FN46">
        <f t="shared" si="203"/>
        <v>0</v>
      </c>
      <c r="FO46">
        <f t="shared" si="204"/>
        <v>0</v>
      </c>
      <c r="FP46">
        <f t="shared" si="205"/>
        <v>1.2</v>
      </c>
      <c r="FQ46">
        <f t="shared" si="206"/>
        <v>1.2</v>
      </c>
      <c r="FR46">
        <f t="shared" si="207"/>
        <v>1.1399999999999999</v>
      </c>
      <c r="FS46">
        <f>IF(CG46=1,IF(AND(CH46=1,CW46=1),0,IF(AND(CS46&lt;&gt;"",CS46=BA46,CW46=1),SUMIFS(Линии[_Р линии, кВт],Линии[_блок УЗО],BA46,Линии[Щит],A46),N(BS46)+IF(AJ46="вручную",0,N(CK46)))),0)</f>
        <v>0</v>
      </c>
      <c r="FT46" t="str">
        <f t="shared" si="208"/>
        <v/>
      </c>
      <c r="FU46" t="str">
        <f>IF(B46="","",IF(CG46=0,IF(BA46=1,"",FW45),IF(AND(CH46=1,CW46=1,CS46&lt;&gt;""),IFERROR(_xlfn.XLOOKUP(CS46,Линии[_n],Линии[_фаза итог]),"L1"),IF(OR(N(DL46)&gt;=3,N(BX46)&gt;=3),"L1,L2,L3",IFERROR(_xlfn.TEXTBEFORE(_xlfn.TEXTAFTER(_xlfn.XLOOKUP(A46,Щиты[Щит],Щиты[_фазы авто]),";"&amp;BA46&amp;":"),";"),"L1")))))</f>
        <v>L1</v>
      </c>
      <c r="FV46" t="str">
        <f t="shared" si="209"/>
        <v>L1</v>
      </c>
      <c r="FW46" t="str">
        <f t="shared" si="210"/>
        <v>L1</v>
      </c>
      <c r="FX46" cm="1">
        <f t="array" ref="FX46">IFERROR(IF(CD46=2,_xlfn.IFS(BX46=3,VLOOKUP(BS46,Справочная_двигатели,3,FALSE),BX46=1,VLOOKUP(BS46,Справочная_двигатели,5,TRUE)),0),0)</f>
        <v>0</v>
      </c>
      <c r="FY46">
        <f>IFERROR(IF(CD46=3,VLOOKUP(BS46,Справочная_ЛЭД,2,TRUE),0),0)</f>
        <v>0</v>
      </c>
      <c r="FZ46" s="6">
        <f t="shared" si="211"/>
        <v>0</v>
      </c>
      <c r="GA46" t="str">
        <f>IF(B46="","",IF(TRIM(AH46&amp;"")&lt;&gt;"",IF(LOWER(TRIM(AH46&amp;""))="да","да","нет"),IF(IFERROR(_xlfn.XLOOKUP(BC46,Коды_код,Коды_пожарная),"")="да","да","нет")))</f>
        <v>нет</v>
      </c>
      <c r="GB46" t="str">
        <f t="shared" si="212"/>
        <v/>
      </c>
      <c r="GC46" t="str">
        <f t="shared" si="213"/>
        <v>основная</v>
      </c>
      <c r="GD46">
        <f>IF(AND(BP46=1,TRIM(AE46&amp;"")=""),IF(COUNTIFS(Линии[Щит],A46,Линии[Секция (1/2/3)],"&gt;=2")&gt;0,MIN(3,MAX(1,IFERROR(--BD46,1))),1),IFERROR(MIN(3,MAX(1,INT(--AE46))),1))</f>
        <v>1</v>
      </c>
      <c r="GE46" t="str" cm="1">
        <f t="array" ref="GE46">IF(B46="","",_xlfn.LET(_xlpm.t,IFERROR(_xlfn.XLOOKUP(1,(Шины[Шина]=GC46)*(((Шины[Щит]=A46)+(Шины[Щит]=""))&gt;0),Шины[Тип]),"")&amp;"",IF(_xlpm.t&lt;&gt;"",_xlpm.t,IF(ISNUMBER(SEARCH("ИБП",GC46)),"ИБП",IF(ISNUMBER(SEARCH("ДГУ",GC46)),"ДГУ","Ввод "&amp;GD46)))))</f>
        <v>Ввод 1</v>
      </c>
      <c r="GF46" t="str">
        <f t="shared" si="214"/>
        <v>Ввод 1</v>
      </c>
      <c r="GG46" t="str">
        <f>IF(BP46=0,"",IF(TRIM(AG46&amp;"")&lt;&gt;"",TRIM(AG46&amp;""),IF(OR(GE46="ИБП",GE46="ДГУ"),"I особая",_xlfn.XLOOKUP(A46,Щиты[Щит],Щиты[Категория шины «Ввод»],"III"))))</f>
        <v/>
      </c>
      <c r="GH46" t="str">
        <f>IF(A46="","",_xlfn.XLOOKUP(A46,Щиты[Щит],Щиты[Путь],""))</f>
        <v>|ВРУ|ЩР-1|</v>
      </c>
      <c r="GI46" t="str">
        <f>IF(B46="","",IF(AI46&lt;&gt;"",AI46,IF(IFERROR(_xlfn.XLOOKUP(BC46,Коды_код,Коды_вид)&amp;"","")="","Прочее",_xlfn.XLOOKUP(BC46,Коды_код,Коды_вид)&amp;"")))</f>
        <v>Розеточная сеть и бытовые приборы</v>
      </c>
      <c r="GJ46">
        <f>IF(BM46="","",INT((BM46-1)/Столбцов_на_лист)+1)</f>
        <v>2</v>
      </c>
      <c r="GK46" t="str">
        <f t="shared" si="215"/>
        <v>ВВГнг(А)-LS (3х2,5) L=20-0,82%</v>
      </c>
      <c r="GL46">
        <f t="shared" si="216"/>
        <v>1.2</v>
      </c>
      <c r="GM46">
        <f t="shared" si="217"/>
        <v>5.47</v>
      </c>
      <c r="GN46">
        <f t="shared" si="218"/>
        <v>1</v>
      </c>
      <c r="GO46">
        <f t="shared" si="219"/>
        <v>0</v>
      </c>
      <c r="GP46">
        <f t="shared" si="220"/>
        <v>1</v>
      </c>
      <c r="GQ46">
        <f>IF(BM46="","",IF(AND(CG46=1,GP46=1),COUNTIFS(A$3:A46,A46,CG$3:CG46,1,GP$3:GP46,1),IF(OR(OR(BA46=1,A46&lt;&gt;A45),AJ46="вручную",GP46=0),"",IF(BA46=1,"",GR45))))</f>
        <v>14</v>
      </c>
      <c r="GR46">
        <f t="shared" si="221"/>
        <v>14</v>
      </c>
      <c r="GS46">
        <f>IF(B46="","",IFERROR(LOOKUP(INDEX(CHOOSE(EB46,Iдоп_1ж,Iдоп_2ж,Iдоп_3ж),MATCH(EN46,Iдоп_S,0))*DZ46*EA46,{6,10,16,20,25,32,40,50,63,80,100,125,160,200,250,315,400,500,630}),""))</f>
        <v>25</v>
      </c>
      <c r="GT46" t="str">
        <f t="shared" si="222"/>
        <v>QF14</v>
      </c>
      <c r="GU46" t="str">
        <f t="shared" si="223"/>
        <v>QF14</v>
      </c>
      <c r="GV46" t="str">
        <f t="shared" si="224"/>
        <v/>
      </c>
      <c r="GW46">
        <f t="shared" si="225"/>
        <v>0</v>
      </c>
      <c r="GX46" t="str">
        <f>IF(OR(B46="",DJ46=""),"",IFERROR(_xlfn.XLOOKUP(DJ46,Модули_умолч[Управление],Модули_умолч[Модель])&amp;"",""))</f>
        <v/>
      </c>
      <c r="GY46">
        <f>IF(DJ46="",1,IFERROR(MAX(0,N(_xlfn.XLOOKUP(DJ46,Модули_умолч[Управление],Модули_умолч[Каналов на линию]))),1))</f>
        <v>1</v>
      </c>
      <c r="GZ46" t="str">
        <f t="shared" si="226"/>
        <v/>
      </c>
      <c r="HA46" t="str">
        <f t="shared" si="227"/>
        <v/>
      </c>
      <c r="HB46" t="str">
        <f t="shared" si="228"/>
        <v/>
      </c>
      <c r="HC46">
        <f>IF(HB46="",0,IFERROR(N(VLOOKUP(HB46,Модули_спр,3,FALSE)),0))</f>
        <v>0</v>
      </c>
      <c r="HD46" t="str">
        <f t="shared" si="229"/>
        <v/>
      </c>
      <c r="HE46" t="str">
        <f t="shared" si="230"/>
        <v/>
      </c>
      <c r="HF46" t="str">
        <f>IF(OR(HE46="",HE46="-"),"",IFERROR(VLOOKUP(HE46,Модули_спр,2,FALSE),"R"))</f>
        <v/>
      </c>
      <c r="HG46" t="str">
        <f>IF(HF46="","",HF46&amp;"."&amp;COUNTIFS(A$3:A46,A46,HF$3:HF46,HF46))</f>
        <v/>
      </c>
      <c r="HH46" t="str">
        <f t="shared" si="231"/>
        <v/>
      </c>
      <c r="HI46" t="str">
        <f t="shared" si="232"/>
        <v/>
      </c>
      <c r="HJ46" t="str">
        <f t="shared" si="233"/>
        <v/>
      </c>
      <c r="HK46" t="str">
        <f t="shared" si="234"/>
        <v/>
      </c>
      <c r="HL46">
        <f t="shared" si="235"/>
        <v>1</v>
      </c>
      <c r="HM46" t="str">
        <f>IF(HL46=1,"XT"&amp;COUNTIFS(A$3:A46,A46,HL$3:HL46,1),"")</f>
        <v>XT17</v>
      </c>
      <c r="HN46" t="str">
        <f t="shared" si="236"/>
        <v>XT17</v>
      </c>
      <c r="HO46" t="str">
        <f t="shared" si="237"/>
        <v>QF14</v>
      </c>
      <c r="HP46" t="str">
        <f t="shared" si="238"/>
        <v/>
      </c>
      <c r="HQ46" t="str">
        <f t="shared" si="239"/>
        <v>ok</v>
      </c>
      <c r="HR46" t="str">
        <f>IF(OR(HJ46="",HH46=""),"",IF(HJ46+MAX(0,GY46-1)&gt;IFERROR(VLOOKUP(HI46,Модули_спр,3,FALSE),99),"ЛИШНИЙ КАНАЛ",IF(AND(AL46&lt;&gt;"=",GY46&gt;0,COUNTIFS(Линии[_модуль гр.],HH46,Линии[Канал (итог)],HJ46,Линии[Канал],"&lt;&gt;=",Линии[Щит],A46)&gt;1),"ДУБЛЬ КАНАЛА","")))</f>
        <v/>
      </c>
      <c r="HS46" s="6">
        <f t="shared" si="240"/>
        <v>19.497358327482488</v>
      </c>
      <c r="HT46">
        <f t="shared" si="241"/>
        <v>10</v>
      </c>
      <c r="HU46" t="str">
        <f t="shared" si="242"/>
        <v>ok</v>
      </c>
      <c r="HV46">
        <f t="shared" si="243"/>
        <v>2.3878536516659503</v>
      </c>
      <c r="HW46">
        <f t="shared" si="244"/>
        <v>0</v>
      </c>
      <c r="HX46">
        <f t="shared" si="245"/>
        <v>0</v>
      </c>
      <c r="HY46">
        <f t="shared" si="246"/>
        <v>0</v>
      </c>
      <c r="HZ46">
        <f t="shared" si="247"/>
        <v>0</v>
      </c>
      <c r="IA46">
        <f t="shared" si="248"/>
        <v>0</v>
      </c>
      <c r="IB46">
        <f t="shared" si="249"/>
        <v>0</v>
      </c>
      <c r="IC46" t="str">
        <f t="shared" si="250"/>
        <v/>
      </c>
      <c r="ID46" t="str" cm="1">
        <f t="array" ref="ID46">IF(IC46="","",_xlfn.LET(_xlpm.tk,_xlfn.TEXTSPLIT(SUBSTITUTE(SUBSTITUTE(IC46,";"," "),"→"," ")," ",,TRUE),_xlpm.w_,_xlfn._xlws.FILTER(_xlpm.tk,ISNUMBER(--LEFT(_xlpm.tk,1))*((ISNUMBER(SEARCH("W",_xlpm.tk))+ISNUMBER(SEARCH("Вт",_xlpm.tk)))&gt;0),""),IFERROR(--SUBSTITUTE(SUBSTITUTE(UPPER(INDEX(_xlpm.w_,1)),"W",""),"ВТ",""),"")))</f>
        <v/>
      </c>
      <c r="IE46" t="str" cm="1">
        <f t="array" ref="IE46">IF(IC46="","",_xlfn.LET(_xlpm.tk,_xlfn.TEXTSPLIT(SUBSTITUTE(SUBSTITUTE(IC46,";"," "),"→"," ")," ",,TRUE),_xlpm.v_,_xlfn._xlws.FILTER(_xlpm.tk,ISNUMBER(--LEFT(_xlpm.tk,1))*((ISNUMBER(SEARCH("V",_xlpm.tk))+(RIGHT(UPPER(_xlpm.tk))="В"))&gt;0),""),IFERROR(--SUBSTITUTE(SUBSTITUTE(UPPER(INDEX(_xlpm.v_,1)),"V",""),"В",""),"")))</f>
        <v/>
      </c>
      <c r="IF46" s="6" t="str">
        <f>IF(OR(BV46=0,HI46="",HJ46=""),"",IFERROR(N(_xlfn.XLOOKUP(HI46,Каталог!$C$4:$C$500,Каталог!$Q$4:$Q$500)),""))</f>
        <v/>
      </c>
      <c r="IG46" s="6" t="str">
        <f>IF(N(IF46)=0,"",SUMIFS(Линии[Iр, А],Линии[Щит],A46,Линии[_модуль гр.],HH46,Линии[Канал (итог)],HJ46))</f>
        <v/>
      </c>
      <c r="IH46" t="str">
        <f>IF(AND(B46="",HO46=""),"",_xlfn.TEXTJOIN("; ",TRUE,IF(AND(B46&lt;&gt;"",FV46=""),"нет фазы",""),IF(AND(B46&lt;&gt;"",N(GL46)=0,FG46&lt;&gt;"Нет"),"нет мощности",""),IF(AND(HN46&lt;&gt;"",COUNTIFS(Линии[Щит],A46,Линии[Клемма (итог)],HN46)&gt;1),"дубль клеммы "&amp;HN46,""),IF(AND(HQ46&lt;&gt;"",HQ46&lt;&gt;"ok"),HQ46,""),IF(HR46&lt;&gt;"",HR46,""),IF(AND(N(CB46)&gt;=4,N(BX46)=1),CB46&amp;" жил на 1 фазе",""),IF(AND(BC46="R",CG46=1,IF(CS46&lt;&gt;"",N(CV46)&gt;30,OR(N(DA46)=0,N(DA46)&gt;30))),"розетка без дифзащиты до 30 мА",""),IF(AND(CG46=1,N(DA46)&gt;0,ISNUMBER(T46)),IF(T46&gt;N(DA46)/3,"ток утечки "&amp;FIXED(T46,1)&amp;" мА &gt; 1/3 уставки ("&amp;DA46&amp;" мА)",""),""),IF(AND(CH46=1,CS46=""),"«узо»: нет строки с УЗО выше (УЗО 2P 40А 30мА в «Аппаратах»)",""),IF(AND(CS46&lt;&gt;"",CS46=BA46),IF(CT46="","впишите номинал УЗО (УЗО 2P 40А 30мА)",IF(N(CT46)&lt;N(DT46),"УЗО "&amp;CT46&amp;" А &lt; автомата "&amp;DT46&amp;" А перед ним",IF(N(CT46)&lt;N(CX46),"УЗО "&amp;CT46&amp;" А &lt; тока блока "&amp;FIXED(CX46,1)&amp;" А",""))),""),IF(AND(CS46&lt;&gt;"",CS46=BA46,ISNUMBER(CY46)),IF(CY46&gt;N(CV46)/3,"ток утечки блока УЗО "&amp;FIXED(CY46,1)&amp;" мА &gt; 1/3 уставки ("&amp;CV46&amp;" мА)",""),""),IF(AND(CG46=1,N(BV46)+N(IB46)&gt;0,IC46=""),"линии до 50 В без БП: впишите в «Аппараты» (БП 24V 480W)",""),IF(AND(CG46=1,ISNUMBER(ID46),ISNUMBER(U46)),IF(U46&gt;ID46,"БП "&amp;ID46&amp;" Вт &lt; нужно "&amp;U46&amp;" Вт (×"&amp;Запас_БП&amp;")",""),""),IF(AND(CG46=1,ISNUMBER(IE46),N(BV46)=1),IF(IE46&lt;&gt;N(BU46),"БП на "&amp;IE46&amp;" В, линия "&amp;BU46&amp;" В",""),""),IF(AND(N(IF46)&gt;0,N(IG46)&gt;N(IF46)),HH46&amp;" канал "&amp;HJ46&amp;": "&amp;FIXED(IG46,1)&amp;" А &gt; "&amp;IF46&amp;" А",""),IFERROR(IF(AND(ISNUMBER(Q46),Q46&gt;EL46),"потери "&amp;FIXED(Q46,1)&amp;" % &gt; "&amp;EL46&amp;" %",""),""),IFERROR(IF(LEFT(HU46,4)="мало","Iкз мало — отключение &gt; 0,4 с",""),""),IF(AND(B46&lt;&gt;"",BM46=""),"не на схеме",""),IF(AND(CG46=0,B46&lt;&gt;"",FV46&lt;&gt;"",IF(BA46=1,"",FW45)&lt;&gt;"",FV46&lt;&gt;IF(BA46=1,"",FW45)),"фаза не как у автомата группы ("&amp;IF(BA46=1,"",FW45)&amp;")","")))</f>
        <v/>
      </c>
      <c r="II46" s="6">
        <f>IF(OR(CG46=0,DQ46=""),"",_xlfn.LET(_xlpm.t,IFERROR(_xlfn.XLOOKUP(DQ46,Каталог!$U$4:$U$500,Каталог!$G$4:$G$500),""),_xlpm.k,SEARCH("кА",_xlpm.t),IFERROR(--TRIM(RIGHT(SUBSTITUTE(MID(_xlpm.t,MAX(1,_xlpm.k-4),_xlpm.k-MAX(1,_xlpm.k-4))," ",REPT(" ",9)),5)),"")))</f>
        <v>6</v>
      </c>
      <c r="IJ46" t="str">
        <f>IF(OR(II46="",CG46=0),"",IF(_xlfn.XLOOKUP(A46,Щиты[Щит],Щиты[Iкз max на шинах, кА],"")="","",IF(II46&lt;_xlfn.XLOOKUP(A46,Щиты[Щит],Щиты[Iкз max на шинах, кА]),"Icu "&amp;II46&amp;" кА &lt; Iкз max","ok")))</f>
        <v>ok</v>
      </c>
      <c r="IK46" t="str">
        <f t="shared" si="251"/>
        <v/>
      </c>
      <c r="IL46" t="str">
        <f t="shared" si="252"/>
        <v>QF14|XT17</v>
      </c>
      <c r="IM46" t="str">
        <f t="shared" si="253"/>
        <v>QF14|XT17|кабель ВВГнг(А)-LS (3х2,5) → Розеточная группа, пом. 05</v>
      </c>
      <c r="IN46" t="str" cm="1">
        <f t="array" ref="IN46">IF(IM46="","",_xlfn.LET(_xlpm.nd,_xlfn.TEXTSPLIT(IM46,"|"),IF(COLUMNS(_xlpm.nd)&gt;1,A46&amp;"¦"&amp;INDEX(_xlpm.nd,1)&amp;"¦"&amp;INDEX(_xlpm.nd,2),"")))</f>
        <v>ЩР-1¦QF14¦XT17</v>
      </c>
      <c r="IO46" t="str">
        <f t="shared" si="254"/>
        <v>R.1.05.2¦Розеточная группа, пом. 05</v>
      </c>
      <c r="IP46" t="str" cm="1">
        <f t="array" ref="IP46">IF(IM46="","",_xlfn.LET(_xlpm.nd,_xlfn.TEXTSPLIT(IM46,"|"),IF(COLUMNS(_xlpm.nd)&gt;2,A46&amp;"¦"&amp;INDEX(_xlpm.nd,2)&amp;"¦"&amp;INDEX(_xlpm.nd,3),"")))</f>
        <v>ЩР-1¦XT17¦кабель ВВГнг(А)-LS (3х2,5) → Розеточная группа, пом. 05</v>
      </c>
      <c r="IQ46" t="str">
        <f t="shared" si="255"/>
        <v>R.1.05.2¦Розеточная группа, пом. 05</v>
      </c>
      <c r="IR46" t="str" cm="1">
        <f t="array" ref="IR46">IF(IM46="","",_xlfn.LET(_xlpm.nd,_xlfn.TEXTSPLIT(IM46,"|"),IF(COLUMNS(_xlpm.nd)&gt;3,A46&amp;"¦"&amp;INDEX(_xlpm.nd,3)&amp;"¦"&amp;INDEX(_xlpm.nd,4),"")))</f>
        <v/>
      </c>
      <c r="IS46" t="str">
        <f t="shared" si="256"/>
        <v/>
      </c>
      <c r="IT46" t="str" cm="1">
        <f t="array" ref="IT46">IF(IM46="","",_xlfn.LET(_xlpm.nd,_xlfn.TEXTSPLIT(IM46,"|"),IF(COLUMNS(_xlpm.nd)&gt;4,A46&amp;"¦"&amp;INDEX(_xlpm.nd,4)&amp;"¦"&amp;INDEX(_xlpm.nd,5),"")))</f>
        <v/>
      </c>
      <c r="IU46" t="str">
        <f t="shared" si="257"/>
        <v/>
      </c>
      <c r="IV46" t="str" cm="1">
        <f t="array" ref="IV46">IF(IM46="","",_xlfn.LET(_xlpm.nd,_xlfn.TEXTSPLIT(IM46,"|"),IF(COLUMNS(_xlpm.nd)&gt;5,A46&amp;"¦"&amp;INDEX(_xlpm.nd,5)&amp;"¦"&amp;INDEX(_xlpm.nd,6),"")))</f>
        <v/>
      </c>
      <c r="IW46" t="str">
        <f t="shared" si="258"/>
        <v/>
      </c>
      <c r="IX46" t="str" cm="1">
        <f t="array" ref="IX46">IF(IM46="","",_xlfn.LET(_xlpm.nd,_xlfn.TEXTSPLIT(IM46,"|"),IF(COLUMNS(_xlpm.nd)&gt;6,A46&amp;"¦"&amp;INDEX(_xlpm.nd,6)&amp;"¦"&amp;INDEX(_xlpm.nd,7),"")))</f>
        <v/>
      </c>
      <c r="IY46" t="str">
        <f t="shared" si="259"/>
        <v/>
      </c>
      <c r="IZ46" t="str">
        <f t="shared" si="260"/>
        <v/>
      </c>
      <c r="JA46" t="str">
        <f t="shared" si="261"/>
        <v>QF14 → XT17</v>
      </c>
      <c r="JB46">
        <f t="shared" si="262"/>
        <v>0</v>
      </c>
      <c r="JC46">
        <f t="shared" si="263"/>
        <v>0</v>
      </c>
      <c r="JD46" t="str">
        <f t="shared" si="264"/>
        <v/>
      </c>
      <c r="JE46" t="str">
        <f t="shared" si="265"/>
        <v/>
      </c>
      <c r="JF46" t="str">
        <f t="shared" si="266"/>
        <v/>
      </c>
      <c r="JG46" t="str">
        <f t="shared" si="267"/>
        <v/>
      </c>
      <c r="JH46" t="str">
        <f>IF(B46="","",IFERROR(_xlfn.XLOOKUP(B46,Коды_код,Коды_уго),IFERROR(_xlfn.XLOOKUP(BC46,Коды_код,Коды_уго),IFERROR(_xlfn.XLOOKUP(LEFT(BC46,2),Коды_код,Коды_уго),""))))</f>
        <v>Розетка</v>
      </c>
      <c r="JI46" t="str">
        <f>IF(B46="","",IF(OR(JH46="",JH46=0),"BOX",IFERROR(IF(VLOOKUP(JH46,УГО_блоки,3,FALSE)&amp;""&lt;&gt;"",VLOOKUP(JH46,УГО_блоки,3,FALSE),VLOOKUP(JH46,УГО_блоки,2,FALSE)),JH46)))</f>
        <v>SOCKET</v>
      </c>
      <c r="JJ46">
        <f t="shared" si="268"/>
        <v>1</v>
      </c>
      <c r="JK46" t="str">
        <f>IF(DQ46="","",IF(COUNTIF(DQ$3:DQ46,DQ46)=1,MAX(JK$2:JK45)+1,""))</f>
        <v/>
      </c>
      <c r="JL46" t="str">
        <f>IF(DE46="","",IF(COUNTIF(DE$3:DE46,DE46)+COUNTIF(DF$2:DF45,DE46)+COUNTIF(DG$2:DG45,DE46)=1,MAX(JL$2:JN45)+1,""))</f>
        <v/>
      </c>
      <c r="JM46" t="str">
        <f>IF(DF46="","",IF(COUNTIF(DE$3:DE46,DF46)+COUNTIF(DF$3:DF46,DF46)+COUNTIF(DG$2:DG45,DF46)=1,MAX(JL$2:JN45,JL46)+1,""))</f>
        <v/>
      </c>
      <c r="JN46" t="str">
        <f>IF(DG46="","",IF(COUNTIF(DE$3:DE46,DG46)+COUNTIF(DF$3:DF46,DG46)+COUNTIF(DG$3:DG46,DG46)=1,MAX(JL$2:JN45,JL46,JM46)+1,""))</f>
        <v/>
      </c>
      <c r="JO46" t="str">
        <f t="shared" si="269"/>
        <v>3х2,5</v>
      </c>
      <c r="JP46" t="str">
        <f>IF(JO46="","",IF(COUNTIF(JO$3:JO46,JO46)=1,MAX(JP$2:JP45)+1,""))</f>
        <v/>
      </c>
      <c r="JQ46" t="str">
        <f>IF(HG46="","",COUNTIF(HG$3:HG46,"?*"))</f>
        <v/>
      </c>
      <c r="JR46" t="str">
        <f>IF(OR(HG46="",HI46=""),"",IF(COUNTIFS(HG$3:HG46,"?*",HI$3:HI46,HI46)=1,MAX(JR$2:JR45)+1,""))</f>
        <v/>
      </c>
      <c r="JS46">
        <f t="shared" si="270"/>
        <v>0</v>
      </c>
      <c r="JT46">
        <f>IF(B46="","",COUNTIF(B$3:B46,"?*"))</f>
        <v>42</v>
      </c>
      <c r="JU46">
        <f>IF(HL46&lt;&gt;1,0,_xlfn.LET(_xlpm.k,MAX(IFERROR(--_xlfn.XLOOKUP(B46,Коды_код,Коды_3L),0),IFERROR(--_xlfn.XLOOKUP(BC46,Коды_код,Коды_3L),0),IFERROR(--_xlfn.XLOOKUP(LEFT(BC46,2),Коды_код,Коды_3L),0)),IF(_xlpm.k&gt;0,_xlpm.k,IF(IFERROR(--LEFT(SUBSTITUTE(JO46,"x","х"),FIND("х",SUBSTITUTE(JO46,"x","х"))-1),3)&gt;3,Каталог!$S$9,1))))</f>
        <v>1</v>
      </c>
      <c r="JV46">
        <f t="shared" si="271"/>
        <v>0</v>
      </c>
      <c r="JW46" t="str">
        <f t="shared" si="272"/>
        <v>авто</v>
      </c>
      <c r="JX46" t="str">
        <f t="shared" si="273"/>
        <v/>
      </c>
      <c r="JY46">
        <f t="shared" si="274"/>
        <v>0</v>
      </c>
      <c r="JZ46">
        <f t="shared" si="275"/>
        <v>1</v>
      </c>
    </row>
    <row r="47" spans="1:286" x14ac:dyDescent="0.3">
      <c r="A47" t="s">
        <v>947</v>
      </c>
      <c r="B47" t="s">
        <v>1228</v>
      </c>
      <c r="C47" t="str">
        <f>Линии[[#This Row],[_авто наименование]]</f>
        <v>Группа освещения, пом. 04</v>
      </c>
      <c r="E47">
        <v>0.2</v>
      </c>
      <c r="F47" t="s">
        <v>1226</v>
      </c>
      <c r="G47" t="str">
        <f>Линии[[#This Row],[_авто автомат]]</f>
        <v>1P С10А</v>
      </c>
      <c r="H47" t="str">
        <f>Линии[[#This Row],[_авто управление]]</f>
        <v/>
      </c>
      <c r="I47" t="str">
        <f>Линии[[#This Row],[_авто аппараты]]</f>
        <v/>
      </c>
      <c r="J47">
        <f>Линии[[#This Row],[_авто сечение]]</f>
        <v>1.5</v>
      </c>
      <c r="K47">
        <v>10</v>
      </c>
      <c r="L47" t="str">
        <f>Линии[[#This Row],[_авто фаза]]</f>
        <v>L1</v>
      </c>
      <c r="M47" t="str">
        <f>Линии[[#This Row],[_авто клемма]]</f>
        <v>XT18</v>
      </c>
      <c r="N47" t="str">
        <f t="shared" si="138"/>
        <v/>
      </c>
      <c r="O47" s="6" cm="1">
        <f t="array" ref="O47">IF(B47="","",IF(BH47&lt;&gt;"",IFERROR(_xlfn.XLOOKUP(BH47,Щиты[Щит],Щиты[Iр, А]),""),IF(BP47=1,IF(OR(N(_xlfn.XLOOKUP(A47,Щиты[Щит],Щиты[Вводов],1))&lt;=1,LOWER(TRIM(_xlfn.XLOOKUP(A47,Щиты[Щит],Щиты[АВР],"")&amp;""))="да"),IFERROR(_xlfn.XLOOKUP(A47,Щиты[Щит],Щиты[Iр, А]),""),IFERROR(N(BS47)*_xlfn.XLOOKUP(A47,Щиты[Щит],Щиты[Кс итог])/(SQRT(3)*Uн_лин*_xlfn.XLOOKUP(A47,Щиты[Щит],Щиты[cos φ])),"")),IF(BV47=1,IFERROR(BS47*1000/BU47,""),IFERROR(_xlfn.IFS(BX47=1,BS47/((Uн_лин/SQRT(3))*CE47),BX47=3,BS47/(SQRT(3)*Uн_лин*CE47)),"")))))</f>
        <v>0.911605688194146</v>
      </c>
      <c r="P47" s="7">
        <f>IF(B47="","",IFERROR(IF(VLOOKUP(BC47,Потребители_обозначение,4,FALSE)=1,VLOOKUP(BC47,Потребители_обозначение,3,FALSE)*(MAX(1,N(D47))*2-1)+EI47+VLOOKUP(BE47,Этаж_обозначение,3,FALSE)+VLOOKUP(BE47,Этаж_обозначение,4,FALSE),VLOOKUP(BC47,Потребители_обозначение,3,FALSE)*(MAX(1,N(D47))*2-1)+EI47),EI47))</f>
        <v>11</v>
      </c>
      <c r="Q47" s="6">
        <f t="shared" si="139"/>
        <v>1.1860288498727978</v>
      </c>
      <c r="R47" t="str">
        <f t="shared" si="140"/>
        <v>ВВГнг(А)-LS (3х1,5)</v>
      </c>
      <c r="S47" t="str">
        <f>IF(BM47="","",IF(BN47="вводной узел","узел ","")&amp;"л."&amp;(INT((BM47-1)/Столбцов_на_лист)+1)&amp;" / "&amp;(MOD(BM47-1,Столбцов_на_лист)+1))</f>
        <v>л.2 / 7</v>
      </c>
      <c r="T47" s="119">
        <f t="shared" si="141"/>
        <v>0.5</v>
      </c>
      <c r="U47" s="7" t="str">
        <f>IF(OR(CG47=0,N(BV47)+N(IB47)=0),"",ROUNDUP(Запас_БП*(N(HY47)+N(HZ47)),0))</f>
        <v/>
      </c>
      <c r="V47" s="119" t="str">
        <f t="shared" si="142"/>
        <v/>
      </c>
      <c r="W47" s="7">
        <f>IFERROR(IF(OR(B47="",BP47=1,BV47=1,NOT(ISNUMBER(EN47)),N(DT47)=0),"",MAX(0,ROUNDDOWN((c_min*(Uн_лин*1000/SQRT(3))/(HT47*N(DT47))-_xlfn.XLOOKUP(A47,Щиты[Щит],Щиты[Zпетли на шинах, Ом]))*EN47/(2*ρкз_Cu),0))),"")</f>
        <v>54</v>
      </c>
      <c r="Y47" t="str">
        <f>Линии[[#This Row],[_авто утечка]]</f>
        <v/>
      </c>
      <c r="Z47">
        <v>1</v>
      </c>
      <c r="AA47">
        <v>230</v>
      </c>
      <c r="AB47" t="str">
        <f>Линии[[#This Row],[_авто группа Кс]]</f>
        <v>Быт</v>
      </c>
      <c r="AK47" t="str">
        <f>Линии[[#This Row],[_авто модуль]]</f>
        <v/>
      </c>
      <c r="AN47" t="s">
        <v>11</v>
      </c>
      <c r="AO47">
        <v>3</v>
      </c>
      <c r="AT47">
        <v>1</v>
      </c>
      <c r="BA47" cm="1">
        <f t="array" ref="BA47">ROW()-ROW(Линии[#Headers])</f>
        <v>45</v>
      </c>
      <c r="BC47" s="6" t="str">
        <f t="shared" si="143"/>
        <v>L</v>
      </c>
      <c r="BD47" t="str">
        <f t="shared" si="144"/>
        <v>1.04.1</v>
      </c>
      <c r="BE47" t="str">
        <f t="shared" si="145"/>
        <v>1</v>
      </c>
      <c r="BF47" t="str">
        <f t="shared" si="146"/>
        <v>04.1</v>
      </c>
      <c r="BG47" t="str">
        <f t="shared" si="147"/>
        <v>04</v>
      </c>
      <c r="BH47" t="str">
        <f>IF(X47&lt;&gt;"",X47,IF(AND(B47&lt;&gt;"",B47&lt;&gt;A47,ISNUMBER(_xlfn.XMATCH(B47,Щиты[Щит]))),B47,""))</f>
        <v/>
      </c>
      <c r="BI47" t="str" cm="1">
        <f t="array" ref="BI47">IF(B47="","",IF(BH47&lt;&gt;"","Щит "&amp;BH47,_xlfn.LET(_xlpm.nm,IFERROR(_xlfn.XLOOKUP(BC47,Коды_код,Коды_имя)&amp;"",""),_xlpm.md,IFERROR(N(_xlfn.XLOOKUP(BC47,Коды_код,Коды_режим)),1),_xlpm.ex,IF(Имя_режим="по экспликации",IFERROR(_xlfn.XLOOKUP(BE47&amp;"|"&amp;BG47,Экспликация[Этаж]&amp;"|"&amp;Экспликация[Помещение],Экспликация[Название])&amp;"",""),""),_xlpm.rm,IF(BG47="","",IF(_xlpm.ex&lt;&gt;"",". "&amp;_xlpm.ex&amp;IF(Имя_пом="нет"," ("&amp;BG47&amp;")"," (пом. "&amp;BG47&amp;")"),IF(Имя_пом="нет"," ",", пом. ")&amp;BG47)),IF(_xlpm.nm="","",IF(_xlpm.md=2,_xlpm.nm&amp;" шлейф "&amp;BE47,_xlpm.nm&amp;_xlpm.rm)))))</f>
        <v>Группа освещения, пом. 04</v>
      </c>
      <c r="BJ47" t="str">
        <f t="shared" si="148"/>
        <v>Группа освещения, пом. 04</v>
      </c>
      <c r="BK47">
        <f>IFERROR(_xlfn.XMATCH(A47,Щиты[Щит]),0)</f>
        <v>4</v>
      </c>
      <c r="BL47">
        <f>_xlfn.LET(_xlpm.k,IFERROR(_xlfn.XLOOKUP(A47,Щиты[Щит],Щиты[Мест под вводной узел]),""),IF(_xlpm.k="",Столбцов_на_лист,N(_xlpm.k)))</f>
        <v>3</v>
      </c>
      <c r="BM47">
        <f t="shared" si="149"/>
        <v>24</v>
      </c>
      <c r="BN47" t="str">
        <f t="shared" si="150"/>
        <v>линии</v>
      </c>
      <c r="BO47" s="6">
        <f>IFERROR(N(_xlfn.XLOOKUP(BC47,Коды_код,Коды_квт)),0)</f>
        <v>0</v>
      </c>
      <c r="BP47">
        <f t="shared" si="151"/>
        <v>0</v>
      </c>
      <c r="BQ47" t="str">
        <f>IF(B47="","",IF(BH47&lt;&gt;"",IFERROR(_xlfn.XLOOKUP(BH47,Щиты[Щит],Щиты[Руст, кВт]),0),IF(BP47=1,IF(OR(N(_xlfn.XLOOKUP(A47,Щиты[Щит],Щиты[Вводов],1))&lt;=1,LOWER(TRIM(_xlfn.XLOOKUP(A47,Щиты[Щит],Щиты[АВР],"")&amp;""))="да"),IFERROR(_xlfn.XLOOKUP(A47,Щиты[Щит],Щиты[Руст, кВт]),0),SUMIFS(Линии[_Р для вводов],Линии[Щит],A47,Линии[Источник для режимов],GF47)),IF(BO47&gt;0,ROUND(BO47*MAX(1,N(D47)),3),""))))</f>
        <v/>
      </c>
      <c r="BR47">
        <f t="shared" si="152"/>
        <v>0.2</v>
      </c>
      <c r="BS47" s="6">
        <f>IF(B47="","",IF(BH47&lt;&gt;"",IFERROR(_xlfn.XLOOKUP(BH47,Щиты[Щит],Щиты[Руст, кВт]),0),N(BR47)))</f>
        <v>0.2</v>
      </c>
      <c r="BT47">
        <f>IF(B47="","",IFERROR(IF(VLOOKUP(BC47,Потребители_обозначение,8,FALSE)=0,"",VLOOKUP(BC47,Потребители_обозначение,8,FALSE)),""))</f>
        <v>230</v>
      </c>
      <c r="BU47">
        <f t="shared" si="153"/>
        <v>230</v>
      </c>
      <c r="BV47">
        <f t="shared" si="154"/>
        <v>0</v>
      </c>
      <c r="BW47">
        <f>IF(B47="","",IF(BH47&lt;&gt;"",3,IFERROR(IF(N(VLOOKUP(BC47,Потребители_обозначение,9,FALSE))=0,1,VLOOKUP(BC47,Потребители_обозначение,9,FALSE)),1)))</f>
        <v>1</v>
      </c>
      <c r="BX47">
        <f t="shared" si="155"/>
        <v>1</v>
      </c>
      <c r="BY47" t="str">
        <f>IF(B47="","",_xlfn.LET(_xlpm.bc,IFERROR(IF(VLOOKUP(BC47,Потребители_обозначение,6,FALSE)=0,"",VLOOKUP(BC47,Потребители_обозначение,6,FALSE)&amp;""),""),IF(AND(GA47="да",OR(_xlpm.bc="",_xlpm.bc="мс")),Марка_пож,IF(AND(_xlpm.bc="",BH47&lt;&gt;""),"мс",_xlpm.bc))))</f>
        <v>мс</v>
      </c>
      <c r="BZ47" t="str">
        <f t="shared" si="156"/>
        <v>мс</v>
      </c>
      <c r="CA47">
        <f>IF(B47="","",_xlfn.LET(_xlpm.cc,IFERROR(N(VLOOKUP(BC47,Потребители_обозначение,7,FALSE)),0),IF(_xlpm.cc&gt;0,_xlpm.cc,IF(BZ47="","",IF(BV47=1,2,IF(N(BX47)=3,5,3))))))</f>
        <v>3</v>
      </c>
      <c r="CB47">
        <f t="shared" si="157"/>
        <v>3</v>
      </c>
      <c r="CC47">
        <f>IFERROR(N(VLOOKUP(BC47,Потребители_обозначение,10,FALSE)),0)</f>
        <v>1.5</v>
      </c>
      <c r="CD47">
        <f>IFERROR(VLOOKUP(BC47,Потребители_обозначение,5,FALSE),0)</f>
        <v>1</v>
      </c>
      <c r="CE47" s="6" cm="1">
        <f t="array" ref="CE47">IF(B47="","",IF(BH47&lt;&gt;"",IFERROR(_xlfn.XLOOKUP(BH47,Щиты[Щит],Щиты[cos φ]),0.95),IF(BP47=1,IFERROR(_xlfn.XLOOKUP(A47,Щиты[Щит],Щиты[cos φ]),0.95),IF(ISNUMBER(AD47),AD47,IFERROR(IF(CD47=2,_xlfn.IFS(BX47=3,VLOOKUP(BS47,Справочная_двигатели,8,FALSE),BX47=1,VLOOKUP(BS47,Справочная_двигатели,10,TRUE)),IF(AND(Методика="нормы 2026",FG47="Сил"),0.8,0.95)),0.95)))))</f>
        <v>0.95</v>
      </c>
      <c r="CF47">
        <f t="shared" si="158"/>
        <v>0</v>
      </c>
      <c r="CG47">
        <f t="shared" si="159"/>
        <v>1</v>
      </c>
      <c r="CH47">
        <f t="shared" si="160"/>
        <v>1</v>
      </c>
      <c r="CI47">
        <f>IF(B47="","",IF(BV47=1,IFERROR(BS47/((Uн_лин/SQRT(3))*MAX(0.5,N(CE47))),0),N(O47)))</f>
        <v>0.911605688194146</v>
      </c>
      <c r="CJ47">
        <f t="shared" si="161"/>
        <v>0</v>
      </c>
      <c r="CK47">
        <f t="shared" si="162"/>
        <v>0</v>
      </c>
      <c r="CL47">
        <f t="shared" si="163"/>
        <v>0</v>
      </c>
      <c r="CM47">
        <f t="shared" si="164"/>
        <v>0</v>
      </c>
      <c r="CN47">
        <f t="shared" si="165"/>
        <v>0</v>
      </c>
      <c r="CO47">
        <f>IF(BC47="",0,_xlfn.LET(_xlpm.v,IFERROR(_xlfn.XLOOKUP(B47,Коды_код,Коды_мА),IFERROR(_xlfn.XLOOKUP(BC47,Коды_код,Коды_мА),IFERROR(_xlfn.XLOOKUP(LEFT(BC47,2),Коды_код,Коды_мА),""))),IF(_xlpm.v="да",30,IF(ISNUMBER(_xlpm.v),_xlpm.v,0))))</f>
        <v>0</v>
      </c>
      <c r="CP47" t="str">
        <f t="shared" si="166"/>
        <v/>
      </c>
      <c r="CQ47" t="str">
        <f>_xlfn.LET(_xlpm.k,IFERROR(_xlfn.XLOOKUP(BC47,Коды_код,Коды_утечка)&amp;"",""),IF(_xlpm.k="","дифавтомат",_xlpm.k))</f>
        <v>дифавтомат</v>
      </c>
      <c r="CR47" t="str" cm="1">
        <f t="array" ref="CR47">IF(CG47=0,"",_xlfn.LET(_xlpm.sg,TRIM(_xlfn.TEXTSPLIT(DD47&amp;"",";")),_xlpm.f_,_xlfn._xlws.FILTER(_xlpm.sg,LEFT(_xlpm.sg,3)="УЗО",""),IFERROR(INDEX(_xlpm.f_,1)&amp;"","")))</f>
        <v/>
      </c>
      <c r="CS47">
        <f t="shared" si="167"/>
        <v>42</v>
      </c>
      <c r="CT47" s="6" t="str" cm="1">
        <f t="array" ref="CT47">IF(CR47="","",_xlfn.LET(_xlpm.tk,_xlfn.TEXTSPLIT(UPPER(CR47)," ",,TRUE),_xlpm.a_,_xlfn._xlws.FILTER(_xlpm.tk,ISNUMBER(--LEFT(_xlpm.tk,1))*((ISNUMBER(SEARCH("А",_xlpm.tk))+ISNUMBER(SEARCH("A",_xlpm.tk)))&gt;0)*NOT(ISNUMBER(SEARCH("МА",_xlpm.tk)))*NOT(ISNUMBER(SEARCH("MA",_xlpm.tk))),""),IFERROR(--SUBSTITUTE(SUBSTITUTE(INDEX(_xlpm.a_,1),"А",""),"A",""),"")))</f>
        <v/>
      </c>
      <c r="CU47" t="str" cm="1">
        <f t="array" ref="CU47">IF(CR47="","",_xlfn.LET(_xlpm.tk,_xlfn.TEXTSPLIT(UPPER(CR47)," ",,TRUE),_xlpm.a_,_xlfn._xlws.FILTER(_xlpm.tk,ISNUMBER(--LEFT(_xlpm.tk,1))*((ISNUMBER(SEARCH("МА",_xlpm.tk))+ISNUMBER(SEARCH("MA",_xlpm.tk)))&gt;0),""),IFERROR(--SUBSTITUTE(SUBSTITUTE(INDEX(_xlpm.a_,1),"МА",""),"MA",""),30)))</f>
        <v/>
      </c>
      <c r="CV47">
        <f>IF(CS47="","",IFERROR(_xlfn.XLOOKUP(CS47,Линии[_n],Линии[_УЗО, мА]),30))</f>
        <v>30</v>
      </c>
      <c r="CW47">
        <f>IF(CS47="",0,IF(ISNUMBER(SEARCH("4P",IFERROR(_xlfn.XLOOKUP(CS47,Линии[_n],Линии[_УЗО строки])&amp;"",""))),0,1))</f>
        <v>1</v>
      </c>
      <c r="CX47" t="str">
        <f>IF(AND(CS47&lt;&gt;"",CS47=BA47),SUMIFS(Линии[_ток на 230 В],Линии[_блок УЗО],BA47,Линии[Щит],A47),"")</f>
        <v/>
      </c>
      <c r="CY47" t="str">
        <f>IF(AND(CS47&lt;&gt;"",CS47=BA47),SUMIFS(Линии[_ток утечки линии, мА],Линии[_блок УЗО],BA47,Линии[Щит],A47),"")</f>
        <v/>
      </c>
      <c r="CZ47">
        <f t="shared" si="168"/>
        <v>0</v>
      </c>
      <c r="DA47">
        <f t="shared" si="169"/>
        <v>0</v>
      </c>
      <c r="DB47">
        <f>IF(B47="",0,IFERROR(--_xlfn.XLOOKUP(B47,Коды_код,Коды_минавт),IFERROR(--_xlfn.XLOOKUP(BC47,Коды_код,Коды_минавт),IFERROR(--_xlfn.XLOOKUP(LEFT(BC47,2),Коды_код,Коды_минавт),0))))</f>
        <v>10</v>
      </c>
      <c r="DC47" t="str">
        <f>IF(B47="","",IFERROR(_xlfn.XLOOKUP(BC47,Коды_код,Коды_апп)&amp;"",""))</f>
        <v/>
      </c>
      <c r="DD47" t="str">
        <f t="shared" si="170"/>
        <v/>
      </c>
      <c r="DE47" t="str" cm="1">
        <f t="array" ref="DE47">IF(TRIM(DD47&amp;"")="","",IFERROR(TRIM(INDEX(_xlfn.TEXTSPLIT(DD47&amp;";;;",";"),1)),""))</f>
        <v/>
      </c>
      <c r="DF47" t="str" cm="1">
        <f t="array" ref="DF47">IF(TRIM(DD47&amp;"")="","",IFERROR(TRIM(INDEX(_xlfn.TEXTSPLIT(DD47&amp;";;;",";"),2)),""))</f>
        <v/>
      </c>
      <c r="DG47" t="str" cm="1">
        <f t="array" ref="DG47">IF(TRIM(DD47&amp;"")="","",IFERROR(TRIM(INDEX(_xlfn.TEXTSPLIT(DD47&amp;";;;",";"),3)),""))</f>
        <v/>
      </c>
      <c r="DH47">
        <f t="shared" si="171"/>
        <v>0</v>
      </c>
      <c r="DI47" t="str">
        <f>IF(B47="","",_xlfn.LET(_xlpm.t,LOWER(AZ47&amp;""),IF(ISNUMBER(SEARCH("dim",_xlpm.t)),"DIM",IF(ISNUMBER(SEARCH("dali",_xlpm.t)),"DALI",IF(OR(ISNUMBER(SEARCH("relay",_xlpm.t)),ISNUMBER(SEARCH("реле",_xlpm.t))),"Relay",IF(ISNUMBER(SEARCH("кнопк",_xlpm.t)),"",IFERROR(_xlfn.XLOOKUP(BC47,Коды_код,Коды_упр)&amp;"","")))))))</f>
        <v/>
      </c>
      <c r="DJ47" t="str">
        <f t="shared" si="172"/>
        <v/>
      </c>
      <c r="DK47">
        <f>IF(B47="","",_xlfn.LET(_xlpm.ig,IF(N(CX47)&gt;0,N(CX47),N(CI47)+IF(AJ47="вручную",0,N(CJ47))),_xlpm.n0,IFERROR(VLOOKUP(_xlpm.ig,Автомат_номиналы,2,TRUE),0),_xlpm.mn,MAX(DB47,IF(AJ47="вручную",0,N(CM47))),MAX(_xlpm.n0,_xlpm.mn,IF(DH47=1,Мин_автомат_БП,0))))</f>
        <v>10</v>
      </c>
      <c r="DL47">
        <f t="shared" si="173"/>
        <v>1</v>
      </c>
      <c r="DM47" t="str">
        <f t="shared" si="174"/>
        <v>1P</v>
      </c>
      <c r="DN47" t="str">
        <f>_xlfn.LET(_xlpm.cc,UPPER(TRIM(IFERROR(_xlfn.XLOOKUP(BC47,Коды_код,Коды_хар)&amp;"",""))),IF(OR(_xlpm.cc="B",_xlpm.cc="В"),"B",IF(_xlpm.cc="D","D","С")))</f>
        <v>С</v>
      </c>
      <c r="DO47" t="str">
        <f t="shared" si="175"/>
        <v>1P С10А</v>
      </c>
      <c r="DP47" t="str">
        <f t="shared" si="176"/>
        <v>1P С10А</v>
      </c>
      <c r="DQ47" t="str">
        <f t="shared" si="177"/>
        <v>1P С10А</v>
      </c>
      <c r="DR47" cm="1">
        <f t="array" ref="DR47">IF(DQ47="","",_xlfn.LET(_xlpm.t,SUBSTITUTE(SUBSTITUTE(SUBSTITUTE(UPPER(DQ47),"С","C"),"А","A"),"В","B"),_xlpm.tk,_xlfn.TEXTSPLIT(_xlpm.t," "),_xlpm.f,_xlfn._xlws.FILTER(_xlpm.tk,ISNUMBER(--MID(_xlpm.tk,2,1))*ISNUMBER(SEARCH(LEFT(_xlpm.tk,1)&amp;"#","B#C#D#"))*(LEN(_xlpm.tk)&gt;1),""),_xlpm.x,INDEX(_xlpm.f,1),IFERROR(--SUBSTITUTE(MID(_xlpm.x,2,9),"A",""),IFERROR(--SUBSTITUTE(INDEX(_xlfn._xlws.FILTER(_xlpm.tk,ISNUMBER(--SUBSTITUTE(_xlpm.tk,"A","")),""),1),"A",""),""))))</f>
        <v>10</v>
      </c>
      <c r="DS47" t="str">
        <f t="shared" si="178"/>
        <v>ok</v>
      </c>
      <c r="DT47">
        <f t="shared" si="179"/>
        <v>10</v>
      </c>
      <c r="DU47" t="str">
        <f t="shared" si="180"/>
        <v>1P С10А</v>
      </c>
      <c r="DV47">
        <f t="shared" si="181"/>
        <v>0</v>
      </c>
      <c r="DW47">
        <f t="shared" si="182"/>
        <v>1</v>
      </c>
      <c r="DX47">
        <f t="shared" si="183"/>
        <v>0</v>
      </c>
      <c r="DY47">
        <f t="shared" si="184"/>
        <v>0.911605688194146</v>
      </c>
      <c r="DZ47">
        <f t="shared" si="185"/>
        <v>1</v>
      </c>
      <c r="EA47">
        <f>IF(ISNUMBER(AP47),AP47,К_прокл)</f>
        <v>1</v>
      </c>
      <c r="EB47">
        <f t="shared" si="186"/>
        <v>2</v>
      </c>
      <c r="EC47">
        <f>IFERROR(N(VLOOKUP(BZ47,Кабель_обозначение,3,FALSE)),1)</f>
        <v>1</v>
      </c>
      <c r="ED47">
        <f>IFERROR(N(_xlfn.XLOOKUP(A47,Щиты[Щит],Щиты[ΔU до шин, %])),0)</f>
        <v>1.0560288498727977</v>
      </c>
      <c r="EE47">
        <f>IFERROR(_xlfn.XLOOKUP(A47,Щиты[Щит],Щиты[Zпетли на шинах, Ом]),"")</f>
        <v>0.28247829354840204</v>
      </c>
      <c r="EF47">
        <f>IFERROR(N(_xlfn.XLOOKUP(A47,Щиты[Щит],Щиты[ΔU до шин (подбор), %])),0)</f>
        <v>1.0560288498727977</v>
      </c>
      <c r="EG47">
        <f>IFERROR(_xlfn.XLOOKUP(A47,Щиты[Щит],Щиты[Zпетли на шинах (подбор), Ом]),"")</f>
        <v>0.28247829354840204</v>
      </c>
      <c r="EH47" t="str">
        <f t="shared" si="187"/>
        <v/>
      </c>
      <c r="EI47">
        <f t="shared" si="188"/>
        <v>10</v>
      </c>
      <c r="EJ47">
        <f t="shared" si="189"/>
        <v>2</v>
      </c>
      <c r="EK47">
        <f t="shared" si="190"/>
        <v>0.31</v>
      </c>
      <c r="EL47" s="6">
        <f>IF(B47="","",IF(BV47=1,dU_LED,IF(IFERROR(_xlfn.XLOOKUP(BC47,Коды_код,Коды_уго),"")="Светильник",3,4)+IF(Методика="нормы 2026",MIN(0.5,MAX(0,N(P47)-100)*0.005),0)))</f>
        <v>3</v>
      </c>
      <c r="EM47" cm="1">
        <f t="array" ref="EM47">IF(OR(B47="",BZ47="",EC47&lt;&gt;1),"",_xlfn.LET(_xlpm.sz,Iдоп_S,_xlpm.t_,CHOOSE(EB47,Iдоп_1ж,Iдоп_2ж,Iдоп_3ж)*DZ47*EA47,_xlpm.dcx,BV47=1,_xlpm.inn,IF(_xlpm.dcx,N(O47),N(DT47)),_xlpm.smin,MAX(1.5,CC47),_xlpm.L_,N(P47)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47)/N(BU47)*100,999),IFERROR(N(EJ47)*(_xlpm.rho*_xlpm.L_/_xlpm.sz*N(CE47)+_xlpm.xx*_xlpm.L_*N(EK47)/1000)*N(O47)/((Uн_лин/SQRT(3))*1000)*100,999)),_xlpm.kz,IF(OR(_xlpm.dcx,DW47=1,NOT(ISNUMBER(EG47)),_xlpm.L_=0,_xlpm.inn=0),1,IFERROR(--(c_min*(Uн_лин*1000/SQRT(3))/(EG47+2*ρкз_Cu*_xlpm.L_/_xlpm.sz)&gt;=HT47*_xlpm.inn),0)),_xlpm.ok,IFERROR((_xlpm.sz&gt;=_xlpm.smin)*(_xlpm.t_&gt;=_xlpm.inn)*IF(_xlpm.L_&gt;0,(_xlpm.du_+IF(_xlpm.dcx,0,EF47)&lt;=EL47+0.00001),1)*_xlpm.kz,0),_xlpm.r_,_xlfn._xlws.FILTER(_xlpm.sz,_xlpm.ok,"не подобрано"),INDEX(_xlpm.r_,1)))</f>
        <v>1.5</v>
      </c>
      <c r="EN47">
        <f t="shared" si="191"/>
        <v>1.5</v>
      </c>
      <c r="EO47" cm="1">
        <f t="array" ref="EO47">IF(OR(B47="",BZ47="",EC47&lt;&gt;1),"",_xlfn.LET(_xlpm.sz,Iдоп_S,_xlpm.t_,CHOOSE(EB47,Iдоп_1ж,Iдоп_2ж,Iдоп_3ж)*DZ47*EA47,_xlpm.ok,IFERROR((_xlpm.sz&gt;=MAX(1.5,CC47))*(_xlpm.t_&gt;=N(DT47)),0),_xlpm.r_,_xlfn._xlws.FILTER(_xlpm.sz,_xlpm.ok,""),INDEX(_xlpm.r_,1)))</f>
        <v>1.5</v>
      </c>
      <c r="EP47" s="6" cm="1">
        <f t="array" ref="EP47">IFERROR(ROUNDUP(N(EJ47)*(_xlfn.XLOOKUP(EO47,INDEX(Кабель_сопротивление,0,1),INDEX(Кабель_сопротивление,0,3))*N(P47)/EO47*N(CE47)+_xlfn.XLOOKUP(EO47,INDEX(Кабель_сопротивление,0,1),INDEX(Кабель_сопротивление,0,2))*N(P47)*N(EK47)/1000)*N(O47)/((Uн_лин/SQRT(3))*1000)*100,2),"")</f>
        <v>0.13</v>
      </c>
      <c r="EQ47">
        <f>IFERROR(2*ρкз_Cu*N(P47)/EO47,"")</f>
        <v>0.38573333333333332</v>
      </c>
      <c r="ER47">
        <f>IFERROR(VLOOKUP(EN47,Кабель_сопротивление,3,FALSE),"")</f>
        <v>2.2499999999999999E-2</v>
      </c>
      <c r="ES47">
        <f>IFERROR(VLOOKUP(EN47,Кабель_сопротивление,2,FALSE),"")</f>
        <v>0.11</v>
      </c>
      <c r="ET47">
        <f t="shared" si="192"/>
        <v>7</v>
      </c>
      <c r="EU47">
        <f t="shared" si="193"/>
        <v>0</v>
      </c>
      <c r="EV47">
        <f t="shared" si="194"/>
        <v>0.28647226983614799</v>
      </c>
      <c r="EW47" s="6">
        <f>IFERROR(ROUNDUP(EV47/IF(BV47=1,BU47,(Uн_лин/SQRT(3))*1000)*100,2),"")</f>
        <v>0.13</v>
      </c>
      <c r="EX47" t="str">
        <f>IFERROR(VLOOKUP(BZ47,Кабель_обозначение,2,FALSE),"")</f>
        <v>ВВГнг(А)-LS</v>
      </c>
      <c r="EY47" t="str">
        <f t="shared" si="195"/>
        <v>ВВГнг(А)-LS (3х1,5)</v>
      </c>
      <c r="EZ47" t="str">
        <f t="shared" si="196"/>
        <v>ВВГнг(А)-LS (3х1,5)
L=11-0,13%</v>
      </c>
      <c r="FA47">
        <f>IFERROR(2*ρкз_Cu*P47/EN47,"")</f>
        <v>0.38573333333333332</v>
      </c>
      <c r="FB47">
        <f t="shared" si="197"/>
        <v>0.12833333333333333</v>
      </c>
      <c r="FC47" s="6">
        <f>IFERROR(IF(OR(B47="",BV47=1,NOT(ISNUMBER(EN47)),N(P47)=0),"",_xlfn.XLOOKUP(A47,Щиты[Щит],Щиты[Zпетли на шинах, Ом])+FA47),"")</f>
        <v>0.6682116268817353</v>
      </c>
      <c r="FD47" s="6">
        <f>IF(ISNUMBER(FC47),c_min*(Uн_лин*1000/SQRT(3))/FC47,"")</f>
        <v>328.32877110485759</v>
      </c>
      <c r="FE47" s="6">
        <f>IFERROR(IF(OR(B47="",NOT(ISNUMBER(EN47))),"",1.05*(Uн_лин*1000/SQRT(3))/(_xlfn.XLOOKUP(A47,Щиты[Щит],Щиты[Zmax на шинах, Ом])+FB47)/1000),"")</f>
        <v>1.1360538160418157</v>
      </c>
      <c r="FF47" s="6" t="str">
        <f>IF(B47="","",IF(ISNUMBER(AC47),"Сил",IF(IFERROR(_xlfn.XLOOKUP(BC47,Коды_код,Коды_группа)&amp;"","")="","Быт",_xlfn.XLOOKUP(BC47,Коды_код,Коды_группа)&amp;"")))</f>
        <v>Быт</v>
      </c>
      <c r="FG47" s="6" t="str">
        <f t="shared" si="198"/>
        <v>Быт</v>
      </c>
      <c r="FH47" s="6">
        <f>IF(FG47="Щит","щит",IF(FG47="","",IF(FG47="Быт",IFERROR(_xlfn.XLOOKUP(A47,Щиты[Щит],Щиты[Кс быт]),1),IF(FG47="Сил",IF(ISNUMBER(AC47),AC47,IF(Методика="нормы 2026",IFERROR(_xlfn.XLOOKUP(A47,Щиты[Щит],Щиты[Кс силовых (табл. 7.5)]),1),1)),IF(OR(FG47="Пост",FG47="Отоп"),1,IF(FG47="ВНГ",0.7,0))))))</f>
        <v>0.8</v>
      </c>
      <c r="FI47">
        <f>IF(FG47="","",IF(AND(BP47=1,TRIM(AE47&amp;"")=""),IF(COUNTIFS(Линии[Щит],A47,Линии[Секция (1/2/3)],"&gt;=2")&gt;0,MIN(3,MAX(1,IFERROR(--BD47,1))),1),IFERROR(MIN(3,MAX(1,INT(--AE47))),1)))</f>
        <v>1</v>
      </c>
      <c r="FJ47">
        <f t="shared" si="199"/>
        <v>0.2</v>
      </c>
      <c r="FK47">
        <f t="shared" si="200"/>
        <v>0.2</v>
      </c>
      <c r="FL47">
        <f t="shared" si="201"/>
        <v>0</v>
      </c>
      <c r="FM47">
        <f t="shared" si="202"/>
        <v>0</v>
      </c>
      <c r="FN47">
        <f t="shared" si="203"/>
        <v>0</v>
      </c>
      <c r="FO47">
        <f t="shared" si="204"/>
        <v>0</v>
      </c>
      <c r="FP47">
        <f t="shared" si="205"/>
        <v>0.2</v>
      </c>
      <c r="FQ47">
        <f t="shared" si="206"/>
        <v>0.2</v>
      </c>
      <c r="FR47">
        <f t="shared" si="207"/>
        <v>0.19</v>
      </c>
      <c r="FS47">
        <f>IF(CG47=1,IF(AND(CH47=1,CW47=1),0,IF(AND(CS47&lt;&gt;"",CS47=BA47,CW47=1),SUMIFS(Линии[_Р линии, кВт],Линии[_блок УЗО],BA47,Линии[Щит],A47),N(BS47)+IF(AJ47="вручную",0,N(CK47)))),0)</f>
        <v>0</v>
      </c>
      <c r="FT47" t="str">
        <f t="shared" si="208"/>
        <v/>
      </c>
      <c r="FU47" t="str">
        <f>IF(B47="","",IF(CG47=0,IF(BA47=1,"",FW46),IF(AND(CH47=1,CW47=1,CS47&lt;&gt;""),IFERROR(_xlfn.XLOOKUP(CS47,Линии[_n],Линии[_фаза итог]),"L1"),IF(OR(N(DL47)&gt;=3,N(BX47)&gt;=3),"L1,L2,L3",IFERROR(_xlfn.TEXTBEFORE(_xlfn.TEXTAFTER(_xlfn.XLOOKUP(A47,Щиты[Щит],Щиты[_фазы авто]),";"&amp;BA47&amp;":"),";"),"L1")))))</f>
        <v>L1</v>
      </c>
      <c r="FV47" t="str">
        <f t="shared" si="209"/>
        <v>L1</v>
      </c>
      <c r="FW47" t="str">
        <f t="shared" si="210"/>
        <v>L1</v>
      </c>
      <c r="FX47" cm="1">
        <f t="array" ref="FX47">IFERROR(IF(CD47=2,_xlfn.IFS(BX47=3,VLOOKUP(BS47,Справочная_двигатели,3,FALSE),BX47=1,VLOOKUP(BS47,Справочная_двигатели,5,TRUE)),0),0)</f>
        <v>0</v>
      </c>
      <c r="FY47">
        <f>IFERROR(IF(CD47=3,VLOOKUP(BS47,Справочная_ЛЭД,2,TRUE),0),0)</f>
        <v>0</v>
      </c>
      <c r="FZ47" s="6">
        <f t="shared" si="211"/>
        <v>0</v>
      </c>
      <c r="GA47" t="str">
        <f>IF(B47="","",IF(TRIM(AH47&amp;"")&lt;&gt;"",IF(LOWER(TRIM(AH47&amp;""))="да","да","нет"),IF(IFERROR(_xlfn.XLOOKUP(BC47,Коды_код,Коды_пожарная),"")="да","да","нет")))</f>
        <v>нет</v>
      </c>
      <c r="GB47" t="str">
        <f t="shared" si="212"/>
        <v/>
      </c>
      <c r="GC47" t="str">
        <f t="shared" si="213"/>
        <v>основная</v>
      </c>
      <c r="GD47">
        <f>IF(AND(BP47=1,TRIM(AE47&amp;"")=""),IF(COUNTIFS(Линии[Щит],A47,Линии[Секция (1/2/3)],"&gt;=2")&gt;0,MIN(3,MAX(1,IFERROR(--BD47,1))),1),IFERROR(MIN(3,MAX(1,INT(--AE47))),1))</f>
        <v>1</v>
      </c>
      <c r="GE47" t="str" cm="1">
        <f t="array" ref="GE47">IF(B47="","",_xlfn.LET(_xlpm.t,IFERROR(_xlfn.XLOOKUP(1,(Шины[Шина]=GC47)*(((Шины[Щит]=A47)+(Шины[Щит]=""))&gt;0),Шины[Тип]),"")&amp;"",IF(_xlpm.t&lt;&gt;"",_xlpm.t,IF(ISNUMBER(SEARCH("ИБП",GC47)),"ИБП",IF(ISNUMBER(SEARCH("ДГУ",GC47)),"ДГУ","Ввод "&amp;GD47)))))</f>
        <v>Ввод 1</v>
      </c>
      <c r="GF47" t="str">
        <f t="shared" si="214"/>
        <v>Ввод 1</v>
      </c>
      <c r="GG47" t="str">
        <f>IF(BP47=0,"",IF(TRIM(AG47&amp;"")&lt;&gt;"",TRIM(AG47&amp;""),IF(OR(GE47="ИБП",GE47="ДГУ"),"I особая",_xlfn.XLOOKUP(A47,Щиты[Щит],Щиты[Категория шины «Ввод»],"III"))))</f>
        <v/>
      </c>
      <c r="GH47" t="str">
        <f>IF(A47="","",_xlfn.XLOOKUP(A47,Щиты[Щит],Щиты[Путь],""))</f>
        <v>|ВРУ|ЩР-1|</v>
      </c>
      <c r="GI47" t="str">
        <f>IF(B47="","",IF(AI47&lt;&gt;"",AI47,IF(IFERROR(_xlfn.XLOOKUP(BC47,Коды_код,Коды_вид)&amp;"","")="","Прочее",_xlfn.XLOOKUP(BC47,Коды_код,Коды_вид)&amp;"")))</f>
        <v>Рабочее освещение</v>
      </c>
      <c r="GJ47">
        <f>IF(BM47="","",INT((BM47-1)/Столбцов_на_лист)+1)</f>
        <v>2</v>
      </c>
      <c r="GK47" t="str">
        <f t="shared" si="215"/>
        <v>ВВГнг(А)-LS (3х1,5) L=11-0,13%</v>
      </c>
      <c r="GL47">
        <f t="shared" si="216"/>
        <v>0.2</v>
      </c>
      <c r="GM47">
        <f t="shared" si="217"/>
        <v>0.92</v>
      </c>
      <c r="GN47">
        <f t="shared" si="218"/>
        <v>1</v>
      </c>
      <c r="GO47">
        <f t="shared" si="219"/>
        <v>0</v>
      </c>
      <c r="GP47">
        <f t="shared" si="220"/>
        <v>1</v>
      </c>
      <c r="GQ47">
        <f>IF(BM47="","",IF(AND(CG47=1,GP47=1),COUNTIFS(A$3:A47,A47,CG$3:CG47,1,GP$3:GP47,1),IF(OR(OR(BA47=1,A47&lt;&gt;A46),AJ47="вручную",GP47=0),"",IF(BA47=1,"",GR46))))</f>
        <v>15</v>
      </c>
      <c r="GR47">
        <f t="shared" si="221"/>
        <v>15</v>
      </c>
      <c r="GS47">
        <f>IF(B47="","",IFERROR(LOOKUP(INDEX(CHOOSE(EB47,Iдоп_1ж,Iдоп_2ж,Iдоп_3ж),MATCH(EN47,Iдоп_S,0))*DZ47*EA47,{6,10,16,20,25,32,40,50,63,80,100,125,160,200,250,315,400,500,630}),""))</f>
        <v>16</v>
      </c>
      <c r="GT47" t="str">
        <f t="shared" si="222"/>
        <v>QF15</v>
      </c>
      <c r="GU47" t="str">
        <f t="shared" si="223"/>
        <v>QF15</v>
      </c>
      <c r="GV47" t="str">
        <f t="shared" si="224"/>
        <v/>
      </c>
      <c r="GW47">
        <f t="shared" si="225"/>
        <v>0</v>
      </c>
      <c r="GX47" t="str">
        <f>IF(OR(B47="",DJ47=""),"",IFERROR(_xlfn.XLOOKUP(DJ47,Модули_умолч[Управление],Модули_умолч[Модель])&amp;"",""))</f>
        <v/>
      </c>
      <c r="GY47">
        <f>IF(DJ47="",1,IFERROR(MAX(0,N(_xlfn.XLOOKUP(DJ47,Модули_умолч[Управление],Модули_умолч[Каналов на линию]))),1))</f>
        <v>1</v>
      </c>
      <c r="GZ47" t="str">
        <f t="shared" si="226"/>
        <v/>
      </c>
      <c r="HA47" t="str">
        <f t="shared" si="227"/>
        <v/>
      </c>
      <c r="HB47" t="str">
        <f t="shared" si="228"/>
        <v/>
      </c>
      <c r="HC47">
        <f>IF(HB47="",0,IFERROR(N(VLOOKUP(HB47,Модули_спр,3,FALSE)),0))</f>
        <v>0</v>
      </c>
      <c r="HD47" t="str">
        <f t="shared" si="229"/>
        <v/>
      </c>
      <c r="HE47" t="str">
        <f t="shared" si="230"/>
        <v/>
      </c>
      <c r="HF47" t="str">
        <f>IF(OR(HE47="",HE47="-"),"",IFERROR(VLOOKUP(HE47,Модули_спр,2,FALSE),"R"))</f>
        <v/>
      </c>
      <c r="HG47" t="str">
        <f>IF(HF47="","",HF47&amp;"."&amp;COUNTIFS(A$3:A47,A47,HF$3:HF47,HF47))</f>
        <v/>
      </c>
      <c r="HH47" t="str">
        <f t="shared" si="231"/>
        <v/>
      </c>
      <c r="HI47" t="str">
        <f t="shared" si="232"/>
        <v/>
      </c>
      <c r="HJ47" t="str">
        <f t="shared" si="233"/>
        <v/>
      </c>
      <c r="HK47" t="str">
        <f t="shared" si="234"/>
        <v/>
      </c>
      <c r="HL47">
        <f t="shared" si="235"/>
        <v>1</v>
      </c>
      <c r="HM47" t="str">
        <f>IF(HL47=1,"XT"&amp;COUNTIFS(A$3:A47,A47,HL$3:HL47,1),"")</f>
        <v>XT18</v>
      </c>
      <c r="HN47" t="str">
        <f t="shared" si="236"/>
        <v>XT18</v>
      </c>
      <c r="HO47" t="str">
        <f t="shared" si="237"/>
        <v>QF15</v>
      </c>
      <c r="HP47" t="str">
        <f t="shared" si="238"/>
        <v/>
      </c>
      <c r="HQ47" t="str">
        <f t="shared" si="239"/>
        <v>ok</v>
      </c>
      <c r="HR47" t="str">
        <f>IF(OR(HJ47="",HH47=""),"",IF(HJ47+MAX(0,GY47-1)&gt;IFERROR(VLOOKUP(HI47,Модули_спр,3,FALSE),99),"ЛИШНИЙ КАНАЛ",IF(AND(AL47&lt;&gt;"=",GY47&gt;0,COUNTIFS(Линии[_модуль гр.],HH47,Линии[Канал (итог)],HJ47,Линии[Канал],"&lt;&gt;=",Линии[Щит],A47)&gt;1),"ДУБЛЬ КАНАЛА","")))</f>
        <v/>
      </c>
      <c r="HS47" s="6">
        <f t="shared" si="240"/>
        <v>32.832877110485761</v>
      </c>
      <c r="HT47">
        <f t="shared" si="241"/>
        <v>10</v>
      </c>
      <c r="HU47" t="str">
        <f t="shared" si="242"/>
        <v>ok</v>
      </c>
      <c r="HV47">
        <f t="shared" si="243"/>
        <v>0.4746422752776584</v>
      </c>
      <c r="HW47">
        <f t="shared" si="244"/>
        <v>0</v>
      </c>
      <c r="HX47">
        <f t="shared" si="245"/>
        <v>0</v>
      </c>
      <c r="HY47">
        <f t="shared" si="246"/>
        <v>0</v>
      </c>
      <c r="HZ47">
        <f t="shared" si="247"/>
        <v>0</v>
      </c>
      <c r="IA47">
        <f t="shared" si="248"/>
        <v>0</v>
      </c>
      <c r="IB47">
        <f t="shared" si="249"/>
        <v>0</v>
      </c>
      <c r="IC47" t="str">
        <f t="shared" si="250"/>
        <v/>
      </c>
      <c r="ID47" t="str" cm="1">
        <f t="array" ref="ID47">IF(IC47="","",_xlfn.LET(_xlpm.tk,_xlfn.TEXTSPLIT(SUBSTITUTE(SUBSTITUTE(IC47,";"," "),"→"," ")," ",,TRUE),_xlpm.w_,_xlfn._xlws.FILTER(_xlpm.tk,ISNUMBER(--LEFT(_xlpm.tk,1))*((ISNUMBER(SEARCH("W",_xlpm.tk))+ISNUMBER(SEARCH("Вт",_xlpm.tk)))&gt;0),""),IFERROR(--SUBSTITUTE(SUBSTITUTE(UPPER(INDEX(_xlpm.w_,1)),"W",""),"ВТ",""),"")))</f>
        <v/>
      </c>
      <c r="IE47" t="str" cm="1">
        <f t="array" ref="IE47">IF(IC47="","",_xlfn.LET(_xlpm.tk,_xlfn.TEXTSPLIT(SUBSTITUTE(SUBSTITUTE(IC47,";"," "),"→"," ")," ",,TRUE),_xlpm.v_,_xlfn._xlws.FILTER(_xlpm.tk,ISNUMBER(--LEFT(_xlpm.tk,1))*((ISNUMBER(SEARCH("V",_xlpm.tk))+(RIGHT(UPPER(_xlpm.tk))="В"))&gt;0),""),IFERROR(--SUBSTITUTE(SUBSTITUTE(UPPER(INDEX(_xlpm.v_,1)),"V",""),"В",""),"")))</f>
        <v/>
      </c>
      <c r="IF47" s="6" t="str">
        <f>IF(OR(BV47=0,HI47="",HJ47=""),"",IFERROR(N(_xlfn.XLOOKUP(HI47,Каталог!$C$4:$C$500,Каталог!$Q$4:$Q$500)),""))</f>
        <v/>
      </c>
      <c r="IG47" s="6" t="str">
        <f>IF(N(IF47)=0,"",SUMIFS(Линии[Iр, А],Линии[Щит],A47,Линии[_модуль гр.],HH47,Линии[Канал (итог)],HJ47))</f>
        <v/>
      </c>
      <c r="IH47" t="str">
        <f>IF(AND(B47="",HO47=""),"",_xlfn.TEXTJOIN("; ",TRUE,IF(AND(B47&lt;&gt;"",FV47=""),"нет фазы",""),IF(AND(B47&lt;&gt;"",N(GL47)=0,FG47&lt;&gt;"Нет"),"нет мощности",""),IF(AND(HN47&lt;&gt;"",COUNTIFS(Линии[Щит],A47,Линии[Клемма (итог)],HN47)&gt;1),"дубль клеммы "&amp;HN47,""),IF(AND(HQ47&lt;&gt;"",HQ47&lt;&gt;"ok"),HQ47,""),IF(HR47&lt;&gt;"",HR47,""),IF(AND(N(CB47)&gt;=4,N(BX47)=1),CB47&amp;" жил на 1 фазе",""),IF(AND(BC47="R",CG47=1,IF(CS47&lt;&gt;"",N(CV47)&gt;30,OR(N(DA47)=0,N(DA47)&gt;30))),"розетка без дифзащиты до 30 мА",""),IF(AND(CG47=1,N(DA47)&gt;0,ISNUMBER(T47)),IF(T47&gt;N(DA47)/3,"ток утечки "&amp;FIXED(T47,1)&amp;" мА &gt; 1/3 уставки ("&amp;DA47&amp;" мА)",""),""),IF(AND(CH47=1,CS47=""),"«узо»: нет строки с УЗО выше (УЗО 2P 40А 30мА в «Аппаратах»)",""),IF(AND(CS47&lt;&gt;"",CS47=BA47),IF(CT47="","впишите номинал УЗО (УЗО 2P 40А 30мА)",IF(N(CT47)&lt;N(DT47),"УЗО "&amp;CT47&amp;" А &lt; автомата "&amp;DT47&amp;" А перед ним",IF(N(CT47)&lt;N(CX47),"УЗО "&amp;CT47&amp;" А &lt; тока блока "&amp;FIXED(CX47,1)&amp;" А",""))),""),IF(AND(CS47&lt;&gt;"",CS47=BA47,ISNUMBER(CY47)),IF(CY47&gt;N(CV47)/3,"ток утечки блока УЗО "&amp;FIXED(CY47,1)&amp;" мА &gt; 1/3 уставки ("&amp;CV47&amp;" мА)",""),""),IF(AND(CG47=1,N(BV47)+N(IB47)&gt;0,IC47=""),"линии до 50 В без БП: впишите в «Аппараты» (БП 24V 480W)",""),IF(AND(CG47=1,ISNUMBER(ID47),ISNUMBER(U47)),IF(U47&gt;ID47,"БП "&amp;ID47&amp;" Вт &lt; нужно "&amp;U47&amp;" Вт (×"&amp;Запас_БП&amp;")",""),""),IF(AND(CG47=1,ISNUMBER(IE47),N(BV47)=1),IF(IE47&lt;&gt;N(BU47),"БП на "&amp;IE47&amp;" В, линия "&amp;BU47&amp;" В",""),""),IF(AND(N(IF47)&gt;0,N(IG47)&gt;N(IF47)),HH47&amp;" канал "&amp;HJ47&amp;": "&amp;FIXED(IG47,1)&amp;" А &gt; "&amp;IF47&amp;" А",""),IFERROR(IF(AND(ISNUMBER(Q47),Q47&gt;EL47),"потери "&amp;FIXED(Q47,1)&amp;" % &gt; "&amp;EL47&amp;" %",""),""),IFERROR(IF(LEFT(HU47,4)="мало","Iкз мало — отключение &gt; 0,4 с",""),""),IF(AND(B47&lt;&gt;"",BM47=""),"не на схеме",""),IF(AND(CG47=0,B47&lt;&gt;"",FV47&lt;&gt;"",IF(BA47=1,"",FW46)&lt;&gt;"",FV47&lt;&gt;IF(BA47=1,"",FW46)),"фаза не как у автомата группы ("&amp;IF(BA47=1,"",FW46)&amp;")","")))</f>
        <v/>
      </c>
      <c r="II47" s="6">
        <f>IF(OR(CG47=0,DQ47=""),"",_xlfn.LET(_xlpm.t,IFERROR(_xlfn.XLOOKUP(DQ47,Каталог!$U$4:$U$500,Каталог!$G$4:$G$500),""),_xlpm.k,SEARCH("кА",_xlpm.t),IFERROR(--TRIM(RIGHT(SUBSTITUTE(MID(_xlpm.t,MAX(1,_xlpm.k-4),_xlpm.k-MAX(1,_xlpm.k-4))," ",REPT(" ",9)),5)),"")))</f>
        <v>6</v>
      </c>
      <c r="IJ47" t="str">
        <f>IF(OR(II47="",CG47=0),"",IF(_xlfn.XLOOKUP(A47,Щиты[Щит],Щиты[Iкз max на шинах, кА],"")="","",IF(II47&lt;_xlfn.XLOOKUP(A47,Щиты[Щит],Щиты[Iкз max на шинах, кА]),"Icu "&amp;II47&amp;" кА &lt; Iкз max","ok")))</f>
        <v>ok</v>
      </c>
      <c r="IK47" t="str">
        <f t="shared" si="251"/>
        <v/>
      </c>
      <c r="IL47" t="str">
        <f t="shared" si="252"/>
        <v>QF15|XT18</v>
      </c>
      <c r="IM47" t="str">
        <f t="shared" si="253"/>
        <v>QF15|XT18|кабель ВВГнг(А)-LS (3х1,5) → Группа освещения, пом. 04</v>
      </c>
      <c r="IN47" t="str" cm="1">
        <f t="array" ref="IN47">IF(IM47="","",_xlfn.LET(_xlpm.nd,_xlfn.TEXTSPLIT(IM47,"|"),IF(COLUMNS(_xlpm.nd)&gt;1,A47&amp;"¦"&amp;INDEX(_xlpm.nd,1)&amp;"¦"&amp;INDEX(_xlpm.nd,2),"")))</f>
        <v>ЩР-1¦QF15¦XT18</v>
      </c>
      <c r="IO47" t="str">
        <f t="shared" si="254"/>
        <v>L.1.04.1¦Группа освещения, пом. 04</v>
      </c>
      <c r="IP47" t="str" cm="1">
        <f t="array" ref="IP47">IF(IM47="","",_xlfn.LET(_xlpm.nd,_xlfn.TEXTSPLIT(IM47,"|"),IF(COLUMNS(_xlpm.nd)&gt;2,A47&amp;"¦"&amp;INDEX(_xlpm.nd,2)&amp;"¦"&amp;INDEX(_xlpm.nd,3),"")))</f>
        <v>ЩР-1¦XT18¦кабель ВВГнг(А)-LS (3х1,5) → Группа освещения, пом. 04</v>
      </c>
      <c r="IQ47" t="str">
        <f t="shared" si="255"/>
        <v>L.1.04.1¦Группа освещения, пом. 04</v>
      </c>
      <c r="IR47" t="str" cm="1">
        <f t="array" ref="IR47">IF(IM47="","",_xlfn.LET(_xlpm.nd,_xlfn.TEXTSPLIT(IM47,"|"),IF(COLUMNS(_xlpm.nd)&gt;3,A47&amp;"¦"&amp;INDEX(_xlpm.nd,3)&amp;"¦"&amp;INDEX(_xlpm.nd,4),"")))</f>
        <v/>
      </c>
      <c r="IS47" t="str">
        <f t="shared" si="256"/>
        <v/>
      </c>
      <c r="IT47" t="str" cm="1">
        <f t="array" ref="IT47">IF(IM47="","",_xlfn.LET(_xlpm.nd,_xlfn.TEXTSPLIT(IM47,"|"),IF(COLUMNS(_xlpm.nd)&gt;4,A47&amp;"¦"&amp;INDEX(_xlpm.nd,4)&amp;"¦"&amp;INDEX(_xlpm.nd,5),"")))</f>
        <v/>
      </c>
      <c r="IU47" t="str">
        <f t="shared" si="257"/>
        <v/>
      </c>
      <c r="IV47" t="str" cm="1">
        <f t="array" ref="IV47">IF(IM47="","",_xlfn.LET(_xlpm.nd,_xlfn.TEXTSPLIT(IM47,"|"),IF(COLUMNS(_xlpm.nd)&gt;5,A47&amp;"¦"&amp;INDEX(_xlpm.nd,5)&amp;"¦"&amp;INDEX(_xlpm.nd,6),"")))</f>
        <v/>
      </c>
      <c r="IW47" t="str">
        <f t="shared" si="258"/>
        <v/>
      </c>
      <c r="IX47" t="str" cm="1">
        <f t="array" ref="IX47">IF(IM47="","",_xlfn.LET(_xlpm.nd,_xlfn.TEXTSPLIT(IM47,"|"),IF(COLUMNS(_xlpm.nd)&gt;6,A47&amp;"¦"&amp;INDEX(_xlpm.nd,6)&amp;"¦"&amp;INDEX(_xlpm.nd,7),"")))</f>
        <v/>
      </c>
      <c r="IY47" t="str">
        <f t="shared" si="259"/>
        <v/>
      </c>
      <c r="IZ47" t="str">
        <f t="shared" si="260"/>
        <v/>
      </c>
      <c r="JA47" t="str">
        <f t="shared" si="261"/>
        <v>QF15 → XT18</v>
      </c>
      <c r="JB47">
        <f t="shared" si="262"/>
        <v>0</v>
      </c>
      <c r="JC47">
        <f t="shared" si="263"/>
        <v>0</v>
      </c>
      <c r="JD47" t="str">
        <f t="shared" si="264"/>
        <v/>
      </c>
      <c r="JE47" t="str">
        <f t="shared" si="265"/>
        <v/>
      </c>
      <c r="JF47" t="str">
        <f t="shared" si="266"/>
        <v/>
      </c>
      <c r="JG47" t="str">
        <f t="shared" si="267"/>
        <v/>
      </c>
      <c r="JH47" t="str">
        <f>IF(B47="","",IFERROR(_xlfn.XLOOKUP(B47,Коды_код,Коды_уго),IFERROR(_xlfn.XLOOKUP(BC47,Коды_код,Коды_уго),IFERROR(_xlfn.XLOOKUP(LEFT(BC47,2),Коды_код,Коды_уго),""))))</f>
        <v>Светильник</v>
      </c>
      <c r="JI47" t="str">
        <f>IF(B47="","",IF(OR(JH47="",JH47=0),"BOX",IFERROR(IF(VLOOKUP(JH47,УГО_блоки,3,FALSE)&amp;""&lt;&gt;"",VLOOKUP(JH47,УГО_блоки,3,FALSE),VLOOKUP(JH47,УГО_блоки,2,FALSE)),JH47)))</f>
        <v>LAMP</v>
      </c>
      <c r="JJ47">
        <f t="shared" si="268"/>
        <v>1</v>
      </c>
      <c r="JK47" t="str">
        <f>IF(DQ47="","",IF(COUNTIF(DQ$3:DQ47,DQ47)=1,MAX(JK$2:JK46)+1,""))</f>
        <v/>
      </c>
      <c r="JL47" t="str">
        <f>IF(DE47="","",IF(COUNTIF(DE$3:DE47,DE47)+COUNTIF(DF$2:DF46,DE47)+COUNTIF(DG$2:DG46,DE47)=1,MAX(JL$2:JN46)+1,""))</f>
        <v/>
      </c>
      <c r="JM47" t="str">
        <f>IF(DF47="","",IF(COUNTIF(DE$3:DE47,DF47)+COUNTIF(DF$3:DF47,DF47)+COUNTIF(DG$2:DG46,DF47)=1,MAX(JL$2:JN46,JL47)+1,""))</f>
        <v/>
      </c>
      <c r="JN47" t="str">
        <f>IF(DG47="","",IF(COUNTIF(DE$3:DE47,DG47)+COUNTIF(DF$3:DF47,DG47)+COUNTIF(DG$3:DG47,DG47)=1,MAX(JL$2:JN46,JL47,JM47)+1,""))</f>
        <v/>
      </c>
      <c r="JO47" t="str">
        <f t="shared" si="269"/>
        <v>3х1,5</v>
      </c>
      <c r="JP47" t="str">
        <f>IF(JO47="","",IF(COUNTIF(JO$3:JO47,JO47)=1,MAX(JP$2:JP46)+1,""))</f>
        <v/>
      </c>
      <c r="JQ47" t="str">
        <f>IF(HG47="","",COUNTIF(HG$3:HG47,"?*"))</f>
        <v/>
      </c>
      <c r="JR47" t="str">
        <f>IF(OR(HG47="",HI47=""),"",IF(COUNTIFS(HG$3:HG47,"?*",HI$3:HI47,HI47)=1,MAX(JR$2:JR46)+1,""))</f>
        <v/>
      </c>
      <c r="JS47">
        <f t="shared" si="270"/>
        <v>0</v>
      </c>
      <c r="JT47">
        <f>IF(B47="","",COUNTIF(B$3:B47,"?*"))</f>
        <v>43</v>
      </c>
      <c r="JU47">
        <f>IF(HL47&lt;&gt;1,0,_xlfn.LET(_xlpm.k,MAX(IFERROR(--_xlfn.XLOOKUP(B47,Коды_код,Коды_3L),0),IFERROR(--_xlfn.XLOOKUP(BC47,Коды_код,Коды_3L),0),IFERROR(--_xlfn.XLOOKUP(LEFT(BC47,2),Коды_код,Коды_3L),0)),IF(_xlpm.k&gt;0,_xlpm.k,IF(IFERROR(--LEFT(SUBSTITUTE(JO47,"x","х"),FIND("х",SUBSTITUTE(JO47,"x","х"))-1),3)&gt;3,Каталог!$S$9,1))))</f>
        <v>1</v>
      </c>
      <c r="JV47">
        <f t="shared" si="271"/>
        <v>0</v>
      </c>
      <c r="JW47" t="str">
        <f t="shared" si="272"/>
        <v>авто</v>
      </c>
      <c r="JX47" t="str">
        <f t="shared" si="273"/>
        <v/>
      </c>
      <c r="JY47">
        <f t="shared" si="274"/>
        <v>0</v>
      </c>
      <c r="JZ47">
        <f t="shared" si="275"/>
        <v>1</v>
      </c>
    </row>
    <row r="48" spans="1:286" x14ac:dyDescent="0.3">
      <c r="A48" t="s">
        <v>948</v>
      </c>
      <c r="B48" t="s">
        <v>1185</v>
      </c>
      <c r="C48" t="str">
        <f>Линии[[#This Row],[_авто наименование]]</f>
        <v>Ввод питающей линии</v>
      </c>
      <c r="E48">
        <f>Линии[[#This Row],[_авто Р]]</f>
        <v>11.35</v>
      </c>
      <c r="G48" t="str">
        <f>Линии[[#This Row],[_авто автомат]]</f>
        <v>3P С25А</v>
      </c>
      <c r="H48" t="str">
        <f>Линии[[#This Row],[_авто управление]]</f>
        <v/>
      </c>
      <c r="I48" t="str">
        <f>Линии[[#This Row],[_авто аппараты]]</f>
        <v/>
      </c>
      <c r="J48">
        <v>16</v>
      </c>
      <c r="K48" t="str">
        <f>Линии[[#This Row],[_авто длина по плану]]</f>
        <v/>
      </c>
      <c r="L48" t="str">
        <f>Линии[[#This Row],[_авто фаза]]</f>
        <v>L1,L2,L3</v>
      </c>
      <c r="M48" t="str">
        <f>Линии[[#This Row],[_авто клемма]]</f>
        <v/>
      </c>
      <c r="N48" t="str">
        <f t="shared" si="138"/>
        <v/>
      </c>
      <c r="O48" s="6" cm="1">
        <f t="array" ref="O48">IF(B48="","",IF(BH48&lt;&gt;"",IFERROR(_xlfn.XLOOKUP(BH48,Щиты[Щит],Щиты[Iр, А]),""),IF(BP48=1,IF(OR(N(_xlfn.XLOOKUP(A48,Щиты[Щит],Щиты[Вводов],1))&lt;=1,LOWER(TRIM(_xlfn.XLOOKUP(A48,Щиты[Щит],Щиты[АВР],"")&amp;""))="да"),IFERROR(_xlfn.XLOOKUP(A48,Щиты[Щит],Щиты[Iр, А]),""),IFERROR(N(BS48)*_xlfn.XLOOKUP(A48,Щиты[Щит],Щиты[Кс итог])/(SQRT(3)*Uн_лин*_xlfn.XLOOKUP(A48,Щиты[Щит],Щиты[cos φ])),"")),IF(BV48=1,IFERROR(BS48*1000/BU48,""),IFERROR(_xlfn.IFS(BX48=1,BS48/((Uн_лин/SQRT(3))*CE48),BX48=3,BS48/(SQRT(3)*Uн_лин*CE48)),"")))))</f>
        <v>19.279564640802732</v>
      </c>
      <c r="P48" s="7" t="str">
        <f>IF(B48="","",IFERROR(IF(VLOOKUP(BC48,Потребители_обозначение,4,FALSE)=1,VLOOKUP(BC48,Потребители_обозначение,3,FALSE)*(MAX(1,N(D48))*2-1)+EI48+VLOOKUP(BE48,Этаж_обозначение,3,FALSE)+VLOOKUP(BE48,Этаж_обозначение,4,FALSE),VLOOKUP(BC48,Потребители_обозначение,3,FALSE)*(MAX(1,N(D48))*2-1)+EI48),EI48))</f>
        <v/>
      </c>
      <c r="Q48" s="6" t="str">
        <f t="shared" si="139"/>
        <v/>
      </c>
      <c r="R48" t="str">
        <f t="shared" si="140"/>
        <v>ВВГнг(А)-LS (5х16)</v>
      </c>
      <c r="S48" t="str">
        <f>IF(BM48="","",IF(BN48="вводной узел","узел ","")&amp;"л."&amp;(INT((BM48-1)/Столбцов_на_лист)+1)&amp;" / "&amp;(MOD(BM48-1,Столбцов_на_лист)+1))</f>
        <v>узел л.1 / 1</v>
      </c>
      <c r="T48" s="119" t="str">
        <f t="shared" si="141"/>
        <v/>
      </c>
      <c r="U48" s="7" t="str">
        <f>IF(OR(CG48=0,N(BV48)+N(IB48)=0),"",ROUNDUP(Запас_БП*(N(HY48)+N(HZ48)),0))</f>
        <v/>
      </c>
      <c r="V48" s="119" t="str">
        <f t="shared" si="142"/>
        <v/>
      </c>
      <c r="W48" s="7" t="str">
        <f>IFERROR(IF(OR(B48="",BP48=1,BV48=1,NOT(ISNUMBER(EN48)),N(DT48)=0),"",MAX(0,ROUNDDOWN((c_min*(Uн_лин*1000/SQRT(3))/(HT48*N(DT48))-_xlfn.XLOOKUP(A48,Щиты[Щит],Щиты[Zпетли на шинах, Ом]))*EN48/(2*ρкз_Cu),0))),"")</f>
        <v/>
      </c>
      <c r="Y48" t="str">
        <f>Линии[[#This Row],[_авто утечка]]</f>
        <v/>
      </c>
      <c r="Z48">
        <v>3</v>
      </c>
      <c r="AA48">
        <v>400</v>
      </c>
      <c r="AB48" t="s">
        <v>556</v>
      </c>
      <c r="AJ48" t="s">
        <v>1186</v>
      </c>
      <c r="AK48" t="str">
        <f>Линии[[#This Row],[_авто модуль]]</f>
        <v/>
      </c>
      <c r="AM48">
        <v>1</v>
      </c>
      <c r="AN48" t="s">
        <v>11</v>
      </c>
      <c r="AO48">
        <v>5</v>
      </c>
      <c r="BA48" cm="1">
        <f t="array" ref="BA48">ROW()-ROW(Линии[#Headers])</f>
        <v>46</v>
      </c>
      <c r="BC48" s="6" t="str">
        <f t="shared" si="143"/>
        <v>Ввод</v>
      </c>
      <c r="BD48" t="str">
        <f t="shared" si="144"/>
        <v>1</v>
      </c>
      <c r="BE48" t="str">
        <f t="shared" si="145"/>
        <v>1</v>
      </c>
      <c r="BF48" t="str">
        <f t="shared" si="146"/>
        <v/>
      </c>
      <c r="BG48" t="str">
        <f t="shared" si="147"/>
        <v/>
      </c>
      <c r="BH48" t="str">
        <f>IF(X48&lt;&gt;"",X48,IF(AND(B48&lt;&gt;"",B48&lt;&gt;A48,ISNUMBER(_xlfn.XMATCH(B48,Щиты[Щит]))),B48,""))</f>
        <v/>
      </c>
      <c r="BI48" t="str" cm="1">
        <f t="array" ref="BI48">IF(B48="","",IF(BH48&lt;&gt;"","Щит "&amp;BH48,_xlfn.LET(_xlpm.nm,IFERROR(_xlfn.XLOOKUP(BC48,Коды_код,Коды_имя)&amp;"",""),_xlpm.md,IFERROR(N(_xlfn.XLOOKUP(BC48,Коды_код,Коды_режим)),1),_xlpm.ex,IF(Имя_режим="по экспликации",IFERROR(_xlfn.XLOOKUP(BE48&amp;"|"&amp;BG48,Экспликация[Этаж]&amp;"|"&amp;Экспликация[Помещение],Экспликация[Название])&amp;"",""),""),_xlpm.rm,IF(BG48="","",IF(_xlpm.ex&lt;&gt;"",". "&amp;_xlpm.ex&amp;IF(Имя_пом="нет"," ("&amp;BG48&amp;")"," (пом. "&amp;BG48&amp;")"),IF(Имя_пом="нет"," ",", пом. ")&amp;BG48)),IF(_xlpm.nm="","",IF(_xlpm.md=2,_xlpm.nm&amp;" шлейф "&amp;BE48,_xlpm.nm&amp;_xlpm.rm)))))</f>
        <v>Ввод питающей линии</v>
      </c>
      <c r="BJ48" t="str">
        <f t="shared" si="148"/>
        <v>Ввод питающей линии</v>
      </c>
      <c r="BK48">
        <f>IFERROR(_xlfn.XMATCH(A48,Щиты[Щит]),0)</f>
        <v>5</v>
      </c>
      <c r="BL48">
        <f>_xlfn.LET(_xlpm.k,IFERROR(_xlfn.XLOOKUP(A48,Щиты[Щит],Щиты[Мест под вводной узел]),""),IF(_xlpm.k="",Столбцов_на_лист,N(_xlpm.k)))</f>
        <v>2</v>
      </c>
      <c r="BM48">
        <f t="shared" si="149"/>
        <v>1</v>
      </c>
      <c r="BN48" t="str">
        <f t="shared" si="150"/>
        <v>вводной узел</v>
      </c>
      <c r="BO48" s="6">
        <f>IFERROR(N(_xlfn.XLOOKUP(BC48,Коды_код,Коды_квт)),0)</f>
        <v>0</v>
      </c>
      <c r="BP48">
        <f t="shared" si="151"/>
        <v>1</v>
      </c>
      <c r="BQ48">
        <f>IF(B48="","",IF(BH48&lt;&gt;"",IFERROR(_xlfn.XLOOKUP(BH48,Щиты[Щит],Щиты[Руст, кВт]),0),IF(BP48=1,IF(OR(N(_xlfn.XLOOKUP(A48,Щиты[Щит],Щиты[Вводов],1))&lt;=1,LOWER(TRIM(_xlfn.XLOOKUP(A48,Щиты[Щит],Щиты[АВР],"")&amp;""))="да"),IFERROR(_xlfn.XLOOKUP(A48,Щиты[Щит],Щиты[Руст, кВт]),0),SUMIFS(Линии[_Р для вводов],Линии[Щит],A48,Линии[Источник для режимов],GF48)),IF(BO48&gt;0,ROUND(BO48*MAX(1,N(D48)),3),""))))</f>
        <v>11.35</v>
      </c>
      <c r="BR48">
        <f t="shared" si="152"/>
        <v>11.35</v>
      </c>
      <c r="BS48" s="6">
        <f>IF(B48="","",IF(BH48&lt;&gt;"",IFERROR(_xlfn.XLOOKUP(BH48,Щиты[Щит],Щиты[Руст, кВт]),0),N(BR48)))</f>
        <v>11.35</v>
      </c>
      <c r="BT48" t="str">
        <f>IF(B48="","",IFERROR(IF(VLOOKUP(BC48,Потребители_обозначение,8,FALSE)=0,"",VLOOKUP(BC48,Потребители_обозначение,8,FALSE)),""))</f>
        <v/>
      </c>
      <c r="BU48">
        <f t="shared" si="153"/>
        <v>400</v>
      </c>
      <c r="BV48">
        <f t="shared" si="154"/>
        <v>0</v>
      </c>
      <c r="BW48">
        <f>IF(B48="","",IF(BH48&lt;&gt;"",3,IFERROR(IF(N(VLOOKUP(BC48,Потребители_обозначение,9,FALSE))=0,1,VLOOKUP(BC48,Потребители_обозначение,9,FALSE)),1)))</f>
        <v>1</v>
      </c>
      <c r="BX48">
        <f t="shared" si="155"/>
        <v>3</v>
      </c>
      <c r="BY48" t="str">
        <f>IF(B48="","",_xlfn.LET(_xlpm.bc,IFERROR(IF(VLOOKUP(BC48,Потребители_обозначение,6,FALSE)=0,"",VLOOKUP(BC48,Потребители_обозначение,6,FALSE)&amp;""),""),IF(AND(GA48="да",OR(_xlpm.bc="",_xlpm.bc="мс")),Марка_пож,IF(AND(_xlpm.bc="",BH48&lt;&gt;""),"мс",_xlpm.bc))))</f>
        <v/>
      </c>
      <c r="BZ48" t="str">
        <f t="shared" si="156"/>
        <v>мс</v>
      </c>
      <c r="CA48">
        <f>IF(B48="","",_xlfn.LET(_xlpm.cc,IFERROR(N(VLOOKUP(BC48,Потребители_обозначение,7,FALSE)),0),IF(_xlpm.cc&gt;0,_xlpm.cc,IF(BZ48="","",IF(BV48=1,2,IF(N(BX48)=3,5,3))))))</f>
        <v>5</v>
      </c>
      <c r="CB48">
        <f t="shared" si="157"/>
        <v>5</v>
      </c>
      <c r="CC48">
        <f>IFERROR(N(VLOOKUP(BC48,Потребители_обозначение,10,FALSE)),0)</f>
        <v>0</v>
      </c>
      <c r="CD48">
        <f>IFERROR(VLOOKUP(BC48,Потребители_обозначение,5,FALSE),0)</f>
        <v>1</v>
      </c>
      <c r="CE48" s="6" cm="1">
        <f t="array" ref="CE48">IF(B48="","",IF(BH48&lt;&gt;"",IFERROR(_xlfn.XLOOKUP(BH48,Щиты[Щит],Щиты[cos φ]),0.95),IF(BP48=1,IFERROR(_xlfn.XLOOKUP(A48,Щиты[Щит],Щиты[cos φ]),0.95),IF(ISNUMBER(AD48),AD48,IFERROR(IF(CD48=2,_xlfn.IFS(BX48=3,VLOOKUP(BS48,Справочная_двигатели,8,FALSE),BX48=1,VLOOKUP(BS48,Справочная_двигатели,10,TRUE)),IF(AND(Методика="нормы 2026",FG48="Сил"),0.8,0.95)),0.95)))))</f>
        <v>0.81453744493392066</v>
      </c>
      <c r="CF48">
        <f t="shared" si="158"/>
        <v>0</v>
      </c>
      <c r="CG48">
        <f t="shared" si="159"/>
        <v>1</v>
      </c>
      <c r="CH48">
        <f t="shared" si="160"/>
        <v>0</v>
      </c>
      <c r="CI48">
        <f>IF(B48="","",IF(BV48=1,IFERROR(BS48/((Uн_лин/SQRT(3))*MAX(0.5,N(CE48))),0),N(O48)))</f>
        <v>19.279564640802732</v>
      </c>
      <c r="CJ48">
        <f t="shared" si="161"/>
        <v>0</v>
      </c>
      <c r="CK48">
        <f t="shared" si="162"/>
        <v>0</v>
      </c>
      <c r="CL48">
        <f t="shared" si="163"/>
        <v>0</v>
      </c>
      <c r="CM48">
        <f t="shared" si="164"/>
        <v>0</v>
      </c>
      <c r="CN48">
        <f t="shared" si="165"/>
        <v>0</v>
      </c>
      <c r="CO48">
        <f>IF(BC48="",0,_xlfn.LET(_xlpm.v,IFERROR(_xlfn.XLOOKUP(B48,Коды_код,Коды_мА),IFERROR(_xlfn.XLOOKUP(BC48,Коды_код,Коды_мА),IFERROR(_xlfn.XLOOKUP(LEFT(BC48,2),Коды_код,Коды_мА),""))),IF(_xlpm.v="да",30,IF(ISNUMBER(_xlpm.v),_xlpm.v,0))))</f>
        <v>0</v>
      </c>
      <c r="CP48" t="str">
        <f t="shared" si="166"/>
        <v/>
      </c>
      <c r="CQ48" t="str">
        <f>_xlfn.LET(_xlpm.k,IFERROR(_xlfn.XLOOKUP(BC48,Коды_код,Коды_утечка)&amp;"",""),IF(_xlpm.k="","дифавтомат",_xlpm.k))</f>
        <v>дифавтомат</v>
      </c>
      <c r="CR48" t="str" cm="1">
        <f t="array" ref="CR48">IF(CG48=0,"",_xlfn.LET(_xlpm.sg,TRIM(_xlfn.TEXTSPLIT(DD48&amp;"",";")),_xlpm.f_,_xlfn._xlws.FILTER(_xlpm.sg,LEFT(_xlpm.sg,3)="УЗО",""),IFERROR(INDEX(_xlpm.f_,1)&amp;"","")))</f>
        <v/>
      </c>
      <c r="CS48" t="str">
        <f t="shared" si="167"/>
        <v/>
      </c>
      <c r="CT48" s="6" t="str" cm="1">
        <f t="array" ref="CT48">IF(CR48="","",_xlfn.LET(_xlpm.tk,_xlfn.TEXTSPLIT(UPPER(CR48)," ",,TRUE),_xlpm.a_,_xlfn._xlws.FILTER(_xlpm.tk,ISNUMBER(--LEFT(_xlpm.tk,1))*((ISNUMBER(SEARCH("А",_xlpm.tk))+ISNUMBER(SEARCH("A",_xlpm.tk)))&gt;0)*NOT(ISNUMBER(SEARCH("МА",_xlpm.tk)))*NOT(ISNUMBER(SEARCH("MA",_xlpm.tk))),""),IFERROR(--SUBSTITUTE(SUBSTITUTE(INDEX(_xlpm.a_,1),"А",""),"A",""),"")))</f>
        <v/>
      </c>
      <c r="CU48" t="str" cm="1">
        <f t="array" ref="CU48">IF(CR48="","",_xlfn.LET(_xlpm.tk,_xlfn.TEXTSPLIT(UPPER(CR48)," ",,TRUE),_xlpm.a_,_xlfn._xlws.FILTER(_xlpm.tk,ISNUMBER(--LEFT(_xlpm.tk,1))*((ISNUMBER(SEARCH("МА",_xlpm.tk))+ISNUMBER(SEARCH("MA",_xlpm.tk)))&gt;0),""),IFERROR(--SUBSTITUTE(SUBSTITUTE(INDEX(_xlpm.a_,1),"МА",""),"MA",""),30)))</f>
        <v/>
      </c>
      <c r="CV48" t="str">
        <f>IF(CS48="","",IFERROR(_xlfn.XLOOKUP(CS48,Линии[_n],Линии[_УЗО, мА]),30))</f>
        <v/>
      </c>
      <c r="CW48">
        <f>IF(CS48="",0,IF(ISNUMBER(SEARCH("4P",IFERROR(_xlfn.XLOOKUP(CS48,Линии[_n],Линии[_УЗО строки])&amp;"",""))),0,1))</f>
        <v>0</v>
      </c>
      <c r="CX48" t="str">
        <f>IF(AND(CS48&lt;&gt;"",CS48=BA48),SUMIFS(Линии[_ток на 230 В],Линии[_блок УЗО],BA48,Линии[Щит],A48),"")</f>
        <v/>
      </c>
      <c r="CY48" t="str">
        <f>IF(AND(CS48&lt;&gt;"",CS48=BA48),SUMIFS(Линии[_ток утечки линии, мА],Линии[_блок УЗО],BA48,Линии[Щит],A48),"")</f>
        <v/>
      </c>
      <c r="CZ48">
        <f t="shared" si="168"/>
        <v>0</v>
      </c>
      <c r="DA48">
        <f t="shared" si="169"/>
        <v>0</v>
      </c>
      <c r="DB48">
        <f>IF(B48="",0,IFERROR(--_xlfn.XLOOKUP(B48,Коды_код,Коды_минавт),IFERROR(--_xlfn.XLOOKUP(BC48,Коды_код,Коды_минавт),IFERROR(--_xlfn.XLOOKUP(LEFT(BC48,2),Коды_код,Коды_минавт),0))))</f>
        <v>0</v>
      </c>
      <c r="DC48" t="str">
        <f>IF(B48="","",IFERROR(_xlfn.XLOOKUP(BC48,Коды_код,Коды_апп)&amp;"",""))</f>
        <v/>
      </c>
      <c r="DD48" t="str">
        <f t="shared" si="170"/>
        <v/>
      </c>
      <c r="DE48" t="str" cm="1">
        <f t="array" ref="DE48">IF(TRIM(DD48&amp;"")="","",IFERROR(TRIM(INDEX(_xlfn.TEXTSPLIT(DD48&amp;";;;",";"),1)),""))</f>
        <v/>
      </c>
      <c r="DF48" t="str" cm="1">
        <f t="array" ref="DF48">IF(TRIM(DD48&amp;"")="","",IFERROR(TRIM(INDEX(_xlfn.TEXTSPLIT(DD48&amp;";;;",";"),2)),""))</f>
        <v/>
      </c>
      <c r="DG48" t="str" cm="1">
        <f t="array" ref="DG48">IF(TRIM(DD48&amp;"")="","",IFERROR(TRIM(INDEX(_xlfn.TEXTSPLIT(DD48&amp;";;;",";"),3)),""))</f>
        <v/>
      </c>
      <c r="DH48">
        <f t="shared" si="171"/>
        <v>0</v>
      </c>
      <c r="DI48" t="str">
        <f>IF(B48="","",_xlfn.LET(_xlpm.t,LOWER(AZ48&amp;""),IF(ISNUMBER(SEARCH("dim",_xlpm.t)),"DIM",IF(ISNUMBER(SEARCH("dali",_xlpm.t)),"DALI",IF(OR(ISNUMBER(SEARCH("relay",_xlpm.t)),ISNUMBER(SEARCH("реле",_xlpm.t))),"Relay",IF(ISNUMBER(SEARCH("кнопк",_xlpm.t)),"",IFERROR(_xlfn.XLOOKUP(BC48,Коды_код,Коды_упр)&amp;"","")))))))</f>
        <v/>
      </c>
      <c r="DJ48" t="str">
        <f t="shared" si="172"/>
        <v/>
      </c>
      <c r="DK48">
        <f>IF(B48="","",_xlfn.LET(_xlpm.ig,IF(N(CX48)&gt;0,N(CX48),N(CI48)+IF(AJ48="вручную",0,N(CJ48))),_xlpm.n0,IFERROR(VLOOKUP(_xlpm.ig,Автомат_номиналы,2,TRUE),0),_xlpm.mn,MAX(DB48,IF(AJ48="вручную",0,N(CM48))),MAX(_xlpm.n0,_xlpm.mn,IF(DH48=1,Мин_автомат_БП,0))))</f>
        <v>25</v>
      </c>
      <c r="DL48">
        <f t="shared" si="173"/>
        <v>3</v>
      </c>
      <c r="DM48" t="str">
        <f t="shared" si="174"/>
        <v>3P</v>
      </c>
      <c r="DN48" t="str">
        <f>_xlfn.LET(_xlpm.cc,UPPER(TRIM(IFERROR(_xlfn.XLOOKUP(BC48,Коды_код,Коды_хар)&amp;"",""))),IF(OR(_xlpm.cc="B",_xlpm.cc="В"),"B",IF(_xlpm.cc="D","D","С")))</f>
        <v>С</v>
      </c>
      <c r="DO48" t="str">
        <f t="shared" si="175"/>
        <v>3P С25А</v>
      </c>
      <c r="DP48" t="str">
        <f t="shared" si="176"/>
        <v>3P С25А</v>
      </c>
      <c r="DQ48" t="str">
        <f t="shared" si="177"/>
        <v>3P С25А</v>
      </c>
      <c r="DR48" cm="1">
        <f t="array" ref="DR48">IF(DQ48="","",_xlfn.LET(_xlpm.t,SUBSTITUTE(SUBSTITUTE(SUBSTITUTE(UPPER(DQ48),"С","C"),"А","A"),"В","B"),_xlpm.tk,_xlfn.TEXTSPLIT(_xlpm.t," "),_xlpm.f,_xlfn._xlws.FILTER(_xlpm.tk,ISNUMBER(--MID(_xlpm.tk,2,1))*ISNUMBER(SEARCH(LEFT(_xlpm.tk,1)&amp;"#","B#C#D#"))*(LEN(_xlpm.tk)&gt;1),""),_xlpm.x,INDEX(_xlpm.f,1),IFERROR(--SUBSTITUTE(MID(_xlpm.x,2,9),"A",""),IFERROR(--SUBSTITUTE(INDEX(_xlfn._xlws.FILTER(_xlpm.tk,ISNUMBER(--SUBSTITUTE(_xlpm.tk,"A","")),""),1),"A",""),""))))</f>
        <v>25</v>
      </c>
      <c r="DS48" t="str">
        <f t="shared" si="178"/>
        <v>узел</v>
      </c>
      <c r="DT48">
        <f t="shared" si="179"/>
        <v>25</v>
      </c>
      <c r="DU48" t="str">
        <f t="shared" si="180"/>
        <v>3P С25А</v>
      </c>
      <c r="DV48">
        <f t="shared" si="181"/>
        <v>0</v>
      </c>
      <c r="DW48">
        <f t="shared" si="182"/>
        <v>0</v>
      </c>
      <c r="DX48">
        <f t="shared" si="183"/>
        <v>0</v>
      </c>
      <c r="DY48">
        <f t="shared" si="184"/>
        <v>19.279564640802732</v>
      </c>
      <c r="DZ48">
        <f t="shared" si="185"/>
        <v>0.92</v>
      </c>
      <c r="EA48">
        <f>IF(ISNUMBER(AP48),AP48,К_прокл)</f>
        <v>1</v>
      </c>
      <c r="EB48">
        <f t="shared" si="186"/>
        <v>3</v>
      </c>
      <c r="EC48">
        <f>IFERROR(N(VLOOKUP(BZ48,Кабель_обозначение,3,FALSE)),1)</f>
        <v>1</v>
      </c>
      <c r="ED48">
        <f>IFERROR(N(_xlfn.XLOOKUP(A48,Щиты[Щит],Щиты[ΔU до шин, %])),0)</f>
        <v>1.9160288498727978</v>
      </c>
      <c r="EE48">
        <f>IFERROR(_xlfn.XLOOKUP(A48,Щиты[Щит],Щиты[Zпетли на шинах, Ом]),"")</f>
        <v>0.67697829354840211</v>
      </c>
      <c r="EF48">
        <f>IFERROR(N(_xlfn.XLOOKUP(A48,Щиты[Щит],Щиты[ΔU до шин (подбор), %])),0)</f>
        <v>1.9160288498727978</v>
      </c>
      <c r="EG48">
        <f>IFERROR(_xlfn.XLOOKUP(A48,Щиты[Щит],Щиты[Zпетли на шинах (подбор), Ом]),"")</f>
        <v>0.67697829354840211</v>
      </c>
      <c r="EH48" t="str">
        <f t="shared" si="187"/>
        <v/>
      </c>
      <c r="EI48" t="str">
        <f t="shared" si="188"/>
        <v/>
      </c>
      <c r="EJ48">
        <f t="shared" si="189"/>
        <v>1</v>
      </c>
      <c r="EK48">
        <f t="shared" si="190"/>
        <v>0.57999999999999996</v>
      </c>
      <c r="EL48" s="6">
        <f>IF(B48="","",IF(BV48=1,dU_LED,IF(IFERROR(_xlfn.XLOOKUP(BC48,Коды_код,Коды_уго),"")="Светильник",3,4)+IF(Методика="нормы 2026",MIN(0.5,MAX(0,N(P48)-100)*0.005),0)))</f>
        <v>4</v>
      </c>
      <c r="EM48" cm="1">
        <f t="array" ref="EM48">IF(OR(B48="",BZ48="",EC48&lt;&gt;1),"",_xlfn.LET(_xlpm.sz,Iдоп_S,_xlpm.t_,CHOOSE(EB48,Iдоп_1ж,Iдоп_2ж,Iдоп_3ж)*DZ48*EA48,_xlpm.dcx,BV48=1,_xlpm.inn,IF(_xlpm.dcx,N(O48),N(DT48)),_xlpm.smin,MAX(1.5,CC48),_xlpm.L_,N(P48),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48)/N(BU48)*100,999),IFERROR(N(EJ48)*(_xlpm.rho*_xlpm.L_/_xlpm.sz*N(CE48)+_xlpm.xx*_xlpm.L_*N(EK48)/1000)*N(O48)/((Uн_лин/SQRT(3))*1000)*100,999)),_xlpm.kz,IF(OR(_xlpm.dcx,DW48=1,NOT(ISNUMBER(EG48)),_xlpm.L_=0,_xlpm.inn=0),1,IFERROR(--(c_min*(Uн_лин*1000/SQRT(3))/(EG48+2*ρкз_Cu*_xlpm.L_/_xlpm.sz)&gt;=HT48*_xlpm.inn),0)),_xlpm.ok,IFERROR((_xlpm.sz&gt;=_xlpm.smin)*(_xlpm.t_&gt;=_xlpm.inn)*IF(_xlpm.L_&gt;0,(_xlpm.du_+IF(_xlpm.dcx,0,EF48)&lt;=EL48+0.00001),1)*_xlpm.kz,0),_xlpm.r_,_xlfn._xlws.FILTER(_xlpm.sz,_xlpm.ok,"не подобрано"),INDEX(_xlpm.r_,1)))</f>
        <v>4</v>
      </c>
      <c r="EN48">
        <f t="shared" si="191"/>
        <v>16</v>
      </c>
      <c r="EO48" cm="1">
        <f t="array" ref="EO48">IF(OR(B48="",BZ48="",EC48&lt;&gt;1),"",_xlfn.LET(_xlpm.sz,Iдоп_S,_xlpm.t_,CHOOSE(EB48,Iдоп_1ж,Iдоп_2ж,Iдоп_3ж)*DZ48*EA48,_xlpm.ok,IFERROR((_xlpm.sz&gt;=MAX(1.5,CC48))*(_xlpm.t_&gt;=N(DT48)),0),_xlpm.r_,_xlfn._xlws.FILTER(_xlpm.sz,_xlpm.ok,""),INDEX(_xlpm.r_,1)))</f>
        <v>4</v>
      </c>
      <c r="EP48" s="6" cm="1">
        <f t="array" ref="EP48">IFERROR(ROUNDUP(N(EJ48)*(_xlfn.XLOOKUP(EO48,INDEX(Кабель_сопротивление,0,1),INDEX(Кабель_сопротивление,0,3))*N(P48)/EO48*N(CE48)+_xlfn.XLOOKUP(EO48,INDEX(Кабель_сопротивление,0,1),INDEX(Кабель_сопротивление,0,2))*N(P48)*N(EK48)/1000)*N(O48)/((Uн_лин/SQRT(3))*1000)*100,2),"")</f>
        <v>0</v>
      </c>
      <c r="EQ48">
        <f>IFERROR(2*ρкз_Cu*N(P48)/EO48,"")</f>
        <v>0</v>
      </c>
      <c r="ER48">
        <f>IFERROR(VLOOKUP(EN48,Кабель_сопротивление,3,FALSE),"")</f>
        <v>2.2499999999999999E-2</v>
      </c>
      <c r="ES48">
        <f>IFERROR(VLOOKUP(EN48,Кабель_сопротивление,2,FALSE),"")</f>
        <v>6.7500000000000004E-2</v>
      </c>
      <c r="ET48" t="str">
        <f t="shared" si="192"/>
        <v/>
      </c>
      <c r="EU48" t="str">
        <f t="shared" si="193"/>
        <v/>
      </c>
      <c r="EV48" t="str">
        <f t="shared" si="194"/>
        <v/>
      </c>
      <c r="EW48" s="6" t="str">
        <f>IFERROR(ROUNDUP(EV48/IF(BV48=1,BU48,(Uн_лин/SQRT(3))*1000)*100,2),"")</f>
        <v/>
      </c>
      <c r="EX48" t="str">
        <f>IFERROR(VLOOKUP(BZ48,Кабель_обозначение,2,FALSE),"")</f>
        <v>ВВГнг(А)-LS</v>
      </c>
      <c r="EY48" t="str">
        <f t="shared" si="195"/>
        <v>ВВГнг(А)-LS (5х16)</v>
      </c>
      <c r="EZ48" t="str">
        <f t="shared" si="196"/>
        <v>ВВГнг(А)-LS (5х16)</v>
      </c>
      <c r="FA48" t="str">
        <f>IFERROR(2*ρкз_Cu*P48/EN48,"")</f>
        <v/>
      </c>
      <c r="FB48">
        <f t="shared" si="197"/>
        <v>0</v>
      </c>
      <c r="FC48" s="6" t="str">
        <f>IFERROR(IF(OR(B48="",BV48=1,NOT(ISNUMBER(EN48)),N(P48)=0),"",_xlfn.XLOOKUP(A48,Щиты[Щит],Щиты[Zпетли на шинах, Ом])+FA48),"")</f>
        <v/>
      </c>
      <c r="FD48" s="6" t="str">
        <f>IF(ISNUMBER(FC48),c_min*(Uн_лин*1000/SQRT(3))/FC48,"")</f>
        <v/>
      </c>
      <c r="FE48" s="6">
        <f>IFERROR(IF(OR(B48="",NOT(ISNUMBER(EN48))),"",1.05*(Uн_лин*1000/SQRT(3))/(_xlfn.XLOOKUP(A48,Щиты[Щит],Щиты[Zmax на шинах, Ом])+FB48)/1000),"")</f>
        <v>1.1207393569042776</v>
      </c>
      <c r="FF48" s="6" t="str">
        <f>IF(B48="","",IF(ISNUMBER(AC48),"Сил",IF(IFERROR(_xlfn.XLOOKUP(BC48,Коды_код,Коды_группа)&amp;"","")="","Быт",_xlfn.XLOOKUP(BC48,Коды_код,Коды_группа)&amp;"")))</f>
        <v>Нет</v>
      </c>
      <c r="FG48" s="6" t="str">
        <f t="shared" si="198"/>
        <v>Нет</v>
      </c>
      <c r="FH48" s="6">
        <f>IF(FG48="Щит","щит",IF(FG48="","",IF(FG48="Быт",IFERROR(_xlfn.XLOOKUP(A48,Щиты[Щит],Щиты[Кс быт]),1),IF(FG48="Сил",IF(ISNUMBER(AC48),AC48,IF(Методика="нормы 2026",IFERROR(_xlfn.XLOOKUP(A48,Щиты[Щит],Щиты[Кс силовых (табл. 7.5)]),1),1)),IF(OR(FG48="Пост",FG48="Отоп"),1,IF(FG48="ВНГ",0.7,0))))))</f>
        <v>0</v>
      </c>
      <c r="FI48">
        <f>IF(FG48="","",IF(AND(BP48=1,TRIM(AE48&amp;"")=""),IF(COUNTIFS(Линии[Щит],A48,Линии[Секция (1/2/3)],"&gt;=2")&gt;0,MIN(3,MAX(1,IFERROR(--BD48,1))),1),IFERROR(MIN(3,MAX(1,INT(--AE48))),1)))</f>
        <v>1</v>
      </c>
      <c r="FJ48">
        <f t="shared" si="199"/>
        <v>0</v>
      </c>
      <c r="FK48">
        <f t="shared" si="200"/>
        <v>0</v>
      </c>
      <c r="FL48">
        <f t="shared" si="201"/>
        <v>0</v>
      </c>
      <c r="FM48">
        <f t="shared" si="202"/>
        <v>0</v>
      </c>
      <c r="FN48">
        <f t="shared" si="203"/>
        <v>0</v>
      </c>
      <c r="FO48">
        <f t="shared" si="204"/>
        <v>0</v>
      </c>
      <c r="FP48">
        <f t="shared" si="205"/>
        <v>0</v>
      </c>
      <c r="FQ48">
        <f t="shared" si="206"/>
        <v>0</v>
      </c>
      <c r="FR48">
        <f t="shared" si="207"/>
        <v>0</v>
      </c>
      <c r="FS48">
        <f>IF(CG48=1,IF(AND(CH48=1,CW48=1),0,IF(AND(CS48&lt;&gt;"",CS48=BA48,CW48=1),SUMIFS(Линии[_Р линии, кВт],Линии[_блок УЗО],BA48,Линии[Щит],A48),N(BS48)+IF(AJ48="вручную",0,N(CK48)))),0)</f>
        <v>11.35</v>
      </c>
      <c r="FT48" t="str">
        <f t="shared" si="208"/>
        <v/>
      </c>
      <c r="FU48" t="str">
        <f>IF(B48="","",IF(CG48=0,IF(BA48=1,"",FW47),IF(AND(CH48=1,CW48=1,CS48&lt;&gt;""),IFERROR(_xlfn.XLOOKUP(CS48,Линии[_n],Линии[_фаза итог]),"L1"),IF(OR(N(DL48)&gt;=3,N(BX48)&gt;=3),"L1,L2,L3",IFERROR(_xlfn.TEXTBEFORE(_xlfn.TEXTAFTER(_xlfn.XLOOKUP(A48,Щиты[Щит],Щиты[_фазы авто]),";"&amp;BA48&amp;":"),";"),"L1")))))</f>
        <v>L1,L2,L3</v>
      </c>
      <c r="FV48" t="str">
        <f t="shared" si="209"/>
        <v>L1,L2,L3</v>
      </c>
      <c r="FW48" t="str">
        <f t="shared" si="210"/>
        <v>L1,L2,L3</v>
      </c>
      <c r="FX48" cm="1">
        <f t="array" ref="FX48">IFERROR(IF(CD48=2,_xlfn.IFS(BX48=3,VLOOKUP(BS48,Справочная_двигатели,3,FALSE),BX48=1,VLOOKUP(BS48,Справочная_двигатели,5,TRUE)),0),0)</f>
        <v>0</v>
      </c>
      <c r="FY48">
        <f>IFERROR(IF(CD48=3,VLOOKUP(BS48,Справочная_ЛЭД,2,TRUE),0),0)</f>
        <v>0</v>
      </c>
      <c r="FZ48" s="6">
        <f t="shared" si="211"/>
        <v>0</v>
      </c>
      <c r="GA48" t="str">
        <f>IF(B48="","",IF(TRIM(AH48&amp;"")&lt;&gt;"",IF(LOWER(TRIM(AH48&amp;""))="да","да","нет"),IF(IFERROR(_xlfn.XLOOKUP(BC48,Коды_код,Коды_пожарная),"")="да","да","нет")))</f>
        <v>нет</v>
      </c>
      <c r="GB48" t="str">
        <f t="shared" si="212"/>
        <v/>
      </c>
      <c r="GC48" t="str">
        <f t="shared" si="213"/>
        <v>основная</v>
      </c>
      <c r="GD48">
        <f>IF(AND(BP48=1,TRIM(AE48&amp;"")=""),IF(COUNTIFS(Линии[Щит],A48,Линии[Секция (1/2/3)],"&gt;=2")&gt;0,MIN(3,MAX(1,IFERROR(--BD48,1))),1),IFERROR(MIN(3,MAX(1,INT(--AE48))),1))</f>
        <v>1</v>
      </c>
      <c r="GE48" t="str" cm="1">
        <f t="array" ref="GE48">IF(B48="","",_xlfn.LET(_xlpm.t,IFERROR(_xlfn.XLOOKUP(1,(Шины[Шина]=GC48)*(((Шины[Щит]=A48)+(Шины[Щит]=""))&gt;0),Шины[Тип]),"")&amp;"",IF(_xlpm.t&lt;&gt;"",_xlpm.t,IF(ISNUMBER(SEARCH("ИБП",GC48)),"ИБП",IF(ISNUMBER(SEARCH("ДГУ",GC48)),"ДГУ","Ввод "&amp;GD48)))))</f>
        <v>Ввод 1</v>
      </c>
      <c r="GF48" t="str">
        <f t="shared" si="214"/>
        <v>Ввод 1</v>
      </c>
      <c r="GG48" t="str">
        <f>IF(BP48=0,"",IF(TRIM(AG48&amp;"")&lt;&gt;"",TRIM(AG48&amp;""),IF(OR(GE48="ИБП",GE48="ДГУ"),"I особая",_xlfn.XLOOKUP(A48,Щиты[Щит],Щиты[Категория шины «Ввод»],"III"))))</f>
        <v>II</v>
      </c>
      <c r="GH48" t="str">
        <f>IF(A48="","",_xlfn.XLOOKUP(A48,Щиты[Щит],Щиты[Путь],""))</f>
        <v>|ВРУ|ЩС|</v>
      </c>
      <c r="GI48" t="str">
        <f>IF(B48="","",IF(AI48&lt;&gt;"",AI48,IF(IFERROR(_xlfn.XLOOKUP(BC48,Коды_код,Коды_вид)&amp;"","")="","Прочее",_xlfn.XLOOKUP(BC48,Коды_код,Коды_вид)&amp;"")))</f>
        <v>Прочее</v>
      </c>
      <c r="GJ48">
        <f>IF(BM48="","",INT((BM48-1)/Столбцов_на_лист)+1)</f>
        <v>1</v>
      </c>
      <c r="GK48" t="str">
        <f t="shared" si="215"/>
        <v>ВВГнг(А)-LS (5х16)</v>
      </c>
      <c r="GL48">
        <f t="shared" si="216"/>
        <v>11.35</v>
      </c>
      <c r="GM48">
        <f t="shared" si="217"/>
        <v>19.28</v>
      </c>
      <c r="GN48">
        <f t="shared" si="218"/>
        <v>3</v>
      </c>
      <c r="GO48">
        <f t="shared" si="219"/>
        <v>0</v>
      </c>
      <c r="GP48">
        <f t="shared" si="220"/>
        <v>0</v>
      </c>
      <c r="GQ48" t="str">
        <f>IF(BM48="","",IF(AND(CG48=1,GP48=1),COUNTIFS(A$3:A48,A48,CG$3:CG48,1,GP$3:GP48,1),IF(OR(OR(BA48=1,A48&lt;&gt;A47),AJ48="вручную",GP48=0),"",IF(BA48=1,"",GR47))))</f>
        <v/>
      </c>
      <c r="GR48" t="str">
        <f t="shared" si="221"/>
        <v/>
      </c>
      <c r="GS48">
        <f>IF(B48="","",IFERROR(LOOKUP(INDEX(CHOOSE(EB48,Iдоп_1ж,Iдоп_2ж,Iдоп_3ж),MATCH(EN48,Iдоп_S,0))*DZ48*EA48,{6,10,16,20,25,32,40,50,63,80,100,125,160,200,250,315,400,500,630}),""))</f>
        <v>63</v>
      </c>
      <c r="GT48" t="str">
        <f t="shared" si="222"/>
        <v/>
      </c>
      <c r="GU48" t="str">
        <f t="shared" si="223"/>
        <v/>
      </c>
      <c r="GV48" t="str">
        <f t="shared" si="224"/>
        <v/>
      </c>
      <c r="GW48">
        <f t="shared" si="225"/>
        <v>0</v>
      </c>
      <c r="GX48" t="str">
        <f>IF(OR(B48="",DJ48=""),"",IFERROR(_xlfn.XLOOKUP(DJ48,Модули_умолч[Управление],Модули_умолч[Модель])&amp;"",""))</f>
        <v/>
      </c>
      <c r="GY48">
        <f>IF(DJ48="",1,IFERROR(MAX(0,N(_xlfn.XLOOKUP(DJ48,Модули_умолч[Управление],Модули_умолч[Каналов на линию]))),1))</f>
        <v>1</v>
      </c>
      <c r="GZ48" t="str">
        <f t="shared" si="226"/>
        <v/>
      </c>
      <c r="HA48" t="str">
        <f t="shared" si="227"/>
        <v/>
      </c>
      <c r="HB48" t="str">
        <f t="shared" si="228"/>
        <v/>
      </c>
      <c r="HC48">
        <f>IF(HB48="",0,IFERROR(N(VLOOKUP(HB48,Модули_спр,3,FALSE)),0))</f>
        <v>0</v>
      </c>
      <c r="HD48" t="str">
        <f t="shared" si="229"/>
        <v/>
      </c>
      <c r="HE48" t="str">
        <f t="shared" si="230"/>
        <v/>
      </c>
      <c r="HF48" t="str">
        <f>IF(OR(HE48="",HE48="-"),"",IFERROR(VLOOKUP(HE48,Модули_спр,2,FALSE),"R"))</f>
        <v/>
      </c>
      <c r="HG48" t="str">
        <f>IF(HF48="","",HF48&amp;"."&amp;COUNTIFS(A$3:A48,A48,HF$3:HF48,HF48))</f>
        <v/>
      </c>
      <c r="HH48" t="str">
        <f t="shared" si="231"/>
        <v/>
      </c>
      <c r="HI48" t="str">
        <f t="shared" si="232"/>
        <v/>
      </c>
      <c r="HJ48" t="str">
        <f t="shared" si="233"/>
        <v/>
      </c>
      <c r="HK48" t="str">
        <f t="shared" si="234"/>
        <v/>
      </c>
      <c r="HL48">
        <f t="shared" si="235"/>
        <v>0</v>
      </c>
      <c r="HM48" t="str">
        <f>IF(HL48=1,"XT"&amp;COUNTIFS(A$3:A48,A48,HL$3:HL48,1),"")</f>
        <v/>
      </c>
      <c r="HN48" t="str">
        <f t="shared" si="236"/>
        <v/>
      </c>
      <c r="HO48" t="str">
        <f t="shared" si="237"/>
        <v/>
      </c>
      <c r="HP48" t="str">
        <f t="shared" si="238"/>
        <v/>
      </c>
      <c r="HQ48" t="str">
        <f t="shared" si="239"/>
        <v>ok</v>
      </c>
      <c r="HR48" t="str">
        <f>IF(OR(HJ48="",HH48=""),"",IF(HJ48+MAX(0,GY48-1)&gt;IFERROR(VLOOKUP(HI48,Модули_спр,3,FALSE),99),"ЛИШНИЙ КАНАЛ",IF(AND(AL48&lt;&gt;"=",GY48&gt;0,COUNTIFS(Линии[_модуль гр.],HH48,Линии[Канал (итог)],HJ48,Линии[Канал],"&lt;&gt;=",Линии[Щит],A48)&gt;1),"ДУБЛЬ КАНАЛА","")))</f>
        <v/>
      </c>
      <c r="HS48" s="6" t="str">
        <f t="shared" si="240"/>
        <v/>
      </c>
      <c r="HT48">
        <f t="shared" si="241"/>
        <v>10</v>
      </c>
      <c r="HU48" t="str">
        <f t="shared" si="242"/>
        <v/>
      </c>
      <c r="HV48">
        <f t="shared" si="243"/>
        <v>0</v>
      </c>
      <c r="HW48">
        <f t="shared" si="244"/>
        <v>0</v>
      </c>
      <c r="HX48">
        <f t="shared" si="245"/>
        <v>0</v>
      </c>
      <c r="HY48">
        <f t="shared" si="246"/>
        <v>0</v>
      </c>
      <c r="HZ48">
        <f t="shared" si="247"/>
        <v>0</v>
      </c>
      <c r="IA48">
        <f t="shared" si="248"/>
        <v>0</v>
      </c>
      <c r="IB48">
        <f t="shared" si="249"/>
        <v>0</v>
      </c>
      <c r="IC48" t="str">
        <f t="shared" si="250"/>
        <v/>
      </c>
      <c r="ID48" t="str" cm="1">
        <f t="array" ref="ID48">IF(IC48="","",_xlfn.LET(_xlpm.tk,_xlfn.TEXTSPLIT(SUBSTITUTE(SUBSTITUTE(IC48,";"," "),"→"," ")," ",,TRUE),_xlpm.w_,_xlfn._xlws.FILTER(_xlpm.tk,ISNUMBER(--LEFT(_xlpm.tk,1))*((ISNUMBER(SEARCH("W",_xlpm.tk))+ISNUMBER(SEARCH("Вт",_xlpm.tk)))&gt;0),""),IFERROR(--SUBSTITUTE(SUBSTITUTE(UPPER(INDEX(_xlpm.w_,1)),"W",""),"ВТ",""),"")))</f>
        <v/>
      </c>
      <c r="IE48" t="str" cm="1">
        <f t="array" ref="IE48">IF(IC48="","",_xlfn.LET(_xlpm.tk,_xlfn.TEXTSPLIT(SUBSTITUTE(SUBSTITUTE(IC48,";"," "),"→"," ")," ",,TRUE),_xlpm.v_,_xlfn._xlws.FILTER(_xlpm.tk,ISNUMBER(--LEFT(_xlpm.tk,1))*((ISNUMBER(SEARCH("V",_xlpm.tk))+(RIGHT(UPPER(_xlpm.tk))="В"))&gt;0),""),IFERROR(--SUBSTITUTE(SUBSTITUTE(UPPER(INDEX(_xlpm.v_,1)),"V",""),"В",""),"")))</f>
        <v/>
      </c>
      <c r="IF48" s="6" t="str">
        <f>IF(OR(BV48=0,HI48="",HJ48=""),"",IFERROR(N(_xlfn.XLOOKUP(HI48,Каталог!$C$4:$C$500,Каталог!$Q$4:$Q$500)),""))</f>
        <v/>
      </c>
      <c r="IG48" s="6" t="str">
        <f>IF(N(IF48)=0,"",SUMIFS(Линии[Iр, А],Линии[Щит],A48,Линии[_модуль гр.],HH48,Линии[Канал (итог)],HJ48))</f>
        <v/>
      </c>
      <c r="IH48" t="str">
        <f>IF(AND(B48="",HO48=""),"",_xlfn.TEXTJOIN("; ",TRUE,IF(AND(B48&lt;&gt;"",FV48=""),"нет фазы",""),IF(AND(B48&lt;&gt;"",N(GL48)=0,FG48&lt;&gt;"Нет"),"нет мощности",""),IF(AND(HN48&lt;&gt;"",COUNTIFS(Линии[Щит],A48,Линии[Клемма (итог)],HN48)&gt;1),"дубль клеммы "&amp;HN48,""),IF(AND(HQ48&lt;&gt;"",HQ48&lt;&gt;"ok"),HQ48,""),IF(HR48&lt;&gt;"",HR48,""),IF(AND(N(CB48)&gt;=4,N(BX48)=1),CB48&amp;" жил на 1 фазе",""),IF(AND(BC48="R",CG48=1,IF(CS48&lt;&gt;"",N(CV48)&gt;30,OR(N(DA48)=0,N(DA48)&gt;30))),"розетка без дифзащиты до 30 мА",""),IF(AND(CG48=1,N(DA48)&gt;0,ISNUMBER(T48)),IF(T48&gt;N(DA48)/3,"ток утечки "&amp;FIXED(T48,1)&amp;" мА &gt; 1/3 уставки ("&amp;DA48&amp;" мА)",""),""),IF(AND(CH48=1,CS48=""),"«узо»: нет строки с УЗО выше (УЗО 2P 40А 30мА в «Аппаратах»)",""),IF(AND(CS48&lt;&gt;"",CS48=BA48),IF(CT48="","впишите номинал УЗО (УЗО 2P 40А 30мА)",IF(N(CT48)&lt;N(DT48),"УЗО "&amp;CT48&amp;" А &lt; автомата "&amp;DT48&amp;" А перед ним",IF(N(CT48)&lt;N(CX48),"УЗО "&amp;CT48&amp;" А &lt; тока блока "&amp;FIXED(CX48,1)&amp;" А",""))),""),IF(AND(CS48&lt;&gt;"",CS48=BA48,ISNUMBER(CY48)),IF(CY48&gt;N(CV48)/3,"ток утечки блока УЗО "&amp;FIXED(CY48,1)&amp;" мА &gt; 1/3 уставки ("&amp;CV48&amp;" мА)",""),""),IF(AND(CG48=1,N(BV48)+N(IB48)&gt;0,IC48=""),"линии до 50 В без БП: впишите в «Аппараты» (БП 24V 480W)",""),IF(AND(CG48=1,ISNUMBER(ID48),ISNUMBER(U48)),IF(U48&gt;ID48,"БП "&amp;ID48&amp;" Вт &lt; нужно "&amp;U48&amp;" Вт (×"&amp;Запас_БП&amp;")",""),""),IF(AND(CG48=1,ISNUMBER(IE48),N(BV48)=1),IF(IE48&lt;&gt;N(BU48),"БП на "&amp;IE48&amp;" В, линия "&amp;BU48&amp;" В",""),""),IF(AND(N(IF48)&gt;0,N(IG48)&gt;N(IF48)),HH48&amp;" канал "&amp;HJ48&amp;": "&amp;FIXED(IG48,1)&amp;" А &gt; "&amp;IF48&amp;" А",""),IFERROR(IF(AND(ISNUMBER(Q48),Q48&gt;EL48),"потери "&amp;FIXED(Q48,1)&amp;" % &gt; "&amp;EL48&amp;" %",""),""),IFERROR(IF(LEFT(HU48,4)="мало","Iкз мало — отключение &gt; 0,4 с",""),""),IF(AND(B48&lt;&gt;"",BM48=""),"не на схеме",""),IF(AND(CG48=0,B48&lt;&gt;"",FV48&lt;&gt;"",IF(BA48=1,"",FW47)&lt;&gt;"",FV48&lt;&gt;IF(BA48=1,"",FW47)),"фаза не как у автомата группы ("&amp;IF(BA48=1,"",FW47)&amp;")","")))</f>
        <v/>
      </c>
      <c r="II48" s="6" t="str">
        <f>IF(OR(CG48=0,DQ48=""),"",_xlfn.LET(_xlpm.t,IFERROR(_xlfn.XLOOKUP(DQ48,Каталог!$U$4:$U$500,Каталог!$G$4:$G$500),""),_xlpm.k,SEARCH("кА",_xlpm.t),IFERROR(--TRIM(RIGHT(SUBSTITUTE(MID(_xlpm.t,MAX(1,_xlpm.k-4),_xlpm.k-MAX(1,_xlpm.k-4))," ",REPT(" ",9)),5)),"")))</f>
        <v/>
      </c>
      <c r="IJ48" t="str">
        <f>IF(OR(II48="",CG48=0),"",IF(_xlfn.XLOOKUP(A48,Щиты[Щит],Щиты[Iкз max на шинах, кА],"")="","",IF(II48&lt;_xlfn.XLOOKUP(A48,Щиты[Щит],Щиты[Iкз max на шинах, кА]),"Icu "&amp;II48&amp;" кА &lt; Iкз max","ok")))</f>
        <v/>
      </c>
      <c r="IK48" t="str">
        <f t="shared" si="251"/>
        <v/>
      </c>
      <c r="IL48" t="str">
        <f t="shared" si="252"/>
        <v/>
      </c>
      <c r="IM48" t="str">
        <f t="shared" si="253"/>
        <v/>
      </c>
      <c r="IN48" t="str" cm="1">
        <f t="array" ref="IN48">IF(IM48="","",_xlfn.LET(_xlpm.nd,_xlfn.TEXTSPLIT(IM48,"|"),IF(COLUMNS(_xlpm.nd)&gt;1,A48&amp;"¦"&amp;INDEX(_xlpm.nd,1)&amp;"¦"&amp;INDEX(_xlpm.nd,2),"")))</f>
        <v/>
      </c>
      <c r="IO48" t="str">
        <f t="shared" si="254"/>
        <v/>
      </c>
      <c r="IP48" t="str" cm="1">
        <f t="array" ref="IP48">IF(IM48="","",_xlfn.LET(_xlpm.nd,_xlfn.TEXTSPLIT(IM48,"|"),IF(COLUMNS(_xlpm.nd)&gt;2,A48&amp;"¦"&amp;INDEX(_xlpm.nd,2)&amp;"¦"&amp;INDEX(_xlpm.nd,3),"")))</f>
        <v/>
      </c>
      <c r="IQ48" t="str">
        <f t="shared" si="255"/>
        <v/>
      </c>
      <c r="IR48" t="str" cm="1">
        <f t="array" ref="IR48">IF(IM48="","",_xlfn.LET(_xlpm.nd,_xlfn.TEXTSPLIT(IM48,"|"),IF(COLUMNS(_xlpm.nd)&gt;3,A48&amp;"¦"&amp;INDEX(_xlpm.nd,3)&amp;"¦"&amp;INDEX(_xlpm.nd,4),"")))</f>
        <v/>
      </c>
      <c r="IS48" t="str">
        <f t="shared" si="256"/>
        <v/>
      </c>
      <c r="IT48" t="str" cm="1">
        <f t="array" ref="IT48">IF(IM48="","",_xlfn.LET(_xlpm.nd,_xlfn.TEXTSPLIT(IM48,"|"),IF(COLUMNS(_xlpm.nd)&gt;4,A48&amp;"¦"&amp;INDEX(_xlpm.nd,4)&amp;"¦"&amp;INDEX(_xlpm.nd,5),"")))</f>
        <v/>
      </c>
      <c r="IU48" t="str">
        <f t="shared" si="257"/>
        <v/>
      </c>
      <c r="IV48" t="str" cm="1">
        <f t="array" ref="IV48">IF(IM48="","",_xlfn.LET(_xlpm.nd,_xlfn.TEXTSPLIT(IM48,"|"),IF(COLUMNS(_xlpm.nd)&gt;5,A48&amp;"¦"&amp;INDEX(_xlpm.nd,5)&amp;"¦"&amp;INDEX(_xlpm.nd,6),"")))</f>
        <v/>
      </c>
      <c r="IW48" t="str">
        <f t="shared" si="258"/>
        <v/>
      </c>
      <c r="IX48" t="str" cm="1">
        <f t="array" ref="IX48">IF(IM48="","",_xlfn.LET(_xlpm.nd,_xlfn.TEXTSPLIT(IM48,"|"),IF(COLUMNS(_xlpm.nd)&gt;6,A48&amp;"¦"&amp;INDEX(_xlpm.nd,6)&amp;"¦"&amp;INDEX(_xlpm.nd,7),"")))</f>
        <v/>
      </c>
      <c r="IY48" t="str">
        <f t="shared" si="259"/>
        <v/>
      </c>
      <c r="IZ48" t="str">
        <f t="shared" si="260"/>
        <v/>
      </c>
      <c r="JA48" t="str">
        <f t="shared" si="261"/>
        <v/>
      </c>
      <c r="JB48">
        <f t="shared" si="262"/>
        <v>0</v>
      </c>
      <c r="JC48">
        <f t="shared" si="263"/>
        <v>0</v>
      </c>
      <c r="JD48" t="str">
        <f t="shared" si="264"/>
        <v/>
      </c>
      <c r="JE48" t="str">
        <f t="shared" si="265"/>
        <v/>
      </c>
      <c r="JF48" t="str">
        <f t="shared" si="266"/>
        <v/>
      </c>
      <c r="JG48" t="str">
        <f t="shared" si="267"/>
        <v/>
      </c>
      <c r="JH48">
        <f>IF(B48="","",IFERROR(_xlfn.XLOOKUP(B48,Коды_код,Коды_уго),IFERROR(_xlfn.XLOOKUP(BC48,Коды_код,Коды_уго),IFERROR(_xlfn.XLOOKUP(LEFT(BC48,2),Коды_код,Коды_уго),""))))</f>
        <v>0</v>
      </c>
      <c r="JI48" t="str">
        <f>IF(B48="","",IF(OR(JH48="",JH48=0),"BOX",IFERROR(IF(VLOOKUP(JH48,УГО_блоки,3,FALSE)&amp;""&lt;&gt;"",VLOOKUP(JH48,УГО_блоки,3,FALSE),VLOOKUP(JH48,УГО_блоки,2,FALSE)),JH48)))</f>
        <v>BOX</v>
      </c>
      <c r="JJ48">
        <f t="shared" si="268"/>
        <v>1</v>
      </c>
      <c r="JK48" t="str">
        <f>IF(DQ48="","",IF(COUNTIF(DQ$3:DQ48,DQ48)=1,MAX(JK$2:JK47)+1,""))</f>
        <v/>
      </c>
      <c r="JL48" t="str">
        <f>IF(DE48="","",IF(COUNTIF(DE$3:DE48,DE48)+COUNTIF(DF$2:DF47,DE48)+COUNTIF(DG$2:DG47,DE48)=1,MAX(JL$2:JN47)+1,""))</f>
        <v/>
      </c>
      <c r="JM48" t="str">
        <f>IF(DF48="","",IF(COUNTIF(DE$3:DE48,DF48)+COUNTIF(DF$3:DF48,DF48)+COUNTIF(DG$2:DG47,DF48)=1,MAX(JL$2:JN47,JL48)+1,""))</f>
        <v/>
      </c>
      <c r="JN48" t="str">
        <f>IF(DG48="","",IF(COUNTIF(DE$3:DE48,DG48)+COUNTIF(DF$3:DF48,DG48)+COUNTIF(DG$3:DG48,DG48)=1,MAX(JL$2:JN47,JL48,JM48)+1,""))</f>
        <v/>
      </c>
      <c r="JO48" t="str">
        <f t="shared" si="269"/>
        <v/>
      </c>
      <c r="JP48" t="str">
        <f>IF(JO48="","",IF(COUNTIF(JO$3:JO48,JO48)=1,MAX(JP$2:JP47)+1,""))</f>
        <v/>
      </c>
      <c r="JQ48" t="str">
        <f>IF(HG48="","",COUNTIF(HG$3:HG48,"?*"))</f>
        <v/>
      </c>
      <c r="JR48" t="str">
        <f>IF(OR(HG48="",HI48=""),"",IF(COUNTIFS(HG$3:HG48,"?*",HI$3:HI48,HI48)=1,MAX(JR$2:JR47)+1,""))</f>
        <v/>
      </c>
      <c r="JS48">
        <f t="shared" si="270"/>
        <v>0</v>
      </c>
      <c r="JT48">
        <f>IF(B48="","",COUNTIF(B$3:B48,"?*"))</f>
        <v>44</v>
      </c>
      <c r="JU48">
        <f>IF(HL48&lt;&gt;1,0,_xlfn.LET(_xlpm.k,MAX(IFERROR(--_xlfn.XLOOKUP(B48,Коды_код,Коды_3L),0),IFERROR(--_xlfn.XLOOKUP(BC48,Коды_код,Коды_3L),0),IFERROR(--_xlfn.XLOOKUP(LEFT(BC48,2),Коды_код,Коды_3L),0)),IF(_xlpm.k&gt;0,_xlpm.k,IF(IFERROR(--LEFT(SUBSTITUTE(JO48,"x","х"),FIND("х",SUBSTITUTE(JO48,"x","х"))-1),3)&gt;3,Каталог!$S$9,1))))</f>
        <v>0</v>
      </c>
      <c r="JV48">
        <f t="shared" si="271"/>
        <v>0</v>
      </c>
      <c r="JW48" t="str">
        <f t="shared" si="272"/>
        <v>авто</v>
      </c>
      <c r="JX48" t="str">
        <f t="shared" si="273"/>
        <v/>
      </c>
      <c r="JY48">
        <f t="shared" si="274"/>
        <v>0</v>
      </c>
      <c r="JZ48">
        <f t="shared" si="275"/>
        <v>1</v>
      </c>
    </row>
    <row r="49" spans="1:286" x14ac:dyDescent="0.3">
      <c r="A49" t="s">
        <v>948</v>
      </c>
      <c r="B49" t="s">
        <v>1229</v>
      </c>
      <c r="C49" t="str">
        <f>Линии[[#This Row],[_авто наименование]]</f>
        <v>Приточная установка, пом. 01</v>
      </c>
      <c r="E49">
        <v>5.5</v>
      </c>
      <c r="G49" t="str">
        <f>Линии[[#This Row],[_авто автомат]]</f>
        <v>3P С16А</v>
      </c>
      <c r="H49" t="str">
        <f>Линии[[#This Row],[_авто управление]]</f>
        <v/>
      </c>
      <c r="I49" t="str">
        <f>Линии[[#This Row],[_авто аппараты]]</f>
        <v/>
      </c>
      <c r="J49">
        <f>Линии[[#This Row],[_авто сечение]]</f>
        <v>2.5</v>
      </c>
      <c r="K49">
        <v>30</v>
      </c>
      <c r="L49" t="str">
        <f>Линии[[#This Row],[_авто фаза]]</f>
        <v>L1,L2,L3</v>
      </c>
      <c r="M49" t="str">
        <f>Линии[[#This Row],[_авто клемма]]</f>
        <v>XT1</v>
      </c>
      <c r="N49" t="str">
        <f t="shared" si="138"/>
        <v/>
      </c>
      <c r="O49" s="6" cm="1">
        <f t="array" ref="O49">IF(B49="","",IF(BH49&lt;&gt;"",IFERROR(_xlfn.XLOOKUP(BH49,Щиты[Щит],Щиты[Iр, А]),""),IF(BP49=1,IF(OR(N(_xlfn.XLOOKUP(A49,Щиты[Щит],Щиты[Вводов],1))&lt;=1,LOWER(TRIM(_xlfn.XLOOKUP(A49,Щиты[Щит],Щиты[АВР],"")&amp;""))="да"),IFERROR(_xlfn.XLOOKUP(A49,Щиты[Щит],Щиты[Iр, А]),""),IFERROR(N(BS49)*_xlfn.XLOOKUP(A49,Щиты[Щит],Щиты[Кс итог])/(SQRT(3)*Uн_лин*_xlfn.XLOOKUP(A49,Щиты[Щит],Щиты[cos φ])),"")),IF(BV49=1,IFERROR(BS49*1000/BU49,""),IFERROR(_xlfn.IFS(BX49=1,BS49/((Uн_лин/SQRT(3))*CE49),BX49=3,BS49/(SQRT(3)*Uн_лин*CE49)),"")))))</f>
        <v>9.9232077516966921</v>
      </c>
      <c r="P49" s="7">
        <f>IF(B49="","",IFERROR(IF(VLOOKUP(BC49,Потребители_обозначение,4,FALSE)=1,VLOOKUP(BC49,Потребители_обозначение,3,FALSE)*(MAX(1,N(D49))*2-1)+EI49+VLOOKUP(BE49,Этаж_обозначение,3,FALSE)+VLOOKUP(BE49,Этаж_обозначение,4,FALSE),VLOOKUP(BC49,Потребители_обозначение,3,FALSE)*(MAX(1,N(D49))*2-1)+EI49),EI49))</f>
        <v>31</v>
      </c>
      <c r="Q49" s="6">
        <f t="shared" si="139"/>
        <v>2.8860288498727975</v>
      </c>
      <c r="R49" t="str">
        <f t="shared" si="140"/>
        <v>ВВГнг(А)-LS (5х2,5)</v>
      </c>
      <c r="S49" t="str">
        <f>IF(BM49="","",IF(BN49="вводной узел","узел ","")&amp;"л."&amp;(INT((BM49-1)/Столбцов_на_лист)+1)&amp;" / "&amp;(MOD(BM49-1,Столбцов_на_лист)+1))</f>
        <v>л.1 / 3</v>
      </c>
      <c r="T49" s="119">
        <f t="shared" si="141"/>
        <v>4.3</v>
      </c>
      <c r="U49" s="7" t="str">
        <f>IF(OR(CG49=0,N(BV49)+N(IB49)=0),"",ROUNDUP(Запас_БП*(N(HY49)+N(HZ49)),0))</f>
        <v/>
      </c>
      <c r="V49" s="119" t="str">
        <f t="shared" si="142"/>
        <v/>
      </c>
      <c r="W49" s="7">
        <f>IFERROR(IF(OR(B49="",BP49=1,BV49=1,NOT(ISNUMBER(EN49)),N(DT49)=0),"",MAX(0,ROUNDDOWN((c_min*(Uн_лин*1000/SQRT(3))/(HT49*N(DT49))-_xlfn.XLOOKUP(A49,Щиты[Щит],Щиты[Zпетли на шинах, Ом]))*EN49/(2*ρкз_Cu),0))),"")</f>
        <v>32</v>
      </c>
      <c r="Y49" t="str">
        <f>Линии[[#This Row],[_авто утечка]]</f>
        <v/>
      </c>
      <c r="Z49">
        <v>3</v>
      </c>
      <c r="AA49">
        <v>400</v>
      </c>
      <c r="AB49" t="str">
        <f>Линии[[#This Row],[_авто группа Кс]]</f>
        <v>Сил</v>
      </c>
      <c r="AG49" t="s">
        <v>760</v>
      </c>
      <c r="AK49" t="str">
        <f>Линии[[#This Row],[_авто модуль]]</f>
        <v/>
      </c>
      <c r="AN49" t="s">
        <v>11</v>
      </c>
      <c r="AO49">
        <v>5</v>
      </c>
      <c r="BA49" cm="1">
        <f t="array" ref="BA49">ROW()-ROW(Линии[#Headers])</f>
        <v>47</v>
      </c>
      <c r="BC49" s="6" t="str">
        <f t="shared" si="143"/>
        <v>ПУ</v>
      </c>
      <c r="BD49" t="str">
        <f t="shared" si="144"/>
        <v>0.01.1</v>
      </c>
      <c r="BE49" t="str">
        <f t="shared" si="145"/>
        <v>0</v>
      </c>
      <c r="BF49" t="str">
        <f t="shared" si="146"/>
        <v>01.1</v>
      </c>
      <c r="BG49" t="str">
        <f t="shared" si="147"/>
        <v>01</v>
      </c>
      <c r="BH49" t="str">
        <f>IF(X49&lt;&gt;"",X49,IF(AND(B49&lt;&gt;"",B49&lt;&gt;A49,ISNUMBER(_xlfn.XMATCH(B49,Щиты[Щит]))),B49,""))</f>
        <v/>
      </c>
      <c r="BI49" t="str" cm="1">
        <f t="array" ref="BI49">IF(B49="","",IF(BH49&lt;&gt;"","Щит "&amp;BH49,_xlfn.LET(_xlpm.nm,IFERROR(_xlfn.XLOOKUP(BC49,Коды_код,Коды_имя)&amp;"",""),_xlpm.md,IFERROR(N(_xlfn.XLOOKUP(BC49,Коды_код,Коды_режим)),1),_xlpm.ex,IF(Имя_режим="по экспликации",IFERROR(_xlfn.XLOOKUP(BE49&amp;"|"&amp;BG49,Экспликация[Этаж]&amp;"|"&amp;Экспликация[Помещение],Экспликация[Название])&amp;"",""),""),_xlpm.rm,IF(BG49="","",IF(_xlpm.ex&lt;&gt;"",". "&amp;_xlpm.ex&amp;IF(Имя_пом="нет"," ("&amp;BG49&amp;")"," (пом. "&amp;BG49&amp;")"),IF(Имя_пом="нет"," ",", пом. ")&amp;BG49)),IF(_xlpm.nm="","",IF(_xlpm.md=2,_xlpm.nm&amp;" шлейф "&amp;BE49,_xlpm.nm&amp;_xlpm.rm)))))</f>
        <v>Приточная установка, пом. 01</v>
      </c>
      <c r="BJ49" t="str">
        <f t="shared" si="148"/>
        <v>Приточная установка, пом. 01</v>
      </c>
      <c r="BK49">
        <f>IFERROR(_xlfn.XMATCH(A49,Щиты[Щит]),0)</f>
        <v>5</v>
      </c>
      <c r="BL49">
        <f>_xlfn.LET(_xlpm.k,IFERROR(_xlfn.XLOOKUP(A49,Щиты[Щит],Щиты[Мест под вводной узел]),""),IF(_xlpm.k="",Столбцов_на_лист,N(_xlpm.k)))</f>
        <v>2</v>
      </c>
      <c r="BM49">
        <f t="shared" si="149"/>
        <v>3</v>
      </c>
      <c r="BN49" t="str">
        <f t="shared" si="150"/>
        <v>линии</v>
      </c>
      <c r="BO49" s="6">
        <f>IFERROR(N(_xlfn.XLOOKUP(BC49,Коды_код,Коды_квт)),0)</f>
        <v>0</v>
      </c>
      <c r="BP49">
        <f t="shared" si="151"/>
        <v>0</v>
      </c>
      <c r="BQ49" t="str">
        <f>IF(B49="","",IF(BH49&lt;&gt;"",IFERROR(_xlfn.XLOOKUP(BH49,Щиты[Щит],Щиты[Руст, кВт]),0),IF(BP49=1,IF(OR(N(_xlfn.XLOOKUP(A49,Щиты[Щит],Щиты[Вводов],1))&lt;=1,LOWER(TRIM(_xlfn.XLOOKUP(A49,Щиты[Щит],Щиты[АВР],"")&amp;""))="да"),IFERROR(_xlfn.XLOOKUP(A49,Щиты[Щит],Щиты[Руст, кВт]),0),SUMIFS(Линии[_Р для вводов],Линии[Щит],A49,Линии[Источник для режимов],GF49)),IF(BO49&gt;0,ROUND(BO49*MAX(1,N(D49)),3),""))))</f>
        <v/>
      </c>
      <c r="BR49">
        <f t="shared" si="152"/>
        <v>5.5</v>
      </c>
      <c r="BS49" s="6">
        <f>IF(B49="","",IF(BH49&lt;&gt;"",IFERROR(_xlfn.XLOOKUP(BH49,Щиты[Щит],Щиты[Руст, кВт]),0),N(BR49)))</f>
        <v>5.5</v>
      </c>
      <c r="BT49" t="str">
        <f>IF(B49="","",IFERROR(IF(VLOOKUP(BC49,Потребители_обозначение,8,FALSE)=0,"",VLOOKUP(BC49,Потребители_обозначение,8,FALSE)),""))</f>
        <v/>
      </c>
      <c r="BU49">
        <f t="shared" si="153"/>
        <v>400</v>
      </c>
      <c r="BV49">
        <f t="shared" si="154"/>
        <v>0</v>
      </c>
      <c r="BW49">
        <f>IF(B49="","",IF(BH49&lt;&gt;"",3,IFERROR(IF(N(VLOOKUP(BC49,Потребители_обозначение,9,FALSE))=0,1,VLOOKUP(BC49,Потребители_обозначение,9,FALSE)),1)))</f>
        <v>1</v>
      </c>
      <c r="BX49">
        <f t="shared" si="155"/>
        <v>3</v>
      </c>
      <c r="BY49" t="str">
        <f>IF(B49="","",_xlfn.LET(_xlpm.bc,IFERROR(IF(VLOOKUP(BC49,Потребители_обозначение,6,FALSE)=0,"",VLOOKUP(BC49,Потребители_обозначение,6,FALSE)&amp;""),""),IF(AND(GA49="да",OR(_xlpm.bc="",_xlpm.bc="мс")),Марка_пож,IF(AND(_xlpm.bc="",BH49&lt;&gt;""),"мс",_xlpm.bc))))</f>
        <v>мс</v>
      </c>
      <c r="BZ49" t="str">
        <f t="shared" si="156"/>
        <v>мс</v>
      </c>
      <c r="CA49">
        <f>IF(B49="","",_xlfn.LET(_xlpm.cc,IFERROR(N(VLOOKUP(BC49,Потребители_обозначение,7,FALSE)),0),IF(_xlpm.cc&gt;0,_xlpm.cc,IF(BZ49="","",IF(BV49=1,2,IF(N(BX49)=3,5,3))))))</f>
        <v>5</v>
      </c>
      <c r="CB49">
        <f t="shared" si="157"/>
        <v>5</v>
      </c>
      <c r="CC49">
        <f>IFERROR(N(VLOOKUP(BC49,Потребители_обозначение,10,FALSE)),0)</f>
        <v>0</v>
      </c>
      <c r="CD49">
        <f>IFERROR(VLOOKUP(BC49,Потребители_обозначение,5,FALSE),0)</f>
        <v>1</v>
      </c>
      <c r="CE49" s="6" cm="1">
        <f t="array" ref="CE49">IF(B49="","",IF(BH49&lt;&gt;"",IFERROR(_xlfn.XLOOKUP(BH49,Щиты[Щит],Щиты[cos φ]),0.95),IF(BP49=1,IFERROR(_xlfn.XLOOKUP(A49,Щиты[Щит],Щиты[cos φ]),0.95),IF(ISNUMBER(AD49),AD49,IFERROR(IF(CD49=2,_xlfn.IFS(BX49=3,VLOOKUP(BS49,Справочная_двигатели,8,FALSE),BX49=1,VLOOKUP(BS49,Справочная_двигатели,10,TRUE)),IF(AND(Методика="нормы 2026",FG49="Сил"),0.8,0.95)),0.95)))))</f>
        <v>0.8</v>
      </c>
      <c r="CF49">
        <f t="shared" si="158"/>
        <v>0</v>
      </c>
      <c r="CG49">
        <f t="shared" si="159"/>
        <v>1</v>
      </c>
      <c r="CH49">
        <f t="shared" si="160"/>
        <v>0</v>
      </c>
      <c r="CI49">
        <f>IF(B49="","",IF(BV49=1,IFERROR(BS49/((Uн_лин/SQRT(3))*MAX(0.5,N(CE49))),0),N(O49)))</f>
        <v>9.9232077516966921</v>
      </c>
      <c r="CJ49">
        <f t="shared" si="161"/>
        <v>0</v>
      </c>
      <c r="CK49">
        <f t="shared" si="162"/>
        <v>0</v>
      </c>
      <c r="CL49">
        <f t="shared" si="163"/>
        <v>0</v>
      </c>
      <c r="CM49">
        <f t="shared" si="164"/>
        <v>0</v>
      </c>
      <c r="CN49">
        <f t="shared" si="165"/>
        <v>0</v>
      </c>
      <c r="CO49">
        <f>IF(BC49="",0,_xlfn.LET(_xlpm.v,IFERROR(_xlfn.XLOOKUP(B49,Коды_код,Коды_мА),IFERROR(_xlfn.XLOOKUP(BC49,Коды_код,Коды_мА),IFERROR(_xlfn.XLOOKUP(LEFT(BC49,2),Коды_код,Коды_мА),""))),IF(_xlpm.v="да",30,IF(ISNUMBER(_xlpm.v),_xlpm.v,0))))</f>
        <v>0</v>
      </c>
      <c r="CP49" t="str">
        <f t="shared" si="166"/>
        <v/>
      </c>
      <c r="CQ49" t="str">
        <f>_xlfn.LET(_xlpm.k,IFERROR(_xlfn.XLOOKUP(BC49,Коды_код,Коды_утечка)&amp;"",""),IF(_xlpm.k="","дифавтомат",_xlpm.k))</f>
        <v>дифавтомат</v>
      </c>
      <c r="CR49" t="str" cm="1">
        <f t="array" ref="CR49">IF(CG49=0,"",_xlfn.LET(_xlpm.sg,TRIM(_xlfn.TEXTSPLIT(DD49&amp;"",";")),_xlpm.f_,_xlfn._xlws.FILTER(_xlpm.sg,LEFT(_xlpm.sg,3)="УЗО",""),IFERROR(INDEX(_xlpm.f_,1)&amp;"","")))</f>
        <v/>
      </c>
      <c r="CS49" t="str">
        <f t="shared" si="167"/>
        <v/>
      </c>
      <c r="CT49" s="6" t="str" cm="1">
        <f t="array" ref="CT49">IF(CR49="","",_xlfn.LET(_xlpm.tk,_xlfn.TEXTSPLIT(UPPER(CR49)," ",,TRUE),_xlpm.a_,_xlfn._xlws.FILTER(_xlpm.tk,ISNUMBER(--LEFT(_xlpm.tk,1))*((ISNUMBER(SEARCH("А",_xlpm.tk))+ISNUMBER(SEARCH("A",_xlpm.tk)))&gt;0)*NOT(ISNUMBER(SEARCH("МА",_xlpm.tk)))*NOT(ISNUMBER(SEARCH("MA",_xlpm.tk))),""),IFERROR(--SUBSTITUTE(SUBSTITUTE(INDEX(_xlpm.a_,1),"А",""),"A",""),"")))</f>
        <v/>
      </c>
      <c r="CU49" t="str" cm="1">
        <f t="array" ref="CU49">IF(CR49="","",_xlfn.LET(_xlpm.tk,_xlfn.TEXTSPLIT(UPPER(CR49)," ",,TRUE),_xlpm.a_,_xlfn._xlws.FILTER(_xlpm.tk,ISNUMBER(--LEFT(_xlpm.tk,1))*((ISNUMBER(SEARCH("МА",_xlpm.tk))+ISNUMBER(SEARCH("MA",_xlpm.tk)))&gt;0),""),IFERROR(--SUBSTITUTE(SUBSTITUTE(INDEX(_xlpm.a_,1),"МА",""),"MA",""),30)))</f>
        <v/>
      </c>
      <c r="CV49" t="str">
        <f>IF(CS49="","",IFERROR(_xlfn.XLOOKUP(CS49,Линии[_n],Линии[_УЗО, мА]),30))</f>
        <v/>
      </c>
      <c r="CW49">
        <f>IF(CS49="",0,IF(ISNUMBER(SEARCH("4P",IFERROR(_xlfn.XLOOKUP(CS49,Линии[_n],Линии[_УЗО строки])&amp;"",""))),0,1))</f>
        <v>0</v>
      </c>
      <c r="CX49" t="str">
        <f>IF(AND(CS49&lt;&gt;"",CS49=BA49),SUMIFS(Линии[_ток на 230 В],Линии[_блок УЗО],BA49,Линии[Щит],A49),"")</f>
        <v/>
      </c>
      <c r="CY49" t="str">
        <f>IF(AND(CS49&lt;&gt;"",CS49=BA49),SUMIFS(Линии[_ток утечки линии, мА],Линии[_блок УЗО],BA49,Линии[Щит],A49),"")</f>
        <v/>
      </c>
      <c r="CZ49">
        <f t="shared" si="168"/>
        <v>0</v>
      </c>
      <c r="DA49">
        <f t="shared" si="169"/>
        <v>0</v>
      </c>
      <c r="DB49">
        <f>IF(B49="",0,IFERROR(--_xlfn.XLOOKUP(B49,Коды_код,Коды_минавт),IFERROR(--_xlfn.XLOOKUP(BC49,Коды_код,Коды_минавт),IFERROR(--_xlfn.XLOOKUP(LEFT(BC49,2),Коды_код,Коды_минавт),0))))</f>
        <v>0</v>
      </c>
      <c r="DC49" t="str">
        <f>IF(B49="","",IFERROR(_xlfn.XLOOKUP(BC49,Коды_код,Коды_апп)&amp;"",""))</f>
        <v/>
      </c>
      <c r="DD49" t="str">
        <f t="shared" si="170"/>
        <v/>
      </c>
      <c r="DE49" t="str" cm="1">
        <f t="array" ref="DE49">IF(TRIM(DD49&amp;"")="","",IFERROR(TRIM(INDEX(_xlfn.TEXTSPLIT(DD49&amp;";;;",";"),1)),""))</f>
        <v/>
      </c>
      <c r="DF49" t="str" cm="1">
        <f t="array" ref="DF49">IF(TRIM(DD49&amp;"")="","",IFERROR(TRIM(INDEX(_xlfn.TEXTSPLIT(DD49&amp;";;;",";"),2)),""))</f>
        <v/>
      </c>
      <c r="DG49" t="str" cm="1">
        <f t="array" ref="DG49">IF(TRIM(DD49&amp;"")="","",IFERROR(TRIM(INDEX(_xlfn.TEXTSPLIT(DD49&amp;";;;",";"),3)),""))</f>
        <v/>
      </c>
      <c r="DH49">
        <f t="shared" si="171"/>
        <v>0</v>
      </c>
      <c r="DI49" t="str">
        <f>IF(B49="","",_xlfn.LET(_xlpm.t,LOWER(AZ49&amp;""),IF(ISNUMBER(SEARCH("dim",_xlpm.t)),"DIM",IF(ISNUMBER(SEARCH("dali",_xlpm.t)),"DALI",IF(OR(ISNUMBER(SEARCH("relay",_xlpm.t)),ISNUMBER(SEARCH("реле",_xlpm.t))),"Relay",IF(ISNUMBER(SEARCH("кнопк",_xlpm.t)),"",IFERROR(_xlfn.XLOOKUP(BC49,Коды_код,Коды_упр)&amp;"","")))))))</f>
        <v/>
      </c>
      <c r="DJ49" t="str">
        <f t="shared" si="172"/>
        <v/>
      </c>
      <c r="DK49">
        <f>IF(B49="","",_xlfn.LET(_xlpm.ig,IF(N(CX49)&gt;0,N(CX49),N(CI49)+IF(AJ49="вручную",0,N(CJ49))),_xlpm.n0,IFERROR(VLOOKUP(_xlpm.ig,Автомат_номиналы,2,TRUE),0),_xlpm.mn,MAX(DB49,IF(AJ49="вручную",0,N(CM49))),MAX(_xlpm.n0,_xlpm.mn,IF(DH49=1,Мин_автомат_БП,0))))</f>
        <v>16</v>
      </c>
      <c r="DL49">
        <f t="shared" si="173"/>
        <v>3</v>
      </c>
      <c r="DM49" t="str">
        <f t="shared" si="174"/>
        <v>3P</v>
      </c>
      <c r="DN49" t="str">
        <f>_xlfn.LET(_xlpm.cc,UPPER(TRIM(IFERROR(_xlfn.XLOOKUP(BC49,Коды_код,Коды_хар)&amp;"",""))),IF(OR(_xlpm.cc="B",_xlpm.cc="В"),"B",IF(_xlpm.cc="D","D","С")))</f>
        <v>С</v>
      </c>
      <c r="DO49" t="str">
        <f t="shared" si="175"/>
        <v>3P С16А</v>
      </c>
      <c r="DP49" t="str">
        <f t="shared" si="176"/>
        <v>3P С16А</v>
      </c>
      <c r="DQ49" t="str">
        <f t="shared" si="177"/>
        <v>3P С16А</v>
      </c>
      <c r="DR49" cm="1">
        <f t="array" ref="DR49">IF(DQ49="","",_xlfn.LET(_xlpm.t,SUBSTITUTE(SUBSTITUTE(SUBSTITUTE(UPPER(DQ49),"С","C"),"А","A"),"В","B"),_xlpm.tk,_xlfn.TEXTSPLIT(_xlpm.t," "),_xlpm.f,_xlfn._xlws.FILTER(_xlpm.tk,ISNUMBER(--MID(_xlpm.tk,2,1))*ISNUMBER(SEARCH(LEFT(_xlpm.tk,1)&amp;"#","B#C#D#"))*(LEN(_xlpm.tk)&gt;1),""),_xlpm.x,INDEX(_xlpm.f,1),IFERROR(--SUBSTITUTE(MID(_xlpm.x,2,9),"A",""),IFERROR(--SUBSTITUTE(INDEX(_xlfn._xlws.FILTER(_xlpm.tk,ISNUMBER(--SUBSTITUTE(_xlpm.tk,"A","")),""),1),"A",""),""))))</f>
        <v>16</v>
      </c>
      <c r="DS49" t="str">
        <f t="shared" si="178"/>
        <v>ok</v>
      </c>
      <c r="DT49">
        <f t="shared" si="179"/>
        <v>16</v>
      </c>
      <c r="DU49" t="str">
        <f t="shared" si="180"/>
        <v>3P С16А</v>
      </c>
      <c r="DV49">
        <f t="shared" si="181"/>
        <v>0</v>
      </c>
      <c r="DW49">
        <f t="shared" si="182"/>
        <v>0</v>
      </c>
      <c r="DX49">
        <f t="shared" si="183"/>
        <v>0</v>
      </c>
      <c r="DY49">
        <f t="shared" si="184"/>
        <v>9.9232077516966921</v>
      </c>
      <c r="DZ49">
        <f t="shared" si="185"/>
        <v>0.92</v>
      </c>
      <c r="EA49">
        <f>IF(ISNUMBER(AP49),AP49,К_прокл)</f>
        <v>1</v>
      </c>
      <c r="EB49">
        <f t="shared" si="186"/>
        <v>3</v>
      </c>
      <c r="EC49">
        <f>IFERROR(N(VLOOKUP(BZ49,Кабель_обозначение,3,FALSE)),1)</f>
        <v>1</v>
      </c>
      <c r="ED49">
        <f>IFERROR(N(_xlfn.XLOOKUP(A49,Щиты[Щит],Щиты[ΔU до шин, %])),0)</f>
        <v>1.9160288498727978</v>
      </c>
      <c r="EE49">
        <f>IFERROR(_xlfn.XLOOKUP(A49,Щиты[Щит],Щиты[Zпетли на шинах, Ом]),"")</f>
        <v>0.67697829354840211</v>
      </c>
      <c r="EF49">
        <f>IFERROR(N(_xlfn.XLOOKUP(A49,Щиты[Щит],Щиты[ΔU до шин (подбор), %])),0)</f>
        <v>1.9160288498727978</v>
      </c>
      <c r="EG49">
        <f>IFERROR(_xlfn.XLOOKUP(A49,Щиты[Щит],Щиты[Zпетли на шинах (подбор), Ом]),"")</f>
        <v>0.67697829354840211</v>
      </c>
      <c r="EH49" t="str">
        <f t="shared" si="187"/>
        <v/>
      </c>
      <c r="EI49">
        <f t="shared" si="188"/>
        <v>30</v>
      </c>
      <c r="EJ49">
        <f t="shared" si="189"/>
        <v>1</v>
      </c>
      <c r="EK49">
        <f t="shared" si="190"/>
        <v>0.6</v>
      </c>
      <c r="EL49" s="6">
        <f>IF(B49="","",IF(BV49=1,dU_LED,IF(IFERROR(_xlfn.XLOOKUP(BC49,Коды_код,Коды_уго),"")="Светильник",3,4)+IF(Методика="нормы 2026",MIN(0.5,MAX(0,N(P49)-100)*0.005),0)))</f>
        <v>4</v>
      </c>
      <c r="EM49" cm="1">
        <f t="array" ref="EM49">IF(OR(B49="",BZ49="",EC49&lt;&gt;1),"",_xlfn.LET(_xlpm.sz,Iдоп_S,_xlpm.t_,CHOOSE(EB49,Iдоп_1ж,Iдоп_2ж,Iдоп_3ж)*DZ49*EA49,_xlpm.dcx,BV49=1,_xlpm.inn,IF(_xlpm.dcx,N(O49),N(DT49)),_xlpm.smin,MAX(1.5,CC49),_xlpm.L_,N(P49),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49)/N(BU49)*100,999),IFERROR(N(EJ49)*(_xlpm.rho*_xlpm.L_/_xlpm.sz*N(CE49)+_xlpm.xx*_xlpm.L_*N(EK49)/1000)*N(O49)/((Uн_лин/SQRT(3))*1000)*100,999)),_xlpm.kz,IF(OR(_xlpm.dcx,DW49=1,NOT(ISNUMBER(EG49)),_xlpm.L_=0,_xlpm.inn=0),1,IFERROR(--(c_min*(Uн_лин*1000/SQRT(3))/(EG49+2*ρкз_Cu*_xlpm.L_/_xlpm.sz)&gt;=HT49*_xlpm.inn),0)),_xlpm.ok,IFERROR((_xlpm.sz&gt;=_xlpm.smin)*(_xlpm.t_&gt;=_xlpm.inn)*IF(_xlpm.L_&gt;0,(_xlpm.du_+IF(_xlpm.dcx,0,EF49)&lt;=EL49+0.00001),1)*_xlpm.kz,0),_xlpm.r_,_xlfn._xlws.FILTER(_xlpm.sz,_xlpm.ok,"не подобрано"),INDEX(_xlpm.r_,1)))</f>
        <v>2.5</v>
      </c>
      <c r="EN49">
        <f t="shared" si="191"/>
        <v>2.5</v>
      </c>
      <c r="EO49" cm="1">
        <f t="array" ref="EO49">IF(OR(B49="",BZ49="",EC49&lt;&gt;1),"",_xlfn.LET(_xlpm.sz,Iдоп_S,_xlpm.t_,CHOOSE(EB49,Iдоп_1ж,Iдоп_2ж,Iдоп_3ж)*DZ49*EA49,_xlpm.ok,IFERROR((_xlpm.sz&gt;=MAX(1.5,CC49))*(_xlpm.t_&gt;=N(DT49)),0),_xlpm.r_,_xlfn._xlws.FILTER(_xlpm.sz,_xlpm.ok,""),INDEX(_xlpm.r_,1)))</f>
        <v>1.5</v>
      </c>
      <c r="EP49" s="6" cm="1">
        <f t="array" ref="EP49">IFERROR(ROUNDUP(N(EJ49)*(_xlfn.XLOOKUP(EO49,INDEX(Кабель_сопротивление,0,1),INDEX(Кабель_сопротивление,0,3))*N(P49)/EO49*N(CE49)+_xlfn.XLOOKUP(EO49,INDEX(Кабель_сопротивление,0,1),INDEX(Кабель_сопротивление,0,2))*N(P49)*N(EK49)/1000)*N(O49)/((Uн_лин/SQRT(3))*1000)*100,2),"")</f>
        <v>1.61</v>
      </c>
      <c r="EQ49">
        <f>IFERROR(2*ρкз_Cu*N(P49)/EO49,"")</f>
        <v>1.0870666666666666</v>
      </c>
      <c r="ER49">
        <f>IFERROR(VLOOKUP(EN49,Кабель_сопротивление,3,FALSE),"")</f>
        <v>2.2499999999999999E-2</v>
      </c>
      <c r="ES49">
        <f>IFERROR(VLOOKUP(EN49,Кабель_сопротивление,2,FALSE),"")</f>
        <v>0.1</v>
      </c>
      <c r="ET49" t="str">
        <f t="shared" si="192"/>
        <v/>
      </c>
      <c r="EU49" t="str">
        <f t="shared" si="193"/>
        <v/>
      </c>
      <c r="EV49">
        <f t="shared" si="194"/>
        <v>2.2333171365968578</v>
      </c>
      <c r="EW49" s="6">
        <f>IFERROR(ROUNDUP(EV49/IF(BV49=1,BU49,(Uн_лин/SQRT(3))*1000)*100,2),"")</f>
        <v>0.97</v>
      </c>
      <c r="EX49" t="str">
        <f>IFERROR(VLOOKUP(BZ49,Кабель_обозначение,2,FALSE),"")</f>
        <v>ВВГнг(А)-LS</v>
      </c>
      <c r="EY49" t="str">
        <f t="shared" si="195"/>
        <v>ВВГнг(А)-LS (5х2,5)</v>
      </c>
      <c r="EZ49" t="str">
        <f t="shared" si="196"/>
        <v>ВВГнг(А)-LS (5х2,5)
L=31-0,97%</v>
      </c>
      <c r="FA49">
        <f>IFERROR(2*ρкз_Cu*P49/EN49,"")</f>
        <v>0.65224000000000004</v>
      </c>
      <c r="FB49">
        <f t="shared" si="197"/>
        <v>0.21700000000000003</v>
      </c>
      <c r="FC49" s="6">
        <f>IFERROR(IF(OR(B49="",BV49=1,NOT(ISNUMBER(EN49)),N(P49)=0),"",_xlfn.XLOOKUP(A49,Щиты[Щит],Щиты[Zпетли на шинах, Ом])+FA49),"")</f>
        <v>1.329218293548402</v>
      </c>
      <c r="FD49" s="6">
        <f>IF(ISNUMBER(FC49),c_min*(Uн_лин*1000/SQRT(3))/FC49,"")</f>
        <v>165.05423026219344</v>
      </c>
      <c r="FE49" s="6">
        <f>IFERROR(IF(OR(B49="",NOT(ISNUMBER(EN49))),"",1.05*(Uн_лин*1000/SQRT(3))/(_xlfn.XLOOKUP(A49,Щиты[Щит],Щиты[Zmax на шинах, Ом])+FB49)/1000),"")</f>
        <v>0.55954666572207057</v>
      </c>
      <c r="FF49" s="6" t="str">
        <f>IF(B49="","",IF(ISNUMBER(AC49),"Сил",IF(IFERROR(_xlfn.XLOOKUP(BC49,Коды_код,Коды_группа)&amp;"","")="","Быт",_xlfn.XLOOKUP(BC49,Коды_код,Коды_группа)&amp;"")))</f>
        <v>Сил</v>
      </c>
      <c r="FG49" s="6" t="str">
        <f t="shared" si="198"/>
        <v>Сил</v>
      </c>
      <c r="FH49" s="6">
        <f>IF(FG49="Щит","щит",IF(FG49="","",IF(FG49="Быт",IFERROR(_xlfn.XLOOKUP(A49,Щиты[Щит],Щиты[Кс быт]),1),IF(FG49="Сил",IF(ISNUMBER(AC49),AC49,IF(Методика="нормы 2026",IFERROR(_xlfn.XLOOKUP(A49,Щиты[Щит],Щиты[Кс силовых (табл. 7.5)]),1),1)),IF(OR(FG49="Пост",FG49="Отоп"),1,IF(FG49="ВНГ",0.7,0))))))</f>
        <v>0.85000000000000009</v>
      </c>
      <c r="FI49">
        <f>IF(FG49="","",IF(AND(BP49=1,TRIM(AE49&amp;"")=""),IF(COUNTIFS(Линии[Щит],A49,Линии[Секция (1/2/3)],"&gt;=2")&gt;0,MIN(3,MAX(1,IFERROR(--BD49,1))),1),IFERROR(MIN(3,MAX(1,INT(--AE49))),1)))</f>
        <v>1</v>
      </c>
      <c r="FJ49">
        <f t="shared" si="199"/>
        <v>5.5</v>
      </c>
      <c r="FK49">
        <f t="shared" si="200"/>
        <v>0</v>
      </c>
      <c r="FL49">
        <f t="shared" si="201"/>
        <v>4.6750000000000007</v>
      </c>
      <c r="FM49">
        <f t="shared" si="202"/>
        <v>0</v>
      </c>
      <c r="FN49">
        <f t="shared" si="203"/>
        <v>0</v>
      </c>
      <c r="FO49">
        <f t="shared" si="204"/>
        <v>0</v>
      </c>
      <c r="FP49">
        <f t="shared" si="205"/>
        <v>5.5</v>
      </c>
      <c r="FQ49">
        <f t="shared" si="206"/>
        <v>5.5</v>
      </c>
      <c r="FR49">
        <f t="shared" si="207"/>
        <v>4.4000000000000004</v>
      </c>
      <c r="FS49">
        <f>IF(CG49=1,IF(AND(CH49=1,CW49=1),0,IF(AND(CS49&lt;&gt;"",CS49=BA49,CW49=1),SUMIFS(Линии[_Р линии, кВт],Линии[_блок УЗО],BA49,Линии[Щит],A49),N(BS49)+IF(AJ49="вручную",0,N(CK49)))),0)</f>
        <v>5.5</v>
      </c>
      <c r="FT49" t="str">
        <f t="shared" si="208"/>
        <v/>
      </c>
      <c r="FU49" t="str">
        <f>IF(B49="","",IF(CG49=0,IF(BA49=1,"",FW48),IF(AND(CH49=1,CW49=1,CS49&lt;&gt;""),IFERROR(_xlfn.XLOOKUP(CS49,Линии[_n],Линии[_фаза итог]),"L1"),IF(OR(N(DL49)&gt;=3,N(BX49)&gt;=3),"L1,L2,L3",IFERROR(_xlfn.TEXTBEFORE(_xlfn.TEXTAFTER(_xlfn.XLOOKUP(A49,Щиты[Щит],Щиты[_фазы авто]),";"&amp;BA49&amp;":"),";"),"L1")))))</f>
        <v>L1,L2,L3</v>
      </c>
      <c r="FV49" t="str">
        <f t="shared" si="209"/>
        <v>L1,L2,L3</v>
      </c>
      <c r="FW49" t="str">
        <f t="shared" si="210"/>
        <v>L1,L2,L3</v>
      </c>
      <c r="FX49" cm="1">
        <f t="array" ref="FX49">IFERROR(IF(CD49=2,_xlfn.IFS(BX49=3,VLOOKUP(BS49,Справочная_двигатели,3,FALSE),BX49=1,VLOOKUP(BS49,Справочная_двигатели,5,TRUE)),0),0)</f>
        <v>0</v>
      </c>
      <c r="FY49">
        <f>IFERROR(IF(CD49=3,VLOOKUP(BS49,Справочная_ЛЭД,2,TRUE),0),0)</f>
        <v>0</v>
      </c>
      <c r="FZ49" s="6">
        <f t="shared" si="211"/>
        <v>0</v>
      </c>
      <c r="GA49" t="str">
        <f>IF(B49="","",IF(TRIM(AH49&amp;"")&lt;&gt;"",IF(LOWER(TRIM(AH49&amp;""))="да","да","нет"),IF(IFERROR(_xlfn.XLOOKUP(BC49,Коды_код,Коды_пожарная),"")="да","да","нет")))</f>
        <v>нет</v>
      </c>
      <c r="GB49" t="str">
        <f t="shared" si="212"/>
        <v/>
      </c>
      <c r="GC49" t="str">
        <f t="shared" si="213"/>
        <v>основная</v>
      </c>
      <c r="GD49">
        <f>IF(AND(BP49=1,TRIM(AE49&amp;"")=""),IF(COUNTIFS(Линии[Щит],A49,Линии[Секция (1/2/3)],"&gt;=2")&gt;0,MIN(3,MAX(1,IFERROR(--BD49,1))),1),IFERROR(MIN(3,MAX(1,INT(--AE49))),1))</f>
        <v>1</v>
      </c>
      <c r="GE49" t="str" cm="1">
        <f t="array" ref="GE49">IF(B49="","",_xlfn.LET(_xlpm.t,IFERROR(_xlfn.XLOOKUP(1,(Шины[Шина]=GC49)*(((Шины[Щит]=A49)+(Шины[Щит]=""))&gt;0),Шины[Тип]),"")&amp;"",IF(_xlpm.t&lt;&gt;"",_xlpm.t,IF(ISNUMBER(SEARCH("ИБП",GC49)),"ИБП",IF(ISNUMBER(SEARCH("ДГУ",GC49)),"ДГУ","Ввод "&amp;GD49)))))</f>
        <v>Ввод 1</v>
      </c>
      <c r="GF49" t="str">
        <f t="shared" si="214"/>
        <v>Ввод 1</v>
      </c>
      <c r="GG49" t="str">
        <f>IF(BP49=0,"",IF(TRIM(AG49&amp;"")&lt;&gt;"",TRIM(AG49&amp;""),IF(OR(GE49="ИБП",GE49="ДГУ"),"I особая",_xlfn.XLOOKUP(A49,Щиты[Щит],Щиты[Категория шины «Ввод»],"III"))))</f>
        <v/>
      </c>
      <c r="GH49" t="str">
        <f>IF(A49="","",_xlfn.XLOOKUP(A49,Щиты[Щит],Щиты[Путь],""))</f>
        <v>|ВРУ|ЩС|</v>
      </c>
      <c r="GI49" t="str">
        <f>IF(B49="","",IF(AI49&lt;&gt;"",AI49,IF(IFERROR(_xlfn.XLOOKUP(BC49,Коды_код,Коды_вид)&amp;"","")="","Прочее",_xlfn.XLOOKUP(BC49,Коды_код,Коды_вид)&amp;"")))</f>
        <v>Вентиляция</v>
      </c>
      <c r="GJ49">
        <f>IF(BM49="","",INT((BM49-1)/Столбцов_на_лист)+1)</f>
        <v>1</v>
      </c>
      <c r="GK49" t="str">
        <f t="shared" si="215"/>
        <v>ВВГнг(А)-LS (5х2,5) L=31-0,97%</v>
      </c>
      <c r="GL49">
        <f t="shared" si="216"/>
        <v>5.5</v>
      </c>
      <c r="GM49">
        <f t="shared" si="217"/>
        <v>9.93</v>
      </c>
      <c r="GN49">
        <f t="shared" si="218"/>
        <v>3</v>
      </c>
      <c r="GO49">
        <f t="shared" si="219"/>
        <v>0</v>
      </c>
      <c r="GP49">
        <f t="shared" si="220"/>
        <v>1</v>
      </c>
      <c r="GQ49">
        <f>IF(BM49="","",IF(AND(CG49=1,GP49=1),COUNTIFS(A$3:A49,A49,CG$3:CG49,1,GP$3:GP49,1),IF(OR(OR(BA49=1,A49&lt;&gt;A48),AJ49="вручную",GP49=0),"",IF(BA49=1,"",GR48))))</f>
        <v>1</v>
      </c>
      <c r="GR49">
        <f t="shared" si="221"/>
        <v>1</v>
      </c>
      <c r="GS49">
        <f>IF(B49="","",IFERROR(LOOKUP(INDEX(CHOOSE(EB49,Iдоп_1ж,Iдоп_2ж,Iдоп_3ж),MATCH(EN49,Iдоп_S,0))*DZ49*EA49,{6,10,16,20,25,32,40,50,63,80,100,125,160,200,250,315,400,500,630}),""))</f>
        <v>20</v>
      </c>
      <c r="GT49" t="str">
        <f t="shared" si="222"/>
        <v>QF1</v>
      </c>
      <c r="GU49" t="str">
        <f t="shared" si="223"/>
        <v>QF1</v>
      </c>
      <c r="GV49" t="str">
        <f t="shared" si="224"/>
        <v/>
      </c>
      <c r="GW49">
        <f t="shared" si="225"/>
        <v>0</v>
      </c>
      <c r="GX49" t="str">
        <f>IF(OR(B49="",DJ49=""),"",IFERROR(_xlfn.XLOOKUP(DJ49,Модули_умолч[Управление],Модули_умолч[Модель])&amp;"",""))</f>
        <v/>
      </c>
      <c r="GY49">
        <f>IF(DJ49="",1,IFERROR(MAX(0,N(_xlfn.XLOOKUP(DJ49,Модули_умолч[Управление],Модули_умолч[Каналов на линию]))),1))</f>
        <v>1</v>
      </c>
      <c r="GZ49" t="str">
        <f t="shared" si="226"/>
        <v/>
      </c>
      <c r="HA49" t="str">
        <f t="shared" si="227"/>
        <v/>
      </c>
      <c r="HB49" t="str">
        <f t="shared" si="228"/>
        <v/>
      </c>
      <c r="HC49">
        <f>IF(HB49="",0,IFERROR(N(VLOOKUP(HB49,Модули_спр,3,FALSE)),0))</f>
        <v>0</v>
      </c>
      <c r="HD49" t="str">
        <f t="shared" si="229"/>
        <v/>
      </c>
      <c r="HE49" t="str">
        <f t="shared" si="230"/>
        <v/>
      </c>
      <c r="HF49" t="str">
        <f>IF(OR(HE49="",HE49="-"),"",IFERROR(VLOOKUP(HE49,Модули_спр,2,FALSE),"R"))</f>
        <v/>
      </c>
      <c r="HG49" t="str">
        <f>IF(HF49="","",HF49&amp;"."&amp;COUNTIFS(A$3:A49,A49,HF$3:HF49,HF49))</f>
        <v/>
      </c>
      <c r="HH49" t="str">
        <f t="shared" si="231"/>
        <v/>
      </c>
      <c r="HI49" t="str">
        <f t="shared" si="232"/>
        <v/>
      </c>
      <c r="HJ49" t="str">
        <f t="shared" si="233"/>
        <v/>
      </c>
      <c r="HK49" t="str">
        <f t="shared" si="234"/>
        <v/>
      </c>
      <c r="HL49">
        <f t="shared" si="235"/>
        <v>1</v>
      </c>
      <c r="HM49" t="str">
        <f>IF(HL49=1,"XT"&amp;COUNTIFS(A$3:A49,A49,HL$3:HL49,1),"")</f>
        <v>XT1</v>
      </c>
      <c r="HN49" t="str">
        <f t="shared" si="236"/>
        <v>XT1</v>
      </c>
      <c r="HO49" t="str">
        <f t="shared" si="237"/>
        <v>QF1</v>
      </c>
      <c r="HP49" t="str">
        <f t="shared" si="238"/>
        <v/>
      </c>
      <c r="HQ49" t="str">
        <f t="shared" si="239"/>
        <v>ok</v>
      </c>
      <c r="HR49" t="str">
        <f>IF(OR(HJ49="",HH49=""),"",IF(HJ49+MAX(0,GY49-1)&gt;IFERROR(VLOOKUP(HI49,Модули_спр,3,FALSE),99),"ЛИШНИЙ КАНАЛ",IF(AND(AL49&lt;&gt;"=",GY49&gt;0,COUNTIFS(Линии[_модуль гр.],HH49,Линии[Канал (итог)],HJ49,Линии[Канал],"&lt;&gt;=",Линии[Щит],A49)&gt;1),"ДУБЛЬ КАНАЛА","")))</f>
        <v/>
      </c>
      <c r="HS49" s="6">
        <f t="shared" si="240"/>
        <v>10.31588939138709</v>
      </c>
      <c r="HT49">
        <f t="shared" si="241"/>
        <v>10</v>
      </c>
      <c r="HU49" t="str">
        <f t="shared" si="242"/>
        <v>ok</v>
      </c>
      <c r="HV49">
        <f t="shared" si="243"/>
        <v>4.2792831006786765</v>
      </c>
      <c r="HW49">
        <f t="shared" si="244"/>
        <v>0</v>
      </c>
      <c r="HX49">
        <f t="shared" si="245"/>
        <v>0</v>
      </c>
      <c r="HY49">
        <f t="shared" si="246"/>
        <v>0</v>
      </c>
      <c r="HZ49">
        <f t="shared" si="247"/>
        <v>0</v>
      </c>
      <c r="IA49">
        <f t="shared" si="248"/>
        <v>0</v>
      </c>
      <c r="IB49">
        <f t="shared" si="249"/>
        <v>0</v>
      </c>
      <c r="IC49" t="str">
        <f t="shared" si="250"/>
        <v/>
      </c>
      <c r="ID49" t="str" cm="1">
        <f t="array" ref="ID49">IF(IC49="","",_xlfn.LET(_xlpm.tk,_xlfn.TEXTSPLIT(SUBSTITUTE(SUBSTITUTE(IC49,";"," "),"→"," ")," ",,TRUE),_xlpm.w_,_xlfn._xlws.FILTER(_xlpm.tk,ISNUMBER(--LEFT(_xlpm.tk,1))*((ISNUMBER(SEARCH("W",_xlpm.tk))+ISNUMBER(SEARCH("Вт",_xlpm.tk)))&gt;0),""),IFERROR(--SUBSTITUTE(SUBSTITUTE(UPPER(INDEX(_xlpm.w_,1)),"W",""),"ВТ",""),"")))</f>
        <v/>
      </c>
      <c r="IE49" t="str" cm="1">
        <f t="array" ref="IE49">IF(IC49="","",_xlfn.LET(_xlpm.tk,_xlfn.TEXTSPLIT(SUBSTITUTE(SUBSTITUTE(IC49,";"," "),"→"," ")," ",,TRUE),_xlpm.v_,_xlfn._xlws.FILTER(_xlpm.tk,ISNUMBER(--LEFT(_xlpm.tk,1))*((ISNUMBER(SEARCH("V",_xlpm.tk))+(RIGHT(UPPER(_xlpm.tk))="В"))&gt;0),""),IFERROR(--SUBSTITUTE(SUBSTITUTE(UPPER(INDEX(_xlpm.v_,1)),"V",""),"В",""),"")))</f>
        <v/>
      </c>
      <c r="IF49" s="6" t="str">
        <f>IF(OR(BV49=0,HI49="",HJ49=""),"",IFERROR(N(_xlfn.XLOOKUP(HI49,Каталог!$C$4:$C$500,Каталог!$Q$4:$Q$500)),""))</f>
        <v/>
      </c>
      <c r="IG49" s="6" t="str">
        <f>IF(N(IF49)=0,"",SUMIFS(Линии[Iр, А],Линии[Щит],A49,Линии[_модуль гр.],HH49,Линии[Канал (итог)],HJ49))</f>
        <v/>
      </c>
      <c r="IH49" t="str">
        <f>IF(AND(B49="",HO49=""),"",_xlfn.TEXTJOIN("; ",TRUE,IF(AND(B49&lt;&gt;"",FV49=""),"нет фазы",""),IF(AND(B49&lt;&gt;"",N(GL49)=0,FG49&lt;&gt;"Нет"),"нет мощности",""),IF(AND(HN49&lt;&gt;"",COUNTIFS(Линии[Щит],A49,Линии[Клемма (итог)],HN49)&gt;1),"дубль клеммы "&amp;HN49,""),IF(AND(HQ49&lt;&gt;"",HQ49&lt;&gt;"ok"),HQ49,""),IF(HR49&lt;&gt;"",HR49,""),IF(AND(N(CB49)&gt;=4,N(BX49)=1),CB49&amp;" жил на 1 фазе",""),IF(AND(BC49="R",CG49=1,IF(CS49&lt;&gt;"",N(CV49)&gt;30,OR(N(DA49)=0,N(DA49)&gt;30))),"розетка без дифзащиты до 30 мА",""),IF(AND(CG49=1,N(DA49)&gt;0,ISNUMBER(T49)),IF(T49&gt;N(DA49)/3,"ток утечки "&amp;FIXED(T49,1)&amp;" мА &gt; 1/3 уставки ("&amp;DA49&amp;" мА)",""),""),IF(AND(CH49=1,CS49=""),"«узо»: нет строки с УЗО выше (УЗО 2P 40А 30мА в «Аппаратах»)",""),IF(AND(CS49&lt;&gt;"",CS49=BA49),IF(CT49="","впишите номинал УЗО (УЗО 2P 40А 30мА)",IF(N(CT49)&lt;N(DT49),"УЗО "&amp;CT49&amp;" А &lt; автомата "&amp;DT49&amp;" А перед ним",IF(N(CT49)&lt;N(CX49),"УЗО "&amp;CT49&amp;" А &lt; тока блока "&amp;FIXED(CX49,1)&amp;" А",""))),""),IF(AND(CS49&lt;&gt;"",CS49=BA49,ISNUMBER(CY49)),IF(CY49&gt;N(CV49)/3,"ток утечки блока УЗО "&amp;FIXED(CY49,1)&amp;" мА &gt; 1/3 уставки ("&amp;CV49&amp;" мА)",""),""),IF(AND(CG49=1,N(BV49)+N(IB49)&gt;0,IC49=""),"линии до 50 В без БП: впишите в «Аппараты» (БП 24V 480W)",""),IF(AND(CG49=1,ISNUMBER(ID49),ISNUMBER(U49)),IF(U49&gt;ID49,"БП "&amp;ID49&amp;" Вт &lt; нужно "&amp;U49&amp;" Вт (×"&amp;Запас_БП&amp;")",""),""),IF(AND(CG49=1,ISNUMBER(IE49),N(BV49)=1),IF(IE49&lt;&gt;N(BU49),"БП на "&amp;IE49&amp;" В, линия "&amp;BU49&amp;" В",""),""),IF(AND(N(IF49)&gt;0,N(IG49)&gt;N(IF49)),HH49&amp;" канал "&amp;HJ49&amp;": "&amp;FIXED(IG49,1)&amp;" А &gt; "&amp;IF49&amp;" А",""),IFERROR(IF(AND(ISNUMBER(Q49),Q49&gt;EL49),"потери "&amp;FIXED(Q49,1)&amp;" % &gt; "&amp;EL49&amp;" %",""),""),IFERROR(IF(LEFT(HU49,4)="мало","Iкз мало — отключение &gt; 0,4 с",""),""),IF(AND(B49&lt;&gt;"",BM49=""),"не на схеме",""),IF(AND(CG49=0,B49&lt;&gt;"",FV49&lt;&gt;"",IF(BA49=1,"",FW48)&lt;&gt;"",FV49&lt;&gt;IF(BA49=1,"",FW48)),"фаза не как у автомата группы ("&amp;IF(BA49=1,"",FW48)&amp;")","")))</f>
        <v/>
      </c>
      <c r="II49" s="6" t="str">
        <f>IF(OR(CG49=0,DQ49=""),"",_xlfn.LET(_xlpm.t,IFERROR(_xlfn.XLOOKUP(DQ49,Каталог!$U$4:$U$500,Каталог!$G$4:$G$500),""),_xlpm.k,SEARCH("кА",_xlpm.t),IFERROR(--TRIM(RIGHT(SUBSTITUTE(MID(_xlpm.t,MAX(1,_xlpm.k-4),_xlpm.k-MAX(1,_xlpm.k-4))," ",REPT(" ",9)),5)),"")))</f>
        <v/>
      </c>
      <c r="IJ49" t="str">
        <f>IF(OR(II49="",CG49=0),"",IF(_xlfn.XLOOKUP(A49,Щиты[Щит],Щиты[Iкз max на шинах, кА],"")="","",IF(II49&lt;_xlfn.XLOOKUP(A49,Щиты[Щит],Щиты[Iкз max на шинах, кА]),"Icu "&amp;II49&amp;" кА &lt; Iкз max","ok")))</f>
        <v/>
      </c>
      <c r="IK49" t="str">
        <f t="shared" si="251"/>
        <v/>
      </c>
      <c r="IL49" t="str">
        <f t="shared" si="252"/>
        <v>QF1|XT1</v>
      </c>
      <c r="IM49" t="str">
        <f t="shared" si="253"/>
        <v>QF1|XT1|кабель ВВГнг(А)-LS (5х2,5) → Приточная установка, пом. 01</v>
      </c>
      <c r="IN49" t="str" cm="1">
        <f t="array" ref="IN49">IF(IM49="","",_xlfn.LET(_xlpm.nd,_xlfn.TEXTSPLIT(IM49,"|"),IF(COLUMNS(_xlpm.nd)&gt;1,A49&amp;"¦"&amp;INDEX(_xlpm.nd,1)&amp;"¦"&amp;INDEX(_xlpm.nd,2),"")))</f>
        <v>ЩС¦QF1¦XT1</v>
      </c>
      <c r="IO49" t="str">
        <f t="shared" si="254"/>
        <v>ПУ.0.01.1¦Приточная установка, пом. 01</v>
      </c>
      <c r="IP49" t="str" cm="1">
        <f t="array" ref="IP49">IF(IM49="","",_xlfn.LET(_xlpm.nd,_xlfn.TEXTSPLIT(IM49,"|"),IF(COLUMNS(_xlpm.nd)&gt;2,A49&amp;"¦"&amp;INDEX(_xlpm.nd,2)&amp;"¦"&amp;INDEX(_xlpm.nd,3),"")))</f>
        <v>ЩС¦XT1¦кабель ВВГнг(А)-LS (5х2,5) → Приточная установка, пом. 01</v>
      </c>
      <c r="IQ49" t="str">
        <f t="shared" si="255"/>
        <v>ПУ.0.01.1¦Приточная установка, пом. 01</v>
      </c>
      <c r="IR49" t="str" cm="1">
        <f t="array" ref="IR49">IF(IM49="","",_xlfn.LET(_xlpm.nd,_xlfn.TEXTSPLIT(IM49,"|"),IF(COLUMNS(_xlpm.nd)&gt;3,A49&amp;"¦"&amp;INDEX(_xlpm.nd,3)&amp;"¦"&amp;INDEX(_xlpm.nd,4),"")))</f>
        <v/>
      </c>
      <c r="IS49" t="str">
        <f t="shared" si="256"/>
        <v/>
      </c>
      <c r="IT49" t="str" cm="1">
        <f t="array" ref="IT49">IF(IM49="","",_xlfn.LET(_xlpm.nd,_xlfn.TEXTSPLIT(IM49,"|"),IF(COLUMNS(_xlpm.nd)&gt;4,A49&amp;"¦"&amp;INDEX(_xlpm.nd,4)&amp;"¦"&amp;INDEX(_xlpm.nd,5),"")))</f>
        <v/>
      </c>
      <c r="IU49" t="str">
        <f t="shared" si="257"/>
        <v/>
      </c>
      <c r="IV49" t="str" cm="1">
        <f t="array" ref="IV49">IF(IM49="","",_xlfn.LET(_xlpm.nd,_xlfn.TEXTSPLIT(IM49,"|"),IF(COLUMNS(_xlpm.nd)&gt;5,A49&amp;"¦"&amp;INDEX(_xlpm.nd,5)&amp;"¦"&amp;INDEX(_xlpm.nd,6),"")))</f>
        <v/>
      </c>
      <c r="IW49" t="str">
        <f t="shared" si="258"/>
        <v/>
      </c>
      <c r="IX49" t="str" cm="1">
        <f t="array" ref="IX49">IF(IM49="","",_xlfn.LET(_xlpm.nd,_xlfn.TEXTSPLIT(IM49,"|"),IF(COLUMNS(_xlpm.nd)&gt;6,A49&amp;"¦"&amp;INDEX(_xlpm.nd,6)&amp;"¦"&amp;INDEX(_xlpm.nd,7),"")))</f>
        <v/>
      </c>
      <c r="IY49" t="str">
        <f t="shared" si="259"/>
        <v/>
      </c>
      <c r="IZ49" t="str">
        <f t="shared" si="260"/>
        <v/>
      </c>
      <c r="JA49" t="str">
        <f t="shared" si="261"/>
        <v>QF1 → XT1</v>
      </c>
      <c r="JB49">
        <f t="shared" si="262"/>
        <v>0</v>
      </c>
      <c r="JC49">
        <f t="shared" si="263"/>
        <v>0</v>
      </c>
      <c r="JD49" t="str">
        <f t="shared" si="264"/>
        <v/>
      </c>
      <c r="JE49" t="str">
        <f t="shared" si="265"/>
        <v/>
      </c>
      <c r="JF49" t="str">
        <f t="shared" si="266"/>
        <v/>
      </c>
      <c r="JG49" t="str">
        <f t="shared" si="267"/>
        <v/>
      </c>
      <c r="JH49" t="str">
        <f>IF(B49="","",IFERROR(_xlfn.XLOOKUP(B49,Коды_код,Коды_уго),IFERROR(_xlfn.XLOOKUP(BC49,Коды_код,Коды_уго),IFERROR(_xlfn.XLOOKUP(LEFT(BC49,2),Коды_код,Коды_уго),""))))</f>
        <v>Привод (двигатель)</v>
      </c>
      <c r="JI49" t="str">
        <f>IF(B49="","",IF(OR(JH49="",JH49=0),"BOX",IFERROR(IF(VLOOKUP(JH49,УГО_блоки,3,FALSE)&amp;""&lt;&gt;"",VLOOKUP(JH49,УГО_блоки,3,FALSE),VLOOKUP(JH49,УГО_блоки,2,FALSE)),JH49)))</f>
        <v>MOTOR</v>
      </c>
      <c r="JJ49">
        <f t="shared" si="268"/>
        <v>1</v>
      </c>
      <c r="JK49">
        <f>IF(DQ49="","",IF(COUNTIF(DQ$3:DQ49,DQ49)=1,MAX(JK$2:JK48)+1,""))</f>
        <v>12</v>
      </c>
      <c r="JL49" t="str">
        <f>IF(DE49="","",IF(COUNTIF(DE$3:DE49,DE49)+COUNTIF(DF$2:DF48,DE49)+COUNTIF(DG$2:DG48,DE49)=1,MAX(JL$2:JN48)+1,""))</f>
        <v/>
      </c>
      <c r="JM49" t="str">
        <f>IF(DF49="","",IF(COUNTIF(DE$3:DE49,DF49)+COUNTIF(DF$3:DF49,DF49)+COUNTIF(DG$2:DG48,DF49)=1,MAX(JL$2:JN48,JL49)+1,""))</f>
        <v/>
      </c>
      <c r="JN49" t="str">
        <f>IF(DG49="","",IF(COUNTIF(DE$3:DE49,DG49)+COUNTIF(DF$3:DF49,DG49)+COUNTIF(DG$3:DG49,DG49)=1,MAX(JL$2:JN48,JL49,JM49)+1,""))</f>
        <v/>
      </c>
      <c r="JO49" t="str">
        <f t="shared" si="269"/>
        <v>5х2,5</v>
      </c>
      <c r="JP49">
        <f>IF(JO49="","",IF(COUNTIF(JO$3:JO49,JO49)=1,MAX(JP$2:JP48)+1,""))</f>
        <v>14</v>
      </c>
      <c r="JQ49" t="str">
        <f>IF(HG49="","",COUNTIF(HG$3:HG49,"?*"))</f>
        <v/>
      </c>
      <c r="JR49" t="str">
        <f>IF(OR(HG49="",HI49=""),"",IF(COUNTIFS(HG$3:HG49,"?*",HI$3:HI49,HI49)=1,MAX(JR$2:JR48)+1,""))</f>
        <v/>
      </c>
      <c r="JS49">
        <f t="shared" si="270"/>
        <v>0</v>
      </c>
      <c r="JT49">
        <f>IF(B49="","",COUNTIF(B$3:B49,"?*"))</f>
        <v>45</v>
      </c>
      <c r="JU49">
        <f>IF(HL49&lt;&gt;1,0,_xlfn.LET(_xlpm.k,MAX(IFERROR(--_xlfn.XLOOKUP(B49,Коды_код,Коды_3L),0),IFERROR(--_xlfn.XLOOKUP(BC49,Коды_код,Коды_3L),0),IFERROR(--_xlfn.XLOOKUP(LEFT(BC49,2),Коды_код,Коды_3L),0)),IF(_xlpm.k&gt;0,_xlpm.k,IF(IFERROR(--LEFT(SUBSTITUTE(JO49,"x","х"),FIND("х",SUBSTITUTE(JO49,"x","х"))-1),3)&gt;3,Каталог!$S$9,1))))</f>
        <v>1</v>
      </c>
      <c r="JV49">
        <f t="shared" si="271"/>
        <v>2</v>
      </c>
      <c r="JW49" t="str">
        <f t="shared" si="272"/>
        <v>авто</v>
      </c>
      <c r="JX49" t="str">
        <f t="shared" si="273"/>
        <v/>
      </c>
      <c r="JY49">
        <f t="shared" si="274"/>
        <v>0</v>
      </c>
      <c r="JZ49">
        <f t="shared" si="275"/>
        <v>1</v>
      </c>
    </row>
    <row r="50" spans="1:286" x14ac:dyDescent="0.3">
      <c r="A50" t="s">
        <v>948</v>
      </c>
      <c r="B50" t="s">
        <v>1230</v>
      </c>
      <c r="C50" t="str">
        <f>Линии[[#This Row],[_авто наименование]]</f>
        <v>Приточно-вытяжная установка, пом. 02</v>
      </c>
      <c r="E50">
        <v>4</v>
      </c>
      <c r="G50" t="str">
        <f>Линии[[#This Row],[_авто автомат]]</f>
        <v>3P С10А</v>
      </c>
      <c r="H50" t="str">
        <f>Линии[[#This Row],[_авто управление]]</f>
        <v/>
      </c>
      <c r="I50" t="str">
        <f>Линии[[#This Row],[_авто аппараты]]</f>
        <v/>
      </c>
      <c r="J50">
        <f>Линии[[#This Row],[_авто сечение]]</f>
        <v>1.5</v>
      </c>
      <c r="K50">
        <v>25</v>
      </c>
      <c r="L50" t="str">
        <f>Линии[[#This Row],[_авто фаза]]</f>
        <v>L1,L2,L3</v>
      </c>
      <c r="M50" t="str">
        <f>Линии[[#This Row],[_авто клемма]]</f>
        <v>XT2</v>
      </c>
      <c r="N50" t="str">
        <f t="shared" si="138"/>
        <v/>
      </c>
      <c r="O50" s="6" cm="1">
        <f t="array" ref="O50">IF(B50="","",IF(BH50&lt;&gt;"",IFERROR(_xlfn.XLOOKUP(BH50,Щиты[Щит],Щиты[Iр, А]),""),IF(BP50=1,IF(OR(N(_xlfn.XLOOKUP(A50,Щиты[Щит],Щиты[Вводов],1))&lt;=1,LOWER(TRIM(_xlfn.XLOOKUP(A50,Щиты[Щит],Щиты[АВР],"")&amp;""))="да"),IFERROR(_xlfn.XLOOKUP(A50,Щиты[Щит],Щиты[Iр, А]),""),IFERROR(N(BS50)*_xlfn.XLOOKUP(A50,Щиты[Щит],Щиты[Кс итог])/(SQRT(3)*Uн_лин*_xlfn.XLOOKUP(A50,Щиты[Щит],Щиты[cos φ])),"")),IF(BV50=1,IFERROR(BS50*1000/BU50,""),IFERROR(_xlfn.IFS(BX50=1,BS50/((Uн_лин/SQRT(3))*CE50),BX50=3,BS50/(SQRT(3)*Uн_лин*CE50)),"")))))</f>
        <v>7.2168783648703219</v>
      </c>
      <c r="P50" s="7">
        <f>IF(B50="","",IFERROR(IF(VLOOKUP(BC50,Потребители_обозначение,4,FALSE)=1,VLOOKUP(BC50,Потребители_обозначение,3,FALSE)*(MAX(1,N(D50))*2-1)+EI50+VLOOKUP(BE50,Этаж_обозначение,3,FALSE)+VLOOKUP(BE50,Этаж_обозначение,4,FALSE),VLOOKUP(BC50,Потребители_обозначение,3,FALSE)*(MAX(1,N(D50))*2-1)+EI50),EI50))</f>
        <v>26</v>
      </c>
      <c r="Q50" s="6">
        <f t="shared" si="139"/>
        <v>2.906028849872798</v>
      </c>
      <c r="R50" t="str">
        <f t="shared" si="140"/>
        <v>ВВГнг(А)-LS (5х1,5)</v>
      </c>
      <c r="S50" t="str">
        <f>IF(BM50="","",IF(BN50="вводной узел","узел ","")&amp;"л."&amp;(INT((BM50-1)/Столбцов_на_лист)+1)&amp;" / "&amp;(MOD(BM50-1,Столбцов_на_лист)+1))</f>
        <v>л.1 / 4</v>
      </c>
      <c r="T50" s="119">
        <f t="shared" si="141"/>
        <v>3.1</v>
      </c>
      <c r="U50" s="7" t="str">
        <f>IF(OR(CG50=0,N(BV50)+N(IB50)=0),"",ROUNDUP(Запас_БП*(N(HY50)+N(HZ50)),0))</f>
        <v/>
      </c>
      <c r="V50" s="119" t="str">
        <f t="shared" si="142"/>
        <v/>
      </c>
      <c r="W50" s="7">
        <f>IFERROR(IF(OR(B50="",BP50=1,BV50=1,NOT(ISNUMBER(EN50)),N(DT50)=0),"",MAX(0,ROUNDDOWN((c_min*(Uн_лин*1000/SQRT(3))/(HT50*N(DT50))-_xlfn.XLOOKUP(A50,Щиты[Щит],Щиты[Zпетли на шинах, Ом]))*EN50/(2*ρкз_Cu),0))),"")</f>
        <v>43</v>
      </c>
      <c r="Y50" t="str">
        <f>Линии[[#This Row],[_авто утечка]]</f>
        <v/>
      </c>
      <c r="Z50">
        <v>3</v>
      </c>
      <c r="AA50">
        <v>400</v>
      </c>
      <c r="AB50" t="str">
        <f>Линии[[#This Row],[_авто группа Кс]]</f>
        <v>Сил</v>
      </c>
      <c r="AG50" t="s">
        <v>760</v>
      </c>
      <c r="AK50" t="str">
        <f>Линии[[#This Row],[_авто модуль]]</f>
        <v/>
      </c>
      <c r="AN50" t="s">
        <v>11</v>
      </c>
      <c r="AO50">
        <v>5</v>
      </c>
      <c r="BA50" cm="1">
        <f t="array" ref="BA50">ROW()-ROW(Линии[#Headers])</f>
        <v>48</v>
      </c>
      <c r="BC50" s="6" t="str">
        <f t="shared" si="143"/>
        <v>ПВ</v>
      </c>
      <c r="BD50" t="str">
        <f t="shared" si="144"/>
        <v>0.02.1</v>
      </c>
      <c r="BE50" t="str">
        <f t="shared" si="145"/>
        <v>0</v>
      </c>
      <c r="BF50" t="str">
        <f t="shared" si="146"/>
        <v>02.1</v>
      </c>
      <c r="BG50" t="str">
        <f t="shared" si="147"/>
        <v>02</v>
      </c>
      <c r="BH50" t="str">
        <f>IF(X50&lt;&gt;"",X50,IF(AND(B50&lt;&gt;"",B50&lt;&gt;A50,ISNUMBER(_xlfn.XMATCH(B50,Щиты[Щит]))),B50,""))</f>
        <v/>
      </c>
      <c r="BI50" t="str" cm="1">
        <f t="array" ref="BI50">IF(B50="","",IF(BH50&lt;&gt;"","Щит "&amp;BH50,_xlfn.LET(_xlpm.nm,IFERROR(_xlfn.XLOOKUP(BC50,Коды_код,Коды_имя)&amp;"",""),_xlpm.md,IFERROR(N(_xlfn.XLOOKUP(BC50,Коды_код,Коды_режим)),1),_xlpm.ex,IF(Имя_режим="по экспликации",IFERROR(_xlfn.XLOOKUP(BE50&amp;"|"&amp;BG50,Экспликация[Этаж]&amp;"|"&amp;Экспликация[Помещение],Экспликация[Название])&amp;"",""),""),_xlpm.rm,IF(BG50="","",IF(_xlpm.ex&lt;&gt;"",". "&amp;_xlpm.ex&amp;IF(Имя_пом="нет"," ("&amp;BG50&amp;")"," (пом. "&amp;BG50&amp;")"),IF(Имя_пом="нет"," ",", пом. ")&amp;BG50)),IF(_xlpm.nm="","",IF(_xlpm.md=2,_xlpm.nm&amp;" шлейф "&amp;BE50,_xlpm.nm&amp;_xlpm.rm)))))</f>
        <v>Приточно-вытяжная установка, пом. 02</v>
      </c>
      <c r="BJ50" t="str">
        <f t="shared" si="148"/>
        <v>Приточно-вытяжная установка, пом. 02</v>
      </c>
      <c r="BK50">
        <f>IFERROR(_xlfn.XMATCH(A50,Щиты[Щит]),0)</f>
        <v>5</v>
      </c>
      <c r="BL50">
        <f>_xlfn.LET(_xlpm.k,IFERROR(_xlfn.XLOOKUP(A50,Щиты[Щит],Щиты[Мест под вводной узел]),""),IF(_xlpm.k="",Столбцов_на_лист,N(_xlpm.k)))</f>
        <v>2</v>
      </c>
      <c r="BM50">
        <f t="shared" si="149"/>
        <v>4</v>
      </c>
      <c r="BN50" t="str">
        <f t="shared" si="150"/>
        <v>линии</v>
      </c>
      <c r="BO50" s="6">
        <f>IFERROR(N(_xlfn.XLOOKUP(BC50,Коды_код,Коды_квт)),0)</f>
        <v>0</v>
      </c>
      <c r="BP50">
        <f t="shared" si="151"/>
        <v>0</v>
      </c>
      <c r="BQ50" t="str">
        <f>IF(B50="","",IF(BH50&lt;&gt;"",IFERROR(_xlfn.XLOOKUP(BH50,Щиты[Щит],Щиты[Руст, кВт]),0),IF(BP50=1,IF(OR(N(_xlfn.XLOOKUP(A50,Щиты[Щит],Щиты[Вводов],1))&lt;=1,LOWER(TRIM(_xlfn.XLOOKUP(A50,Щиты[Щит],Щиты[АВР],"")&amp;""))="да"),IFERROR(_xlfn.XLOOKUP(A50,Щиты[Щит],Щиты[Руст, кВт]),0),SUMIFS(Линии[_Р для вводов],Линии[Щит],A50,Линии[Источник для режимов],GF50)),IF(BO50&gt;0,ROUND(BO50*MAX(1,N(D50)),3),""))))</f>
        <v/>
      </c>
      <c r="BR50">
        <f t="shared" si="152"/>
        <v>4</v>
      </c>
      <c r="BS50" s="6">
        <f>IF(B50="","",IF(BH50&lt;&gt;"",IFERROR(_xlfn.XLOOKUP(BH50,Щиты[Щит],Щиты[Руст, кВт]),0),N(BR50)))</f>
        <v>4</v>
      </c>
      <c r="BT50" t="str">
        <f>IF(B50="","",IFERROR(IF(VLOOKUP(BC50,Потребители_обозначение,8,FALSE)=0,"",VLOOKUP(BC50,Потребители_обозначение,8,FALSE)),""))</f>
        <v/>
      </c>
      <c r="BU50">
        <f t="shared" si="153"/>
        <v>400</v>
      </c>
      <c r="BV50">
        <f t="shared" si="154"/>
        <v>0</v>
      </c>
      <c r="BW50">
        <f>IF(B50="","",IF(BH50&lt;&gt;"",3,IFERROR(IF(N(VLOOKUP(BC50,Потребители_обозначение,9,FALSE))=0,1,VLOOKUP(BC50,Потребители_обозначение,9,FALSE)),1)))</f>
        <v>1</v>
      </c>
      <c r="BX50">
        <f t="shared" si="155"/>
        <v>3</v>
      </c>
      <c r="BY50" t="str">
        <f>IF(B50="","",_xlfn.LET(_xlpm.bc,IFERROR(IF(VLOOKUP(BC50,Потребители_обозначение,6,FALSE)=0,"",VLOOKUP(BC50,Потребители_обозначение,6,FALSE)&amp;""),""),IF(AND(GA50="да",OR(_xlpm.bc="",_xlpm.bc="мс")),Марка_пож,IF(AND(_xlpm.bc="",BH50&lt;&gt;""),"мс",_xlpm.bc))))</f>
        <v>мс</v>
      </c>
      <c r="BZ50" t="str">
        <f t="shared" si="156"/>
        <v>мс</v>
      </c>
      <c r="CA50">
        <f>IF(B50="","",_xlfn.LET(_xlpm.cc,IFERROR(N(VLOOKUP(BC50,Потребители_обозначение,7,FALSE)),0),IF(_xlpm.cc&gt;0,_xlpm.cc,IF(BZ50="","",IF(BV50=1,2,IF(N(BX50)=3,5,3))))))</f>
        <v>5</v>
      </c>
      <c r="CB50">
        <f t="shared" si="157"/>
        <v>5</v>
      </c>
      <c r="CC50">
        <f>IFERROR(N(VLOOKUP(BC50,Потребители_обозначение,10,FALSE)),0)</f>
        <v>0</v>
      </c>
      <c r="CD50">
        <f>IFERROR(VLOOKUP(BC50,Потребители_обозначение,5,FALSE),0)</f>
        <v>1</v>
      </c>
      <c r="CE50" s="6" cm="1">
        <f t="array" ref="CE50">IF(B50="","",IF(BH50&lt;&gt;"",IFERROR(_xlfn.XLOOKUP(BH50,Щиты[Щит],Щиты[cos φ]),0.95),IF(BP50=1,IFERROR(_xlfn.XLOOKUP(A50,Щиты[Щит],Щиты[cos φ]),0.95),IF(ISNUMBER(AD50),AD50,IFERROR(IF(CD50=2,_xlfn.IFS(BX50=3,VLOOKUP(BS50,Справочная_двигатели,8,FALSE),BX50=1,VLOOKUP(BS50,Справочная_двигатели,10,TRUE)),IF(AND(Методика="нормы 2026",FG50="Сил"),0.8,0.95)),0.95)))))</f>
        <v>0.8</v>
      </c>
      <c r="CF50">
        <f t="shared" si="158"/>
        <v>0</v>
      </c>
      <c r="CG50">
        <f t="shared" si="159"/>
        <v>1</v>
      </c>
      <c r="CH50">
        <f t="shared" si="160"/>
        <v>0</v>
      </c>
      <c r="CI50">
        <f>IF(B50="","",IF(BV50=1,IFERROR(BS50/((Uн_лин/SQRT(3))*MAX(0.5,N(CE50))),0),N(O50)))</f>
        <v>7.2168783648703219</v>
      </c>
      <c r="CJ50">
        <f t="shared" si="161"/>
        <v>0</v>
      </c>
      <c r="CK50">
        <f t="shared" si="162"/>
        <v>0</v>
      </c>
      <c r="CL50">
        <f t="shared" si="163"/>
        <v>0</v>
      </c>
      <c r="CM50">
        <f t="shared" si="164"/>
        <v>0</v>
      </c>
      <c r="CN50">
        <f t="shared" si="165"/>
        <v>0</v>
      </c>
      <c r="CO50">
        <f>IF(BC50="",0,_xlfn.LET(_xlpm.v,IFERROR(_xlfn.XLOOKUP(B50,Коды_код,Коды_мА),IFERROR(_xlfn.XLOOKUP(BC50,Коды_код,Коды_мА),IFERROR(_xlfn.XLOOKUP(LEFT(BC50,2),Коды_код,Коды_мА),""))),IF(_xlpm.v="да",30,IF(ISNUMBER(_xlpm.v),_xlpm.v,0))))</f>
        <v>0</v>
      </c>
      <c r="CP50" t="str">
        <f t="shared" si="166"/>
        <v/>
      </c>
      <c r="CQ50" t="str">
        <f>_xlfn.LET(_xlpm.k,IFERROR(_xlfn.XLOOKUP(BC50,Коды_код,Коды_утечка)&amp;"",""),IF(_xlpm.k="","дифавтомат",_xlpm.k))</f>
        <v>дифавтомат</v>
      </c>
      <c r="CR50" t="str" cm="1">
        <f t="array" ref="CR50">IF(CG50=0,"",_xlfn.LET(_xlpm.sg,TRIM(_xlfn.TEXTSPLIT(DD50&amp;"",";")),_xlpm.f_,_xlfn._xlws.FILTER(_xlpm.sg,LEFT(_xlpm.sg,3)="УЗО",""),IFERROR(INDEX(_xlpm.f_,1)&amp;"","")))</f>
        <v/>
      </c>
      <c r="CS50" t="str">
        <f t="shared" si="167"/>
        <v/>
      </c>
      <c r="CT50" s="6" t="str" cm="1">
        <f t="array" ref="CT50">IF(CR50="","",_xlfn.LET(_xlpm.tk,_xlfn.TEXTSPLIT(UPPER(CR50)," ",,TRUE),_xlpm.a_,_xlfn._xlws.FILTER(_xlpm.tk,ISNUMBER(--LEFT(_xlpm.tk,1))*((ISNUMBER(SEARCH("А",_xlpm.tk))+ISNUMBER(SEARCH("A",_xlpm.tk)))&gt;0)*NOT(ISNUMBER(SEARCH("МА",_xlpm.tk)))*NOT(ISNUMBER(SEARCH("MA",_xlpm.tk))),""),IFERROR(--SUBSTITUTE(SUBSTITUTE(INDEX(_xlpm.a_,1),"А",""),"A",""),"")))</f>
        <v/>
      </c>
      <c r="CU50" t="str" cm="1">
        <f t="array" ref="CU50">IF(CR50="","",_xlfn.LET(_xlpm.tk,_xlfn.TEXTSPLIT(UPPER(CR50)," ",,TRUE),_xlpm.a_,_xlfn._xlws.FILTER(_xlpm.tk,ISNUMBER(--LEFT(_xlpm.tk,1))*((ISNUMBER(SEARCH("МА",_xlpm.tk))+ISNUMBER(SEARCH("MA",_xlpm.tk)))&gt;0),""),IFERROR(--SUBSTITUTE(SUBSTITUTE(INDEX(_xlpm.a_,1),"МА",""),"MA",""),30)))</f>
        <v/>
      </c>
      <c r="CV50" t="str">
        <f>IF(CS50="","",IFERROR(_xlfn.XLOOKUP(CS50,Линии[_n],Линии[_УЗО, мА]),30))</f>
        <v/>
      </c>
      <c r="CW50">
        <f>IF(CS50="",0,IF(ISNUMBER(SEARCH("4P",IFERROR(_xlfn.XLOOKUP(CS50,Линии[_n],Линии[_УЗО строки])&amp;"",""))),0,1))</f>
        <v>0</v>
      </c>
      <c r="CX50" t="str">
        <f>IF(AND(CS50&lt;&gt;"",CS50=BA50),SUMIFS(Линии[_ток на 230 В],Линии[_блок УЗО],BA50,Линии[Щит],A50),"")</f>
        <v/>
      </c>
      <c r="CY50" t="str">
        <f>IF(AND(CS50&lt;&gt;"",CS50=BA50),SUMIFS(Линии[_ток утечки линии, мА],Линии[_блок УЗО],BA50,Линии[Щит],A50),"")</f>
        <v/>
      </c>
      <c r="CZ50">
        <f t="shared" si="168"/>
        <v>0</v>
      </c>
      <c r="DA50">
        <f t="shared" si="169"/>
        <v>0</v>
      </c>
      <c r="DB50">
        <f>IF(B50="",0,IFERROR(--_xlfn.XLOOKUP(B50,Коды_код,Коды_минавт),IFERROR(--_xlfn.XLOOKUP(BC50,Коды_код,Коды_минавт),IFERROR(--_xlfn.XLOOKUP(LEFT(BC50,2),Коды_код,Коды_минавт),0))))</f>
        <v>0</v>
      </c>
      <c r="DC50" t="str">
        <f>IF(B50="","",IFERROR(_xlfn.XLOOKUP(BC50,Коды_код,Коды_апп)&amp;"",""))</f>
        <v/>
      </c>
      <c r="DD50" t="str">
        <f t="shared" si="170"/>
        <v/>
      </c>
      <c r="DE50" t="str" cm="1">
        <f t="array" ref="DE50">IF(TRIM(DD50&amp;"")="","",IFERROR(TRIM(INDEX(_xlfn.TEXTSPLIT(DD50&amp;";;;",";"),1)),""))</f>
        <v/>
      </c>
      <c r="DF50" t="str" cm="1">
        <f t="array" ref="DF50">IF(TRIM(DD50&amp;"")="","",IFERROR(TRIM(INDEX(_xlfn.TEXTSPLIT(DD50&amp;";;;",";"),2)),""))</f>
        <v/>
      </c>
      <c r="DG50" t="str" cm="1">
        <f t="array" ref="DG50">IF(TRIM(DD50&amp;"")="","",IFERROR(TRIM(INDEX(_xlfn.TEXTSPLIT(DD50&amp;";;;",";"),3)),""))</f>
        <v/>
      </c>
      <c r="DH50">
        <f t="shared" si="171"/>
        <v>0</v>
      </c>
      <c r="DI50" t="str">
        <f>IF(B50="","",_xlfn.LET(_xlpm.t,LOWER(AZ50&amp;""),IF(ISNUMBER(SEARCH("dim",_xlpm.t)),"DIM",IF(ISNUMBER(SEARCH("dali",_xlpm.t)),"DALI",IF(OR(ISNUMBER(SEARCH("relay",_xlpm.t)),ISNUMBER(SEARCH("реле",_xlpm.t))),"Relay",IF(ISNUMBER(SEARCH("кнопк",_xlpm.t)),"",IFERROR(_xlfn.XLOOKUP(BC50,Коды_код,Коды_упр)&amp;"","")))))))</f>
        <v/>
      </c>
      <c r="DJ50" t="str">
        <f t="shared" si="172"/>
        <v/>
      </c>
      <c r="DK50">
        <f>IF(B50="","",_xlfn.LET(_xlpm.ig,IF(N(CX50)&gt;0,N(CX50),N(CI50)+IF(AJ50="вручную",0,N(CJ50))),_xlpm.n0,IFERROR(VLOOKUP(_xlpm.ig,Автомат_номиналы,2,TRUE),0),_xlpm.mn,MAX(DB50,IF(AJ50="вручную",0,N(CM50))),MAX(_xlpm.n0,_xlpm.mn,IF(DH50=1,Мин_автомат_БП,0))))</f>
        <v>10</v>
      </c>
      <c r="DL50">
        <f t="shared" si="173"/>
        <v>3</v>
      </c>
      <c r="DM50" t="str">
        <f t="shared" si="174"/>
        <v>3P</v>
      </c>
      <c r="DN50" t="str">
        <f>_xlfn.LET(_xlpm.cc,UPPER(TRIM(IFERROR(_xlfn.XLOOKUP(BC50,Коды_код,Коды_хар)&amp;"",""))),IF(OR(_xlpm.cc="B",_xlpm.cc="В"),"B",IF(_xlpm.cc="D","D","С")))</f>
        <v>С</v>
      </c>
      <c r="DO50" t="str">
        <f t="shared" si="175"/>
        <v>3P С10А</v>
      </c>
      <c r="DP50" t="str">
        <f t="shared" si="176"/>
        <v>3P С10А</v>
      </c>
      <c r="DQ50" t="str">
        <f t="shared" si="177"/>
        <v>3P С10А</v>
      </c>
      <c r="DR50" cm="1">
        <f t="array" ref="DR50">IF(DQ50="","",_xlfn.LET(_xlpm.t,SUBSTITUTE(SUBSTITUTE(SUBSTITUTE(UPPER(DQ50),"С","C"),"А","A"),"В","B"),_xlpm.tk,_xlfn.TEXTSPLIT(_xlpm.t," "),_xlpm.f,_xlfn._xlws.FILTER(_xlpm.tk,ISNUMBER(--MID(_xlpm.tk,2,1))*ISNUMBER(SEARCH(LEFT(_xlpm.tk,1)&amp;"#","B#C#D#"))*(LEN(_xlpm.tk)&gt;1),""),_xlpm.x,INDEX(_xlpm.f,1),IFERROR(--SUBSTITUTE(MID(_xlpm.x,2,9),"A",""),IFERROR(--SUBSTITUTE(INDEX(_xlfn._xlws.FILTER(_xlpm.tk,ISNUMBER(--SUBSTITUTE(_xlpm.tk,"A","")),""),1),"A",""),""))))</f>
        <v>10</v>
      </c>
      <c r="DS50" t="str">
        <f t="shared" si="178"/>
        <v>ok</v>
      </c>
      <c r="DT50">
        <f t="shared" si="179"/>
        <v>10</v>
      </c>
      <c r="DU50" t="str">
        <f t="shared" si="180"/>
        <v>3P С10А</v>
      </c>
      <c r="DV50">
        <f t="shared" si="181"/>
        <v>0</v>
      </c>
      <c r="DW50">
        <f t="shared" si="182"/>
        <v>0</v>
      </c>
      <c r="DX50">
        <f t="shared" si="183"/>
        <v>0</v>
      </c>
      <c r="DY50">
        <f t="shared" si="184"/>
        <v>7.2168783648703219</v>
      </c>
      <c r="DZ50">
        <f t="shared" si="185"/>
        <v>0.92</v>
      </c>
      <c r="EA50">
        <f>IF(ISNUMBER(AP50),AP50,К_прокл)</f>
        <v>1</v>
      </c>
      <c r="EB50">
        <f t="shared" si="186"/>
        <v>3</v>
      </c>
      <c r="EC50">
        <f>IFERROR(N(VLOOKUP(BZ50,Кабель_обозначение,3,FALSE)),1)</f>
        <v>1</v>
      </c>
      <c r="ED50">
        <f>IFERROR(N(_xlfn.XLOOKUP(A50,Щиты[Щит],Щиты[ΔU до шин, %])),0)</f>
        <v>1.9160288498727978</v>
      </c>
      <c r="EE50">
        <f>IFERROR(_xlfn.XLOOKUP(A50,Щиты[Щит],Щиты[Zпетли на шинах, Ом]),"")</f>
        <v>0.67697829354840211</v>
      </c>
      <c r="EF50">
        <f>IFERROR(N(_xlfn.XLOOKUP(A50,Щиты[Щит],Щиты[ΔU до шин (подбор), %])),0)</f>
        <v>1.9160288498727978</v>
      </c>
      <c r="EG50">
        <f>IFERROR(_xlfn.XLOOKUP(A50,Щиты[Щит],Щиты[Zпетли на шинах (подбор), Ом]),"")</f>
        <v>0.67697829354840211</v>
      </c>
      <c r="EH50" t="str">
        <f t="shared" si="187"/>
        <v/>
      </c>
      <c r="EI50">
        <f t="shared" si="188"/>
        <v>25</v>
      </c>
      <c r="EJ50">
        <f t="shared" si="189"/>
        <v>1</v>
      </c>
      <c r="EK50">
        <f t="shared" si="190"/>
        <v>0.6</v>
      </c>
      <c r="EL50" s="6">
        <f>IF(B50="","",IF(BV50=1,dU_LED,IF(IFERROR(_xlfn.XLOOKUP(BC50,Коды_код,Коды_уго),"")="Светильник",3,4)+IF(Методика="нормы 2026",MIN(0.5,MAX(0,N(P50)-100)*0.005),0)))</f>
        <v>4</v>
      </c>
      <c r="EM50" cm="1">
        <f t="array" ref="EM50">IF(OR(B50="",BZ50="",EC50&lt;&gt;1),"",_xlfn.LET(_xlpm.sz,Iдоп_S,_xlpm.t_,CHOOSE(EB50,Iдоп_1ж,Iдоп_2ж,Iдоп_3ж)*DZ50*EA50,_xlpm.dcx,BV50=1,_xlpm.inn,IF(_xlpm.dcx,N(O50),N(DT50)),_xlpm.smin,MAX(1.5,CC50),_xlpm.L_,N(P50),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50)/N(BU50)*100,999),IFERROR(N(EJ50)*(_xlpm.rho*_xlpm.L_/_xlpm.sz*N(CE50)+_xlpm.xx*_xlpm.L_*N(EK50)/1000)*N(O50)/((Uн_лин/SQRT(3))*1000)*100,999)),_xlpm.kz,IF(OR(_xlpm.dcx,DW50=1,NOT(ISNUMBER(EG50)),_xlpm.L_=0,_xlpm.inn=0),1,IFERROR(--(c_min*(Uн_лин*1000/SQRT(3))/(EG50+2*ρкз_Cu*_xlpm.L_/_xlpm.sz)&gt;=HT50*_xlpm.inn),0)),_xlpm.ok,IFERROR((_xlpm.sz&gt;=_xlpm.smin)*(_xlpm.t_&gt;=_xlpm.inn)*IF(_xlpm.L_&gt;0,(_xlpm.du_+IF(_xlpm.dcx,0,EF50)&lt;=EL50+0.00001),1)*_xlpm.kz,0),_xlpm.r_,_xlfn._xlws.FILTER(_xlpm.sz,_xlpm.ok,"не подобрано"),INDEX(_xlpm.r_,1)))</f>
        <v>1.5</v>
      </c>
      <c r="EN50">
        <f t="shared" si="191"/>
        <v>1.5</v>
      </c>
      <c r="EO50" cm="1">
        <f t="array" ref="EO50">IF(OR(B50="",BZ50="",EC50&lt;&gt;1),"",_xlfn.LET(_xlpm.sz,Iдоп_S,_xlpm.t_,CHOOSE(EB50,Iдоп_1ж,Iдоп_2ж,Iдоп_3ж)*DZ50*EA50,_xlpm.ok,IFERROR((_xlpm.sz&gt;=MAX(1.5,CC50))*(_xlpm.t_&gt;=N(DT50)),0),_xlpm.r_,_xlfn._xlws.FILTER(_xlpm.sz,_xlpm.ok,""),INDEX(_xlpm.r_,1)))</f>
        <v>1.5</v>
      </c>
      <c r="EP50" s="6" cm="1">
        <f t="array" ref="EP50">IFERROR(ROUNDUP(N(EJ50)*(_xlfn.XLOOKUP(EO50,INDEX(Кабель_сопротивление,0,1),INDEX(Кабель_сопротивление,0,3))*N(P50)/EO50*N(CE50)+_xlfn.XLOOKUP(EO50,INDEX(Кабель_сопротивление,0,1),INDEX(Кабель_сопротивление,0,2))*N(P50)*N(EK50)/1000)*N(O50)/((Uн_лин/SQRT(3))*1000)*100,2),"")</f>
        <v>0.99</v>
      </c>
      <c r="EQ50">
        <f>IFERROR(2*ρкз_Cu*N(P50)/EO50,"")</f>
        <v>0.91173333333333328</v>
      </c>
      <c r="ER50">
        <f>IFERROR(VLOOKUP(EN50,Кабель_сопротивление,3,FALSE),"")</f>
        <v>2.2499999999999999E-2</v>
      </c>
      <c r="ES50">
        <f>IFERROR(VLOOKUP(EN50,Кабель_сопротивление,2,FALSE),"")</f>
        <v>0.11</v>
      </c>
      <c r="ET50" t="str">
        <f t="shared" si="192"/>
        <v/>
      </c>
      <c r="EU50" t="str">
        <f t="shared" si="193"/>
        <v/>
      </c>
      <c r="EV50">
        <f t="shared" si="194"/>
        <v>2.264050213113658</v>
      </c>
      <c r="EW50" s="6">
        <f>IFERROR(ROUNDUP(EV50/IF(BV50=1,BU50,(Uн_лин/SQRT(3))*1000)*100,2),"")</f>
        <v>0.99</v>
      </c>
      <c r="EX50" t="str">
        <f>IFERROR(VLOOKUP(BZ50,Кабель_обозначение,2,FALSE),"")</f>
        <v>ВВГнг(А)-LS</v>
      </c>
      <c r="EY50" t="str">
        <f t="shared" si="195"/>
        <v>ВВГнг(А)-LS (5х1,5)</v>
      </c>
      <c r="EZ50" t="str">
        <f t="shared" si="196"/>
        <v>ВВГнг(А)-LS (5х1,5)
L=26-0,99%</v>
      </c>
      <c r="FA50">
        <f>IFERROR(2*ρкз_Cu*P50/EN50,"")</f>
        <v>0.91173333333333328</v>
      </c>
      <c r="FB50">
        <f t="shared" si="197"/>
        <v>0.3033333333333334</v>
      </c>
      <c r="FC50" s="6">
        <f>IFERROR(IF(OR(B50="",BV50=1,NOT(ISNUMBER(EN50)),N(P50)=0),"",_xlfn.XLOOKUP(A50,Щиты[Щит],Щиты[Zпетли на шинах, Ом])+FA50),"")</f>
        <v>1.5887116268817354</v>
      </c>
      <c r="FD50" s="6">
        <f>IF(ISNUMBER(FC50),c_min*(Uн_лин*1000/SQRT(3))/FC50,"")</f>
        <v>138.09498122870448</v>
      </c>
      <c r="FE50" s="6">
        <f>IFERROR(IF(OR(B50="",NOT(ISNUMBER(EN50))),"",1.05*(Uн_лин*1000/SQRT(3))/(_xlfn.XLOOKUP(A50,Щиты[Щит],Щиты[Zmax на шинах, Ом])+FB50)/1000),"")</f>
        <v>0.4665933826083335</v>
      </c>
      <c r="FF50" s="6" t="str">
        <f>IF(B50="","",IF(ISNUMBER(AC50),"Сил",IF(IFERROR(_xlfn.XLOOKUP(BC50,Коды_код,Коды_группа)&amp;"","")="","Быт",_xlfn.XLOOKUP(BC50,Коды_код,Коды_группа)&amp;"")))</f>
        <v>Сил</v>
      </c>
      <c r="FG50" s="6" t="str">
        <f t="shared" si="198"/>
        <v>Сил</v>
      </c>
      <c r="FH50" s="6">
        <f>IF(FG50="Щит","щит",IF(FG50="","",IF(FG50="Быт",IFERROR(_xlfn.XLOOKUP(A50,Щиты[Щит],Щиты[Кс быт]),1),IF(FG50="Сил",IF(ISNUMBER(AC50),AC50,IF(Методика="нормы 2026",IFERROR(_xlfn.XLOOKUP(A50,Щиты[Щит],Щиты[Кс силовых (табл. 7.5)]),1),1)),IF(OR(FG50="Пост",FG50="Отоп"),1,IF(FG50="ВНГ",0.7,0))))))</f>
        <v>0.85000000000000009</v>
      </c>
      <c r="FI50">
        <f>IF(FG50="","",IF(AND(BP50=1,TRIM(AE50&amp;"")=""),IF(COUNTIFS(Линии[Щит],A50,Линии[Секция (1/2/3)],"&gt;=2")&gt;0,MIN(3,MAX(1,IFERROR(--BD50,1))),1),IFERROR(MIN(3,MAX(1,INT(--AE50))),1)))</f>
        <v>1</v>
      </c>
      <c r="FJ50">
        <f t="shared" si="199"/>
        <v>4</v>
      </c>
      <c r="FK50">
        <f t="shared" si="200"/>
        <v>0</v>
      </c>
      <c r="FL50">
        <f t="shared" si="201"/>
        <v>3.4000000000000004</v>
      </c>
      <c r="FM50">
        <f t="shared" si="202"/>
        <v>0</v>
      </c>
      <c r="FN50">
        <f t="shared" si="203"/>
        <v>0</v>
      </c>
      <c r="FO50">
        <f t="shared" si="204"/>
        <v>0</v>
      </c>
      <c r="FP50">
        <f t="shared" si="205"/>
        <v>4</v>
      </c>
      <c r="FQ50">
        <f t="shared" si="206"/>
        <v>4</v>
      </c>
      <c r="FR50">
        <f t="shared" si="207"/>
        <v>3.2</v>
      </c>
      <c r="FS50">
        <f>IF(CG50=1,IF(AND(CH50=1,CW50=1),0,IF(AND(CS50&lt;&gt;"",CS50=BA50,CW50=1),SUMIFS(Линии[_Р линии, кВт],Линии[_блок УЗО],BA50,Линии[Щит],A50),N(BS50)+IF(AJ50="вручную",0,N(CK50)))),0)</f>
        <v>4</v>
      </c>
      <c r="FT50" t="str">
        <f t="shared" si="208"/>
        <v/>
      </c>
      <c r="FU50" t="str">
        <f>IF(B50="","",IF(CG50=0,IF(BA50=1,"",FW49),IF(AND(CH50=1,CW50=1,CS50&lt;&gt;""),IFERROR(_xlfn.XLOOKUP(CS50,Линии[_n],Линии[_фаза итог]),"L1"),IF(OR(N(DL50)&gt;=3,N(BX50)&gt;=3),"L1,L2,L3",IFERROR(_xlfn.TEXTBEFORE(_xlfn.TEXTAFTER(_xlfn.XLOOKUP(A50,Щиты[Щит],Щиты[_фазы авто]),";"&amp;BA50&amp;":"),";"),"L1")))))</f>
        <v>L1,L2,L3</v>
      </c>
      <c r="FV50" t="str">
        <f t="shared" si="209"/>
        <v>L1,L2,L3</v>
      </c>
      <c r="FW50" t="str">
        <f t="shared" si="210"/>
        <v>L1,L2,L3</v>
      </c>
      <c r="FX50" cm="1">
        <f t="array" ref="FX50">IFERROR(IF(CD50=2,_xlfn.IFS(BX50=3,VLOOKUP(BS50,Справочная_двигатели,3,FALSE),BX50=1,VLOOKUP(BS50,Справочная_двигатели,5,TRUE)),0),0)</f>
        <v>0</v>
      </c>
      <c r="FY50">
        <f>IFERROR(IF(CD50=3,VLOOKUP(BS50,Справочная_ЛЭД,2,TRUE),0),0)</f>
        <v>0</v>
      </c>
      <c r="FZ50" s="6">
        <f t="shared" si="211"/>
        <v>0</v>
      </c>
      <c r="GA50" t="str">
        <f>IF(B50="","",IF(TRIM(AH50&amp;"")&lt;&gt;"",IF(LOWER(TRIM(AH50&amp;""))="да","да","нет"),IF(IFERROR(_xlfn.XLOOKUP(BC50,Коды_код,Коды_пожарная),"")="да","да","нет")))</f>
        <v>нет</v>
      </c>
      <c r="GB50" t="str">
        <f t="shared" si="212"/>
        <v/>
      </c>
      <c r="GC50" t="str">
        <f t="shared" si="213"/>
        <v>основная</v>
      </c>
      <c r="GD50">
        <f>IF(AND(BP50=1,TRIM(AE50&amp;"")=""),IF(COUNTIFS(Линии[Щит],A50,Линии[Секция (1/2/3)],"&gt;=2")&gt;0,MIN(3,MAX(1,IFERROR(--BD50,1))),1),IFERROR(MIN(3,MAX(1,INT(--AE50))),1))</f>
        <v>1</v>
      </c>
      <c r="GE50" t="str" cm="1">
        <f t="array" ref="GE50">IF(B50="","",_xlfn.LET(_xlpm.t,IFERROR(_xlfn.XLOOKUP(1,(Шины[Шина]=GC50)*(((Шины[Щит]=A50)+(Шины[Щит]=""))&gt;0),Шины[Тип]),"")&amp;"",IF(_xlpm.t&lt;&gt;"",_xlpm.t,IF(ISNUMBER(SEARCH("ИБП",GC50)),"ИБП",IF(ISNUMBER(SEARCH("ДГУ",GC50)),"ДГУ","Ввод "&amp;GD50)))))</f>
        <v>Ввод 1</v>
      </c>
      <c r="GF50" t="str">
        <f t="shared" si="214"/>
        <v>Ввод 1</v>
      </c>
      <c r="GG50" t="str">
        <f>IF(BP50=0,"",IF(TRIM(AG50&amp;"")&lt;&gt;"",TRIM(AG50&amp;""),IF(OR(GE50="ИБП",GE50="ДГУ"),"I особая",_xlfn.XLOOKUP(A50,Щиты[Щит],Щиты[Категория шины «Ввод»],"III"))))</f>
        <v/>
      </c>
      <c r="GH50" t="str">
        <f>IF(A50="","",_xlfn.XLOOKUP(A50,Щиты[Щит],Щиты[Путь],""))</f>
        <v>|ВРУ|ЩС|</v>
      </c>
      <c r="GI50" t="str">
        <f>IF(B50="","",IF(AI50&lt;&gt;"",AI50,IF(IFERROR(_xlfn.XLOOKUP(BC50,Коды_код,Коды_вид)&amp;"","")="","Прочее",_xlfn.XLOOKUP(BC50,Коды_код,Коды_вид)&amp;"")))</f>
        <v>Вентиляция</v>
      </c>
      <c r="GJ50">
        <f>IF(BM50="","",INT((BM50-1)/Столбцов_на_лист)+1)</f>
        <v>1</v>
      </c>
      <c r="GK50" t="str">
        <f t="shared" si="215"/>
        <v>ВВГнг(А)-LS (5х1,5) L=26-0,99%</v>
      </c>
      <c r="GL50">
        <f t="shared" si="216"/>
        <v>4</v>
      </c>
      <c r="GM50">
        <f t="shared" si="217"/>
        <v>7.22</v>
      </c>
      <c r="GN50">
        <f t="shared" si="218"/>
        <v>3</v>
      </c>
      <c r="GO50">
        <f t="shared" si="219"/>
        <v>0</v>
      </c>
      <c r="GP50">
        <f t="shared" si="220"/>
        <v>1</v>
      </c>
      <c r="GQ50">
        <f>IF(BM50="","",IF(AND(CG50=1,GP50=1),COUNTIFS(A$3:A50,A50,CG$3:CG50,1,GP$3:GP50,1),IF(OR(OR(BA50=1,A50&lt;&gt;A49),AJ50="вручную",GP50=0),"",IF(BA50=1,"",GR49))))</f>
        <v>2</v>
      </c>
      <c r="GR50">
        <f t="shared" si="221"/>
        <v>2</v>
      </c>
      <c r="GS50">
        <f>IF(B50="","",IFERROR(LOOKUP(INDEX(CHOOSE(EB50,Iдоп_1ж,Iдоп_2ж,Iдоп_3ж),MATCH(EN50,Iдоп_S,0))*DZ50*EA50,{6,10,16,20,25,32,40,50,63,80,100,125,160,200,250,315,400,500,630}),""))</f>
        <v>16</v>
      </c>
      <c r="GT50" t="str">
        <f t="shared" si="222"/>
        <v>QF2</v>
      </c>
      <c r="GU50" t="str">
        <f t="shared" si="223"/>
        <v>QF2</v>
      </c>
      <c r="GV50" t="str">
        <f t="shared" si="224"/>
        <v/>
      </c>
      <c r="GW50">
        <f t="shared" si="225"/>
        <v>0</v>
      </c>
      <c r="GX50" t="str">
        <f>IF(OR(B50="",DJ50=""),"",IFERROR(_xlfn.XLOOKUP(DJ50,Модули_умолч[Управление],Модули_умолч[Модель])&amp;"",""))</f>
        <v/>
      </c>
      <c r="GY50">
        <f>IF(DJ50="",1,IFERROR(MAX(0,N(_xlfn.XLOOKUP(DJ50,Модули_умолч[Управление],Модули_умолч[Каналов на линию]))),1))</f>
        <v>1</v>
      </c>
      <c r="GZ50" t="str">
        <f t="shared" si="226"/>
        <v/>
      </c>
      <c r="HA50" t="str">
        <f t="shared" si="227"/>
        <v/>
      </c>
      <c r="HB50" t="str">
        <f t="shared" si="228"/>
        <v/>
      </c>
      <c r="HC50">
        <f>IF(HB50="",0,IFERROR(N(VLOOKUP(HB50,Модули_спр,3,FALSE)),0))</f>
        <v>0</v>
      </c>
      <c r="HD50" t="str">
        <f t="shared" si="229"/>
        <v/>
      </c>
      <c r="HE50" t="str">
        <f t="shared" si="230"/>
        <v/>
      </c>
      <c r="HF50" t="str">
        <f>IF(OR(HE50="",HE50="-"),"",IFERROR(VLOOKUP(HE50,Модули_спр,2,FALSE),"R"))</f>
        <v/>
      </c>
      <c r="HG50" t="str">
        <f>IF(HF50="","",HF50&amp;"."&amp;COUNTIFS(A$3:A50,A50,HF$3:HF50,HF50))</f>
        <v/>
      </c>
      <c r="HH50" t="str">
        <f t="shared" si="231"/>
        <v/>
      </c>
      <c r="HI50" t="str">
        <f t="shared" si="232"/>
        <v/>
      </c>
      <c r="HJ50" t="str">
        <f t="shared" si="233"/>
        <v/>
      </c>
      <c r="HK50" t="str">
        <f t="shared" si="234"/>
        <v/>
      </c>
      <c r="HL50">
        <f t="shared" si="235"/>
        <v>1</v>
      </c>
      <c r="HM50" t="str">
        <f>IF(HL50=1,"XT"&amp;COUNTIFS(A$3:A50,A50,HL$3:HL50,1),"")</f>
        <v>XT2</v>
      </c>
      <c r="HN50" t="str">
        <f t="shared" si="236"/>
        <v>XT2</v>
      </c>
      <c r="HO50" t="str">
        <f t="shared" si="237"/>
        <v>QF2</v>
      </c>
      <c r="HP50" t="str">
        <f t="shared" si="238"/>
        <v/>
      </c>
      <c r="HQ50" t="str">
        <f t="shared" si="239"/>
        <v>ok</v>
      </c>
      <c r="HR50" t="str">
        <f>IF(OR(HJ50="",HH50=""),"",IF(HJ50+MAX(0,GY50-1)&gt;IFERROR(VLOOKUP(HI50,Модули_спр,3,FALSE),99),"ЛИШНИЙ КАНАЛ",IF(AND(AL50&lt;&gt;"=",GY50&gt;0,COUNTIFS(Линии[_модуль гр.],HH50,Линии[Канал (итог)],HJ50,Линии[Канал],"&lt;&gt;=",Линии[Щит],A50)&gt;1),"ДУБЛЬ КАНАЛА","")))</f>
        <v/>
      </c>
      <c r="HS50" s="6">
        <f t="shared" si="240"/>
        <v>13.809498122870448</v>
      </c>
      <c r="HT50">
        <f t="shared" si="241"/>
        <v>10</v>
      </c>
      <c r="HU50" t="str">
        <f t="shared" si="242"/>
        <v>ok</v>
      </c>
      <c r="HV50">
        <f t="shared" si="243"/>
        <v>3.1467513459481289</v>
      </c>
      <c r="HW50">
        <f t="shared" si="244"/>
        <v>0</v>
      </c>
      <c r="HX50">
        <f t="shared" si="245"/>
        <v>0</v>
      </c>
      <c r="HY50">
        <f t="shared" si="246"/>
        <v>0</v>
      </c>
      <c r="HZ50">
        <f t="shared" si="247"/>
        <v>0</v>
      </c>
      <c r="IA50">
        <f t="shared" si="248"/>
        <v>0</v>
      </c>
      <c r="IB50">
        <f t="shared" si="249"/>
        <v>0</v>
      </c>
      <c r="IC50" t="str">
        <f t="shared" si="250"/>
        <v/>
      </c>
      <c r="ID50" t="str" cm="1">
        <f t="array" ref="ID50">IF(IC50="","",_xlfn.LET(_xlpm.tk,_xlfn.TEXTSPLIT(SUBSTITUTE(SUBSTITUTE(IC50,";"," "),"→"," ")," ",,TRUE),_xlpm.w_,_xlfn._xlws.FILTER(_xlpm.tk,ISNUMBER(--LEFT(_xlpm.tk,1))*((ISNUMBER(SEARCH("W",_xlpm.tk))+ISNUMBER(SEARCH("Вт",_xlpm.tk)))&gt;0),""),IFERROR(--SUBSTITUTE(SUBSTITUTE(UPPER(INDEX(_xlpm.w_,1)),"W",""),"ВТ",""),"")))</f>
        <v/>
      </c>
      <c r="IE50" t="str" cm="1">
        <f t="array" ref="IE50">IF(IC50="","",_xlfn.LET(_xlpm.tk,_xlfn.TEXTSPLIT(SUBSTITUTE(SUBSTITUTE(IC50,";"," "),"→"," ")," ",,TRUE),_xlpm.v_,_xlfn._xlws.FILTER(_xlpm.tk,ISNUMBER(--LEFT(_xlpm.tk,1))*((ISNUMBER(SEARCH("V",_xlpm.tk))+(RIGHT(UPPER(_xlpm.tk))="В"))&gt;0),""),IFERROR(--SUBSTITUTE(SUBSTITUTE(UPPER(INDEX(_xlpm.v_,1)),"V",""),"В",""),"")))</f>
        <v/>
      </c>
      <c r="IF50" s="6" t="str">
        <f>IF(OR(BV50=0,HI50="",HJ50=""),"",IFERROR(N(_xlfn.XLOOKUP(HI50,Каталог!$C$4:$C$500,Каталог!$Q$4:$Q$500)),""))</f>
        <v/>
      </c>
      <c r="IG50" s="6" t="str">
        <f>IF(N(IF50)=0,"",SUMIFS(Линии[Iр, А],Линии[Щит],A50,Линии[_модуль гр.],HH50,Линии[Канал (итог)],HJ50))</f>
        <v/>
      </c>
      <c r="IH50" t="str">
        <f>IF(AND(B50="",HO50=""),"",_xlfn.TEXTJOIN("; ",TRUE,IF(AND(B50&lt;&gt;"",FV50=""),"нет фазы",""),IF(AND(B50&lt;&gt;"",N(GL50)=0,FG50&lt;&gt;"Нет"),"нет мощности",""),IF(AND(HN50&lt;&gt;"",COUNTIFS(Линии[Щит],A50,Линии[Клемма (итог)],HN50)&gt;1),"дубль клеммы "&amp;HN50,""),IF(AND(HQ50&lt;&gt;"",HQ50&lt;&gt;"ok"),HQ50,""),IF(HR50&lt;&gt;"",HR50,""),IF(AND(N(CB50)&gt;=4,N(BX50)=1),CB50&amp;" жил на 1 фазе",""),IF(AND(BC50="R",CG50=1,IF(CS50&lt;&gt;"",N(CV50)&gt;30,OR(N(DA50)=0,N(DA50)&gt;30))),"розетка без дифзащиты до 30 мА",""),IF(AND(CG50=1,N(DA50)&gt;0,ISNUMBER(T50)),IF(T50&gt;N(DA50)/3,"ток утечки "&amp;FIXED(T50,1)&amp;" мА &gt; 1/3 уставки ("&amp;DA50&amp;" мА)",""),""),IF(AND(CH50=1,CS50=""),"«узо»: нет строки с УЗО выше (УЗО 2P 40А 30мА в «Аппаратах»)",""),IF(AND(CS50&lt;&gt;"",CS50=BA50),IF(CT50="","впишите номинал УЗО (УЗО 2P 40А 30мА)",IF(N(CT50)&lt;N(DT50),"УЗО "&amp;CT50&amp;" А &lt; автомата "&amp;DT50&amp;" А перед ним",IF(N(CT50)&lt;N(CX50),"УЗО "&amp;CT50&amp;" А &lt; тока блока "&amp;FIXED(CX50,1)&amp;" А",""))),""),IF(AND(CS50&lt;&gt;"",CS50=BA50,ISNUMBER(CY50)),IF(CY50&gt;N(CV50)/3,"ток утечки блока УЗО "&amp;FIXED(CY50,1)&amp;" мА &gt; 1/3 уставки ("&amp;CV50&amp;" мА)",""),""),IF(AND(CG50=1,N(BV50)+N(IB50)&gt;0,IC50=""),"линии до 50 В без БП: впишите в «Аппараты» (БП 24V 480W)",""),IF(AND(CG50=1,ISNUMBER(ID50),ISNUMBER(U50)),IF(U50&gt;ID50,"БП "&amp;ID50&amp;" Вт &lt; нужно "&amp;U50&amp;" Вт (×"&amp;Запас_БП&amp;")",""),""),IF(AND(CG50=1,ISNUMBER(IE50),N(BV50)=1),IF(IE50&lt;&gt;N(BU50),"БП на "&amp;IE50&amp;" В, линия "&amp;BU50&amp;" В",""),""),IF(AND(N(IF50)&gt;0,N(IG50)&gt;N(IF50)),HH50&amp;" канал "&amp;HJ50&amp;": "&amp;FIXED(IG50,1)&amp;" А &gt; "&amp;IF50&amp;" А",""),IFERROR(IF(AND(ISNUMBER(Q50),Q50&gt;EL50),"потери "&amp;FIXED(Q50,1)&amp;" % &gt; "&amp;EL50&amp;" %",""),""),IFERROR(IF(LEFT(HU50,4)="мало","Iкз мало — отключение &gt; 0,4 с",""),""),IF(AND(B50&lt;&gt;"",BM50=""),"не на схеме",""),IF(AND(CG50=0,B50&lt;&gt;"",FV50&lt;&gt;"",IF(BA50=1,"",FW49)&lt;&gt;"",FV50&lt;&gt;IF(BA50=1,"",FW49)),"фаза не как у автомата группы ("&amp;IF(BA50=1,"",FW49)&amp;")","")))</f>
        <v/>
      </c>
      <c r="II50" s="6" t="str">
        <f>IF(OR(CG50=0,DQ50=""),"",_xlfn.LET(_xlpm.t,IFERROR(_xlfn.XLOOKUP(DQ50,Каталог!$U$4:$U$500,Каталог!$G$4:$G$500),""),_xlpm.k,SEARCH("кА",_xlpm.t),IFERROR(--TRIM(RIGHT(SUBSTITUTE(MID(_xlpm.t,MAX(1,_xlpm.k-4),_xlpm.k-MAX(1,_xlpm.k-4))," ",REPT(" ",9)),5)),"")))</f>
        <v/>
      </c>
      <c r="IJ50" t="str">
        <f>IF(OR(II50="",CG50=0),"",IF(_xlfn.XLOOKUP(A50,Щиты[Щит],Щиты[Iкз max на шинах, кА],"")="","",IF(II50&lt;_xlfn.XLOOKUP(A50,Щиты[Щит],Щиты[Iкз max на шинах, кА]),"Icu "&amp;II50&amp;" кА &lt; Iкз max","ok")))</f>
        <v/>
      </c>
      <c r="IK50" t="str">
        <f t="shared" si="251"/>
        <v/>
      </c>
      <c r="IL50" t="str">
        <f t="shared" si="252"/>
        <v>QF2|XT2</v>
      </c>
      <c r="IM50" t="str">
        <f t="shared" si="253"/>
        <v>QF2|XT2|кабель ВВГнг(А)-LS (5х1,5) → Приточно-вытяжная установка, пом. 02</v>
      </c>
      <c r="IN50" t="str" cm="1">
        <f t="array" ref="IN50">IF(IM50="","",_xlfn.LET(_xlpm.nd,_xlfn.TEXTSPLIT(IM50,"|"),IF(COLUMNS(_xlpm.nd)&gt;1,A50&amp;"¦"&amp;INDEX(_xlpm.nd,1)&amp;"¦"&amp;INDEX(_xlpm.nd,2),"")))</f>
        <v>ЩС¦QF2¦XT2</v>
      </c>
      <c r="IO50" t="str">
        <f t="shared" si="254"/>
        <v>ПВ.0.02.1¦Приточно-вытяжная установка, пом. 02</v>
      </c>
      <c r="IP50" t="str" cm="1">
        <f t="array" ref="IP50">IF(IM50="","",_xlfn.LET(_xlpm.nd,_xlfn.TEXTSPLIT(IM50,"|"),IF(COLUMNS(_xlpm.nd)&gt;2,A50&amp;"¦"&amp;INDEX(_xlpm.nd,2)&amp;"¦"&amp;INDEX(_xlpm.nd,3),"")))</f>
        <v>ЩС¦XT2¦кабель ВВГнг(А)-LS (5х1,5) → Приточно-вытяжная установка, пом. 02</v>
      </c>
      <c r="IQ50" t="str">
        <f t="shared" si="255"/>
        <v>ПВ.0.02.1¦Приточно-вытяжная установка, пом. 02</v>
      </c>
      <c r="IR50" t="str" cm="1">
        <f t="array" ref="IR50">IF(IM50="","",_xlfn.LET(_xlpm.nd,_xlfn.TEXTSPLIT(IM50,"|"),IF(COLUMNS(_xlpm.nd)&gt;3,A50&amp;"¦"&amp;INDEX(_xlpm.nd,3)&amp;"¦"&amp;INDEX(_xlpm.nd,4),"")))</f>
        <v/>
      </c>
      <c r="IS50" t="str">
        <f t="shared" si="256"/>
        <v/>
      </c>
      <c r="IT50" t="str" cm="1">
        <f t="array" ref="IT50">IF(IM50="","",_xlfn.LET(_xlpm.nd,_xlfn.TEXTSPLIT(IM50,"|"),IF(COLUMNS(_xlpm.nd)&gt;4,A50&amp;"¦"&amp;INDEX(_xlpm.nd,4)&amp;"¦"&amp;INDEX(_xlpm.nd,5),"")))</f>
        <v/>
      </c>
      <c r="IU50" t="str">
        <f t="shared" si="257"/>
        <v/>
      </c>
      <c r="IV50" t="str" cm="1">
        <f t="array" ref="IV50">IF(IM50="","",_xlfn.LET(_xlpm.nd,_xlfn.TEXTSPLIT(IM50,"|"),IF(COLUMNS(_xlpm.nd)&gt;5,A50&amp;"¦"&amp;INDEX(_xlpm.nd,5)&amp;"¦"&amp;INDEX(_xlpm.nd,6),"")))</f>
        <v/>
      </c>
      <c r="IW50" t="str">
        <f t="shared" si="258"/>
        <v/>
      </c>
      <c r="IX50" t="str" cm="1">
        <f t="array" ref="IX50">IF(IM50="","",_xlfn.LET(_xlpm.nd,_xlfn.TEXTSPLIT(IM50,"|"),IF(COLUMNS(_xlpm.nd)&gt;6,A50&amp;"¦"&amp;INDEX(_xlpm.nd,6)&amp;"¦"&amp;INDEX(_xlpm.nd,7),"")))</f>
        <v/>
      </c>
      <c r="IY50" t="str">
        <f t="shared" si="259"/>
        <v/>
      </c>
      <c r="IZ50" t="str">
        <f t="shared" si="260"/>
        <v/>
      </c>
      <c r="JA50" t="str">
        <f t="shared" si="261"/>
        <v>QF2 → XT2</v>
      </c>
      <c r="JB50">
        <f t="shared" si="262"/>
        <v>0</v>
      </c>
      <c r="JC50">
        <f t="shared" si="263"/>
        <v>0</v>
      </c>
      <c r="JD50" t="str">
        <f t="shared" si="264"/>
        <v/>
      </c>
      <c r="JE50" t="str">
        <f t="shared" si="265"/>
        <v/>
      </c>
      <c r="JF50" t="str">
        <f t="shared" si="266"/>
        <v/>
      </c>
      <c r="JG50" t="str">
        <f t="shared" si="267"/>
        <v/>
      </c>
      <c r="JH50">
        <f>IF(B50="","",IFERROR(_xlfn.XLOOKUP(B50,Коды_код,Коды_уго),IFERROR(_xlfn.XLOOKUP(BC50,Коды_код,Коды_уго),IFERROR(_xlfn.XLOOKUP(LEFT(BC50,2),Коды_код,Коды_уго),""))))</f>
        <v>0</v>
      </c>
      <c r="JI50" t="str">
        <f>IF(B50="","",IF(OR(JH50="",JH50=0),"BOX",IFERROR(IF(VLOOKUP(JH50,УГО_блоки,3,FALSE)&amp;""&lt;&gt;"",VLOOKUP(JH50,УГО_блоки,3,FALSE),VLOOKUP(JH50,УГО_блоки,2,FALSE)),JH50)))</f>
        <v>BOX</v>
      </c>
      <c r="JJ50">
        <f t="shared" si="268"/>
        <v>1</v>
      </c>
      <c r="JK50" t="str">
        <f>IF(DQ50="","",IF(COUNTIF(DQ$3:DQ50,DQ50)=1,MAX(JK$2:JK49)+1,""))</f>
        <v/>
      </c>
      <c r="JL50" t="str">
        <f>IF(DE50="","",IF(COUNTIF(DE$3:DE50,DE50)+COUNTIF(DF$2:DF49,DE50)+COUNTIF(DG$2:DG49,DE50)=1,MAX(JL$2:JN49)+1,""))</f>
        <v/>
      </c>
      <c r="JM50" t="str">
        <f>IF(DF50="","",IF(COUNTIF(DE$3:DE50,DF50)+COUNTIF(DF$3:DF50,DF50)+COUNTIF(DG$2:DG49,DF50)=1,MAX(JL$2:JN49,JL50)+1,""))</f>
        <v/>
      </c>
      <c r="JN50" t="str">
        <f>IF(DG50="","",IF(COUNTIF(DE$3:DE50,DG50)+COUNTIF(DF$3:DF50,DG50)+COUNTIF(DG$3:DG50,DG50)=1,MAX(JL$2:JN49,JL50,JM50)+1,""))</f>
        <v/>
      </c>
      <c r="JO50" t="str">
        <f t="shared" si="269"/>
        <v>5х1,5</v>
      </c>
      <c r="JP50" t="str">
        <f>IF(JO50="","",IF(COUNTIF(JO$3:JO50,JO50)=1,MAX(JP$2:JP49)+1,""))</f>
        <v/>
      </c>
      <c r="JQ50" t="str">
        <f>IF(HG50="","",COUNTIF(HG$3:HG50,"?*"))</f>
        <v/>
      </c>
      <c r="JR50" t="str">
        <f>IF(OR(HG50="",HI50=""),"",IF(COUNTIFS(HG$3:HG50,"?*",HI$3:HI50,HI50)=1,MAX(JR$2:JR49)+1,""))</f>
        <v/>
      </c>
      <c r="JS50">
        <f t="shared" si="270"/>
        <v>0</v>
      </c>
      <c r="JT50">
        <f>IF(B50="","",COUNTIF(B$3:B50,"?*"))</f>
        <v>46</v>
      </c>
      <c r="JU50">
        <f>IF(HL50&lt;&gt;1,0,_xlfn.LET(_xlpm.k,MAX(IFERROR(--_xlfn.XLOOKUP(B50,Коды_код,Коды_3L),0),IFERROR(--_xlfn.XLOOKUP(BC50,Коды_код,Коды_3L),0),IFERROR(--_xlfn.XLOOKUP(LEFT(BC50,2),Коды_код,Коды_3L),0)),IF(_xlpm.k&gt;0,_xlpm.k,IF(IFERROR(--LEFT(SUBSTITUTE(JO50,"x","х"),FIND("х",SUBSTITUTE(JO50,"x","х"))-1),3)&gt;3,Каталог!$S$9,1))))</f>
        <v>1</v>
      </c>
      <c r="JV50">
        <f t="shared" si="271"/>
        <v>2</v>
      </c>
      <c r="JW50" t="str">
        <f t="shared" si="272"/>
        <v>авто</v>
      </c>
      <c r="JX50" t="str">
        <f t="shared" si="273"/>
        <v/>
      </c>
      <c r="JY50">
        <f t="shared" si="274"/>
        <v>0</v>
      </c>
      <c r="JZ50">
        <f t="shared" si="275"/>
        <v>1</v>
      </c>
    </row>
    <row r="51" spans="1:286" x14ac:dyDescent="0.3">
      <c r="A51" t="s">
        <v>948</v>
      </c>
      <c r="B51" t="s">
        <v>1231</v>
      </c>
      <c r="C51" t="s">
        <v>1252</v>
      </c>
      <c r="E51">
        <v>1.1000000000000001</v>
      </c>
      <c r="G51" t="str">
        <f>Линии[[#This Row],[_авто автомат]]</f>
        <v>1P С6А</v>
      </c>
      <c r="H51" t="str">
        <f>Линии[[#This Row],[_авто управление]]</f>
        <v/>
      </c>
      <c r="I51" t="str">
        <f>Линии[[#This Row],[_авто аппараты]]</f>
        <v/>
      </c>
      <c r="J51">
        <f>Линии[[#This Row],[_авто сечение]]</f>
        <v>1.5</v>
      </c>
      <c r="K51">
        <v>15</v>
      </c>
      <c r="L51" t="str">
        <f>Линии[[#This Row],[_авто фаза]]</f>
        <v>L1</v>
      </c>
      <c r="M51" t="str">
        <f>Линии[[#This Row],[_авто клемма]]</f>
        <v>XT3</v>
      </c>
      <c r="N51" t="str">
        <f t="shared" si="138"/>
        <v/>
      </c>
      <c r="O51" s="6" cm="1">
        <f t="array" ref="O51">IF(B51="","",IF(BH51&lt;&gt;"",IFERROR(_xlfn.XLOOKUP(BH51,Щиты[Щит],Щиты[Iр, А]),""),IF(BP51=1,IF(OR(N(_xlfn.XLOOKUP(A51,Щиты[Щит],Щиты[Вводов],1))&lt;=1,LOWER(TRIM(_xlfn.XLOOKUP(A51,Щиты[Щит],Щиты[АВР],"")&amp;""))="да"),IFERROR(_xlfn.XLOOKUP(A51,Щиты[Щит],Щиты[Iр, А]),""),IFERROR(N(BS51)*_xlfn.XLOOKUP(A51,Щиты[Щит],Щиты[Кс итог])/(SQRT(3)*Uн_лин*_xlfn.XLOOKUP(A51,Щиты[Щит],Щиты[cos φ])),"")),IF(BV51=1,IFERROR(BS51*1000/BU51,""),IFERROR(_xlfn.IFS(BX51=1,BS51/((Uн_лин/SQRT(3))*CE51),BX51=3,BS51/(SQRT(3)*Uн_лин*CE51)),"")))))</f>
        <v>5.0138312850678028</v>
      </c>
      <c r="P51" s="7">
        <f>IF(B51="","",IFERROR(IF(VLOOKUP(BC51,Потребители_обозначение,4,FALSE)=1,VLOOKUP(BC51,Потребители_обозначение,3,FALSE)*(MAX(1,N(D51))*2-1)+EI51+VLOOKUP(BE51,Этаж_обозначение,3,FALSE)+VLOOKUP(BE51,Этаж_обозначение,4,FALSE),VLOOKUP(BC51,Потребители_обозначение,3,FALSE)*(MAX(1,N(D51))*2-1)+EI51),EI51))</f>
        <v>16</v>
      </c>
      <c r="Q51" s="6">
        <f t="shared" si="139"/>
        <v>2.9160288498727978</v>
      </c>
      <c r="R51" t="str">
        <f t="shared" si="140"/>
        <v>ВВГнг(А)-LS (3х1,5)</v>
      </c>
      <c r="S51" t="str">
        <f>IF(BM51="","",IF(BN51="вводной узел","узел ","")&amp;"л."&amp;(INT((BM51-1)/Столбцов_на_лист)+1)&amp;" / "&amp;(MOD(BM51-1,Столбцов_на_лист)+1))</f>
        <v>л.1 / 5</v>
      </c>
      <c r="T51" s="119">
        <f t="shared" si="141"/>
        <v>2.2000000000000002</v>
      </c>
      <c r="U51" s="7" t="str">
        <f>IF(OR(CG51=0,N(BV51)+N(IB51)=0),"",ROUNDUP(Запас_БП*(N(HY51)+N(HZ51)),0))</f>
        <v/>
      </c>
      <c r="V51" s="119" t="str">
        <f t="shared" si="142"/>
        <v/>
      </c>
      <c r="W51" s="7">
        <f>IFERROR(IF(OR(B51="",BP51=1,BV51=1,NOT(ISNUMBER(EN51)),N(DT51)=0),"",MAX(0,ROUNDDOWN((c_min*(Uн_лин*1000/SQRT(3))/(HT51*N(DT51))-_xlfn.XLOOKUP(A51,Щиты[Щит],Щиты[Zпетли на шинах, Ом]))*EN51/(2*ρкз_Cu),0))),"")</f>
        <v>84</v>
      </c>
      <c r="Y51" t="str">
        <f>Линии[[#This Row],[_авто утечка]]</f>
        <v/>
      </c>
      <c r="Z51">
        <v>1</v>
      </c>
      <c r="AA51">
        <v>230</v>
      </c>
      <c r="AB51" t="str">
        <f>Линии[[#This Row],[_авто группа Кс]]</f>
        <v>Сил</v>
      </c>
      <c r="AF51" t="s">
        <v>797</v>
      </c>
      <c r="AG51" t="s">
        <v>799</v>
      </c>
      <c r="AK51" t="str">
        <f>Линии[[#This Row],[_авто модуль]]</f>
        <v/>
      </c>
      <c r="AN51" t="s">
        <v>11</v>
      </c>
      <c r="AO51">
        <v>3</v>
      </c>
      <c r="BA51" cm="1">
        <f t="array" ref="BA51">ROW()-ROW(Линии[#Headers])</f>
        <v>49</v>
      </c>
      <c r="BC51" s="6" t="str">
        <f t="shared" si="143"/>
        <v>НВК</v>
      </c>
      <c r="BD51" t="str">
        <f t="shared" si="144"/>
        <v>0.03.1</v>
      </c>
      <c r="BE51" t="str">
        <f t="shared" si="145"/>
        <v>0</v>
      </c>
      <c r="BF51" t="str">
        <f t="shared" si="146"/>
        <v>03.1</v>
      </c>
      <c r="BG51" t="str">
        <f t="shared" si="147"/>
        <v>03</v>
      </c>
      <c r="BH51" t="str">
        <f>IF(X51&lt;&gt;"",X51,IF(AND(B51&lt;&gt;"",B51&lt;&gt;A51,ISNUMBER(_xlfn.XMATCH(B51,Щиты[Щит]))),B51,""))</f>
        <v/>
      </c>
      <c r="BI51" t="str" cm="1">
        <f t="array" ref="BI51">IF(B51="","",IF(BH51&lt;&gt;"","Щит "&amp;BH51,_xlfn.LET(_xlpm.nm,IFERROR(_xlfn.XLOOKUP(BC51,Коды_код,Коды_имя)&amp;"",""),_xlpm.md,IFERROR(N(_xlfn.XLOOKUP(BC51,Коды_код,Коды_режим)),1),_xlpm.ex,IF(Имя_режим="по экспликации",IFERROR(_xlfn.XLOOKUP(BE51&amp;"|"&amp;BG51,Экспликация[Этаж]&amp;"|"&amp;Экспликация[Помещение],Экспликация[Название])&amp;"",""),""),_xlpm.rm,IF(BG51="","",IF(_xlpm.ex&lt;&gt;"",". "&amp;_xlpm.ex&amp;IF(Имя_пом="нет"," ("&amp;BG51&amp;")"," (пом. "&amp;BG51&amp;")"),IF(Имя_пом="нет"," ",", пом. ")&amp;BG51)),IF(_xlpm.nm="","",IF(_xlpm.md=2,_xlpm.nm&amp;" шлейф "&amp;BE51,_xlpm.nm&amp;_xlpm.rm)))))</f>
        <v>Насос, пом. 03</v>
      </c>
      <c r="BJ51" t="str">
        <f t="shared" si="148"/>
        <v>Дренажный насос (шина ДГУ)</v>
      </c>
      <c r="BK51">
        <f>IFERROR(_xlfn.XMATCH(A51,Щиты[Щит]),0)</f>
        <v>5</v>
      </c>
      <c r="BL51">
        <f>_xlfn.LET(_xlpm.k,IFERROR(_xlfn.XLOOKUP(A51,Щиты[Щит],Щиты[Мест под вводной узел]),""),IF(_xlpm.k="",Столбцов_на_лист,N(_xlpm.k)))</f>
        <v>2</v>
      </c>
      <c r="BM51">
        <f t="shared" si="149"/>
        <v>5</v>
      </c>
      <c r="BN51" t="str">
        <f t="shared" si="150"/>
        <v>линии</v>
      </c>
      <c r="BO51" s="6">
        <f>IFERROR(N(_xlfn.XLOOKUP(BC51,Коды_код,Коды_квт)),0)</f>
        <v>0</v>
      </c>
      <c r="BP51">
        <f t="shared" si="151"/>
        <v>0</v>
      </c>
      <c r="BQ51" t="str">
        <f>IF(B51="","",IF(BH51&lt;&gt;"",IFERROR(_xlfn.XLOOKUP(BH51,Щиты[Щит],Щиты[Руст, кВт]),0),IF(BP51=1,IF(OR(N(_xlfn.XLOOKUP(A51,Щиты[Щит],Щиты[Вводов],1))&lt;=1,LOWER(TRIM(_xlfn.XLOOKUP(A51,Щиты[Щит],Щиты[АВР],"")&amp;""))="да"),IFERROR(_xlfn.XLOOKUP(A51,Щиты[Щит],Щиты[Руст, кВт]),0),SUMIFS(Линии[_Р для вводов],Линии[Щит],A51,Линии[Источник для режимов],GF51)),IF(BO51&gt;0,ROUND(BO51*MAX(1,N(D51)),3),""))))</f>
        <v/>
      </c>
      <c r="BR51">
        <f t="shared" si="152"/>
        <v>1.1000000000000001</v>
      </c>
      <c r="BS51" s="6">
        <f>IF(B51="","",IF(BH51&lt;&gt;"",IFERROR(_xlfn.XLOOKUP(BH51,Щиты[Щит],Щиты[Руст, кВт]),0),N(BR51)))</f>
        <v>1.1000000000000001</v>
      </c>
      <c r="BT51">
        <f>IF(B51="","",IFERROR(IF(VLOOKUP(BC51,Потребители_обозначение,8,FALSE)=0,"",VLOOKUP(BC51,Потребители_обозначение,8,FALSE)),""))</f>
        <v>230</v>
      </c>
      <c r="BU51">
        <f t="shared" si="153"/>
        <v>230</v>
      </c>
      <c r="BV51">
        <f t="shared" si="154"/>
        <v>0</v>
      </c>
      <c r="BW51">
        <f>IF(B51="","",IF(BH51&lt;&gt;"",3,IFERROR(IF(N(VLOOKUP(BC51,Потребители_обозначение,9,FALSE))=0,1,VLOOKUP(BC51,Потребители_обозначение,9,FALSE)),1)))</f>
        <v>1</v>
      </c>
      <c r="BX51">
        <f t="shared" si="155"/>
        <v>1</v>
      </c>
      <c r="BY51" t="str">
        <f>IF(B51="","",_xlfn.LET(_xlpm.bc,IFERROR(IF(VLOOKUP(BC51,Потребители_обозначение,6,FALSE)=0,"",VLOOKUP(BC51,Потребители_обозначение,6,FALSE)&amp;""),""),IF(AND(GA51="да",OR(_xlpm.bc="",_xlpm.bc="мс")),Марка_пож,IF(AND(_xlpm.bc="",BH51&lt;&gt;""),"мс",_xlpm.bc))))</f>
        <v>мс</v>
      </c>
      <c r="BZ51" t="str">
        <f t="shared" si="156"/>
        <v>мс</v>
      </c>
      <c r="CA51">
        <f>IF(B51="","",_xlfn.LET(_xlpm.cc,IFERROR(N(VLOOKUP(BC51,Потребители_обозначение,7,FALSE)),0),IF(_xlpm.cc&gt;0,_xlpm.cc,IF(BZ51="","",IF(BV51=1,2,IF(N(BX51)=3,5,3))))))</f>
        <v>3</v>
      </c>
      <c r="CB51">
        <f t="shared" si="157"/>
        <v>3</v>
      </c>
      <c r="CC51">
        <f>IFERROR(N(VLOOKUP(BC51,Потребители_обозначение,10,FALSE)),0)</f>
        <v>0</v>
      </c>
      <c r="CD51">
        <f>IFERROR(VLOOKUP(BC51,Потребители_обозначение,5,FALSE),0)</f>
        <v>2</v>
      </c>
      <c r="CE51" s="6" cm="1">
        <f t="array" ref="CE51">IF(B51="","",IF(BH51&lt;&gt;"",IFERROR(_xlfn.XLOOKUP(BH51,Щиты[Щит],Щиты[cos φ]),0.95),IF(BP51=1,IFERROR(_xlfn.XLOOKUP(A51,Щиты[Щит],Щиты[cos φ]),0.95),IF(ISNUMBER(AD51),AD51,IFERROR(IF(CD51=2,_xlfn.IFS(BX51=3,VLOOKUP(BS51,Справочная_двигатели,8,FALSE),BX51=1,VLOOKUP(BS51,Справочная_двигатели,10,TRUE)),IF(AND(Методика="нормы 2026",FG51="Сил"),0.8,0.95)),0.95)))))</f>
        <v>0.95</v>
      </c>
      <c r="CF51">
        <f t="shared" si="158"/>
        <v>0</v>
      </c>
      <c r="CG51">
        <f t="shared" si="159"/>
        <v>1</v>
      </c>
      <c r="CH51">
        <f t="shared" si="160"/>
        <v>0</v>
      </c>
      <c r="CI51">
        <f>IF(B51="","",IF(BV51=1,IFERROR(BS51/((Uн_лин/SQRT(3))*MAX(0.5,N(CE51))),0),N(O51)))</f>
        <v>5.0138312850678028</v>
      </c>
      <c r="CJ51">
        <f t="shared" si="161"/>
        <v>0</v>
      </c>
      <c r="CK51">
        <f t="shared" si="162"/>
        <v>0</v>
      </c>
      <c r="CL51">
        <f t="shared" si="163"/>
        <v>0</v>
      </c>
      <c r="CM51">
        <f t="shared" si="164"/>
        <v>0</v>
      </c>
      <c r="CN51">
        <f t="shared" si="165"/>
        <v>0</v>
      </c>
      <c r="CO51">
        <f>IF(BC51="",0,_xlfn.LET(_xlpm.v,IFERROR(_xlfn.XLOOKUP(B51,Коды_код,Коды_мА),IFERROR(_xlfn.XLOOKUP(BC51,Коды_код,Коды_мА),IFERROR(_xlfn.XLOOKUP(LEFT(BC51,2),Коды_код,Коды_мА),""))),IF(_xlpm.v="да",30,IF(ISNUMBER(_xlpm.v),_xlpm.v,0))))</f>
        <v>0</v>
      </c>
      <c r="CP51" t="str">
        <f t="shared" si="166"/>
        <v/>
      </c>
      <c r="CQ51" t="str">
        <f>_xlfn.LET(_xlpm.k,IFERROR(_xlfn.XLOOKUP(BC51,Коды_код,Коды_утечка)&amp;"",""),IF(_xlpm.k="","дифавтомат",_xlpm.k))</f>
        <v>дифавтомат</v>
      </c>
      <c r="CR51" t="str" cm="1">
        <f t="array" ref="CR51">IF(CG51=0,"",_xlfn.LET(_xlpm.sg,TRIM(_xlfn.TEXTSPLIT(DD51&amp;"",";")),_xlpm.f_,_xlfn._xlws.FILTER(_xlpm.sg,LEFT(_xlpm.sg,3)="УЗО",""),IFERROR(INDEX(_xlpm.f_,1)&amp;"","")))</f>
        <v/>
      </c>
      <c r="CS51" t="str">
        <f t="shared" si="167"/>
        <v/>
      </c>
      <c r="CT51" s="6" t="str" cm="1">
        <f t="array" ref="CT51">IF(CR51="","",_xlfn.LET(_xlpm.tk,_xlfn.TEXTSPLIT(UPPER(CR51)," ",,TRUE),_xlpm.a_,_xlfn._xlws.FILTER(_xlpm.tk,ISNUMBER(--LEFT(_xlpm.tk,1))*((ISNUMBER(SEARCH("А",_xlpm.tk))+ISNUMBER(SEARCH("A",_xlpm.tk)))&gt;0)*NOT(ISNUMBER(SEARCH("МА",_xlpm.tk)))*NOT(ISNUMBER(SEARCH("MA",_xlpm.tk))),""),IFERROR(--SUBSTITUTE(SUBSTITUTE(INDEX(_xlpm.a_,1),"А",""),"A",""),"")))</f>
        <v/>
      </c>
      <c r="CU51" t="str" cm="1">
        <f t="array" ref="CU51">IF(CR51="","",_xlfn.LET(_xlpm.tk,_xlfn.TEXTSPLIT(UPPER(CR51)," ",,TRUE),_xlpm.a_,_xlfn._xlws.FILTER(_xlpm.tk,ISNUMBER(--LEFT(_xlpm.tk,1))*((ISNUMBER(SEARCH("МА",_xlpm.tk))+ISNUMBER(SEARCH("MA",_xlpm.tk)))&gt;0),""),IFERROR(--SUBSTITUTE(SUBSTITUTE(INDEX(_xlpm.a_,1),"МА",""),"MA",""),30)))</f>
        <v/>
      </c>
      <c r="CV51" t="str">
        <f>IF(CS51="","",IFERROR(_xlfn.XLOOKUP(CS51,Линии[_n],Линии[_УЗО, мА]),30))</f>
        <v/>
      </c>
      <c r="CW51">
        <f>IF(CS51="",0,IF(ISNUMBER(SEARCH("4P",IFERROR(_xlfn.XLOOKUP(CS51,Линии[_n],Линии[_УЗО строки])&amp;"",""))),0,1))</f>
        <v>0</v>
      </c>
      <c r="CX51" t="str">
        <f>IF(AND(CS51&lt;&gt;"",CS51=BA51),SUMIFS(Линии[_ток на 230 В],Линии[_блок УЗО],BA51,Линии[Щит],A51),"")</f>
        <v/>
      </c>
      <c r="CY51" t="str">
        <f>IF(AND(CS51&lt;&gt;"",CS51=BA51),SUMIFS(Линии[_ток утечки линии, мА],Линии[_блок УЗО],BA51,Линии[Щит],A51),"")</f>
        <v/>
      </c>
      <c r="CZ51">
        <f t="shared" si="168"/>
        <v>0</v>
      </c>
      <c r="DA51">
        <f t="shared" si="169"/>
        <v>0</v>
      </c>
      <c r="DB51">
        <f>IF(B51="",0,IFERROR(--_xlfn.XLOOKUP(B51,Коды_код,Коды_минавт),IFERROR(--_xlfn.XLOOKUP(BC51,Коды_код,Коды_минавт),IFERROR(--_xlfn.XLOOKUP(LEFT(BC51,2),Коды_код,Коды_минавт),0))))</f>
        <v>0</v>
      </c>
      <c r="DC51" t="str">
        <f>IF(B51="","",IFERROR(_xlfn.XLOOKUP(BC51,Коды_код,Коды_апп)&amp;"",""))</f>
        <v/>
      </c>
      <c r="DD51" t="str">
        <f t="shared" si="170"/>
        <v/>
      </c>
      <c r="DE51" t="str" cm="1">
        <f t="array" ref="DE51">IF(TRIM(DD51&amp;"")="","",IFERROR(TRIM(INDEX(_xlfn.TEXTSPLIT(DD51&amp;";;;",";"),1)),""))</f>
        <v/>
      </c>
      <c r="DF51" t="str" cm="1">
        <f t="array" ref="DF51">IF(TRIM(DD51&amp;"")="","",IFERROR(TRIM(INDEX(_xlfn.TEXTSPLIT(DD51&amp;";;;",";"),2)),""))</f>
        <v/>
      </c>
      <c r="DG51" t="str" cm="1">
        <f t="array" ref="DG51">IF(TRIM(DD51&amp;"")="","",IFERROR(TRIM(INDEX(_xlfn.TEXTSPLIT(DD51&amp;";;;",";"),3)),""))</f>
        <v/>
      </c>
      <c r="DH51">
        <f t="shared" si="171"/>
        <v>0</v>
      </c>
      <c r="DI51" t="str">
        <f>IF(B51="","",_xlfn.LET(_xlpm.t,LOWER(AZ51&amp;""),IF(ISNUMBER(SEARCH("dim",_xlpm.t)),"DIM",IF(ISNUMBER(SEARCH("dali",_xlpm.t)),"DALI",IF(OR(ISNUMBER(SEARCH("relay",_xlpm.t)),ISNUMBER(SEARCH("реле",_xlpm.t))),"Relay",IF(ISNUMBER(SEARCH("кнопк",_xlpm.t)),"",IFERROR(_xlfn.XLOOKUP(BC51,Коды_код,Коды_упр)&amp;"","")))))))</f>
        <v/>
      </c>
      <c r="DJ51" t="str">
        <f t="shared" si="172"/>
        <v/>
      </c>
      <c r="DK51">
        <f>IF(B51="","",_xlfn.LET(_xlpm.ig,IF(N(CX51)&gt;0,N(CX51),N(CI51)+IF(AJ51="вручную",0,N(CJ51))),_xlpm.n0,IFERROR(VLOOKUP(_xlpm.ig,Автомат_номиналы,2,TRUE),0),_xlpm.mn,MAX(DB51,IF(AJ51="вручную",0,N(CM51))),MAX(_xlpm.n0,_xlpm.mn,IF(DH51=1,Мин_автомат_БП,0))))</f>
        <v>6</v>
      </c>
      <c r="DL51">
        <f t="shared" si="173"/>
        <v>1</v>
      </c>
      <c r="DM51" t="str">
        <f t="shared" si="174"/>
        <v>1P</v>
      </c>
      <c r="DN51" t="str">
        <f>_xlfn.LET(_xlpm.cc,UPPER(TRIM(IFERROR(_xlfn.XLOOKUP(BC51,Коды_код,Коды_хар)&amp;"",""))),IF(OR(_xlpm.cc="B",_xlpm.cc="В"),"B",IF(_xlpm.cc="D","D","С")))</f>
        <v>С</v>
      </c>
      <c r="DO51" t="str">
        <f t="shared" si="175"/>
        <v>1P С6А</v>
      </c>
      <c r="DP51" t="str">
        <f t="shared" si="176"/>
        <v>1P С6А</v>
      </c>
      <c r="DQ51" t="str">
        <f t="shared" si="177"/>
        <v>1P С6А</v>
      </c>
      <c r="DR51" cm="1">
        <f t="array" ref="DR51">IF(DQ51="","",_xlfn.LET(_xlpm.t,SUBSTITUTE(SUBSTITUTE(SUBSTITUTE(UPPER(DQ51),"С","C"),"А","A"),"В","B"),_xlpm.tk,_xlfn.TEXTSPLIT(_xlpm.t," "),_xlpm.f,_xlfn._xlws.FILTER(_xlpm.tk,ISNUMBER(--MID(_xlpm.tk,2,1))*ISNUMBER(SEARCH(LEFT(_xlpm.tk,1)&amp;"#","B#C#D#"))*(LEN(_xlpm.tk)&gt;1),""),_xlpm.x,INDEX(_xlpm.f,1),IFERROR(--SUBSTITUTE(MID(_xlpm.x,2,9),"A",""),IFERROR(--SUBSTITUTE(INDEX(_xlfn._xlws.FILTER(_xlpm.tk,ISNUMBER(--SUBSTITUTE(_xlpm.tk,"A","")),""),1),"A",""),""))))</f>
        <v>6</v>
      </c>
      <c r="DS51" t="str">
        <f t="shared" si="178"/>
        <v>ok</v>
      </c>
      <c r="DT51">
        <f t="shared" si="179"/>
        <v>6</v>
      </c>
      <c r="DU51" t="str">
        <f t="shared" si="180"/>
        <v>1P С6А</v>
      </c>
      <c r="DV51">
        <f t="shared" si="181"/>
        <v>0</v>
      </c>
      <c r="DW51">
        <f t="shared" si="182"/>
        <v>0</v>
      </c>
      <c r="DX51">
        <f t="shared" si="183"/>
        <v>0</v>
      </c>
      <c r="DY51">
        <f t="shared" si="184"/>
        <v>5.0138312850678028</v>
      </c>
      <c r="DZ51">
        <f t="shared" si="185"/>
        <v>1</v>
      </c>
      <c r="EA51">
        <f>IF(ISNUMBER(AP51),AP51,К_прокл)</f>
        <v>1</v>
      </c>
      <c r="EB51">
        <f t="shared" si="186"/>
        <v>2</v>
      </c>
      <c r="EC51">
        <f>IFERROR(N(VLOOKUP(BZ51,Кабель_обозначение,3,FALSE)),1)</f>
        <v>1</v>
      </c>
      <c r="ED51">
        <f>IFERROR(N(_xlfn.XLOOKUP(A51,Щиты[Щит],Щиты[ΔU до шин, %])),0)</f>
        <v>1.9160288498727978</v>
      </c>
      <c r="EE51">
        <f>IFERROR(_xlfn.XLOOKUP(A51,Щиты[Щит],Щиты[Zпетли на шинах, Ом]),"")</f>
        <v>0.67697829354840211</v>
      </c>
      <c r="EF51">
        <f>IFERROR(N(_xlfn.XLOOKUP(A51,Щиты[Щит],Щиты[ΔU до шин (подбор), %])),0)</f>
        <v>1.9160288498727978</v>
      </c>
      <c r="EG51">
        <f>IFERROR(_xlfn.XLOOKUP(A51,Щиты[Щит],Щиты[Zпетли на шинах (подбор), Ом]),"")</f>
        <v>0.67697829354840211</v>
      </c>
      <c r="EH51" t="str">
        <f t="shared" si="187"/>
        <v/>
      </c>
      <c r="EI51">
        <f t="shared" si="188"/>
        <v>15</v>
      </c>
      <c r="EJ51">
        <f t="shared" si="189"/>
        <v>2</v>
      </c>
      <c r="EK51">
        <f t="shared" si="190"/>
        <v>0.31</v>
      </c>
      <c r="EL51" s="6">
        <f>IF(B51="","",IF(BV51=1,dU_LED,IF(IFERROR(_xlfn.XLOOKUP(BC51,Коды_код,Коды_уго),"")="Светильник",3,4)+IF(Методика="нормы 2026",MIN(0.5,MAX(0,N(P51)-100)*0.005),0)))</f>
        <v>4</v>
      </c>
      <c r="EM51" cm="1">
        <f t="array" ref="EM51">IF(OR(B51="",BZ51="",EC51&lt;&gt;1),"",_xlfn.LET(_xlpm.sz,Iдоп_S,_xlpm.t_,CHOOSE(EB51,Iдоп_1ж,Iдоп_2ж,Iдоп_3ж)*DZ51*EA51,_xlpm.dcx,BV51=1,_xlpm.inn,IF(_xlpm.dcx,N(O51),N(DT51)),_xlpm.smin,MAX(1.5,CC51),_xlpm.L_,N(P51),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51)/N(BU51)*100,999),IFERROR(N(EJ51)*(_xlpm.rho*_xlpm.L_/_xlpm.sz*N(CE51)+_xlpm.xx*_xlpm.L_*N(EK51)/1000)*N(O51)/((Uн_лин/SQRT(3))*1000)*100,999)),_xlpm.kz,IF(OR(_xlpm.dcx,DW51=1,NOT(ISNUMBER(EG51)),_xlpm.L_=0,_xlpm.inn=0),1,IFERROR(--(c_min*(Uн_лин*1000/SQRT(3))/(EG51+2*ρкз_Cu*_xlpm.L_/_xlpm.sz)&gt;=HT51*_xlpm.inn),0)),_xlpm.ok,IFERROR((_xlpm.sz&gt;=_xlpm.smin)*(_xlpm.t_&gt;=_xlpm.inn)*IF(_xlpm.L_&gt;0,(_xlpm.du_+IF(_xlpm.dcx,0,EF51)&lt;=EL51+0.00001),1)*_xlpm.kz,0),_xlpm.r_,_xlfn._xlws.FILTER(_xlpm.sz,_xlpm.ok,"не подобрано"),INDEX(_xlpm.r_,1)))</f>
        <v>1.5</v>
      </c>
      <c r="EN51">
        <f t="shared" si="191"/>
        <v>1.5</v>
      </c>
      <c r="EO51" cm="1">
        <f t="array" ref="EO51">IF(OR(B51="",BZ51="",EC51&lt;&gt;1),"",_xlfn.LET(_xlpm.sz,Iдоп_S,_xlpm.t_,CHOOSE(EB51,Iдоп_1ж,Iдоп_2ж,Iдоп_3ж)*DZ51*EA51,_xlpm.ok,IFERROR((_xlpm.sz&gt;=MAX(1.5,CC51))*(_xlpm.t_&gt;=N(DT51)),0),_xlpm.r_,_xlfn._xlws.FILTER(_xlpm.sz,_xlpm.ok,""),INDEX(_xlpm.r_,1)))</f>
        <v>1.5</v>
      </c>
      <c r="EP51" s="6" cm="1">
        <f t="array" ref="EP51">IFERROR(ROUNDUP(N(EJ51)*(_xlfn.XLOOKUP(EO51,INDEX(Кабель_сопротивление,0,1),INDEX(Кабель_сопротивление,0,3))*N(P51)/EO51*N(CE51)+_xlfn.XLOOKUP(EO51,INDEX(Кабель_сопротивление,0,1),INDEX(Кабель_сопротивление,0,2))*N(P51)*N(EK51)/1000)*N(O51)/((Uн_лин/SQRT(3))*1000)*100,2),"")</f>
        <v>1</v>
      </c>
      <c r="EQ51">
        <f>IFERROR(2*ρкз_Cu*N(P51)/EO51,"")</f>
        <v>0.56106666666666671</v>
      </c>
      <c r="ER51">
        <f>IFERROR(VLOOKUP(EN51,Кабель_сопротивление,3,FALSE),"")</f>
        <v>2.2499999999999999E-2</v>
      </c>
      <c r="ES51">
        <f>IFERROR(VLOOKUP(EN51,Кабель_сопротивление,2,FALSE),"")</f>
        <v>0.11</v>
      </c>
      <c r="ET51" t="str">
        <f t="shared" si="192"/>
        <v/>
      </c>
      <c r="EU51" t="str">
        <f t="shared" si="193"/>
        <v/>
      </c>
      <c r="EV51">
        <f t="shared" si="194"/>
        <v>2.2917781586891839</v>
      </c>
      <c r="EW51" s="6">
        <f>IFERROR(ROUNDUP(EV51/IF(BV51=1,BU51,(Uн_лин/SQRT(3))*1000)*100,2),"")</f>
        <v>1</v>
      </c>
      <c r="EX51" t="str">
        <f>IFERROR(VLOOKUP(BZ51,Кабель_обозначение,2,FALSE),"")</f>
        <v>ВВГнг(А)-LS</v>
      </c>
      <c r="EY51" t="str">
        <f t="shared" si="195"/>
        <v>ВВГнг(А)-LS (3х1,5)</v>
      </c>
      <c r="EZ51" t="str">
        <f t="shared" si="196"/>
        <v>ВВГнг(А)-LS (3х1,5)
L=16-1%</v>
      </c>
      <c r="FA51">
        <f>IFERROR(2*ρкз_Cu*P51/EN51,"")</f>
        <v>0.56106666666666671</v>
      </c>
      <c r="FB51">
        <f t="shared" si="197"/>
        <v>0.18666666666666668</v>
      </c>
      <c r="FC51" s="6">
        <f>IFERROR(IF(OR(B51="",BV51=1,NOT(ISNUMBER(EN51)),N(P51)=0),"",_xlfn.XLOOKUP(A51,Щиты[Щит],Щиты[Zпетли на шинах, Ом])+FA51),"")</f>
        <v>1.2380449602150687</v>
      </c>
      <c r="FD51" s="6">
        <f>IF(ISNUMBER(FC51),c_min*(Uн_лин*1000/SQRT(3))/FC51,"")</f>
        <v>177.20931738532792</v>
      </c>
      <c r="FE51" s="6">
        <f>IFERROR(IF(OR(B51="",NOT(ISNUMBER(EN51))),"",1.05*(Uн_лин*1000/SQRT(3))/(_xlfn.XLOOKUP(A51,Щиты[Щит],Щиты[Zmax на шинах, Ом])+FB51)/1000),"")</f>
        <v>0.60165992685846548</v>
      </c>
      <c r="FF51" s="6" t="str">
        <f>IF(B51="","",IF(ISNUMBER(AC51),"Сил",IF(IFERROR(_xlfn.XLOOKUP(BC51,Коды_код,Коды_группа)&amp;"","")="","Быт",_xlfn.XLOOKUP(BC51,Коды_код,Коды_группа)&amp;"")))</f>
        <v>Сил</v>
      </c>
      <c r="FG51" s="6" t="str">
        <f t="shared" si="198"/>
        <v>Сил</v>
      </c>
      <c r="FH51" s="6">
        <f>IF(FG51="Щит","щит",IF(FG51="","",IF(FG51="Быт",IFERROR(_xlfn.XLOOKUP(A51,Щиты[Щит],Щиты[Кс быт]),1),IF(FG51="Сил",IF(ISNUMBER(AC51),AC51,IF(Методика="нормы 2026",IFERROR(_xlfn.XLOOKUP(A51,Щиты[Щит],Щиты[Кс силовых (табл. 7.5)]),1),1)),IF(OR(FG51="Пост",FG51="Отоп"),1,IF(FG51="ВНГ",0.7,0))))))</f>
        <v>0.85000000000000009</v>
      </c>
      <c r="FI51">
        <f>IF(FG51="","",IF(AND(BP51=1,TRIM(AE51&amp;"")=""),IF(COUNTIFS(Линии[Щит],A51,Линии[Секция (1/2/3)],"&gt;=2")&gt;0,MIN(3,MAX(1,IFERROR(--BD51,1))),1),IFERROR(MIN(3,MAX(1,INT(--AE51))),1)))</f>
        <v>1</v>
      </c>
      <c r="FJ51">
        <f t="shared" si="199"/>
        <v>1.1000000000000001</v>
      </c>
      <c r="FK51">
        <f t="shared" si="200"/>
        <v>0</v>
      </c>
      <c r="FL51">
        <f t="shared" si="201"/>
        <v>0.93500000000000016</v>
      </c>
      <c r="FM51">
        <f t="shared" si="202"/>
        <v>0</v>
      </c>
      <c r="FN51">
        <f t="shared" si="203"/>
        <v>0</v>
      </c>
      <c r="FO51">
        <f t="shared" si="204"/>
        <v>0</v>
      </c>
      <c r="FP51">
        <f t="shared" si="205"/>
        <v>1.1000000000000001</v>
      </c>
      <c r="FQ51">
        <f t="shared" si="206"/>
        <v>1.1000000000000001</v>
      </c>
      <c r="FR51">
        <f t="shared" si="207"/>
        <v>1.0449999999999999</v>
      </c>
      <c r="FS51">
        <f>IF(CG51=1,IF(AND(CH51=1,CW51=1),0,IF(AND(CS51&lt;&gt;"",CS51=BA51,CW51=1),SUMIFS(Линии[_Р линии, кВт],Линии[_блок УЗО],BA51,Линии[Щит],A51),N(BS51)+IF(AJ51="вручную",0,N(CK51)))),0)</f>
        <v>1.1000000000000001</v>
      </c>
      <c r="FT51" t="str">
        <f t="shared" si="208"/>
        <v/>
      </c>
      <c r="FU51" t="str">
        <f>IF(B51="","",IF(CG51=0,IF(BA51=1,"",FW50),IF(AND(CH51=1,CW51=1,CS51&lt;&gt;""),IFERROR(_xlfn.XLOOKUP(CS51,Линии[_n],Линии[_фаза итог]),"L1"),IF(OR(N(DL51)&gt;=3,N(BX51)&gt;=3),"L1,L2,L3",IFERROR(_xlfn.TEXTBEFORE(_xlfn.TEXTAFTER(_xlfn.XLOOKUP(A51,Щиты[Щит],Щиты[_фазы авто]),";"&amp;BA51&amp;":"),";"),"L1")))))</f>
        <v>L1</v>
      </c>
      <c r="FV51" t="str">
        <f t="shared" si="209"/>
        <v>L1</v>
      </c>
      <c r="FW51" t="str">
        <f t="shared" si="210"/>
        <v>L1</v>
      </c>
      <c r="FX51" cm="1">
        <f t="array" ref="FX51">IFERROR(IF(CD51=2,_xlfn.IFS(BX51=3,VLOOKUP(BS51,Справочная_двигатели,3,FALSE),BX51=1,VLOOKUP(BS51,Справочная_двигатели,5,TRUE)),0),0)</f>
        <v>24.19</v>
      </c>
      <c r="FY51">
        <f>IFERROR(IF(CD51=3,VLOOKUP(BS51,Справочная_ЛЭД,2,TRUE),0),0)</f>
        <v>0</v>
      </c>
      <c r="FZ51" s="6">
        <f t="shared" si="211"/>
        <v>24.19</v>
      </c>
      <c r="GA51" t="str">
        <f>IF(B51="","",IF(TRIM(AH51&amp;"")&lt;&gt;"",IF(LOWER(TRIM(AH51&amp;""))="да","да","нет"),IF(IFERROR(_xlfn.XLOOKUP(BC51,Коды_код,Коды_пожарная),"")="да","да","нет")))</f>
        <v>нет</v>
      </c>
      <c r="GB51" t="str">
        <f t="shared" si="212"/>
        <v>ДГУ</v>
      </c>
      <c r="GC51" t="str">
        <f t="shared" si="213"/>
        <v>ДГУ</v>
      </c>
      <c r="GD51">
        <f>IF(AND(BP51=1,TRIM(AE51&amp;"")=""),IF(COUNTIFS(Линии[Щит],A51,Линии[Секция (1/2/3)],"&gt;=2")&gt;0,MIN(3,MAX(1,IFERROR(--BD51,1))),1),IFERROR(MIN(3,MAX(1,INT(--AE51))),1))</f>
        <v>1</v>
      </c>
      <c r="GE51" t="str" cm="1">
        <f t="array" ref="GE51">IF(B51="","",_xlfn.LET(_xlpm.t,IFERROR(_xlfn.XLOOKUP(1,(Шины[Шина]=GC51)*(((Шины[Щит]=A51)+(Шины[Щит]=""))&gt;0),Шины[Тип]),"")&amp;"",IF(_xlpm.t&lt;&gt;"",_xlpm.t,IF(ISNUMBER(SEARCH("ИБП",GC51)),"ИБП",IF(ISNUMBER(SEARCH("ДГУ",GC51)),"ДГУ","Ввод "&amp;GD51)))))</f>
        <v>ДГУ</v>
      </c>
      <c r="GF51" t="str">
        <f t="shared" si="214"/>
        <v>ДГУ</v>
      </c>
      <c r="GG51" t="str">
        <f>IF(BP51=0,"",IF(TRIM(AG51&amp;"")&lt;&gt;"",TRIM(AG51&amp;""),IF(OR(GE51="ИБП",GE51="ДГУ"),"I особая",_xlfn.XLOOKUP(A51,Щиты[Щит],Щиты[Категория шины «Ввод»],"III"))))</f>
        <v/>
      </c>
      <c r="GH51" t="str">
        <f>IF(A51="","",_xlfn.XLOOKUP(A51,Щиты[Щит],Щиты[Путь],""))</f>
        <v>|ВРУ|ЩС|</v>
      </c>
      <c r="GI51" t="str">
        <f>IF(B51="","",IF(AI51&lt;&gt;"",AI51,IF(IFERROR(_xlfn.XLOOKUP(BC51,Коды_код,Коды_вид)&amp;"","")="","Прочее",_xlfn.XLOOKUP(BC51,Коды_код,Коды_вид)&amp;"")))</f>
        <v>Насосы (водоснабжение, дренаж)</v>
      </c>
      <c r="GJ51">
        <f>IF(BM51="","",INT((BM51-1)/Столбцов_на_лист)+1)</f>
        <v>1</v>
      </c>
      <c r="GK51" t="str">
        <f t="shared" si="215"/>
        <v>ВВГнг(А)-LS (3х1,5) L=16-1%</v>
      </c>
      <c r="GL51">
        <f t="shared" si="216"/>
        <v>1.1000000000000001</v>
      </c>
      <c r="GM51">
        <f t="shared" si="217"/>
        <v>5.0199999999999996</v>
      </c>
      <c r="GN51">
        <f t="shared" si="218"/>
        <v>1</v>
      </c>
      <c r="GO51">
        <f t="shared" si="219"/>
        <v>0</v>
      </c>
      <c r="GP51">
        <f t="shared" si="220"/>
        <v>1</v>
      </c>
      <c r="GQ51">
        <f>IF(BM51="","",IF(AND(CG51=1,GP51=1),COUNTIFS(A$3:A51,A51,CG$3:CG51,1,GP$3:GP51,1),IF(OR(OR(BA51=1,A51&lt;&gt;A50),AJ51="вручную",GP51=0),"",IF(BA51=1,"",GR50))))</f>
        <v>3</v>
      </c>
      <c r="GR51">
        <f t="shared" si="221"/>
        <v>3</v>
      </c>
      <c r="GS51">
        <f>IF(B51="","",IFERROR(LOOKUP(INDEX(CHOOSE(EB51,Iдоп_1ж,Iдоп_2ж,Iдоп_3ж),MATCH(EN51,Iдоп_S,0))*DZ51*EA51,{6,10,16,20,25,32,40,50,63,80,100,125,160,200,250,315,400,500,630}),""))</f>
        <v>16</v>
      </c>
      <c r="GT51" t="str">
        <f t="shared" si="222"/>
        <v>QF3</v>
      </c>
      <c r="GU51" t="str">
        <f t="shared" si="223"/>
        <v>QF3</v>
      </c>
      <c r="GV51" t="str">
        <f t="shared" si="224"/>
        <v/>
      </c>
      <c r="GW51">
        <f t="shared" si="225"/>
        <v>0</v>
      </c>
      <c r="GX51" t="str">
        <f>IF(OR(B51="",DJ51=""),"",IFERROR(_xlfn.XLOOKUP(DJ51,Модули_умолч[Управление],Модули_умолч[Модель])&amp;"",""))</f>
        <v/>
      </c>
      <c r="GY51">
        <f>IF(DJ51="",1,IFERROR(MAX(0,N(_xlfn.XLOOKUP(DJ51,Модули_умолч[Управление],Модули_умолч[Каналов на линию]))),1))</f>
        <v>1</v>
      </c>
      <c r="GZ51" t="str">
        <f t="shared" si="226"/>
        <v/>
      </c>
      <c r="HA51" t="str">
        <f t="shared" si="227"/>
        <v/>
      </c>
      <c r="HB51" t="str">
        <f t="shared" si="228"/>
        <v/>
      </c>
      <c r="HC51">
        <f>IF(HB51="",0,IFERROR(N(VLOOKUP(HB51,Модули_спр,3,FALSE)),0))</f>
        <v>0</v>
      </c>
      <c r="HD51" t="str">
        <f t="shared" si="229"/>
        <v/>
      </c>
      <c r="HE51" t="str">
        <f t="shared" si="230"/>
        <v/>
      </c>
      <c r="HF51" t="str">
        <f>IF(OR(HE51="",HE51="-"),"",IFERROR(VLOOKUP(HE51,Модули_спр,2,FALSE),"R"))</f>
        <v/>
      </c>
      <c r="HG51" t="str">
        <f>IF(HF51="","",HF51&amp;"."&amp;COUNTIFS(A$3:A51,A51,HF$3:HF51,HF51))</f>
        <v/>
      </c>
      <c r="HH51" t="str">
        <f t="shared" si="231"/>
        <v/>
      </c>
      <c r="HI51" t="str">
        <f t="shared" si="232"/>
        <v/>
      </c>
      <c r="HJ51" t="str">
        <f t="shared" si="233"/>
        <v/>
      </c>
      <c r="HK51" t="str">
        <f t="shared" si="234"/>
        <v/>
      </c>
      <c r="HL51">
        <f t="shared" si="235"/>
        <v>1</v>
      </c>
      <c r="HM51" t="str">
        <f>IF(HL51=1,"XT"&amp;COUNTIFS(A$3:A51,A51,HL$3:HL51,1),"")</f>
        <v>XT3</v>
      </c>
      <c r="HN51" t="str">
        <f t="shared" si="236"/>
        <v>XT3</v>
      </c>
      <c r="HO51" t="str">
        <f t="shared" si="237"/>
        <v>QF3</v>
      </c>
      <c r="HP51" t="str">
        <f t="shared" si="238"/>
        <v/>
      </c>
      <c r="HQ51" t="str">
        <f t="shared" si="239"/>
        <v>ok</v>
      </c>
      <c r="HR51" t="str">
        <f>IF(OR(HJ51="",HH51=""),"",IF(HJ51+MAX(0,GY51-1)&gt;IFERROR(VLOOKUP(HI51,Модули_спр,3,FALSE),99),"ЛИШНИЙ КАНАЛ",IF(AND(AL51&lt;&gt;"=",GY51&gt;0,COUNTIFS(Линии[_модуль гр.],HH51,Линии[Канал (итог)],HJ51,Линии[Канал],"&lt;&gt;=",Линии[Щит],A51)&gt;1),"ДУБЛЬ КАНАЛА","")))</f>
        <v/>
      </c>
      <c r="HS51" s="6">
        <f t="shared" si="240"/>
        <v>29.534886230887988</v>
      </c>
      <c r="HT51">
        <f t="shared" si="241"/>
        <v>10</v>
      </c>
      <c r="HU51" t="str">
        <f t="shared" si="242"/>
        <v>ok</v>
      </c>
      <c r="HV51">
        <f t="shared" si="243"/>
        <v>2.1655325140271215</v>
      </c>
      <c r="HW51">
        <f t="shared" si="244"/>
        <v>0</v>
      </c>
      <c r="HX51">
        <f t="shared" si="245"/>
        <v>0</v>
      </c>
      <c r="HY51">
        <f t="shared" si="246"/>
        <v>0</v>
      </c>
      <c r="HZ51">
        <f t="shared" si="247"/>
        <v>0</v>
      </c>
      <c r="IA51">
        <f t="shared" si="248"/>
        <v>0</v>
      </c>
      <c r="IB51">
        <f t="shared" si="249"/>
        <v>0</v>
      </c>
      <c r="IC51" t="str">
        <f t="shared" si="250"/>
        <v/>
      </c>
      <c r="ID51" t="str" cm="1">
        <f t="array" ref="ID51">IF(IC51="","",_xlfn.LET(_xlpm.tk,_xlfn.TEXTSPLIT(SUBSTITUTE(SUBSTITUTE(IC51,";"," "),"→"," ")," ",,TRUE),_xlpm.w_,_xlfn._xlws.FILTER(_xlpm.tk,ISNUMBER(--LEFT(_xlpm.tk,1))*((ISNUMBER(SEARCH("W",_xlpm.tk))+ISNUMBER(SEARCH("Вт",_xlpm.tk)))&gt;0),""),IFERROR(--SUBSTITUTE(SUBSTITUTE(UPPER(INDEX(_xlpm.w_,1)),"W",""),"ВТ",""),"")))</f>
        <v/>
      </c>
      <c r="IE51" t="str" cm="1">
        <f t="array" ref="IE51">IF(IC51="","",_xlfn.LET(_xlpm.tk,_xlfn.TEXTSPLIT(SUBSTITUTE(SUBSTITUTE(IC51,";"," "),"→"," ")," ",,TRUE),_xlpm.v_,_xlfn._xlws.FILTER(_xlpm.tk,ISNUMBER(--LEFT(_xlpm.tk,1))*((ISNUMBER(SEARCH("V",_xlpm.tk))+(RIGHT(UPPER(_xlpm.tk))="В"))&gt;0),""),IFERROR(--SUBSTITUTE(SUBSTITUTE(UPPER(INDEX(_xlpm.v_,1)),"V",""),"В",""),"")))</f>
        <v/>
      </c>
      <c r="IF51" s="6" t="str">
        <f>IF(OR(BV51=0,HI51="",HJ51=""),"",IFERROR(N(_xlfn.XLOOKUP(HI51,Каталог!$C$4:$C$500,Каталог!$Q$4:$Q$500)),""))</f>
        <v/>
      </c>
      <c r="IG51" s="6" t="str">
        <f>IF(N(IF51)=0,"",SUMIFS(Линии[Iр, А],Линии[Щит],A51,Линии[_модуль гр.],HH51,Линии[Канал (итог)],HJ51))</f>
        <v/>
      </c>
      <c r="IH51" t="str">
        <f>IF(AND(B51="",HO51=""),"",_xlfn.TEXTJOIN("; ",TRUE,IF(AND(B51&lt;&gt;"",FV51=""),"нет фазы",""),IF(AND(B51&lt;&gt;"",N(GL51)=0,FG51&lt;&gt;"Нет"),"нет мощности",""),IF(AND(HN51&lt;&gt;"",COUNTIFS(Линии[Щит],A51,Линии[Клемма (итог)],HN51)&gt;1),"дубль клеммы "&amp;HN51,""),IF(AND(HQ51&lt;&gt;"",HQ51&lt;&gt;"ok"),HQ51,""),IF(HR51&lt;&gt;"",HR51,""),IF(AND(N(CB51)&gt;=4,N(BX51)=1),CB51&amp;" жил на 1 фазе",""),IF(AND(BC51="R",CG51=1,IF(CS51&lt;&gt;"",N(CV51)&gt;30,OR(N(DA51)=0,N(DA51)&gt;30))),"розетка без дифзащиты до 30 мА",""),IF(AND(CG51=1,N(DA51)&gt;0,ISNUMBER(T51)),IF(T51&gt;N(DA51)/3,"ток утечки "&amp;FIXED(T51,1)&amp;" мА &gt; 1/3 уставки ("&amp;DA51&amp;" мА)",""),""),IF(AND(CH51=1,CS51=""),"«узо»: нет строки с УЗО выше (УЗО 2P 40А 30мА в «Аппаратах»)",""),IF(AND(CS51&lt;&gt;"",CS51=BA51),IF(CT51="","впишите номинал УЗО (УЗО 2P 40А 30мА)",IF(N(CT51)&lt;N(DT51),"УЗО "&amp;CT51&amp;" А &lt; автомата "&amp;DT51&amp;" А перед ним",IF(N(CT51)&lt;N(CX51),"УЗО "&amp;CT51&amp;" А &lt; тока блока "&amp;FIXED(CX51,1)&amp;" А",""))),""),IF(AND(CS51&lt;&gt;"",CS51=BA51,ISNUMBER(CY51)),IF(CY51&gt;N(CV51)/3,"ток утечки блока УЗО "&amp;FIXED(CY51,1)&amp;" мА &gt; 1/3 уставки ("&amp;CV51&amp;" мА)",""),""),IF(AND(CG51=1,N(BV51)+N(IB51)&gt;0,IC51=""),"линии до 50 В без БП: впишите в «Аппараты» (БП 24V 480W)",""),IF(AND(CG51=1,ISNUMBER(ID51),ISNUMBER(U51)),IF(U51&gt;ID51,"БП "&amp;ID51&amp;" Вт &lt; нужно "&amp;U51&amp;" Вт (×"&amp;Запас_БП&amp;")",""),""),IF(AND(CG51=1,ISNUMBER(IE51),N(BV51)=1),IF(IE51&lt;&gt;N(BU51),"БП на "&amp;IE51&amp;" В, линия "&amp;BU51&amp;" В",""),""),IF(AND(N(IF51)&gt;0,N(IG51)&gt;N(IF51)),HH51&amp;" канал "&amp;HJ51&amp;": "&amp;FIXED(IG51,1)&amp;" А &gt; "&amp;IF51&amp;" А",""),IFERROR(IF(AND(ISNUMBER(Q51),Q51&gt;EL51),"потери "&amp;FIXED(Q51,1)&amp;" % &gt; "&amp;EL51&amp;" %",""),""),IFERROR(IF(LEFT(HU51,4)="мало","Iкз мало — отключение &gt; 0,4 с",""),""),IF(AND(B51&lt;&gt;"",BM51=""),"не на схеме",""),IF(AND(CG51=0,B51&lt;&gt;"",FV51&lt;&gt;"",IF(BA51=1,"",FW50)&lt;&gt;"",FV51&lt;&gt;IF(BA51=1,"",FW50)),"фаза не как у автомата группы ("&amp;IF(BA51=1,"",FW50)&amp;")","")))</f>
        <v/>
      </c>
      <c r="II51" s="6" t="str">
        <f>IF(OR(CG51=0,DQ51=""),"",_xlfn.LET(_xlpm.t,IFERROR(_xlfn.XLOOKUP(DQ51,Каталог!$U$4:$U$500,Каталог!$G$4:$G$500),""),_xlpm.k,SEARCH("кА",_xlpm.t),IFERROR(--TRIM(RIGHT(SUBSTITUTE(MID(_xlpm.t,MAX(1,_xlpm.k-4),_xlpm.k-MAX(1,_xlpm.k-4))," ",REPT(" ",9)),5)),"")))</f>
        <v/>
      </c>
      <c r="IJ51" t="str">
        <f>IF(OR(II51="",CG51=0),"",IF(_xlfn.XLOOKUP(A51,Щиты[Щит],Щиты[Iкз max на шинах, кА],"")="","",IF(II51&lt;_xlfn.XLOOKUP(A51,Щиты[Щит],Щиты[Iкз max на шинах, кА]),"Icu "&amp;II51&amp;" кА &lt; Iкз max","ok")))</f>
        <v/>
      </c>
      <c r="IK51" t="str">
        <f t="shared" si="251"/>
        <v/>
      </c>
      <c r="IL51" t="str">
        <f t="shared" si="252"/>
        <v>QF3|XT3</v>
      </c>
      <c r="IM51" t="str">
        <f t="shared" si="253"/>
        <v>QF3|XT3|кабель ВВГнг(А)-LS (3х1,5) → Дренажный насос (шина ДГУ)</v>
      </c>
      <c r="IN51" t="str" cm="1">
        <f t="array" ref="IN51">IF(IM51="","",_xlfn.LET(_xlpm.nd,_xlfn.TEXTSPLIT(IM51,"|"),IF(COLUMNS(_xlpm.nd)&gt;1,A51&amp;"¦"&amp;INDEX(_xlpm.nd,1)&amp;"¦"&amp;INDEX(_xlpm.nd,2),"")))</f>
        <v>ЩС¦QF3¦XT3</v>
      </c>
      <c r="IO51" t="str">
        <f t="shared" si="254"/>
        <v>НВК.0.03.1¦Дренажный насос (шина ДГУ)</v>
      </c>
      <c r="IP51" t="str" cm="1">
        <f t="array" ref="IP51">IF(IM51="","",_xlfn.LET(_xlpm.nd,_xlfn.TEXTSPLIT(IM51,"|"),IF(COLUMNS(_xlpm.nd)&gt;2,A51&amp;"¦"&amp;INDEX(_xlpm.nd,2)&amp;"¦"&amp;INDEX(_xlpm.nd,3),"")))</f>
        <v>ЩС¦XT3¦кабель ВВГнг(А)-LS (3х1,5) → Дренажный насос (шина ДГУ)</v>
      </c>
      <c r="IQ51" t="str">
        <f t="shared" si="255"/>
        <v>НВК.0.03.1¦Дренажный насос (шина ДГУ)</v>
      </c>
      <c r="IR51" t="str" cm="1">
        <f t="array" ref="IR51">IF(IM51="","",_xlfn.LET(_xlpm.nd,_xlfn.TEXTSPLIT(IM51,"|"),IF(COLUMNS(_xlpm.nd)&gt;3,A51&amp;"¦"&amp;INDEX(_xlpm.nd,3)&amp;"¦"&amp;INDEX(_xlpm.nd,4),"")))</f>
        <v/>
      </c>
      <c r="IS51" t="str">
        <f t="shared" si="256"/>
        <v/>
      </c>
      <c r="IT51" t="str" cm="1">
        <f t="array" ref="IT51">IF(IM51="","",_xlfn.LET(_xlpm.nd,_xlfn.TEXTSPLIT(IM51,"|"),IF(COLUMNS(_xlpm.nd)&gt;4,A51&amp;"¦"&amp;INDEX(_xlpm.nd,4)&amp;"¦"&amp;INDEX(_xlpm.nd,5),"")))</f>
        <v/>
      </c>
      <c r="IU51" t="str">
        <f t="shared" si="257"/>
        <v/>
      </c>
      <c r="IV51" t="str" cm="1">
        <f t="array" ref="IV51">IF(IM51="","",_xlfn.LET(_xlpm.nd,_xlfn.TEXTSPLIT(IM51,"|"),IF(COLUMNS(_xlpm.nd)&gt;5,A51&amp;"¦"&amp;INDEX(_xlpm.nd,5)&amp;"¦"&amp;INDEX(_xlpm.nd,6),"")))</f>
        <v/>
      </c>
      <c r="IW51" t="str">
        <f t="shared" si="258"/>
        <v/>
      </c>
      <c r="IX51" t="str" cm="1">
        <f t="array" ref="IX51">IF(IM51="","",_xlfn.LET(_xlpm.nd,_xlfn.TEXTSPLIT(IM51,"|"),IF(COLUMNS(_xlpm.nd)&gt;6,A51&amp;"¦"&amp;INDEX(_xlpm.nd,6)&amp;"¦"&amp;INDEX(_xlpm.nd,7),"")))</f>
        <v/>
      </c>
      <c r="IY51" t="str">
        <f t="shared" si="259"/>
        <v/>
      </c>
      <c r="IZ51" t="str">
        <f t="shared" si="260"/>
        <v/>
      </c>
      <c r="JA51" t="str">
        <f t="shared" si="261"/>
        <v>QF3 → XT3</v>
      </c>
      <c r="JB51">
        <f t="shared" si="262"/>
        <v>1</v>
      </c>
      <c r="JC51">
        <f t="shared" si="263"/>
        <v>0</v>
      </c>
      <c r="JD51" t="str">
        <f t="shared" si="264"/>
        <v/>
      </c>
      <c r="JE51" t="str">
        <f t="shared" si="265"/>
        <v/>
      </c>
      <c r="JF51" t="str">
        <f t="shared" si="266"/>
        <v/>
      </c>
      <c r="JG51" t="str">
        <f t="shared" si="267"/>
        <v/>
      </c>
      <c r="JH51" t="str">
        <f>IF(B51="","",IFERROR(_xlfn.XLOOKUP(B51,Коды_код,Коды_уго),IFERROR(_xlfn.XLOOKUP(BC51,Коды_код,Коды_уго),IFERROR(_xlfn.XLOOKUP(LEFT(BC51,2),Коды_код,Коды_уго),""))))</f>
        <v>Привод (двигатель)</v>
      </c>
      <c r="JI51" t="str">
        <f>IF(B51="","",IF(OR(JH51="",JH51=0),"BOX",IFERROR(IF(VLOOKUP(JH51,УГО_блоки,3,FALSE)&amp;""&lt;&gt;"",VLOOKUP(JH51,УГО_блоки,3,FALSE),VLOOKUP(JH51,УГО_блоки,2,FALSE)),JH51)))</f>
        <v>MOTOR</v>
      </c>
      <c r="JJ51">
        <f t="shared" si="268"/>
        <v>1</v>
      </c>
      <c r="JK51" t="str">
        <f>IF(DQ51="","",IF(COUNTIF(DQ$3:DQ51,DQ51)=1,MAX(JK$2:JK50)+1,""))</f>
        <v/>
      </c>
      <c r="JL51" t="str">
        <f>IF(DE51="","",IF(COUNTIF(DE$3:DE51,DE51)+COUNTIF(DF$2:DF50,DE51)+COUNTIF(DG$2:DG50,DE51)=1,MAX(JL$2:JN50)+1,""))</f>
        <v/>
      </c>
      <c r="JM51" t="str">
        <f>IF(DF51="","",IF(COUNTIF(DE$3:DE51,DF51)+COUNTIF(DF$3:DF51,DF51)+COUNTIF(DG$2:DG50,DF51)=1,MAX(JL$2:JN50,JL51)+1,""))</f>
        <v/>
      </c>
      <c r="JN51" t="str">
        <f>IF(DG51="","",IF(COUNTIF(DE$3:DE51,DG51)+COUNTIF(DF$3:DF51,DG51)+COUNTIF(DG$3:DG51,DG51)=1,MAX(JL$2:JN50,JL51,JM51)+1,""))</f>
        <v/>
      </c>
      <c r="JO51" t="str">
        <f t="shared" si="269"/>
        <v>3х1,5</v>
      </c>
      <c r="JP51" t="str">
        <f>IF(JO51="","",IF(COUNTIF(JO$3:JO51,JO51)=1,MAX(JP$2:JP50)+1,""))</f>
        <v/>
      </c>
      <c r="JQ51" t="str">
        <f>IF(HG51="","",COUNTIF(HG$3:HG51,"?*"))</f>
        <v/>
      </c>
      <c r="JR51" t="str">
        <f>IF(OR(HG51="",HI51=""),"",IF(COUNTIFS(HG$3:HG51,"?*",HI$3:HI51,HI51)=1,MAX(JR$2:JR50)+1,""))</f>
        <v/>
      </c>
      <c r="JS51">
        <f t="shared" si="270"/>
        <v>0</v>
      </c>
      <c r="JT51">
        <f>IF(B51="","",COUNTIF(B$3:B51,"?*"))</f>
        <v>47</v>
      </c>
      <c r="JU51">
        <f>IF(HL51&lt;&gt;1,0,_xlfn.LET(_xlpm.k,MAX(IFERROR(--_xlfn.XLOOKUP(B51,Коды_код,Коды_3L),0),IFERROR(--_xlfn.XLOOKUP(BC51,Коды_код,Коды_3L),0),IFERROR(--_xlfn.XLOOKUP(LEFT(BC51,2),Коды_код,Коды_3L),0)),IF(_xlpm.k&gt;0,_xlpm.k,IF(IFERROR(--LEFT(SUBSTITUTE(JO51,"x","х"),FIND("х",SUBSTITUTE(JO51,"x","х"))-1),3)&gt;3,Каталог!$S$9,1))))</f>
        <v>1</v>
      </c>
      <c r="JV51">
        <f t="shared" si="271"/>
        <v>0</v>
      </c>
      <c r="JW51" t="str">
        <f t="shared" si="272"/>
        <v>авто</v>
      </c>
      <c r="JX51" t="str">
        <f t="shared" si="273"/>
        <v/>
      </c>
      <c r="JY51">
        <f t="shared" si="274"/>
        <v>0</v>
      </c>
      <c r="JZ51">
        <f t="shared" si="275"/>
        <v>1</v>
      </c>
    </row>
    <row r="52" spans="1:286" x14ac:dyDescent="0.3">
      <c r="A52" t="s">
        <v>948</v>
      </c>
      <c r="B52" t="s">
        <v>1232</v>
      </c>
      <c r="C52" t="s">
        <v>1253</v>
      </c>
      <c r="E52">
        <v>1.1000000000000001</v>
      </c>
      <c r="G52" t="str">
        <f>Линии[[#This Row],[_авто автомат]]</f>
        <v>1P С6А</v>
      </c>
      <c r="H52" t="str">
        <f>Линии[[#This Row],[_авто управление]]</f>
        <v/>
      </c>
      <c r="I52" t="str">
        <f>Линии[[#This Row],[_авто аппараты]]</f>
        <v/>
      </c>
      <c r="J52">
        <f>Линии[[#This Row],[_авто сечение]]</f>
        <v>1.5</v>
      </c>
      <c r="K52">
        <v>15</v>
      </c>
      <c r="L52" t="str">
        <f>Линии[[#This Row],[_авто фаза]]</f>
        <v>L3</v>
      </c>
      <c r="M52" t="str">
        <f>Линии[[#This Row],[_авто клемма]]</f>
        <v>XT4</v>
      </c>
      <c r="N52" t="str">
        <f t="shared" si="138"/>
        <v/>
      </c>
      <c r="O52" s="6" cm="1">
        <f t="array" ref="O52">IF(B52="","",IF(BH52&lt;&gt;"",IFERROR(_xlfn.XLOOKUP(BH52,Щиты[Щит],Щиты[Iр, А]),""),IF(BP52=1,IF(OR(N(_xlfn.XLOOKUP(A52,Щиты[Щит],Щиты[Вводов],1))&lt;=1,LOWER(TRIM(_xlfn.XLOOKUP(A52,Щиты[Щит],Щиты[АВР],"")&amp;""))="да"),IFERROR(_xlfn.XLOOKUP(A52,Щиты[Щит],Щиты[Iр, А]),""),IFERROR(N(BS52)*_xlfn.XLOOKUP(A52,Щиты[Щит],Щиты[Кс итог])/(SQRT(3)*Uн_лин*_xlfn.XLOOKUP(A52,Щиты[Щит],Щиты[cos φ])),"")),IF(BV52=1,IFERROR(BS52*1000/BU52,""),IFERROR(_xlfn.IFS(BX52=1,BS52/((Uн_лин/SQRT(3))*CE52),BX52=3,BS52/(SQRT(3)*Uн_лин*CE52)),"")))))</f>
        <v>5.0138312850678028</v>
      </c>
      <c r="P52" s="7">
        <f>IF(B52="","",IFERROR(IF(VLOOKUP(BC52,Потребители_обозначение,4,FALSE)=1,VLOOKUP(BC52,Потребители_обозначение,3,FALSE)*(MAX(1,N(D52))*2-1)+EI52+VLOOKUP(BE52,Этаж_обозначение,3,FALSE)+VLOOKUP(BE52,Этаж_обозначение,4,FALSE),VLOOKUP(BC52,Потребители_обозначение,3,FALSE)*(MAX(1,N(D52))*2-1)+EI52),EI52))</f>
        <v>16</v>
      </c>
      <c r="Q52" s="6">
        <f t="shared" si="139"/>
        <v>2.9160288498727978</v>
      </c>
      <c r="R52" t="str">
        <f t="shared" si="140"/>
        <v>ВВГнг(А)-LS (3х1,5)</v>
      </c>
      <c r="S52" t="str">
        <f>IF(BM52="","",IF(BN52="вводной узел","узел ","")&amp;"л."&amp;(INT((BM52-1)/Столбцов_на_лист)+1)&amp;" / "&amp;(MOD(BM52-1,Столбцов_на_лист)+1))</f>
        <v>л.1 / 6</v>
      </c>
      <c r="T52" s="119">
        <f t="shared" si="141"/>
        <v>2.2000000000000002</v>
      </c>
      <c r="U52" s="7" t="str">
        <f>IF(OR(CG52=0,N(BV52)+N(IB52)=0),"",ROUNDUP(Запас_БП*(N(HY52)+N(HZ52)),0))</f>
        <v/>
      </c>
      <c r="V52" s="119" t="str">
        <f t="shared" si="142"/>
        <v/>
      </c>
      <c r="W52" s="7">
        <f>IFERROR(IF(OR(B52="",BP52=1,BV52=1,NOT(ISNUMBER(EN52)),N(DT52)=0),"",MAX(0,ROUNDDOWN((c_min*(Uн_лин*1000/SQRT(3))/(HT52*N(DT52))-_xlfn.XLOOKUP(A52,Щиты[Щит],Щиты[Zпетли на шинах, Ом]))*EN52/(2*ρкз_Cu),0))),"")</f>
        <v>84</v>
      </c>
      <c r="Y52" t="str">
        <f>Линии[[#This Row],[_авто утечка]]</f>
        <v/>
      </c>
      <c r="Z52">
        <v>1</v>
      </c>
      <c r="AA52">
        <v>230</v>
      </c>
      <c r="AB52" t="s">
        <v>556</v>
      </c>
      <c r="AK52" t="str">
        <f>Линии[[#This Row],[_авто модуль]]</f>
        <v/>
      </c>
      <c r="AN52" t="s">
        <v>11</v>
      </c>
      <c r="AO52">
        <v>3</v>
      </c>
      <c r="BA52" cm="1">
        <f t="array" ref="BA52">ROW()-ROW(Линии[#Headers])</f>
        <v>50</v>
      </c>
      <c r="BC52" s="6" t="str">
        <f t="shared" si="143"/>
        <v>НВК</v>
      </c>
      <c r="BD52" t="str">
        <f t="shared" si="144"/>
        <v>0.04.1</v>
      </c>
      <c r="BE52" t="str">
        <f t="shared" si="145"/>
        <v>0</v>
      </c>
      <c r="BF52" t="str">
        <f t="shared" si="146"/>
        <v>04.1</v>
      </c>
      <c r="BG52" t="str">
        <f t="shared" si="147"/>
        <v>04</v>
      </c>
      <c r="BH52" t="str">
        <f>IF(X52&lt;&gt;"",X52,IF(AND(B52&lt;&gt;"",B52&lt;&gt;A52,ISNUMBER(_xlfn.XMATCH(B52,Щиты[Щит]))),B52,""))</f>
        <v/>
      </c>
      <c r="BI52" t="str" cm="1">
        <f t="array" ref="BI52">IF(B52="","",IF(BH52&lt;&gt;"","Щит "&amp;BH52,_xlfn.LET(_xlpm.nm,IFERROR(_xlfn.XLOOKUP(BC52,Коды_код,Коды_имя)&amp;"",""),_xlpm.md,IFERROR(N(_xlfn.XLOOKUP(BC52,Коды_код,Коды_режим)),1),_xlpm.ex,IF(Имя_режим="по экспликации",IFERROR(_xlfn.XLOOKUP(BE52&amp;"|"&amp;BG52,Экспликация[Этаж]&amp;"|"&amp;Экспликация[Помещение],Экспликация[Название])&amp;"",""),""),_xlpm.rm,IF(BG52="","",IF(_xlpm.ex&lt;&gt;"",". "&amp;_xlpm.ex&amp;IF(Имя_пом="нет"," ("&amp;BG52&amp;")"," (пом. "&amp;BG52&amp;")"),IF(Имя_пом="нет"," ",", пом. ")&amp;BG52)),IF(_xlpm.nm="","",IF(_xlpm.md=2,_xlpm.nm&amp;" шлейф "&amp;BE52,_xlpm.nm&amp;_xlpm.rm)))))</f>
        <v>Насос, пом. 04</v>
      </c>
      <c r="BJ52" t="str">
        <f t="shared" si="148"/>
        <v>Дренажный насос резервный</v>
      </c>
      <c r="BK52">
        <f>IFERROR(_xlfn.XMATCH(A52,Щиты[Щит]),0)</f>
        <v>5</v>
      </c>
      <c r="BL52">
        <f>_xlfn.LET(_xlpm.k,IFERROR(_xlfn.XLOOKUP(A52,Щиты[Щит],Щиты[Мест под вводной узел]),""),IF(_xlpm.k="",Столбцов_на_лист,N(_xlpm.k)))</f>
        <v>2</v>
      </c>
      <c r="BM52">
        <f t="shared" si="149"/>
        <v>6</v>
      </c>
      <c r="BN52" t="str">
        <f t="shared" si="150"/>
        <v>линии</v>
      </c>
      <c r="BO52" s="6">
        <f>IFERROR(N(_xlfn.XLOOKUP(BC52,Коды_код,Коды_квт)),0)</f>
        <v>0</v>
      </c>
      <c r="BP52">
        <f t="shared" si="151"/>
        <v>0</v>
      </c>
      <c r="BQ52" t="str">
        <f>IF(B52="","",IF(BH52&lt;&gt;"",IFERROR(_xlfn.XLOOKUP(BH52,Щиты[Щит],Щиты[Руст, кВт]),0),IF(BP52=1,IF(OR(N(_xlfn.XLOOKUP(A52,Щиты[Щит],Щиты[Вводов],1))&lt;=1,LOWER(TRIM(_xlfn.XLOOKUP(A52,Щиты[Щит],Щиты[АВР],"")&amp;""))="да"),IFERROR(_xlfn.XLOOKUP(A52,Щиты[Щит],Щиты[Руст, кВт]),0),SUMIFS(Линии[_Р для вводов],Линии[Щит],A52,Линии[Источник для режимов],GF52)),IF(BO52&gt;0,ROUND(BO52*MAX(1,N(D52)),3),""))))</f>
        <v/>
      </c>
      <c r="BR52">
        <f t="shared" si="152"/>
        <v>1.1000000000000001</v>
      </c>
      <c r="BS52" s="6">
        <f>IF(B52="","",IF(BH52&lt;&gt;"",IFERROR(_xlfn.XLOOKUP(BH52,Щиты[Щит],Щиты[Руст, кВт]),0),N(BR52)))</f>
        <v>1.1000000000000001</v>
      </c>
      <c r="BT52">
        <f>IF(B52="","",IFERROR(IF(VLOOKUP(BC52,Потребители_обозначение,8,FALSE)=0,"",VLOOKUP(BC52,Потребители_обозначение,8,FALSE)),""))</f>
        <v>230</v>
      </c>
      <c r="BU52">
        <f t="shared" si="153"/>
        <v>230</v>
      </c>
      <c r="BV52">
        <f t="shared" si="154"/>
        <v>0</v>
      </c>
      <c r="BW52">
        <f>IF(B52="","",IF(BH52&lt;&gt;"",3,IFERROR(IF(N(VLOOKUP(BC52,Потребители_обозначение,9,FALSE))=0,1,VLOOKUP(BC52,Потребители_обозначение,9,FALSE)),1)))</f>
        <v>1</v>
      </c>
      <c r="BX52">
        <f t="shared" si="155"/>
        <v>1</v>
      </c>
      <c r="BY52" t="str">
        <f>IF(B52="","",_xlfn.LET(_xlpm.bc,IFERROR(IF(VLOOKUP(BC52,Потребители_обозначение,6,FALSE)=0,"",VLOOKUP(BC52,Потребители_обозначение,6,FALSE)&amp;""),""),IF(AND(GA52="да",OR(_xlpm.bc="",_xlpm.bc="мс")),Марка_пож,IF(AND(_xlpm.bc="",BH52&lt;&gt;""),"мс",_xlpm.bc))))</f>
        <v>мс</v>
      </c>
      <c r="BZ52" t="str">
        <f t="shared" si="156"/>
        <v>мс</v>
      </c>
      <c r="CA52">
        <f>IF(B52="","",_xlfn.LET(_xlpm.cc,IFERROR(N(VLOOKUP(BC52,Потребители_обозначение,7,FALSE)),0),IF(_xlpm.cc&gt;0,_xlpm.cc,IF(BZ52="","",IF(BV52=1,2,IF(N(BX52)=3,5,3))))))</f>
        <v>3</v>
      </c>
      <c r="CB52">
        <f t="shared" si="157"/>
        <v>3</v>
      </c>
      <c r="CC52">
        <f>IFERROR(N(VLOOKUP(BC52,Потребители_обозначение,10,FALSE)),0)</f>
        <v>0</v>
      </c>
      <c r="CD52">
        <f>IFERROR(VLOOKUP(BC52,Потребители_обозначение,5,FALSE),0)</f>
        <v>2</v>
      </c>
      <c r="CE52" s="6" cm="1">
        <f t="array" ref="CE52">IF(B52="","",IF(BH52&lt;&gt;"",IFERROR(_xlfn.XLOOKUP(BH52,Щиты[Щит],Щиты[cos φ]),0.95),IF(BP52=1,IFERROR(_xlfn.XLOOKUP(A52,Щиты[Щит],Щиты[cos φ]),0.95),IF(ISNUMBER(AD52),AD52,IFERROR(IF(CD52=2,_xlfn.IFS(BX52=3,VLOOKUP(BS52,Справочная_двигатели,8,FALSE),BX52=1,VLOOKUP(BS52,Справочная_двигатели,10,TRUE)),IF(AND(Методика="нормы 2026",FG52="Сил"),0.8,0.95)),0.95)))))</f>
        <v>0.95</v>
      </c>
      <c r="CF52">
        <f t="shared" si="158"/>
        <v>0</v>
      </c>
      <c r="CG52">
        <f t="shared" si="159"/>
        <v>1</v>
      </c>
      <c r="CH52">
        <f t="shared" si="160"/>
        <v>0</v>
      </c>
      <c r="CI52">
        <f>IF(B52="","",IF(BV52=1,IFERROR(BS52/((Uн_лин/SQRT(3))*MAX(0.5,N(CE52))),0),N(O52)))</f>
        <v>5.0138312850678028</v>
      </c>
      <c r="CJ52">
        <f t="shared" si="161"/>
        <v>0</v>
      </c>
      <c r="CK52">
        <f t="shared" si="162"/>
        <v>0</v>
      </c>
      <c r="CL52">
        <f t="shared" si="163"/>
        <v>0</v>
      </c>
      <c r="CM52">
        <f t="shared" si="164"/>
        <v>0</v>
      </c>
      <c r="CN52">
        <f t="shared" si="165"/>
        <v>0</v>
      </c>
      <c r="CO52">
        <f>IF(BC52="",0,_xlfn.LET(_xlpm.v,IFERROR(_xlfn.XLOOKUP(B52,Коды_код,Коды_мА),IFERROR(_xlfn.XLOOKUP(BC52,Коды_код,Коды_мА),IFERROR(_xlfn.XLOOKUP(LEFT(BC52,2),Коды_код,Коды_мА),""))),IF(_xlpm.v="да",30,IF(ISNUMBER(_xlpm.v),_xlpm.v,0))))</f>
        <v>0</v>
      </c>
      <c r="CP52" t="str">
        <f t="shared" si="166"/>
        <v/>
      </c>
      <c r="CQ52" t="str">
        <f>_xlfn.LET(_xlpm.k,IFERROR(_xlfn.XLOOKUP(BC52,Коды_код,Коды_утечка)&amp;"",""),IF(_xlpm.k="","дифавтомат",_xlpm.k))</f>
        <v>дифавтомат</v>
      </c>
      <c r="CR52" t="str" cm="1">
        <f t="array" ref="CR52">IF(CG52=0,"",_xlfn.LET(_xlpm.sg,TRIM(_xlfn.TEXTSPLIT(DD52&amp;"",";")),_xlpm.f_,_xlfn._xlws.FILTER(_xlpm.sg,LEFT(_xlpm.sg,3)="УЗО",""),IFERROR(INDEX(_xlpm.f_,1)&amp;"","")))</f>
        <v/>
      </c>
      <c r="CS52" t="str">
        <f t="shared" si="167"/>
        <v/>
      </c>
      <c r="CT52" s="6" t="str" cm="1">
        <f t="array" ref="CT52">IF(CR52="","",_xlfn.LET(_xlpm.tk,_xlfn.TEXTSPLIT(UPPER(CR52)," ",,TRUE),_xlpm.a_,_xlfn._xlws.FILTER(_xlpm.tk,ISNUMBER(--LEFT(_xlpm.tk,1))*((ISNUMBER(SEARCH("А",_xlpm.tk))+ISNUMBER(SEARCH("A",_xlpm.tk)))&gt;0)*NOT(ISNUMBER(SEARCH("МА",_xlpm.tk)))*NOT(ISNUMBER(SEARCH("MA",_xlpm.tk))),""),IFERROR(--SUBSTITUTE(SUBSTITUTE(INDEX(_xlpm.a_,1),"А",""),"A",""),"")))</f>
        <v/>
      </c>
      <c r="CU52" t="str" cm="1">
        <f t="array" ref="CU52">IF(CR52="","",_xlfn.LET(_xlpm.tk,_xlfn.TEXTSPLIT(UPPER(CR52)," ",,TRUE),_xlpm.a_,_xlfn._xlws.FILTER(_xlpm.tk,ISNUMBER(--LEFT(_xlpm.tk,1))*((ISNUMBER(SEARCH("МА",_xlpm.tk))+ISNUMBER(SEARCH("MA",_xlpm.tk)))&gt;0),""),IFERROR(--SUBSTITUTE(SUBSTITUTE(INDEX(_xlpm.a_,1),"МА",""),"MA",""),30)))</f>
        <v/>
      </c>
      <c r="CV52" t="str">
        <f>IF(CS52="","",IFERROR(_xlfn.XLOOKUP(CS52,Линии[_n],Линии[_УЗО, мА]),30))</f>
        <v/>
      </c>
      <c r="CW52">
        <f>IF(CS52="",0,IF(ISNUMBER(SEARCH("4P",IFERROR(_xlfn.XLOOKUP(CS52,Линии[_n],Линии[_УЗО строки])&amp;"",""))),0,1))</f>
        <v>0</v>
      </c>
      <c r="CX52" t="str">
        <f>IF(AND(CS52&lt;&gt;"",CS52=BA52),SUMIFS(Линии[_ток на 230 В],Линии[_блок УЗО],BA52,Линии[Щит],A52),"")</f>
        <v/>
      </c>
      <c r="CY52" t="str">
        <f>IF(AND(CS52&lt;&gt;"",CS52=BA52),SUMIFS(Линии[_ток утечки линии, мА],Линии[_блок УЗО],BA52,Линии[Щит],A52),"")</f>
        <v/>
      </c>
      <c r="CZ52">
        <f t="shared" si="168"/>
        <v>0</v>
      </c>
      <c r="DA52">
        <f t="shared" si="169"/>
        <v>0</v>
      </c>
      <c r="DB52">
        <f>IF(B52="",0,IFERROR(--_xlfn.XLOOKUP(B52,Коды_код,Коды_минавт),IFERROR(--_xlfn.XLOOKUP(BC52,Коды_код,Коды_минавт),IFERROR(--_xlfn.XLOOKUP(LEFT(BC52,2),Коды_код,Коды_минавт),0))))</f>
        <v>0</v>
      </c>
      <c r="DC52" t="str">
        <f>IF(B52="","",IFERROR(_xlfn.XLOOKUP(BC52,Коды_код,Коды_апп)&amp;"",""))</f>
        <v/>
      </c>
      <c r="DD52" t="str">
        <f t="shared" si="170"/>
        <v/>
      </c>
      <c r="DE52" t="str" cm="1">
        <f t="array" ref="DE52">IF(TRIM(DD52&amp;"")="","",IFERROR(TRIM(INDEX(_xlfn.TEXTSPLIT(DD52&amp;";;;",";"),1)),""))</f>
        <v/>
      </c>
      <c r="DF52" t="str" cm="1">
        <f t="array" ref="DF52">IF(TRIM(DD52&amp;"")="","",IFERROR(TRIM(INDEX(_xlfn.TEXTSPLIT(DD52&amp;";;;",";"),2)),""))</f>
        <v/>
      </c>
      <c r="DG52" t="str" cm="1">
        <f t="array" ref="DG52">IF(TRIM(DD52&amp;"")="","",IFERROR(TRIM(INDEX(_xlfn.TEXTSPLIT(DD52&amp;";;;",";"),3)),""))</f>
        <v/>
      </c>
      <c r="DH52">
        <f t="shared" si="171"/>
        <v>0</v>
      </c>
      <c r="DI52" t="str">
        <f>IF(B52="","",_xlfn.LET(_xlpm.t,LOWER(AZ52&amp;""),IF(ISNUMBER(SEARCH("dim",_xlpm.t)),"DIM",IF(ISNUMBER(SEARCH("dali",_xlpm.t)),"DALI",IF(OR(ISNUMBER(SEARCH("relay",_xlpm.t)),ISNUMBER(SEARCH("реле",_xlpm.t))),"Relay",IF(ISNUMBER(SEARCH("кнопк",_xlpm.t)),"",IFERROR(_xlfn.XLOOKUP(BC52,Коды_код,Коды_упр)&amp;"","")))))))</f>
        <v/>
      </c>
      <c r="DJ52" t="str">
        <f t="shared" si="172"/>
        <v/>
      </c>
      <c r="DK52">
        <f>IF(B52="","",_xlfn.LET(_xlpm.ig,IF(N(CX52)&gt;0,N(CX52),N(CI52)+IF(AJ52="вручную",0,N(CJ52))),_xlpm.n0,IFERROR(VLOOKUP(_xlpm.ig,Автомат_номиналы,2,TRUE),0),_xlpm.mn,MAX(DB52,IF(AJ52="вручную",0,N(CM52))),MAX(_xlpm.n0,_xlpm.mn,IF(DH52=1,Мин_автомат_БП,0))))</f>
        <v>6</v>
      </c>
      <c r="DL52">
        <f t="shared" si="173"/>
        <v>1</v>
      </c>
      <c r="DM52" t="str">
        <f t="shared" si="174"/>
        <v>1P</v>
      </c>
      <c r="DN52" t="str">
        <f>_xlfn.LET(_xlpm.cc,UPPER(TRIM(IFERROR(_xlfn.XLOOKUP(BC52,Коды_код,Коды_хар)&amp;"",""))),IF(OR(_xlpm.cc="B",_xlpm.cc="В"),"B",IF(_xlpm.cc="D","D","С")))</f>
        <v>С</v>
      </c>
      <c r="DO52" t="str">
        <f t="shared" si="175"/>
        <v>1P С6А</v>
      </c>
      <c r="DP52" t="str">
        <f t="shared" si="176"/>
        <v>1P С6А</v>
      </c>
      <c r="DQ52" t="str">
        <f t="shared" si="177"/>
        <v>1P С6А</v>
      </c>
      <c r="DR52" cm="1">
        <f t="array" ref="DR52">IF(DQ52="","",_xlfn.LET(_xlpm.t,SUBSTITUTE(SUBSTITUTE(SUBSTITUTE(UPPER(DQ52),"С","C"),"А","A"),"В","B"),_xlpm.tk,_xlfn.TEXTSPLIT(_xlpm.t," "),_xlpm.f,_xlfn._xlws.FILTER(_xlpm.tk,ISNUMBER(--MID(_xlpm.tk,2,1))*ISNUMBER(SEARCH(LEFT(_xlpm.tk,1)&amp;"#","B#C#D#"))*(LEN(_xlpm.tk)&gt;1),""),_xlpm.x,INDEX(_xlpm.f,1),IFERROR(--SUBSTITUTE(MID(_xlpm.x,2,9),"A",""),IFERROR(--SUBSTITUTE(INDEX(_xlfn._xlws.FILTER(_xlpm.tk,ISNUMBER(--SUBSTITUTE(_xlpm.tk,"A","")),""),1),"A",""),""))))</f>
        <v>6</v>
      </c>
      <c r="DS52" t="str">
        <f t="shared" si="178"/>
        <v>ok</v>
      </c>
      <c r="DT52">
        <f t="shared" si="179"/>
        <v>6</v>
      </c>
      <c r="DU52" t="str">
        <f t="shared" si="180"/>
        <v>1P С6А</v>
      </c>
      <c r="DV52">
        <f t="shared" si="181"/>
        <v>0</v>
      </c>
      <c r="DW52">
        <f t="shared" si="182"/>
        <v>0</v>
      </c>
      <c r="DX52">
        <f t="shared" si="183"/>
        <v>0</v>
      </c>
      <c r="DY52">
        <f t="shared" si="184"/>
        <v>5.0138312850678028</v>
      </c>
      <c r="DZ52">
        <f t="shared" si="185"/>
        <v>1</v>
      </c>
      <c r="EA52">
        <f>IF(ISNUMBER(AP52),AP52,К_прокл)</f>
        <v>1</v>
      </c>
      <c r="EB52">
        <f t="shared" si="186"/>
        <v>2</v>
      </c>
      <c r="EC52">
        <f>IFERROR(N(VLOOKUP(BZ52,Кабель_обозначение,3,FALSE)),1)</f>
        <v>1</v>
      </c>
      <c r="ED52">
        <f>IFERROR(N(_xlfn.XLOOKUP(A52,Щиты[Щит],Щиты[ΔU до шин, %])),0)</f>
        <v>1.9160288498727978</v>
      </c>
      <c r="EE52">
        <f>IFERROR(_xlfn.XLOOKUP(A52,Щиты[Щит],Щиты[Zпетли на шинах, Ом]),"")</f>
        <v>0.67697829354840211</v>
      </c>
      <c r="EF52">
        <f>IFERROR(N(_xlfn.XLOOKUP(A52,Щиты[Щит],Щиты[ΔU до шин (подбор), %])),0)</f>
        <v>1.9160288498727978</v>
      </c>
      <c r="EG52">
        <f>IFERROR(_xlfn.XLOOKUP(A52,Щиты[Щит],Щиты[Zпетли на шинах (подбор), Ом]),"")</f>
        <v>0.67697829354840211</v>
      </c>
      <c r="EH52" t="str">
        <f t="shared" si="187"/>
        <v/>
      </c>
      <c r="EI52">
        <f t="shared" si="188"/>
        <v>15</v>
      </c>
      <c r="EJ52">
        <f t="shared" si="189"/>
        <v>2</v>
      </c>
      <c r="EK52">
        <f t="shared" si="190"/>
        <v>0.31</v>
      </c>
      <c r="EL52" s="6">
        <f>IF(B52="","",IF(BV52=1,dU_LED,IF(IFERROR(_xlfn.XLOOKUP(BC52,Коды_код,Коды_уго),"")="Светильник",3,4)+IF(Методика="нормы 2026",MIN(0.5,MAX(0,N(P52)-100)*0.005),0)))</f>
        <v>4</v>
      </c>
      <c r="EM52" cm="1">
        <f t="array" ref="EM52">IF(OR(B52="",BZ52="",EC52&lt;&gt;1),"",_xlfn.LET(_xlpm.sz,Iдоп_S,_xlpm.t_,CHOOSE(EB52,Iдоп_1ж,Iдоп_2ж,Iдоп_3ж)*DZ52*EA52,_xlpm.dcx,BV52=1,_xlpm.inn,IF(_xlpm.dcx,N(O52),N(DT52)),_xlpm.smin,MAX(1.5,CC52),_xlpm.L_,N(P52),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52)/N(BU52)*100,999),IFERROR(N(EJ52)*(_xlpm.rho*_xlpm.L_/_xlpm.sz*N(CE52)+_xlpm.xx*_xlpm.L_*N(EK52)/1000)*N(O52)/((Uн_лин/SQRT(3))*1000)*100,999)),_xlpm.kz,IF(OR(_xlpm.dcx,DW52=1,NOT(ISNUMBER(EG52)),_xlpm.L_=0,_xlpm.inn=0),1,IFERROR(--(c_min*(Uн_лин*1000/SQRT(3))/(EG52+2*ρкз_Cu*_xlpm.L_/_xlpm.sz)&gt;=HT52*_xlpm.inn),0)),_xlpm.ok,IFERROR((_xlpm.sz&gt;=_xlpm.smin)*(_xlpm.t_&gt;=_xlpm.inn)*IF(_xlpm.L_&gt;0,(_xlpm.du_+IF(_xlpm.dcx,0,EF52)&lt;=EL52+0.00001),1)*_xlpm.kz,0),_xlpm.r_,_xlfn._xlws.FILTER(_xlpm.sz,_xlpm.ok,"не подобрано"),INDEX(_xlpm.r_,1)))</f>
        <v>1.5</v>
      </c>
      <c r="EN52">
        <f t="shared" si="191"/>
        <v>1.5</v>
      </c>
      <c r="EO52" cm="1">
        <f t="array" ref="EO52">IF(OR(B52="",BZ52="",EC52&lt;&gt;1),"",_xlfn.LET(_xlpm.sz,Iдоп_S,_xlpm.t_,CHOOSE(EB52,Iдоп_1ж,Iдоп_2ж,Iдоп_3ж)*DZ52*EA52,_xlpm.ok,IFERROR((_xlpm.sz&gt;=MAX(1.5,CC52))*(_xlpm.t_&gt;=N(DT52)),0),_xlpm.r_,_xlfn._xlws.FILTER(_xlpm.sz,_xlpm.ok,""),INDEX(_xlpm.r_,1)))</f>
        <v>1.5</v>
      </c>
      <c r="EP52" s="6" cm="1">
        <f t="array" ref="EP52">IFERROR(ROUNDUP(N(EJ52)*(_xlfn.XLOOKUP(EO52,INDEX(Кабель_сопротивление,0,1),INDEX(Кабель_сопротивление,0,3))*N(P52)/EO52*N(CE52)+_xlfn.XLOOKUP(EO52,INDEX(Кабель_сопротивление,0,1),INDEX(Кабель_сопротивление,0,2))*N(P52)*N(EK52)/1000)*N(O52)/((Uн_лин/SQRT(3))*1000)*100,2),"")</f>
        <v>1</v>
      </c>
      <c r="EQ52">
        <f>IFERROR(2*ρкз_Cu*N(P52)/EO52,"")</f>
        <v>0.56106666666666671</v>
      </c>
      <c r="ER52">
        <f>IFERROR(VLOOKUP(EN52,Кабель_сопротивление,3,FALSE),"")</f>
        <v>2.2499999999999999E-2</v>
      </c>
      <c r="ES52">
        <f>IFERROR(VLOOKUP(EN52,Кабель_сопротивление,2,FALSE),"")</f>
        <v>0.11</v>
      </c>
      <c r="ET52" t="str">
        <f t="shared" si="192"/>
        <v/>
      </c>
      <c r="EU52" t="str">
        <f t="shared" si="193"/>
        <v/>
      </c>
      <c r="EV52">
        <f t="shared" si="194"/>
        <v>2.2917781586891839</v>
      </c>
      <c r="EW52" s="6">
        <f>IFERROR(ROUNDUP(EV52/IF(BV52=1,BU52,(Uн_лин/SQRT(3))*1000)*100,2),"")</f>
        <v>1</v>
      </c>
      <c r="EX52" t="str">
        <f>IFERROR(VLOOKUP(BZ52,Кабель_обозначение,2,FALSE),"")</f>
        <v>ВВГнг(А)-LS</v>
      </c>
      <c r="EY52" t="str">
        <f t="shared" si="195"/>
        <v>ВВГнг(А)-LS (3х1,5)</v>
      </c>
      <c r="EZ52" t="str">
        <f t="shared" si="196"/>
        <v>ВВГнг(А)-LS (3х1,5)
L=16-1%</v>
      </c>
      <c r="FA52">
        <f>IFERROR(2*ρкз_Cu*P52/EN52,"")</f>
        <v>0.56106666666666671</v>
      </c>
      <c r="FB52">
        <f t="shared" si="197"/>
        <v>0.18666666666666668</v>
      </c>
      <c r="FC52" s="6">
        <f>IFERROR(IF(OR(B52="",BV52=1,NOT(ISNUMBER(EN52)),N(P52)=0),"",_xlfn.XLOOKUP(A52,Щиты[Щит],Щиты[Zпетли на шинах, Ом])+FA52),"")</f>
        <v>1.2380449602150687</v>
      </c>
      <c r="FD52" s="6">
        <f>IF(ISNUMBER(FC52),c_min*(Uн_лин*1000/SQRT(3))/FC52,"")</f>
        <v>177.20931738532792</v>
      </c>
      <c r="FE52" s="6">
        <f>IFERROR(IF(OR(B52="",NOT(ISNUMBER(EN52))),"",1.05*(Uн_лин*1000/SQRT(3))/(_xlfn.XLOOKUP(A52,Щиты[Щит],Щиты[Zmax на шинах, Ом])+FB52)/1000),"")</f>
        <v>0.60165992685846548</v>
      </c>
      <c r="FF52" s="6" t="str">
        <f>IF(B52="","",IF(ISNUMBER(AC52),"Сил",IF(IFERROR(_xlfn.XLOOKUP(BC52,Коды_код,Коды_группа)&amp;"","")="","Быт",_xlfn.XLOOKUP(BC52,Коды_код,Коды_группа)&amp;"")))</f>
        <v>Сил</v>
      </c>
      <c r="FG52" s="6" t="str">
        <f t="shared" si="198"/>
        <v>Нет</v>
      </c>
      <c r="FH52" s="6">
        <f>IF(FG52="Щит","щит",IF(FG52="","",IF(FG52="Быт",IFERROR(_xlfn.XLOOKUP(A52,Щиты[Щит],Щиты[Кс быт]),1),IF(FG52="Сил",IF(ISNUMBER(AC52),AC52,IF(Методика="нормы 2026",IFERROR(_xlfn.XLOOKUP(A52,Щиты[Щит],Щиты[Кс силовых (табл. 7.5)]),1),1)),IF(OR(FG52="Пост",FG52="Отоп"),1,IF(FG52="ВНГ",0.7,0))))))</f>
        <v>0</v>
      </c>
      <c r="FI52">
        <f>IF(FG52="","",IF(AND(BP52=1,TRIM(AE52&amp;"")=""),IF(COUNTIFS(Линии[Щит],A52,Линии[Секция (1/2/3)],"&gt;=2")&gt;0,MIN(3,MAX(1,IFERROR(--BD52,1))),1),IFERROR(MIN(3,MAX(1,INT(--AE52))),1)))</f>
        <v>1</v>
      </c>
      <c r="FJ52">
        <f t="shared" si="199"/>
        <v>0</v>
      </c>
      <c r="FK52">
        <f t="shared" si="200"/>
        <v>0</v>
      </c>
      <c r="FL52">
        <f t="shared" si="201"/>
        <v>0</v>
      </c>
      <c r="FM52">
        <f t="shared" si="202"/>
        <v>0</v>
      </c>
      <c r="FN52">
        <f t="shared" si="203"/>
        <v>0</v>
      </c>
      <c r="FO52">
        <f t="shared" si="204"/>
        <v>0</v>
      </c>
      <c r="FP52">
        <f t="shared" si="205"/>
        <v>0</v>
      </c>
      <c r="FQ52">
        <f t="shared" si="206"/>
        <v>0</v>
      </c>
      <c r="FR52">
        <f t="shared" si="207"/>
        <v>0</v>
      </c>
      <c r="FS52">
        <f>IF(CG52=1,IF(AND(CH52=1,CW52=1),0,IF(AND(CS52&lt;&gt;"",CS52=BA52,CW52=1),SUMIFS(Линии[_Р линии, кВт],Линии[_блок УЗО],BA52,Линии[Щит],A52),N(BS52)+IF(AJ52="вручную",0,N(CK52)))),0)</f>
        <v>1.1000000000000001</v>
      </c>
      <c r="FT52" t="str">
        <f t="shared" si="208"/>
        <v/>
      </c>
      <c r="FU52" t="str">
        <f>IF(B52="","",IF(CG52=0,IF(BA52=1,"",FW51),IF(AND(CH52=1,CW52=1,CS52&lt;&gt;""),IFERROR(_xlfn.XLOOKUP(CS52,Линии[_n],Линии[_фаза итог]),"L1"),IF(OR(N(DL52)&gt;=3,N(BX52)&gt;=3),"L1,L2,L3",IFERROR(_xlfn.TEXTBEFORE(_xlfn.TEXTAFTER(_xlfn.XLOOKUP(A52,Щиты[Щит],Щиты[_фазы авто]),";"&amp;BA52&amp;":"),";"),"L1")))))</f>
        <v>L3</v>
      </c>
      <c r="FV52" t="str">
        <f t="shared" si="209"/>
        <v>L3</v>
      </c>
      <c r="FW52" t="str">
        <f t="shared" si="210"/>
        <v>L3</v>
      </c>
      <c r="FX52" cm="1">
        <f t="array" ref="FX52">IFERROR(IF(CD52=2,_xlfn.IFS(BX52=3,VLOOKUP(BS52,Справочная_двигатели,3,FALSE),BX52=1,VLOOKUP(BS52,Справочная_двигатели,5,TRUE)),0),0)</f>
        <v>24.19</v>
      </c>
      <c r="FY52">
        <f>IFERROR(IF(CD52=3,VLOOKUP(BS52,Справочная_ЛЭД,2,TRUE),0),0)</f>
        <v>0</v>
      </c>
      <c r="FZ52" s="6">
        <f t="shared" si="211"/>
        <v>24.19</v>
      </c>
      <c r="GA52" t="str">
        <f>IF(B52="","",IF(TRIM(AH52&amp;"")&lt;&gt;"",IF(LOWER(TRIM(AH52&amp;""))="да","да","нет"),IF(IFERROR(_xlfn.XLOOKUP(BC52,Коды_код,Коды_пожарная),"")="да","да","нет")))</f>
        <v>нет</v>
      </c>
      <c r="GB52" t="str">
        <f t="shared" si="212"/>
        <v/>
      </c>
      <c r="GC52" t="str">
        <f t="shared" si="213"/>
        <v>основная</v>
      </c>
      <c r="GD52">
        <f>IF(AND(BP52=1,TRIM(AE52&amp;"")=""),IF(COUNTIFS(Линии[Щит],A52,Линии[Секция (1/2/3)],"&gt;=2")&gt;0,MIN(3,MAX(1,IFERROR(--BD52,1))),1),IFERROR(MIN(3,MAX(1,INT(--AE52))),1))</f>
        <v>1</v>
      </c>
      <c r="GE52" t="str" cm="1">
        <f t="array" ref="GE52">IF(B52="","",_xlfn.LET(_xlpm.t,IFERROR(_xlfn.XLOOKUP(1,(Шины[Шина]=GC52)*(((Шины[Щит]=A52)+(Шины[Щит]=""))&gt;0),Шины[Тип]),"")&amp;"",IF(_xlpm.t&lt;&gt;"",_xlpm.t,IF(ISNUMBER(SEARCH("ИБП",GC52)),"ИБП",IF(ISNUMBER(SEARCH("ДГУ",GC52)),"ДГУ","Ввод "&amp;GD52)))))</f>
        <v>Ввод 1</v>
      </c>
      <c r="GF52" t="str">
        <f t="shared" si="214"/>
        <v>Ввод 1</v>
      </c>
      <c r="GG52" t="str">
        <f>IF(BP52=0,"",IF(TRIM(AG52&amp;"")&lt;&gt;"",TRIM(AG52&amp;""),IF(OR(GE52="ИБП",GE52="ДГУ"),"I особая",_xlfn.XLOOKUP(A52,Щиты[Щит],Щиты[Категория шины «Ввод»],"III"))))</f>
        <v/>
      </c>
      <c r="GH52" t="str">
        <f>IF(A52="","",_xlfn.XLOOKUP(A52,Щиты[Щит],Щиты[Путь],""))</f>
        <v>|ВРУ|ЩС|</v>
      </c>
      <c r="GI52" t="str">
        <f>IF(B52="","",IF(AI52&lt;&gt;"",AI52,IF(IFERROR(_xlfn.XLOOKUP(BC52,Коды_код,Коды_вид)&amp;"","")="","Прочее",_xlfn.XLOOKUP(BC52,Коды_код,Коды_вид)&amp;"")))</f>
        <v>Насосы (водоснабжение, дренаж)</v>
      </c>
      <c r="GJ52">
        <f>IF(BM52="","",INT((BM52-1)/Столбцов_на_лист)+1)</f>
        <v>1</v>
      </c>
      <c r="GK52" t="str">
        <f t="shared" si="215"/>
        <v>ВВГнг(А)-LS (3х1,5) L=16-1%</v>
      </c>
      <c r="GL52">
        <f t="shared" si="216"/>
        <v>1.1000000000000001</v>
      </c>
      <c r="GM52">
        <f t="shared" si="217"/>
        <v>5.0199999999999996</v>
      </c>
      <c r="GN52">
        <f t="shared" si="218"/>
        <v>1</v>
      </c>
      <c r="GO52">
        <f t="shared" si="219"/>
        <v>0</v>
      </c>
      <c r="GP52">
        <f t="shared" si="220"/>
        <v>1</v>
      </c>
      <c r="GQ52">
        <f>IF(BM52="","",IF(AND(CG52=1,GP52=1),COUNTIFS(A$3:A52,A52,CG$3:CG52,1,GP$3:GP52,1),IF(OR(OR(BA52=1,A52&lt;&gt;A51),AJ52="вручную",GP52=0),"",IF(BA52=1,"",GR51))))</f>
        <v>4</v>
      </c>
      <c r="GR52">
        <f t="shared" si="221"/>
        <v>4</v>
      </c>
      <c r="GS52">
        <f>IF(B52="","",IFERROR(LOOKUP(INDEX(CHOOSE(EB52,Iдоп_1ж,Iдоп_2ж,Iдоп_3ж),MATCH(EN52,Iдоп_S,0))*DZ52*EA52,{6,10,16,20,25,32,40,50,63,80,100,125,160,200,250,315,400,500,630}),""))</f>
        <v>16</v>
      </c>
      <c r="GT52" t="str">
        <f t="shared" si="222"/>
        <v>QF4</v>
      </c>
      <c r="GU52" t="str">
        <f t="shared" si="223"/>
        <v>QF4</v>
      </c>
      <c r="GV52" t="str">
        <f t="shared" si="224"/>
        <v/>
      </c>
      <c r="GW52">
        <f t="shared" si="225"/>
        <v>0</v>
      </c>
      <c r="GX52" t="str">
        <f>IF(OR(B52="",DJ52=""),"",IFERROR(_xlfn.XLOOKUP(DJ52,Модули_умолч[Управление],Модули_умолч[Модель])&amp;"",""))</f>
        <v/>
      </c>
      <c r="GY52">
        <f>IF(DJ52="",1,IFERROR(MAX(0,N(_xlfn.XLOOKUP(DJ52,Модули_умолч[Управление],Модули_умолч[Каналов на линию]))),1))</f>
        <v>1</v>
      </c>
      <c r="GZ52" t="str">
        <f t="shared" si="226"/>
        <v/>
      </c>
      <c r="HA52" t="str">
        <f t="shared" si="227"/>
        <v/>
      </c>
      <c r="HB52" t="str">
        <f t="shared" si="228"/>
        <v/>
      </c>
      <c r="HC52">
        <f>IF(HB52="",0,IFERROR(N(VLOOKUP(HB52,Модули_спр,3,FALSE)),0))</f>
        <v>0</v>
      </c>
      <c r="HD52" t="str">
        <f t="shared" si="229"/>
        <v/>
      </c>
      <c r="HE52" t="str">
        <f t="shared" si="230"/>
        <v/>
      </c>
      <c r="HF52" t="str">
        <f>IF(OR(HE52="",HE52="-"),"",IFERROR(VLOOKUP(HE52,Модули_спр,2,FALSE),"R"))</f>
        <v/>
      </c>
      <c r="HG52" t="str">
        <f>IF(HF52="","",HF52&amp;"."&amp;COUNTIFS(A$3:A52,A52,HF$3:HF52,HF52))</f>
        <v/>
      </c>
      <c r="HH52" t="str">
        <f t="shared" si="231"/>
        <v/>
      </c>
      <c r="HI52" t="str">
        <f t="shared" si="232"/>
        <v/>
      </c>
      <c r="HJ52" t="str">
        <f t="shared" si="233"/>
        <v/>
      </c>
      <c r="HK52" t="str">
        <f t="shared" si="234"/>
        <v/>
      </c>
      <c r="HL52">
        <f t="shared" si="235"/>
        <v>1</v>
      </c>
      <c r="HM52" t="str">
        <f>IF(HL52=1,"XT"&amp;COUNTIFS(A$3:A52,A52,HL$3:HL52,1),"")</f>
        <v>XT4</v>
      </c>
      <c r="HN52" t="str">
        <f t="shared" si="236"/>
        <v>XT4</v>
      </c>
      <c r="HO52" t="str">
        <f t="shared" si="237"/>
        <v>QF4</v>
      </c>
      <c r="HP52" t="str">
        <f t="shared" si="238"/>
        <v/>
      </c>
      <c r="HQ52" t="str">
        <f t="shared" si="239"/>
        <v>ok</v>
      </c>
      <c r="HR52" t="str">
        <f>IF(OR(HJ52="",HH52=""),"",IF(HJ52+MAX(0,GY52-1)&gt;IFERROR(VLOOKUP(HI52,Модули_спр,3,FALSE),99),"ЛИШНИЙ КАНАЛ",IF(AND(AL52&lt;&gt;"=",GY52&gt;0,COUNTIFS(Линии[_модуль гр.],HH52,Линии[Канал (итог)],HJ52,Линии[Канал],"&lt;&gt;=",Линии[Щит],A52)&gt;1),"ДУБЛЬ КАНАЛА","")))</f>
        <v/>
      </c>
      <c r="HS52" s="6">
        <f t="shared" si="240"/>
        <v>29.534886230887988</v>
      </c>
      <c r="HT52">
        <f t="shared" si="241"/>
        <v>10</v>
      </c>
      <c r="HU52" t="str">
        <f t="shared" si="242"/>
        <v>ok</v>
      </c>
      <c r="HV52">
        <f t="shared" si="243"/>
        <v>2.1655325140271215</v>
      </c>
      <c r="HW52">
        <f t="shared" si="244"/>
        <v>0</v>
      </c>
      <c r="HX52">
        <f t="shared" si="245"/>
        <v>0</v>
      </c>
      <c r="HY52">
        <f t="shared" si="246"/>
        <v>0</v>
      </c>
      <c r="HZ52">
        <f t="shared" si="247"/>
        <v>0</v>
      </c>
      <c r="IA52">
        <f t="shared" si="248"/>
        <v>0</v>
      </c>
      <c r="IB52">
        <f t="shared" si="249"/>
        <v>0</v>
      </c>
      <c r="IC52" t="str">
        <f t="shared" si="250"/>
        <v/>
      </c>
      <c r="ID52" t="str" cm="1">
        <f t="array" ref="ID52">IF(IC52="","",_xlfn.LET(_xlpm.tk,_xlfn.TEXTSPLIT(SUBSTITUTE(SUBSTITUTE(IC52,";"," "),"→"," ")," ",,TRUE),_xlpm.w_,_xlfn._xlws.FILTER(_xlpm.tk,ISNUMBER(--LEFT(_xlpm.tk,1))*((ISNUMBER(SEARCH("W",_xlpm.tk))+ISNUMBER(SEARCH("Вт",_xlpm.tk)))&gt;0),""),IFERROR(--SUBSTITUTE(SUBSTITUTE(UPPER(INDEX(_xlpm.w_,1)),"W",""),"ВТ",""),"")))</f>
        <v/>
      </c>
      <c r="IE52" t="str" cm="1">
        <f t="array" ref="IE52">IF(IC52="","",_xlfn.LET(_xlpm.tk,_xlfn.TEXTSPLIT(SUBSTITUTE(SUBSTITUTE(IC52,";"," "),"→"," ")," ",,TRUE),_xlpm.v_,_xlfn._xlws.FILTER(_xlpm.tk,ISNUMBER(--LEFT(_xlpm.tk,1))*((ISNUMBER(SEARCH("V",_xlpm.tk))+(RIGHT(UPPER(_xlpm.tk))="В"))&gt;0),""),IFERROR(--SUBSTITUTE(SUBSTITUTE(UPPER(INDEX(_xlpm.v_,1)),"V",""),"В",""),"")))</f>
        <v/>
      </c>
      <c r="IF52" s="6" t="str">
        <f>IF(OR(BV52=0,HI52="",HJ52=""),"",IFERROR(N(_xlfn.XLOOKUP(HI52,Каталог!$C$4:$C$500,Каталог!$Q$4:$Q$500)),""))</f>
        <v/>
      </c>
      <c r="IG52" s="6" t="str">
        <f>IF(N(IF52)=0,"",SUMIFS(Линии[Iр, А],Линии[Щит],A52,Линии[_модуль гр.],HH52,Линии[Канал (итог)],HJ52))</f>
        <v/>
      </c>
      <c r="IH52" t="str">
        <f>IF(AND(B52="",HO52=""),"",_xlfn.TEXTJOIN("; ",TRUE,IF(AND(B52&lt;&gt;"",FV52=""),"нет фазы",""),IF(AND(B52&lt;&gt;"",N(GL52)=0,FG52&lt;&gt;"Нет"),"нет мощности",""),IF(AND(HN52&lt;&gt;"",COUNTIFS(Линии[Щит],A52,Линии[Клемма (итог)],HN52)&gt;1),"дубль клеммы "&amp;HN52,""),IF(AND(HQ52&lt;&gt;"",HQ52&lt;&gt;"ok"),HQ52,""),IF(HR52&lt;&gt;"",HR52,""),IF(AND(N(CB52)&gt;=4,N(BX52)=1),CB52&amp;" жил на 1 фазе",""),IF(AND(BC52="R",CG52=1,IF(CS52&lt;&gt;"",N(CV52)&gt;30,OR(N(DA52)=0,N(DA52)&gt;30))),"розетка без дифзащиты до 30 мА",""),IF(AND(CG52=1,N(DA52)&gt;0,ISNUMBER(T52)),IF(T52&gt;N(DA52)/3,"ток утечки "&amp;FIXED(T52,1)&amp;" мА &gt; 1/3 уставки ("&amp;DA52&amp;" мА)",""),""),IF(AND(CH52=1,CS52=""),"«узо»: нет строки с УЗО выше (УЗО 2P 40А 30мА в «Аппаратах»)",""),IF(AND(CS52&lt;&gt;"",CS52=BA52),IF(CT52="","впишите номинал УЗО (УЗО 2P 40А 30мА)",IF(N(CT52)&lt;N(DT52),"УЗО "&amp;CT52&amp;" А &lt; автомата "&amp;DT52&amp;" А перед ним",IF(N(CT52)&lt;N(CX52),"УЗО "&amp;CT52&amp;" А &lt; тока блока "&amp;FIXED(CX52,1)&amp;" А",""))),""),IF(AND(CS52&lt;&gt;"",CS52=BA52,ISNUMBER(CY52)),IF(CY52&gt;N(CV52)/3,"ток утечки блока УЗО "&amp;FIXED(CY52,1)&amp;" мА &gt; 1/3 уставки ("&amp;CV52&amp;" мА)",""),""),IF(AND(CG52=1,N(BV52)+N(IB52)&gt;0,IC52=""),"линии до 50 В без БП: впишите в «Аппараты» (БП 24V 480W)",""),IF(AND(CG52=1,ISNUMBER(ID52),ISNUMBER(U52)),IF(U52&gt;ID52,"БП "&amp;ID52&amp;" Вт &lt; нужно "&amp;U52&amp;" Вт (×"&amp;Запас_БП&amp;")",""),""),IF(AND(CG52=1,ISNUMBER(IE52),N(BV52)=1),IF(IE52&lt;&gt;N(BU52),"БП на "&amp;IE52&amp;" В, линия "&amp;BU52&amp;" В",""),""),IF(AND(N(IF52)&gt;0,N(IG52)&gt;N(IF52)),HH52&amp;" канал "&amp;HJ52&amp;": "&amp;FIXED(IG52,1)&amp;" А &gt; "&amp;IF52&amp;" А",""),IFERROR(IF(AND(ISNUMBER(Q52),Q52&gt;EL52),"потери "&amp;FIXED(Q52,1)&amp;" % &gt; "&amp;EL52&amp;" %",""),""),IFERROR(IF(LEFT(HU52,4)="мало","Iкз мало — отключение &gt; 0,4 с",""),""),IF(AND(B52&lt;&gt;"",BM52=""),"не на схеме",""),IF(AND(CG52=0,B52&lt;&gt;"",FV52&lt;&gt;"",IF(BA52=1,"",FW51)&lt;&gt;"",FV52&lt;&gt;IF(BA52=1,"",FW51)),"фаза не как у автомата группы ("&amp;IF(BA52=1,"",FW51)&amp;")","")))</f>
        <v/>
      </c>
      <c r="II52" s="6" t="str">
        <f>IF(OR(CG52=0,DQ52=""),"",_xlfn.LET(_xlpm.t,IFERROR(_xlfn.XLOOKUP(DQ52,Каталог!$U$4:$U$500,Каталог!$G$4:$G$500),""),_xlpm.k,SEARCH("кА",_xlpm.t),IFERROR(--TRIM(RIGHT(SUBSTITUTE(MID(_xlpm.t,MAX(1,_xlpm.k-4),_xlpm.k-MAX(1,_xlpm.k-4))," ",REPT(" ",9)),5)),"")))</f>
        <v/>
      </c>
      <c r="IJ52" t="str">
        <f>IF(OR(II52="",CG52=0),"",IF(_xlfn.XLOOKUP(A52,Щиты[Щит],Щиты[Iкз max на шинах, кА],"")="","",IF(II52&lt;_xlfn.XLOOKUP(A52,Щиты[Щит],Щиты[Iкз max на шинах, кА]),"Icu "&amp;II52&amp;" кА &lt; Iкз max","ok")))</f>
        <v/>
      </c>
      <c r="IK52" t="str">
        <f t="shared" si="251"/>
        <v/>
      </c>
      <c r="IL52" t="str">
        <f t="shared" si="252"/>
        <v>QF4|XT4</v>
      </c>
      <c r="IM52" t="str">
        <f t="shared" si="253"/>
        <v>QF4|XT4|кабель ВВГнг(А)-LS (3х1,5) → Дренажный насос резервный</v>
      </c>
      <c r="IN52" t="str" cm="1">
        <f t="array" ref="IN52">IF(IM52="","",_xlfn.LET(_xlpm.nd,_xlfn.TEXTSPLIT(IM52,"|"),IF(COLUMNS(_xlpm.nd)&gt;1,A52&amp;"¦"&amp;INDEX(_xlpm.nd,1)&amp;"¦"&amp;INDEX(_xlpm.nd,2),"")))</f>
        <v>ЩС¦QF4¦XT4</v>
      </c>
      <c r="IO52" t="str">
        <f t="shared" si="254"/>
        <v>НВК.0.04.1¦Дренажный насос резервный</v>
      </c>
      <c r="IP52" t="str" cm="1">
        <f t="array" ref="IP52">IF(IM52="","",_xlfn.LET(_xlpm.nd,_xlfn.TEXTSPLIT(IM52,"|"),IF(COLUMNS(_xlpm.nd)&gt;2,A52&amp;"¦"&amp;INDEX(_xlpm.nd,2)&amp;"¦"&amp;INDEX(_xlpm.nd,3),"")))</f>
        <v>ЩС¦XT4¦кабель ВВГнг(А)-LS (3х1,5) → Дренажный насос резервный</v>
      </c>
      <c r="IQ52" t="str">
        <f t="shared" si="255"/>
        <v>НВК.0.04.1¦Дренажный насос резервный</v>
      </c>
      <c r="IR52" t="str" cm="1">
        <f t="array" ref="IR52">IF(IM52="","",_xlfn.LET(_xlpm.nd,_xlfn.TEXTSPLIT(IM52,"|"),IF(COLUMNS(_xlpm.nd)&gt;3,A52&amp;"¦"&amp;INDEX(_xlpm.nd,3)&amp;"¦"&amp;INDEX(_xlpm.nd,4),"")))</f>
        <v/>
      </c>
      <c r="IS52" t="str">
        <f t="shared" si="256"/>
        <v/>
      </c>
      <c r="IT52" t="str" cm="1">
        <f t="array" ref="IT52">IF(IM52="","",_xlfn.LET(_xlpm.nd,_xlfn.TEXTSPLIT(IM52,"|"),IF(COLUMNS(_xlpm.nd)&gt;4,A52&amp;"¦"&amp;INDEX(_xlpm.nd,4)&amp;"¦"&amp;INDEX(_xlpm.nd,5),"")))</f>
        <v/>
      </c>
      <c r="IU52" t="str">
        <f t="shared" si="257"/>
        <v/>
      </c>
      <c r="IV52" t="str" cm="1">
        <f t="array" ref="IV52">IF(IM52="","",_xlfn.LET(_xlpm.nd,_xlfn.TEXTSPLIT(IM52,"|"),IF(COLUMNS(_xlpm.nd)&gt;5,A52&amp;"¦"&amp;INDEX(_xlpm.nd,5)&amp;"¦"&amp;INDEX(_xlpm.nd,6),"")))</f>
        <v/>
      </c>
      <c r="IW52" t="str">
        <f t="shared" si="258"/>
        <v/>
      </c>
      <c r="IX52" t="str" cm="1">
        <f t="array" ref="IX52">IF(IM52="","",_xlfn.LET(_xlpm.nd,_xlfn.TEXTSPLIT(IM52,"|"),IF(COLUMNS(_xlpm.nd)&gt;6,A52&amp;"¦"&amp;INDEX(_xlpm.nd,6)&amp;"¦"&amp;INDEX(_xlpm.nd,7),"")))</f>
        <v/>
      </c>
      <c r="IY52" t="str">
        <f t="shared" si="259"/>
        <v/>
      </c>
      <c r="IZ52" t="str">
        <f t="shared" si="260"/>
        <v/>
      </c>
      <c r="JA52" t="str">
        <f t="shared" si="261"/>
        <v>QF4 → XT4</v>
      </c>
      <c r="JB52">
        <f t="shared" si="262"/>
        <v>0</v>
      </c>
      <c r="JC52">
        <f t="shared" si="263"/>
        <v>0</v>
      </c>
      <c r="JD52" t="str">
        <f t="shared" si="264"/>
        <v/>
      </c>
      <c r="JE52" t="str">
        <f t="shared" si="265"/>
        <v/>
      </c>
      <c r="JF52" t="str">
        <f t="shared" si="266"/>
        <v/>
      </c>
      <c r="JG52" t="str">
        <f t="shared" si="267"/>
        <v/>
      </c>
      <c r="JH52" t="str">
        <f>IF(B52="","",IFERROR(_xlfn.XLOOKUP(B52,Коды_код,Коды_уго),IFERROR(_xlfn.XLOOKUP(BC52,Коды_код,Коды_уго),IFERROR(_xlfn.XLOOKUP(LEFT(BC52,2),Коды_код,Коды_уго),""))))</f>
        <v>Привод (двигатель)</v>
      </c>
      <c r="JI52" t="str">
        <f>IF(B52="","",IF(OR(JH52="",JH52=0),"BOX",IFERROR(IF(VLOOKUP(JH52,УГО_блоки,3,FALSE)&amp;""&lt;&gt;"",VLOOKUP(JH52,УГО_блоки,3,FALSE),VLOOKUP(JH52,УГО_блоки,2,FALSE)),JH52)))</f>
        <v>MOTOR</v>
      </c>
      <c r="JJ52">
        <f t="shared" si="268"/>
        <v>1</v>
      </c>
      <c r="JK52" t="str">
        <f>IF(DQ52="","",IF(COUNTIF(DQ$3:DQ52,DQ52)=1,MAX(JK$2:JK51)+1,""))</f>
        <v/>
      </c>
      <c r="JL52" t="str">
        <f>IF(DE52="","",IF(COUNTIF(DE$3:DE52,DE52)+COUNTIF(DF$2:DF51,DE52)+COUNTIF(DG$2:DG51,DE52)=1,MAX(JL$2:JN51)+1,""))</f>
        <v/>
      </c>
      <c r="JM52" t="str">
        <f>IF(DF52="","",IF(COUNTIF(DE$3:DE52,DF52)+COUNTIF(DF$3:DF52,DF52)+COUNTIF(DG$2:DG51,DF52)=1,MAX(JL$2:JN51,JL52)+1,""))</f>
        <v/>
      </c>
      <c r="JN52" t="str">
        <f>IF(DG52="","",IF(COUNTIF(DE$3:DE52,DG52)+COUNTIF(DF$3:DF52,DG52)+COUNTIF(DG$3:DG52,DG52)=1,MAX(JL$2:JN51,JL52,JM52)+1,""))</f>
        <v/>
      </c>
      <c r="JO52" t="str">
        <f t="shared" si="269"/>
        <v>3х1,5</v>
      </c>
      <c r="JP52" t="str">
        <f>IF(JO52="","",IF(COUNTIF(JO$3:JO52,JO52)=1,MAX(JP$2:JP51)+1,""))</f>
        <v/>
      </c>
      <c r="JQ52" t="str">
        <f>IF(HG52="","",COUNTIF(HG$3:HG52,"?*"))</f>
        <v/>
      </c>
      <c r="JR52" t="str">
        <f>IF(OR(HG52="",HI52=""),"",IF(COUNTIFS(HG$3:HG52,"?*",HI$3:HI52,HI52)=1,MAX(JR$2:JR51)+1,""))</f>
        <v/>
      </c>
      <c r="JS52">
        <f t="shared" si="270"/>
        <v>0</v>
      </c>
      <c r="JT52">
        <f>IF(B52="","",COUNTIF(B$3:B52,"?*"))</f>
        <v>48</v>
      </c>
      <c r="JU52">
        <f>IF(HL52&lt;&gt;1,0,_xlfn.LET(_xlpm.k,MAX(IFERROR(--_xlfn.XLOOKUP(B52,Коды_код,Коды_3L),0),IFERROR(--_xlfn.XLOOKUP(BC52,Коды_код,Коды_3L),0),IFERROR(--_xlfn.XLOOKUP(LEFT(BC52,2),Коды_код,Коды_3L),0)),IF(_xlpm.k&gt;0,_xlpm.k,IF(IFERROR(--LEFT(SUBSTITUTE(JO52,"x","х"),FIND("х",SUBSTITUTE(JO52,"x","х"))-1),3)&gt;3,Каталог!$S$9,1))))</f>
        <v>1</v>
      </c>
      <c r="JV52">
        <f t="shared" si="271"/>
        <v>0</v>
      </c>
      <c r="JW52" t="str">
        <f t="shared" si="272"/>
        <v>авто</v>
      </c>
      <c r="JX52" t="str">
        <f t="shared" si="273"/>
        <v/>
      </c>
      <c r="JY52">
        <f t="shared" si="274"/>
        <v>0</v>
      </c>
      <c r="JZ52">
        <f t="shared" si="275"/>
        <v>1</v>
      </c>
    </row>
    <row r="53" spans="1:286" x14ac:dyDescent="0.3">
      <c r="A53" t="s">
        <v>948</v>
      </c>
      <c r="B53" t="s">
        <v>1233</v>
      </c>
      <c r="C53" t="s">
        <v>1254</v>
      </c>
      <c r="E53">
        <v>0.75</v>
      </c>
      <c r="G53" t="str">
        <f>Линии[[#This Row],[_авто автомат]]</f>
        <v>1P С6А</v>
      </c>
      <c r="H53" t="str">
        <f>Линии[[#This Row],[_авто управление]]</f>
        <v/>
      </c>
      <c r="I53" t="str">
        <f>Линии[[#This Row],[_авто аппараты]]</f>
        <v/>
      </c>
      <c r="J53">
        <f>Линии[[#This Row],[_авто сечение]]</f>
        <v>1.5</v>
      </c>
      <c r="K53">
        <v>12</v>
      </c>
      <c r="L53" t="str">
        <f>Линии[[#This Row],[_авто фаза]]</f>
        <v>L2</v>
      </c>
      <c r="M53" t="str">
        <f>Линии[[#This Row],[_авто клемма]]</f>
        <v>XT5</v>
      </c>
      <c r="N53" t="str">
        <f t="shared" si="138"/>
        <v/>
      </c>
      <c r="O53" s="6" cm="1">
        <f t="array" ref="O53">IF(B53="","",IF(BH53&lt;&gt;"",IFERROR(_xlfn.XLOOKUP(BH53,Щиты[Щит],Щиты[Iр, А]),""),IF(BP53=1,IF(OR(N(_xlfn.XLOOKUP(A53,Щиты[Щит],Щиты[Вводов],1))&lt;=1,LOWER(TRIM(_xlfn.XLOOKUP(A53,Щиты[Щит],Щиты[АВР],"")&amp;""))="да"),IFERROR(_xlfn.XLOOKUP(A53,Щиты[Щит],Щиты[Iр, А]),""),IFERROR(N(BS53)*_xlfn.XLOOKUP(A53,Щиты[Щит],Щиты[Кс итог])/(SQRT(3)*Uн_лин*_xlfn.XLOOKUP(A53,Щиты[Щит],Щиты[cos φ])),"")),IF(BV53=1,IFERROR(BS53*1000/BU53,""),IFERROR(_xlfn.IFS(BX53=1,BS53/((Uн_лин/SQRT(3))*CE53),BX53=3,BS53/(SQRT(3)*Uн_лин*CE53)),"")))))</f>
        <v>4.0594940802395554</v>
      </c>
      <c r="P53" s="7">
        <f>IF(B53="","",IFERROR(IF(VLOOKUP(BC53,Потребители_обозначение,4,FALSE)=1,VLOOKUP(BC53,Потребители_обозначение,3,FALSE)*(MAX(1,N(D53))*2-1)+EI53+VLOOKUP(BE53,Этаж_обозначение,3,FALSE)+VLOOKUP(BE53,Этаж_обозначение,4,FALSE),VLOOKUP(BC53,Потребители_обозначение,3,FALSE)*(MAX(1,N(D53))*2-1)+EI53),EI53))</f>
        <v>13</v>
      </c>
      <c r="Q53" s="6">
        <f t="shared" si="139"/>
        <v>2.4760288498727978</v>
      </c>
      <c r="R53" t="str">
        <f t="shared" si="140"/>
        <v>ВВГнг(А)-LS (3х1,5)</v>
      </c>
      <c r="S53" t="str">
        <f>IF(BM53="","",IF(BN53="вводной узел","узел ","")&amp;"л."&amp;(INT((BM53-1)/Столбцов_на_лист)+1)&amp;" / "&amp;(MOD(BM53-1,Столбцов_на_лист)+1))</f>
        <v>л.1 / 7</v>
      </c>
      <c r="T53" s="119">
        <f t="shared" si="141"/>
        <v>1.8</v>
      </c>
      <c r="U53" s="7" t="str">
        <f>IF(OR(CG53=0,N(BV53)+N(IB53)=0),"",ROUNDUP(Запас_БП*(N(HY53)+N(HZ53)),0))</f>
        <v/>
      </c>
      <c r="V53" s="119" t="str">
        <f t="shared" si="142"/>
        <v/>
      </c>
      <c r="W53" s="7">
        <f>IFERROR(IF(OR(B53="",BP53=1,BV53=1,NOT(ISNUMBER(EN53)),N(DT53)=0),"",MAX(0,ROUNDDOWN((c_min*(Uн_лин*1000/SQRT(3))/(HT53*N(DT53))-_xlfn.XLOOKUP(A53,Щиты[Щит],Щиты[Zпетли на шинах, Ом]))*EN53/(2*ρкз_Cu),0))),"")</f>
        <v>84</v>
      </c>
      <c r="Y53" t="str">
        <f>Линии[[#This Row],[_авто утечка]]</f>
        <v/>
      </c>
      <c r="Z53">
        <v>1</v>
      </c>
      <c r="AA53">
        <v>230</v>
      </c>
      <c r="AB53" t="str">
        <f>Линии[[#This Row],[_авто группа Кс]]</f>
        <v>Сил</v>
      </c>
      <c r="AF53" t="s">
        <v>952</v>
      </c>
      <c r="AG53" t="s">
        <v>760</v>
      </c>
      <c r="AK53" t="str">
        <f>Линии[[#This Row],[_авто модуль]]</f>
        <v/>
      </c>
      <c r="AN53" t="s">
        <v>11</v>
      </c>
      <c r="AO53">
        <v>3</v>
      </c>
      <c r="BA53" cm="1">
        <f t="array" ref="BA53">ROW()-ROW(Линии[#Headers])</f>
        <v>51</v>
      </c>
      <c r="BC53" s="6" t="str">
        <f t="shared" si="143"/>
        <v>ПУ</v>
      </c>
      <c r="BD53" t="str">
        <f t="shared" si="144"/>
        <v>0.05.1</v>
      </c>
      <c r="BE53" t="str">
        <f t="shared" si="145"/>
        <v>0</v>
      </c>
      <c r="BF53" t="str">
        <f t="shared" si="146"/>
        <v>05.1</v>
      </c>
      <c r="BG53" t="str">
        <f t="shared" si="147"/>
        <v>05</v>
      </c>
      <c r="BH53" t="str">
        <f>IF(X53&lt;&gt;"",X53,IF(AND(B53&lt;&gt;"",B53&lt;&gt;A53,ISNUMBER(_xlfn.XMATCH(B53,Щиты[Щит]))),B53,""))</f>
        <v/>
      </c>
      <c r="BI53" t="str" cm="1">
        <f t="array" ref="BI53">IF(B53="","",IF(BH53&lt;&gt;"","Щит "&amp;BH53,_xlfn.LET(_xlpm.nm,IFERROR(_xlfn.XLOOKUP(BC53,Коды_код,Коды_имя)&amp;"",""),_xlpm.md,IFERROR(N(_xlfn.XLOOKUP(BC53,Коды_код,Коды_режим)),1),_xlpm.ex,IF(Имя_режим="по экспликации",IFERROR(_xlfn.XLOOKUP(BE53&amp;"|"&amp;BG53,Экспликация[Этаж]&amp;"|"&amp;Экспликация[Помещение],Экспликация[Название])&amp;"",""),""),_xlpm.rm,IF(BG53="","",IF(_xlpm.ex&lt;&gt;"",". "&amp;_xlpm.ex&amp;IF(Имя_пом="нет"," ("&amp;BG53&amp;")"," (пом. "&amp;BG53&amp;")"),IF(Имя_пом="нет"," ",", пом. ")&amp;BG53)),IF(_xlpm.nm="","",IF(_xlpm.md=2,_xlpm.nm&amp;" шлейф "&amp;BE53,_xlpm.nm&amp;_xlpm.rm)))))</f>
        <v>Приточная установка, пом. 05</v>
      </c>
      <c r="BJ53" t="str">
        <f t="shared" si="148"/>
        <v>Вентилятор насосной (шина «Насосная» — Одиночная)</v>
      </c>
      <c r="BK53">
        <f>IFERROR(_xlfn.XMATCH(A53,Щиты[Щит]),0)</f>
        <v>5</v>
      </c>
      <c r="BL53">
        <f>_xlfn.LET(_xlpm.k,IFERROR(_xlfn.XLOOKUP(A53,Щиты[Щит],Щиты[Мест под вводной узел]),""),IF(_xlpm.k="",Столбцов_на_лист,N(_xlpm.k)))</f>
        <v>2</v>
      </c>
      <c r="BM53">
        <f t="shared" si="149"/>
        <v>7</v>
      </c>
      <c r="BN53" t="str">
        <f t="shared" si="150"/>
        <v>линии</v>
      </c>
      <c r="BO53" s="6">
        <f>IFERROR(N(_xlfn.XLOOKUP(BC53,Коды_код,Коды_квт)),0)</f>
        <v>0</v>
      </c>
      <c r="BP53">
        <f t="shared" si="151"/>
        <v>0</v>
      </c>
      <c r="BQ53" t="str">
        <f>IF(B53="","",IF(BH53&lt;&gt;"",IFERROR(_xlfn.XLOOKUP(BH53,Щиты[Щит],Щиты[Руст, кВт]),0),IF(BP53=1,IF(OR(N(_xlfn.XLOOKUP(A53,Щиты[Щит],Щиты[Вводов],1))&lt;=1,LOWER(TRIM(_xlfn.XLOOKUP(A53,Щиты[Щит],Щиты[АВР],"")&amp;""))="да"),IFERROR(_xlfn.XLOOKUP(A53,Щиты[Щит],Щиты[Руст, кВт]),0),SUMIFS(Линии[_Р для вводов],Линии[Щит],A53,Линии[Источник для режимов],GF53)),IF(BO53&gt;0,ROUND(BO53*MAX(1,N(D53)),3),""))))</f>
        <v/>
      </c>
      <c r="BR53">
        <f t="shared" si="152"/>
        <v>0.75</v>
      </c>
      <c r="BS53" s="6">
        <f>IF(B53="","",IF(BH53&lt;&gt;"",IFERROR(_xlfn.XLOOKUP(BH53,Щиты[Щит],Щиты[Руст, кВт]),0),N(BR53)))</f>
        <v>0.75</v>
      </c>
      <c r="BT53" t="str">
        <f>IF(B53="","",IFERROR(IF(VLOOKUP(BC53,Потребители_обозначение,8,FALSE)=0,"",VLOOKUP(BC53,Потребители_обозначение,8,FALSE)),""))</f>
        <v/>
      </c>
      <c r="BU53">
        <f t="shared" si="153"/>
        <v>230</v>
      </c>
      <c r="BV53">
        <f t="shared" si="154"/>
        <v>0</v>
      </c>
      <c r="BW53">
        <f>IF(B53="","",IF(BH53&lt;&gt;"",3,IFERROR(IF(N(VLOOKUP(BC53,Потребители_обозначение,9,FALSE))=0,1,VLOOKUP(BC53,Потребители_обозначение,9,FALSE)),1)))</f>
        <v>1</v>
      </c>
      <c r="BX53">
        <f t="shared" si="155"/>
        <v>1</v>
      </c>
      <c r="BY53" t="str">
        <f>IF(B53="","",_xlfn.LET(_xlpm.bc,IFERROR(IF(VLOOKUP(BC53,Потребители_обозначение,6,FALSE)=0,"",VLOOKUP(BC53,Потребители_обозначение,6,FALSE)&amp;""),""),IF(AND(GA53="да",OR(_xlpm.bc="",_xlpm.bc="мс")),Марка_пож,IF(AND(_xlpm.bc="",BH53&lt;&gt;""),"мс",_xlpm.bc))))</f>
        <v>мс</v>
      </c>
      <c r="BZ53" t="str">
        <f t="shared" si="156"/>
        <v>мс</v>
      </c>
      <c r="CA53">
        <f>IF(B53="","",_xlfn.LET(_xlpm.cc,IFERROR(N(VLOOKUP(BC53,Потребители_обозначение,7,FALSE)),0),IF(_xlpm.cc&gt;0,_xlpm.cc,IF(BZ53="","",IF(BV53=1,2,IF(N(BX53)=3,5,3))))))</f>
        <v>3</v>
      </c>
      <c r="CB53">
        <f t="shared" si="157"/>
        <v>3</v>
      </c>
      <c r="CC53">
        <f>IFERROR(N(VLOOKUP(BC53,Потребители_обозначение,10,FALSE)),0)</f>
        <v>0</v>
      </c>
      <c r="CD53">
        <f>IFERROR(VLOOKUP(BC53,Потребители_обозначение,5,FALSE),0)</f>
        <v>1</v>
      </c>
      <c r="CE53" s="6" cm="1">
        <f t="array" ref="CE53">IF(B53="","",IF(BH53&lt;&gt;"",IFERROR(_xlfn.XLOOKUP(BH53,Щиты[Щит],Щиты[cos φ]),0.95),IF(BP53=1,IFERROR(_xlfn.XLOOKUP(A53,Щиты[Щит],Щиты[cos φ]),0.95),IF(ISNUMBER(AD53),AD53,IFERROR(IF(CD53=2,_xlfn.IFS(BX53=3,VLOOKUP(BS53,Справочная_двигатели,8,FALSE),BX53=1,VLOOKUP(BS53,Справочная_двигатели,10,TRUE)),IF(AND(Методика="нормы 2026",FG53="Сил"),0.8,0.95)),0.95)))))</f>
        <v>0.8</v>
      </c>
      <c r="CF53">
        <f t="shared" si="158"/>
        <v>0</v>
      </c>
      <c r="CG53">
        <f t="shared" si="159"/>
        <v>1</v>
      </c>
      <c r="CH53">
        <f t="shared" si="160"/>
        <v>0</v>
      </c>
      <c r="CI53">
        <f>IF(B53="","",IF(BV53=1,IFERROR(BS53/((Uн_лин/SQRT(3))*MAX(0.5,N(CE53))),0),N(O53)))</f>
        <v>4.0594940802395554</v>
      </c>
      <c r="CJ53">
        <f t="shared" si="161"/>
        <v>0</v>
      </c>
      <c r="CK53">
        <f t="shared" si="162"/>
        <v>0</v>
      </c>
      <c r="CL53">
        <f t="shared" si="163"/>
        <v>0</v>
      </c>
      <c r="CM53">
        <f t="shared" si="164"/>
        <v>0</v>
      </c>
      <c r="CN53">
        <f t="shared" si="165"/>
        <v>0</v>
      </c>
      <c r="CO53">
        <f>IF(BC53="",0,_xlfn.LET(_xlpm.v,IFERROR(_xlfn.XLOOKUP(B53,Коды_код,Коды_мА),IFERROR(_xlfn.XLOOKUP(BC53,Коды_код,Коды_мА),IFERROR(_xlfn.XLOOKUP(LEFT(BC53,2),Коды_код,Коды_мА),""))),IF(_xlpm.v="да",30,IF(ISNUMBER(_xlpm.v),_xlpm.v,0))))</f>
        <v>0</v>
      </c>
      <c r="CP53" t="str">
        <f t="shared" si="166"/>
        <v/>
      </c>
      <c r="CQ53" t="str">
        <f>_xlfn.LET(_xlpm.k,IFERROR(_xlfn.XLOOKUP(BC53,Коды_код,Коды_утечка)&amp;"",""),IF(_xlpm.k="","дифавтомат",_xlpm.k))</f>
        <v>дифавтомат</v>
      </c>
      <c r="CR53" t="str" cm="1">
        <f t="array" ref="CR53">IF(CG53=0,"",_xlfn.LET(_xlpm.sg,TRIM(_xlfn.TEXTSPLIT(DD53&amp;"",";")),_xlpm.f_,_xlfn._xlws.FILTER(_xlpm.sg,LEFT(_xlpm.sg,3)="УЗО",""),IFERROR(INDEX(_xlpm.f_,1)&amp;"","")))</f>
        <v/>
      </c>
      <c r="CS53" t="str">
        <f t="shared" si="167"/>
        <v/>
      </c>
      <c r="CT53" s="6" t="str" cm="1">
        <f t="array" ref="CT53">IF(CR53="","",_xlfn.LET(_xlpm.tk,_xlfn.TEXTSPLIT(UPPER(CR53)," ",,TRUE),_xlpm.a_,_xlfn._xlws.FILTER(_xlpm.tk,ISNUMBER(--LEFT(_xlpm.tk,1))*((ISNUMBER(SEARCH("А",_xlpm.tk))+ISNUMBER(SEARCH("A",_xlpm.tk)))&gt;0)*NOT(ISNUMBER(SEARCH("МА",_xlpm.tk)))*NOT(ISNUMBER(SEARCH("MA",_xlpm.tk))),""),IFERROR(--SUBSTITUTE(SUBSTITUTE(INDEX(_xlpm.a_,1),"А",""),"A",""),"")))</f>
        <v/>
      </c>
      <c r="CU53" t="str" cm="1">
        <f t="array" ref="CU53">IF(CR53="","",_xlfn.LET(_xlpm.tk,_xlfn.TEXTSPLIT(UPPER(CR53)," ",,TRUE),_xlpm.a_,_xlfn._xlws.FILTER(_xlpm.tk,ISNUMBER(--LEFT(_xlpm.tk,1))*((ISNUMBER(SEARCH("МА",_xlpm.tk))+ISNUMBER(SEARCH("MA",_xlpm.tk)))&gt;0),""),IFERROR(--SUBSTITUTE(SUBSTITUTE(INDEX(_xlpm.a_,1),"МА",""),"MA",""),30)))</f>
        <v/>
      </c>
      <c r="CV53" t="str">
        <f>IF(CS53="","",IFERROR(_xlfn.XLOOKUP(CS53,Линии[_n],Линии[_УЗО, мА]),30))</f>
        <v/>
      </c>
      <c r="CW53">
        <f>IF(CS53="",0,IF(ISNUMBER(SEARCH("4P",IFERROR(_xlfn.XLOOKUP(CS53,Линии[_n],Линии[_УЗО строки])&amp;"",""))),0,1))</f>
        <v>0</v>
      </c>
      <c r="CX53" t="str">
        <f>IF(AND(CS53&lt;&gt;"",CS53=BA53),SUMIFS(Линии[_ток на 230 В],Линии[_блок УЗО],BA53,Линии[Щит],A53),"")</f>
        <v/>
      </c>
      <c r="CY53" t="str">
        <f>IF(AND(CS53&lt;&gt;"",CS53=BA53),SUMIFS(Линии[_ток утечки линии, мА],Линии[_блок УЗО],BA53,Линии[Щит],A53),"")</f>
        <v/>
      </c>
      <c r="CZ53">
        <f t="shared" si="168"/>
        <v>0</v>
      </c>
      <c r="DA53">
        <f t="shared" si="169"/>
        <v>0</v>
      </c>
      <c r="DB53">
        <f>IF(B53="",0,IFERROR(--_xlfn.XLOOKUP(B53,Коды_код,Коды_минавт),IFERROR(--_xlfn.XLOOKUP(BC53,Коды_код,Коды_минавт),IFERROR(--_xlfn.XLOOKUP(LEFT(BC53,2),Коды_код,Коды_минавт),0))))</f>
        <v>0</v>
      </c>
      <c r="DC53" t="str">
        <f>IF(B53="","",IFERROR(_xlfn.XLOOKUP(BC53,Коды_код,Коды_апп)&amp;"",""))</f>
        <v/>
      </c>
      <c r="DD53" t="str">
        <f t="shared" si="170"/>
        <v/>
      </c>
      <c r="DE53" t="str" cm="1">
        <f t="array" ref="DE53">IF(TRIM(DD53&amp;"")="","",IFERROR(TRIM(INDEX(_xlfn.TEXTSPLIT(DD53&amp;";;;",";"),1)),""))</f>
        <v/>
      </c>
      <c r="DF53" t="str" cm="1">
        <f t="array" ref="DF53">IF(TRIM(DD53&amp;"")="","",IFERROR(TRIM(INDEX(_xlfn.TEXTSPLIT(DD53&amp;";;;",";"),2)),""))</f>
        <v/>
      </c>
      <c r="DG53" t="str" cm="1">
        <f t="array" ref="DG53">IF(TRIM(DD53&amp;"")="","",IFERROR(TRIM(INDEX(_xlfn.TEXTSPLIT(DD53&amp;";;;",";"),3)),""))</f>
        <v/>
      </c>
      <c r="DH53">
        <f t="shared" si="171"/>
        <v>0</v>
      </c>
      <c r="DI53" t="str">
        <f>IF(B53="","",_xlfn.LET(_xlpm.t,LOWER(AZ53&amp;""),IF(ISNUMBER(SEARCH("dim",_xlpm.t)),"DIM",IF(ISNUMBER(SEARCH("dali",_xlpm.t)),"DALI",IF(OR(ISNUMBER(SEARCH("relay",_xlpm.t)),ISNUMBER(SEARCH("реле",_xlpm.t))),"Relay",IF(ISNUMBER(SEARCH("кнопк",_xlpm.t)),"",IFERROR(_xlfn.XLOOKUP(BC53,Коды_код,Коды_упр)&amp;"","")))))))</f>
        <v/>
      </c>
      <c r="DJ53" t="str">
        <f t="shared" si="172"/>
        <v/>
      </c>
      <c r="DK53">
        <f>IF(B53="","",_xlfn.LET(_xlpm.ig,IF(N(CX53)&gt;0,N(CX53),N(CI53)+IF(AJ53="вручную",0,N(CJ53))),_xlpm.n0,IFERROR(VLOOKUP(_xlpm.ig,Автомат_номиналы,2,TRUE),0),_xlpm.mn,MAX(DB53,IF(AJ53="вручную",0,N(CM53))),MAX(_xlpm.n0,_xlpm.mn,IF(DH53=1,Мин_автомат_БП,0))))</f>
        <v>6</v>
      </c>
      <c r="DL53">
        <f t="shared" si="173"/>
        <v>1</v>
      </c>
      <c r="DM53" t="str">
        <f t="shared" si="174"/>
        <v>1P</v>
      </c>
      <c r="DN53" t="str">
        <f>_xlfn.LET(_xlpm.cc,UPPER(TRIM(IFERROR(_xlfn.XLOOKUP(BC53,Коды_код,Коды_хар)&amp;"",""))),IF(OR(_xlpm.cc="B",_xlpm.cc="В"),"B",IF(_xlpm.cc="D","D","С")))</f>
        <v>С</v>
      </c>
      <c r="DO53" t="str">
        <f t="shared" si="175"/>
        <v>1P С6А</v>
      </c>
      <c r="DP53" t="str">
        <f t="shared" si="176"/>
        <v>1P С6А</v>
      </c>
      <c r="DQ53" t="str">
        <f t="shared" si="177"/>
        <v>1P С6А</v>
      </c>
      <c r="DR53" cm="1">
        <f t="array" ref="DR53">IF(DQ53="","",_xlfn.LET(_xlpm.t,SUBSTITUTE(SUBSTITUTE(SUBSTITUTE(UPPER(DQ53),"С","C"),"А","A"),"В","B"),_xlpm.tk,_xlfn.TEXTSPLIT(_xlpm.t," "),_xlpm.f,_xlfn._xlws.FILTER(_xlpm.tk,ISNUMBER(--MID(_xlpm.tk,2,1))*ISNUMBER(SEARCH(LEFT(_xlpm.tk,1)&amp;"#","B#C#D#"))*(LEN(_xlpm.tk)&gt;1),""),_xlpm.x,INDEX(_xlpm.f,1),IFERROR(--SUBSTITUTE(MID(_xlpm.x,2,9),"A",""),IFERROR(--SUBSTITUTE(INDEX(_xlfn._xlws.FILTER(_xlpm.tk,ISNUMBER(--SUBSTITUTE(_xlpm.tk,"A","")),""),1),"A",""),""))))</f>
        <v>6</v>
      </c>
      <c r="DS53" t="str">
        <f t="shared" si="178"/>
        <v>ok</v>
      </c>
      <c r="DT53">
        <f t="shared" si="179"/>
        <v>6</v>
      </c>
      <c r="DU53" t="str">
        <f t="shared" si="180"/>
        <v>1P С6А</v>
      </c>
      <c r="DV53">
        <f t="shared" si="181"/>
        <v>0</v>
      </c>
      <c r="DW53">
        <f t="shared" si="182"/>
        <v>0</v>
      </c>
      <c r="DX53">
        <f t="shared" si="183"/>
        <v>0</v>
      </c>
      <c r="DY53">
        <f t="shared" si="184"/>
        <v>4.0594940802395554</v>
      </c>
      <c r="DZ53">
        <f t="shared" si="185"/>
        <v>1</v>
      </c>
      <c r="EA53">
        <f>IF(ISNUMBER(AP53),AP53,К_прокл)</f>
        <v>1</v>
      </c>
      <c r="EB53">
        <f t="shared" si="186"/>
        <v>2</v>
      </c>
      <c r="EC53">
        <f>IFERROR(N(VLOOKUP(BZ53,Кабель_обозначение,3,FALSE)),1)</f>
        <v>1</v>
      </c>
      <c r="ED53">
        <f>IFERROR(N(_xlfn.XLOOKUP(A53,Щиты[Щит],Щиты[ΔU до шин, %])),0)</f>
        <v>1.9160288498727978</v>
      </c>
      <c r="EE53">
        <f>IFERROR(_xlfn.XLOOKUP(A53,Щиты[Щит],Щиты[Zпетли на шинах, Ом]),"")</f>
        <v>0.67697829354840211</v>
      </c>
      <c r="EF53">
        <f>IFERROR(N(_xlfn.XLOOKUP(A53,Щиты[Щит],Щиты[ΔU до шин (подбор), %])),0)</f>
        <v>1.9160288498727978</v>
      </c>
      <c r="EG53">
        <f>IFERROR(_xlfn.XLOOKUP(A53,Щиты[Щит],Щиты[Zпетли на шинах (подбор), Ом]),"")</f>
        <v>0.67697829354840211</v>
      </c>
      <c r="EH53" t="str">
        <f t="shared" si="187"/>
        <v/>
      </c>
      <c r="EI53">
        <f t="shared" si="188"/>
        <v>12</v>
      </c>
      <c r="EJ53">
        <f t="shared" si="189"/>
        <v>2</v>
      </c>
      <c r="EK53">
        <f t="shared" si="190"/>
        <v>0.6</v>
      </c>
      <c r="EL53" s="6">
        <f>IF(B53="","",IF(BV53=1,dU_LED,IF(IFERROR(_xlfn.XLOOKUP(BC53,Коды_код,Коды_уго),"")="Светильник",3,4)+IF(Методика="нормы 2026",MIN(0.5,MAX(0,N(P53)-100)*0.005),0)))</f>
        <v>4</v>
      </c>
      <c r="EM53" cm="1">
        <f t="array" ref="EM53">IF(OR(B53="",BZ53="",EC53&lt;&gt;1),"",_xlfn.LET(_xlpm.sz,Iдоп_S,_xlpm.t_,CHOOSE(EB53,Iдоп_1ж,Iдоп_2ж,Iдоп_3ж)*DZ53*EA53,_xlpm.dcx,BV53=1,_xlpm.inn,IF(_xlpm.dcx,N(O53),N(DT53)),_xlpm.smin,MAX(1.5,CC53),_xlpm.L_,N(P53),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53)/N(BU53)*100,999),IFERROR(N(EJ53)*(_xlpm.rho*_xlpm.L_/_xlpm.sz*N(CE53)+_xlpm.xx*_xlpm.L_*N(EK53)/1000)*N(O53)/((Uн_лин/SQRT(3))*1000)*100,999)),_xlpm.kz,IF(OR(_xlpm.dcx,DW53=1,NOT(ISNUMBER(EG53)),_xlpm.L_=0,_xlpm.inn=0),1,IFERROR(--(c_min*(Uн_лин*1000/SQRT(3))/(EG53+2*ρкз_Cu*_xlpm.L_/_xlpm.sz)&gt;=HT53*_xlpm.inn),0)),_xlpm.ok,IFERROR((_xlpm.sz&gt;=_xlpm.smin)*(_xlpm.t_&gt;=_xlpm.inn)*IF(_xlpm.L_&gt;0,(_xlpm.du_+IF(_xlpm.dcx,0,EF53)&lt;=EL53+0.00001),1)*_xlpm.kz,0),_xlpm.r_,_xlfn._xlws.FILTER(_xlpm.sz,_xlpm.ok,"не подобрано"),INDEX(_xlpm.r_,1)))</f>
        <v>1.5</v>
      </c>
      <c r="EN53">
        <f t="shared" si="191"/>
        <v>1.5</v>
      </c>
      <c r="EO53" cm="1">
        <f t="array" ref="EO53">IF(OR(B53="",BZ53="",EC53&lt;&gt;1),"",_xlfn.LET(_xlpm.sz,Iдоп_S,_xlpm.t_,CHOOSE(EB53,Iдоп_1ж,Iдоп_2ж,Iдоп_3ж)*DZ53*EA53,_xlpm.ok,IFERROR((_xlpm.sz&gt;=MAX(1.5,CC53))*(_xlpm.t_&gt;=N(DT53)),0),_xlpm.r_,_xlfn._xlws.FILTER(_xlpm.sz,_xlpm.ok,""),INDEX(_xlpm.r_,1)))</f>
        <v>1.5</v>
      </c>
      <c r="EP53" s="6" cm="1">
        <f t="array" ref="EP53">IFERROR(ROUNDUP(N(EJ53)*(_xlfn.XLOOKUP(EO53,INDEX(Кабель_сопротивление,0,1),INDEX(Кабель_сопротивление,0,3))*N(P53)/EO53*N(CE53)+_xlfn.XLOOKUP(EO53,INDEX(Кабель_сопротивление,0,1),INDEX(Кабель_сопротивление,0,2))*N(P53)*N(EK53)/1000)*N(O53)/((Uн_лин/SQRT(3))*1000)*100,2),"")</f>
        <v>0.56000000000000005</v>
      </c>
      <c r="EQ53">
        <f>IFERROR(2*ρкз_Cu*N(P53)/EO53,"")</f>
        <v>0.45586666666666664</v>
      </c>
      <c r="ER53">
        <f>IFERROR(VLOOKUP(EN53,Кабель_сопротивление,3,FALSE),"")</f>
        <v>2.2499999999999999E-2</v>
      </c>
      <c r="ES53">
        <f>IFERROR(VLOOKUP(EN53,Кабель_сопротивление,2,FALSE),"")</f>
        <v>0.11</v>
      </c>
      <c r="ET53" t="str">
        <f t="shared" si="192"/>
        <v/>
      </c>
      <c r="EU53" t="str">
        <f t="shared" si="193"/>
        <v/>
      </c>
      <c r="EV53">
        <f t="shared" si="194"/>
        <v>1.2735282448764322</v>
      </c>
      <c r="EW53" s="6">
        <f>IFERROR(ROUNDUP(EV53/IF(BV53=1,BU53,(Uн_лин/SQRT(3))*1000)*100,2),"")</f>
        <v>0.56000000000000005</v>
      </c>
      <c r="EX53" t="str">
        <f>IFERROR(VLOOKUP(BZ53,Кабель_обозначение,2,FALSE),"")</f>
        <v>ВВГнг(А)-LS</v>
      </c>
      <c r="EY53" t="str">
        <f t="shared" si="195"/>
        <v>ВВГнг(А)-LS (3х1,5)</v>
      </c>
      <c r="EZ53" t="str">
        <f t="shared" si="196"/>
        <v>ВВГнг(А)-LS (3х1,5)
L=13-0,56%</v>
      </c>
      <c r="FA53">
        <f>IFERROR(2*ρкз_Cu*P53/EN53,"")</f>
        <v>0.45586666666666664</v>
      </c>
      <c r="FB53">
        <f t="shared" si="197"/>
        <v>0.1516666666666667</v>
      </c>
      <c r="FC53" s="6">
        <f>IFERROR(IF(OR(B53="",BV53=1,NOT(ISNUMBER(EN53)),N(P53)=0),"",_xlfn.XLOOKUP(A53,Щиты[Щит],Щиты[Zпетли на шинах, Ом])+FA53),"")</f>
        <v>1.1328449602150688</v>
      </c>
      <c r="FD53" s="6">
        <f>IF(ISNUMBER(FC53),c_min*(Uн_лин*1000/SQRT(3))/FC53,"")</f>
        <v>193.66560297042446</v>
      </c>
      <c r="FE53" s="6">
        <f>IFERROR(IF(OR(B53="",NOT(ISNUMBER(EN53))),"",1.05*(Uн_лин*1000/SQRT(3))/(_xlfn.XLOOKUP(A53,Щиты[Щит],Щиты[Zmax на шинах, Ом])+FB53)/1000),"")</f>
        <v>0.65887832405047009</v>
      </c>
      <c r="FF53" s="6" t="str">
        <f>IF(B53="","",IF(ISNUMBER(AC53),"Сил",IF(IFERROR(_xlfn.XLOOKUP(BC53,Коды_код,Коды_группа)&amp;"","")="","Быт",_xlfn.XLOOKUP(BC53,Коды_код,Коды_группа)&amp;"")))</f>
        <v>Сил</v>
      </c>
      <c r="FG53" s="6" t="str">
        <f t="shared" si="198"/>
        <v>Сил</v>
      </c>
      <c r="FH53" s="6">
        <f>IF(FG53="Щит","щит",IF(FG53="","",IF(FG53="Быт",IFERROR(_xlfn.XLOOKUP(A53,Щиты[Щит],Щиты[Кс быт]),1),IF(FG53="Сил",IF(ISNUMBER(AC53),AC53,IF(Методика="нормы 2026",IFERROR(_xlfn.XLOOKUP(A53,Щиты[Щит],Щиты[Кс силовых (табл. 7.5)]),1),1)),IF(OR(FG53="Пост",FG53="Отоп"),1,IF(FG53="ВНГ",0.7,0))))))</f>
        <v>0.85000000000000009</v>
      </c>
      <c r="FI53">
        <f>IF(FG53="","",IF(AND(BP53=1,TRIM(AE53&amp;"")=""),IF(COUNTIFS(Линии[Щит],A53,Линии[Секция (1/2/3)],"&gt;=2")&gt;0,MIN(3,MAX(1,IFERROR(--BD53,1))),1),IFERROR(MIN(3,MAX(1,INT(--AE53))),1)))</f>
        <v>1</v>
      </c>
      <c r="FJ53">
        <f t="shared" si="199"/>
        <v>0.75</v>
      </c>
      <c r="FK53">
        <f t="shared" si="200"/>
        <v>0</v>
      </c>
      <c r="FL53">
        <f t="shared" si="201"/>
        <v>0.63750000000000007</v>
      </c>
      <c r="FM53">
        <f t="shared" si="202"/>
        <v>0</v>
      </c>
      <c r="FN53">
        <f t="shared" si="203"/>
        <v>0</v>
      </c>
      <c r="FO53">
        <f t="shared" si="204"/>
        <v>0</v>
      </c>
      <c r="FP53">
        <f t="shared" si="205"/>
        <v>0.75</v>
      </c>
      <c r="FQ53">
        <f t="shared" si="206"/>
        <v>0.75</v>
      </c>
      <c r="FR53">
        <f t="shared" si="207"/>
        <v>0.60000000000000009</v>
      </c>
      <c r="FS53">
        <f>IF(CG53=1,IF(AND(CH53=1,CW53=1),0,IF(AND(CS53&lt;&gt;"",CS53=BA53,CW53=1),SUMIFS(Линии[_Р линии, кВт],Линии[_блок УЗО],BA53,Линии[Щит],A53),N(BS53)+IF(AJ53="вручную",0,N(CK53)))),0)</f>
        <v>0.75</v>
      </c>
      <c r="FT53" t="str">
        <f t="shared" si="208"/>
        <v/>
      </c>
      <c r="FU53" t="str">
        <f>IF(B53="","",IF(CG53=0,IF(BA53=1,"",FW52),IF(AND(CH53=1,CW53=1,CS53&lt;&gt;""),IFERROR(_xlfn.XLOOKUP(CS53,Линии[_n],Линии[_фаза итог]),"L1"),IF(OR(N(DL53)&gt;=3,N(BX53)&gt;=3),"L1,L2,L3",IFERROR(_xlfn.TEXTBEFORE(_xlfn.TEXTAFTER(_xlfn.XLOOKUP(A53,Щиты[Щит],Щиты[_фазы авто]),";"&amp;BA53&amp;":"),";"),"L1")))))</f>
        <v>L2</v>
      </c>
      <c r="FV53" t="str">
        <f t="shared" si="209"/>
        <v>L2</v>
      </c>
      <c r="FW53" t="str">
        <f t="shared" si="210"/>
        <v>L2</v>
      </c>
      <c r="FX53" cm="1">
        <f t="array" ref="FX53">IFERROR(IF(CD53=2,_xlfn.IFS(BX53=3,VLOOKUP(BS53,Справочная_двигатели,3,FALSE),BX53=1,VLOOKUP(BS53,Справочная_двигатели,5,TRUE)),0),0)</f>
        <v>0</v>
      </c>
      <c r="FY53">
        <f>IFERROR(IF(CD53=3,VLOOKUP(BS53,Справочная_ЛЭД,2,TRUE),0),0)</f>
        <v>0</v>
      </c>
      <c r="FZ53" s="6">
        <f t="shared" si="211"/>
        <v>0</v>
      </c>
      <c r="GA53" t="str">
        <f>IF(B53="","",IF(TRIM(AH53&amp;"")&lt;&gt;"",IF(LOWER(TRIM(AH53&amp;""))="да","да","нет"),IF(IFERROR(_xlfn.XLOOKUP(BC53,Коды_код,Коды_пожарная),"")="да","да","нет")))</f>
        <v>нет</v>
      </c>
      <c r="GB53" t="str">
        <f t="shared" si="212"/>
        <v>Насосная</v>
      </c>
      <c r="GC53" t="str">
        <f t="shared" si="213"/>
        <v>Насосная</v>
      </c>
      <c r="GD53">
        <f>IF(AND(BP53=1,TRIM(AE53&amp;"")=""),IF(COUNTIFS(Линии[Щит],A53,Линии[Секция (1/2/3)],"&gt;=2")&gt;0,MIN(3,MAX(1,IFERROR(--BD53,1))),1),IFERROR(MIN(3,MAX(1,INT(--AE53))),1))</f>
        <v>1</v>
      </c>
      <c r="GE53" t="str" cm="1">
        <f t="array" ref="GE53">IF(B53="","",_xlfn.LET(_xlpm.t,IFERROR(_xlfn.XLOOKUP(1,(Шины[Шина]=GC53)*(((Шины[Щит]=A53)+(Шины[Щит]=""))&gt;0),Шины[Тип]),"")&amp;"",IF(_xlpm.t&lt;&gt;"",_xlpm.t,IF(ISNUMBER(SEARCH("ИБП",GC53)),"ИБП",IF(ISNUMBER(SEARCH("ДГУ",GC53)),"ДГУ","Ввод "&amp;GD53)))))</f>
        <v>Одиночная</v>
      </c>
      <c r="GF53" t="str">
        <f t="shared" si="214"/>
        <v>Ввод 1</v>
      </c>
      <c r="GG53" t="str">
        <f>IF(BP53=0,"",IF(TRIM(AG53&amp;"")&lt;&gt;"",TRIM(AG53&amp;""),IF(OR(GE53="ИБП",GE53="ДГУ"),"I особая",_xlfn.XLOOKUP(A53,Щиты[Щит],Щиты[Категория шины «Ввод»],"III"))))</f>
        <v/>
      </c>
      <c r="GH53" t="str">
        <f>IF(A53="","",_xlfn.XLOOKUP(A53,Щиты[Щит],Щиты[Путь],""))</f>
        <v>|ВРУ|ЩС|</v>
      </c>
      <c r="GI53" t="str">
        <f>IF(B53="","",IF(AI53&lt;&gt;"",AI53,IF(IFERROR(_xlfn.XLOOKUP(BC53,Коды_код,Коды_вид)&amp;"","")="","Прочее",_xlfn.XLOOKUP(BC53,Коды_код,Коды_вид)&amp;"")))</f>
        <v>Вентиляция</v>
      </c>
      <c r="GJ53">
        <f>IF(BM53="","",INT((BM53-1)/Столбцов_на_лист)+1)</f>
        <v>1</v>
      </c>
      <c r="GK53" t="str">
        <f t="shared" si="215"/>
        <v>ВВГнг(А)-LS (3х1,5) L=13-0,56%</v>
      </c>
      <c r="GL53">
        <f t="shared" si="216"/>
        <v>0.75</v>
      </c>
      <c r="GM53">
        <f t="shared" si="217"/>
        <v>4.0599999999999996</v>
      </c>
      <c r="GN53">
        <f t="shared" si="218"/>
        <v>1</v>
      </c>
      <c r="GO53">
        <f t="shared" si="219"/>
        <v>0</v>
      </c>
      <c r="GP53">
        <f t="shared" si="220"/>
        <v>1</v>
      </c>
      <c r="GQ53">
        <f>IF(BM53="","",IF(AND(CG53=1,GP53=1),COUNTIFS(A$3:A53,A53,CG$3:CG53,1,GP$3:GP53,1),IF(OR(OR(BA53=1,A53&lt;&gt;A52),AJ53="вручную",GP53=0),"",IF(BA53=1,"",GR52))))</f>
        <v>5</v>
      </c>
      <c r="GR53">
        <f t="shared" si="221"/>
        <v>5</v>
      </c>
      <c r="GS53">
        <f>IF(B53="","",IFERROR(LOOKUP(INDEX(CHOOSE(EB53,Iдоп_1ж,Iдоп_2ж,Iдоп_3ж),MATCH(EN53,Iдоп_S,0))*DZ53*EA53,{6,10,16,20,25,32,40,50,63,80,100,125,160,200,250,315,400,500,630}),""))</f>
        <v>16</v>
      </c>
      <c r="GT53" t="str">
        <f t="shared" si="222"/>
        <v>QF5</v>
      </c>
      <c r="GU53" t="str">
        <f t="shared" si="223"/>
        <v>QF5</v>
      </c>
      <c r="GV53" t="str">
        <f t="shared" si="224"/>
        <v/>
      </c>
      <c r="GW53">
        <f t="shared" si="225"/>
        <v>0</v>
      </c>
      <c r="GX53" t="str">
        <f>IF(OR(B53="",DJ53=""),"",IFERROR(_xlfn.XLOOKUP(DJ53,Модули_умолч[Управление],Модули_умолч[Модель])&amp;"",""))</f>
        <v/>
      </c>
      <c r="GY53">
        <f>IF(DJ53="",1,IFERROR(MAX(0,N(_xlfn.XLOOKUP(DJ53,Модули_умолч[Управление],Модули_умолч[Каналов на линию]))),1))</f>
        <v>1</v>
      </c>
      <c r="GZ53" t="str">
        <f t="shared" si="226"/>
        <v/>
      </c>
      <c r="HA53" t="str">
        <f t="shared" si="227"/>
        <v/>
      </c>
      <c r="HB53" t="str">
        <f t="shared" si="228"/>
        <v/>
      </c>
      <c r="HC53">
        <f>IF(HB53="",0,IFERROR(N(VLOOKUP(HB53,Модули_спр,3,FALSE)),0))</f>
        <v>0</v>
      </c>
      <c r="HD53" t="str">
        <f t="shared" si="229"/>
        <v/>
      </c>
      <c r="HE53" t="str">
        <f t="shared" si="230"/>
        <v/>
      </c>
      <c r="HF53" t="str">
        <f>IF(OR(HE53="",HE53="-"),"",IFERROR(VLOOKUP(HE53,Модули_спр,2,FALSE),"R"))</f>
        <v/>
      </c>
      <c r="HG53" t="str">
        <f>IF(HF53="","",HF53&amp;"."&amp;COUNTIFS(A$3:A53,A53,HF$3:HF53,HF53))</f>
        <v/>
      </c>
      <c r="HH53" t="str">
        <f t="shared" si="231"/>
        <v/>
      </c>
      <c r="HI53" t="str">
        <f t="shared" si="232"/>
        <v/>
      </c>
      <c r="HJ53" t="str">
        <f t="shared" si="233"/>
        <v/>
      </c>
      <c r="HK53" t="str">
        <f t="shared" si="234"/>
        <v/>
      </c>
      <c r="HL53">
        <f t="shared" si="235"/>
        <v>1</v>
      </c>
      <c r="HM53" t="str">
        <f>IF(HL53=1,"XT"&amp;COUNTIFS(A$3:A53,A53,HL$3:HL53,1),"")</f>
        <v>XT5</v>
      </c>
      <c r="HN53" t="str">
        <f t="shared" si="236"/>
        <v>XT5</v>
      </c>
      <c r="HO53" t="str">
        <f t="shared" si="237"/>
        <v>QF5</v>
      </c>
      <c r="HP53" t="str">
        <f t="shared" si="238"/>
        <v/>
      </c>
      <c r="HQ53" t="str">
        <f t="shared" si="239"/>
        <v>ok</v>
      </c>
      <c r="HR53" t="str">
        <f>IF(OR(HJ53="",HH53=""),"",IF(HJ53+MAX(0,GY53-1)&gt;IFERROR(VLOOKUP(HI53,Модули_спр,3,FALSE),99),"ЛИШНИЙ КАНАЛ",IF(AND(AL53&lt;&gt;"=",GY53&gt;0,COUNTIFS(Линии[_модуль гр.],HH53,Линии[Канал (итог)],HJ53,Линии[Канал],"&lt;&gt;=",Линии[Щит],A53)&gt;1),"ДУБЛЬ КАНАЛА","")))</f>
        <v/>
      </c>
      <c r="HS53" s="6">
        <f t="shared" si="240"/>
        <v>32.277600495070743</v>
      </c>
      <c r="HT53">
        <f t="shared" si="241"/>
        <v>10</v>
      </c>
      <c r="HU53" t="str">
        <f t="shared" si="242"/>
        <v>ok</v>
      </c>
      <c r="HV53">
        <f t="shared" si="243"/>
        <v>1.7537976320958224</v>
      </c>
      <c r="HW53">
        <f t="shared" si="244"/>
        <v>0</v>
      </c>
      <c r="HX53">
        <f t="shared" si="245"/>
        <v>0</v>
      </c>
      <c r="HY53">
        <f t="shared" si="246"/>
        <v>0</v>
      </c>
      <c r="HZ53">
        <f t="shared" si="247"/>
        <v>0</v>
      </c>
      <c r="IA53">
        <f t="shared" si="248"/>
        <v>0</v>
      </c>
      <c r="IB53">
        <f t="shared" si="249"/>
        <v>0</v>
      </c>
      <c r="IC53" t="str">
        <f t="shared" si="250"/>
        <v/>
      </c>
      <c r="ID53" t="str" cm="1">
        <f t="array" ref="ID53">IF(IC53="","",_xlfn.LET(_xlpm.tk,_xlfn.TEXTSPLIT(SUBSTITUTE(SUBSTITUTE(IC53,";"," "),"→"," ")," ",,TRUE),_xlpm.w_,_xlfn._xlws.FILTER(_xlpm.tk,ISNUMBER(--LEFT(_xlpm.tk,1))*((ISNUMBER(SEARCH("W",_xlpm.tk))+ISNUMBER(SEARCH("Вт",_xlpm.tk)))&gt;0),""),IFERROR(--SUBSTITUTE(SUBSTITUTE(UPPER(INDEX(_xlpm.w_,1)),"W",""),"ВТ",""),"")))</f>
        <v/>
      </c>
      <c r="IE53" t="str" cm="1">
        <f t="array" ref="IE53">IF(IC53="","",_xlfn.LET(_xlpm.tk,_xlfn.TEXTSPLIT(SUBSTITUTE(SUBSTITUTE(IC53,";"," "),"→"," ")," ",,TRUE),_xlpm.v_,_xlfn._xlws.FILTER(_xlpm.tk,ISNUMBER(--LEFT(_xlpm.tk,1))*((ISNUMBER(SEARCH("V",_xlpm.tk))+(RIGHT(UPPER(_xlpm.tk))="В"))&gt;0),""),IFERROR(--SUBSTITUTE(SUBSTITUTE(UPPER(INDEX(_xlpm.v_,1)),"V",""),"В",""),"")))</f>
        <v/>
      </c>
      <c r="IF53" s="6" t="str">
        <f>IF(OR(BV53=0,HI53="",HJ53=""),"",IFERROR(N(_xlfn.XLOOKUP(HI53,Каталог!$C$4:$C$500,Каталог!$Q$4:$Q$500)),""))</f>
        <v/>
      </c>
      <c r="IG53" s="6" t="str">
        <f>IF(N(IF53)=0,"",SUMIFS(Линии[Iр, А],Линии[Щит],A53,Линии[_модуль гр.],HH53,Линии[Канал (итог)],HJ53))</f>
        <v/>
      </c>
      <c r="IH53" t="str">
        <f>IF(AND(B53="",HO53=""),"",_xlfn.TEXTJOIN("; ",TRUE,IF(AND(B53&lt;&gt;"",FV53=""),"нет фазы",""),IF(AND(B53&lt;&gt;"",N(GL53)=0,FG53&lt;&gt;"Нет"),"нет мощности",""),IF(AND(HN53&lt;&gt;"",COUNTIFS(Линии[Щит],A53,Линии[Клемма (итог)],HN53)&gt;1),"дубль клеммы "&amp;HN53,""),IF(AND(HQ53&lt;&gt;"",HQ53&lt;&gt;"ok"),HQ53,""),IF(HR53&lt;&gt;"",HR53,""),IF(AND(N(CB53)&gt;=4,N(BX53)=1),CB53&amp;" жил на 1 фазе",""),IF(AND(BC53="R",CG53=1,IF(CS53&lt;&gt;"",N(CV53)&gt;30,OR(N(DA53)=0,N(DA53)&gt;30))),"розетка без дифзащиты до 30 мА",""),IF(AND(CG53=1,N(DA53)&gt;0,ISNUMBER(T53)),IF(T53&gt;N(DA53)/3,"ток утечки "&amp;FIXED(T53,1)&amp;" мА &gt; 1/3 уставки ("&amp;DA53&amp;" мА)",""),""),IF(AND(CH53=1,CS53=""),"«узо»: нет строки с УЗО выше (УЗО 2P 40А 30мА в «Аппаратах»)",""),IF(AND(CS53&lt;&gt;"",CS53=BA53),IF(CT53="","впишите номинал УЗО (УЗО 2P 40А 30мА)",IF(N(CT53)&lt;N(DT53),"УЗО "&amp;CT53&amp;" А &lt; автомата "&amp;DT53&amp;" А перед ним",IF(N(CT53)&lt;N(CX53),"УЗО "&amp;CT53&amp;" А &lt; тока блока "&amp;FIXED(CX53,1)&amp;" А",""))),""),IF(AND(CS53&lt;&gt;"",CS53=BA53,ISNUMBER(CY53)),IF(CY53&gt;N(CV53)/3,"ток утечки блока УЗО "&amp;FIXED(CY53,1)&amp;" мА &gt; 1/3 уставки ("&amp;CV53&amp;" мА)",""),""),IF(AND(CG53=1,N(BV53)+N(IB53)&gt;0,IC53=""),"линии до 50 В без БП: впишите в «Аппараты» (БП 24V 480W)",""),IF(AND(CG53=1,ISNUMBER(ID53),ISNUMBER(U53)),IF(U53&gt;ID53,"БП "&amp;ID53&amp;" Вт &lt; нужно "&amp;U53&amp;" Вт (×"&amp;Запас_БП&amp;")",""),""),IF(AND(CG53=1,ISNUMBER(IE53),N(BV53)=1),IF(IE53&lt;&gt;N(BU53),"БП на "&amp;IE53&amp;" В, линия "&amp;BU53&amp;" В",""),""),IF(AND(N(IF53)&gt;0,N(IG53)&gt;N(IF53)),HH53&amp;" канал "&amp;HJ53&amp;": "&amp;FIXED(IG53,1)&amp;" А &gt; "&amp;IF53&amp;" А",""),IFERROR(IF(AND(ISNUMBER(Q53),Q53&gt;EL53),"потери "&amp;FIXED(Q53,1)&amp;" % &gt; "&amp;EL53&amp;" %",""),""),IFERROR(IF(LEFT(HU53,4)="мало","Iкз мало — отключение &gt; 0,4 с",""),""),IF(AND(B53&lt;&gt;"",BM53=""),"не на схеме",""),IF(AND(CG53=0,B53&lt;&gt;"",FV53&lt;&gt;"",IF(BA53=1,"",FW52)&lt;&gt;"",FV53&lt;&gt;IF(BA53=1,"",FW52)),"фаза не как у автомата группы ("&amp;IF(BA53=1,"",FW52)&amp;")","")))</f>
        <v/>
      </c>
      <c r="II53" s="6" t="str">
        <f>IF(OR(CG53=0,DQ53=""),"",_xlfn.LET(_xlpm.t,IFERROR(_xlfn.XLOOKUP(DQ53,Каталог!$U$4:$U$500,Каталог!$G$4:$G$500),""),_xlpm.k,SEARCH("кА",_xlpm.t),IFERROR(--TRIM(RIGHT(SUBSTITUTE(MID(_xlpm.t,MAX(1,_xlpm.k-4),_xlpm.k-MAX(1,_xlpm.k-4))," ",REPT(" ",9)),5)),"")))</f>
        <v/>
      </c>
      <c r="IJ53" t="str">
        <f>IF(OR(II53="",CG53=0),"",IF(_xlfn.XLOOKUP(A53,Щиты[Щит],Щиты[Iкз max на шинах, кА],"")="","",IF(II53&lt;_xlfn.XLOOKUP(A53,Щиты[Щит],Щиты[Iкз max на шинах, кА]),"Icu "&amp;II53&amp;" кА &lt; Iкз max","ok")))</f>
        <v/>
      </c>
      <c r="IK53" t="str">
        <f t="shared" si="251"/>
        <v/>
      </c>
      <c r="IL53" t="str">
        <f t="shared" si="252"/>
        <v>QF5|XT5</v>
      </c>
      <c r="IM53" t="str">
        <f t="shared" si="253"/>
        <v>QF5|XT5|кабель ВВГнг(А)-LS (3х1,5) → Вентилятор насосной (шина «Насосная» — Одиночная)</v>
      </c>
      <c r="IN53" t="str" cm="1">
        <f t="array" ref="IN53">IF(IM53="","",_xlfn.LET(_xlpm.nd,_xlfn.TEXTSPLIT(IM53,"|"),IF(COLUMNS(_xlpm.nd)&gt;1,A53&amp;"¦"&amp;INDEX(_xlpm.nd,1)&amp;"¦"&amp;INDEX(_xlpm.nd,2),"")))</f>
        <v>ЩС¦QF5¦XT5</v>
      </c>
      <c r="IO53" t="str">
        <f t="shared" si="254"/>
        <v>ПУ.0.05.1¦Вентилятор насосной (шина «Насосная» — Одиночная)</v>
      </c>
      <c r="IP53" t="str" cm="1">
        <f t="array" ref="IP53">IF(IM53="","",_xlfn.LET(_xlpm.nd,_xlfn.TEXTSPLIT(IM53,"|"),IF(COLUMNS(_xlpm.nd)&gt;2,A53&amp;"¦"&amp;INDEX(_xlpm.nd,2)&amp;"¦"&amp;INDEX(_xlpm.nd,3),"")))</f>
        <v>ЩС¦XT5¦кабель ВВГнг(А)-LS (3х1,5) → Вентилятор насосной (шина «Насосная» — Одиночная)</v>
      </c>
      <c r="IQ53" t="str">
        <f t="shared" si="255"/>
        <v>ПУ.0.05.1¦Вентилятор насосной (шина «Насосная» — Одиночная)</v>
      </c>
      <c r="IR53" t="str" cm="1">
        <f t="array" ref="IR53">IF(IM53="","",_xlfn.LET(_xlpm.nd,_xlfn.TEXTSPLIT(IM53,"|"),IF(COLUMNS(_xlpm.nd)&gt;3,A53&amp;"¦"&amp;INDEX(_xlpm.nd,3)&amp;"¦"&amp;INDEX(_xlpm.nd,4),"")))</f>
        <v/>
      </c>
      <c r="IS53" t="str">
        <f t="shared" si="256"/>
        <v/>
      </c>
      <c r="IT53" t="str" cm="1">
        <f t="array" ref="IT53">IF(IM53="","",_xlfn.LET(_xlpm.nd,_xlfn.TEXTSPLIT(IM53,"|"),IF(COLUMNS(_xlpm.nd)&gt;4,A53&amp;"¦"&amp;INDEX(_xlpm.nd,4)&amp;"¦"&amp;INDEX(_xlpm.nd,5),"")))</f>
        <v/>
      </c>
      <c r="IU53" t="str">
        <f t="shared" si="257"/>
        <v/>
      </c>
      <c r="IV53" t="str" cm="1">
        <f t="array" ref="IV53">IF(IM53="","",_xlfn.LET(_xlpm.nd,_xlfn.TEXTSPLIT(IM53,"|"),IF(COLUMNS(_xlpm.nd)&gt;5,A53&amp;"¦"&amp;INDEX(_xlpm.nd,5)&amp;"¦"&amp;INDEX(_xlpm.nd,6),"")))</f>
        <v/>
      </c>
      <c r="IW53" t="str">
        <f t="shared" si="258"/>
        <v/>
      </c>
      <c r="IX53" t="str" cm="1">
        <f t="array" ref="IX53">IF(IM53="","",_xlfn.LET(_xlpm.nd,_xlfn.TEXTSPLIT(IM53,"|"),IF(COLUMNS(_xlpm.nd)&gt;6,A53&amp;"¦"&amp;INDEX(_xlpm.nd,6)&amp;"¦"&amp;INDEX(_xlpm.nd,7),"")))</f>
        <v/>
      </c>
      <c r="IY53" t="str">
        <f t="shared" si="259"/>
        <v/>
      </c>
      <c r="IZ53" t="str">
        <f t="shared" si="260"/>
        <v/>
      </c>
      <c r="JA53" t="str">
        <f t="shared" si="261"/>
        <v>QF5 → XT5</v>
      </c>
      <c r="JB53">
        <f t="shared" si="262"/>
        <v>1</v>
      </c>
      <c r="JC53">
        <f t="shared" si="263"/>
        <v>0</v>
      </c>
      <c r="JD53" t="str">
        <f t="shared" si="264"/>
        <v/>
      </c>
      <c r="JE53" t="str">
        <f t="shared" si="265"/>
        <v/>
      </c>
      <c r="JF53" t="str">
        <f t="shared" si="266"/>
        <v/>
      </c>
      <c r="JG53" t="str">
        <f t="shared" si="267"/>
        <v/>
      </c>
      <c r="JH53" t="str">
        <f>IF(B53="","",IFERROR(_xlfn.XLOOKUP(B53,Коды_код,Коды_уго),IFERROR(_xlfn.XLOOKUP(BC53,Коды_код,Коды_уго),IFERROR(_xlfn.XLOOKUP(LEFT(BC53,2),Коды_код,Коды_уго),""))))</f>
        <v>Привод (двигатель)</v>
      </c>
      <c r="JI53" t="str">
        <f>IF(B53="","",IF(OR(JH53="",JH53=0),"BOX",IFERROR(IF(VLOOKUP(JH53,УГО_блоки,3,FALSE)&amp;""&lt;&gt;"",VLOOKUP(JH53,УГО_блоки,3,FALSE),VLOOKUP(JH53,УГО_блоки,2,FALSE)),JH53)))</f>
        <v>MOTOR</v>
      </c>
      <c r="JJ53">
        <f t="shared" si="268"/>
        <v>1</v>
      </c>
      <c r="JK53" t="str">
        <f>IF(DQ53="","",IF(COUNTIF(DQ$3:DQ53,DQ53)=1,MAX(JK$2:JK52)+1,""))</f>
        <v/>
      </c>
      <c r="JL53" t="str">
        <f>IF(DE53="","",IF(COUNTIF(DE$3:DE53,DE53)+COUNTIF(DF$2:DF52,DE53)+COUNTIF(DG$2:DG52,DE53)=1,MAX(JL$2:JN52)+1,""))</f>
        <v/>
      </c>
      <c r="JM53" t="str">
        <f>IF(DF53="","",IF(COUNTIF(DE$3:DE53,DF53)+COUNTIF(DF$3:DF53,DF53)+COUNTIF(DG$2:DG52,DF53)=1,MAX(JL$2:JN52,JL53)+1,""))</f>
        <v/>
      </c>
      <c r="JN53" t="str">
        <f>IF(DG53="","",IF(COUNTIF(DE$3:DE53,DG53)+COUNTIF(DF$3:DF53,DG53)+COUNTIF(DG$3:DG53,DG53)=1,MAX(JL$2:JN52,JL53,JM53)+1,""))</f>
        <v/>
      </c>
      <c r="JO53" t="str">
        <f t="shared" si="269"/>
        <v>3х1,5</v>
      </c>
      <c r="JP53" t="str">
        <f>IF(JO53="","",IF(COUNTIF(JO$3:JO53,JO53)=1,MAX(JP$2:JP52)+1,""))</f>
        <v/>
      </c>
      <c r="JQ53" t="str">
        <f>IF(HG53="","",COUNTIF(HG$3:HG53,"?*"))</f>
        <v/>
      </c>
      <c r="JR53" t="str">
        <f>IF(OR(HG53="",HI53=""),"",IF(COUNTIFS(HG$3:HG53,"?*",HI$3:HI53,HI53)=1,MAX(JR$2:JR52)+1,""))</f>
        <v/>
      </c>
      <c r="JS53">
        <f t="shared" si="270"/>
        <v>0</v>
      </c>
      <c r="JT53">
        <f>IF(B53="","",COUNTIF(B$3:B53,"?*"))</f>
        <v>49</v>
      </c>
      <c r="JU53">
        <f>IF(HL53&lt;&gt;1,0,_xlfn.LET(_xlpm.k,MAX(IFERROR(--_xlfn.XLOOKUP(B53,Коды_код,Коды_3L),0),IFERROR(--_xlfn.XLOOKUP(BC53,Коды_код,Коды_3L),0),IFERROR(--_xlfn.XLOOKUP(LEFT(BC53,2),Коды_код,Коды_3L),0)),IF(_xlpm.k&gt;0,_xlpm.k,IF(IFERROR(--LEFT(SUBSTITUTE(JO53,"x","х"),FIND("х",SUBSTITUTE(JO53,"x","х"))-1),3)&gt;3,Каталог!$S$9,1))))</f>
        <v>1</v>
      </c>
      <c r="JV53">
        <f t="shared" si="271"/>
        <v>0</v>
      </c>
      <c r="JW53" t="str">
        <f t="shared" si="272"/>
        <v>авто</v>
      </c>
      <c r="JX53" t="str">
        <f t="shared" si="273"/>
        <v/>
      </c>
      <c r="JY53">
        <f t="shared" si="274"/>
        <v>0</v>
      </c>
      <c r="JZ53">
        <f t="shared" si="275"/>
        <v>1</v>
      </c>
    </row>
    <row r="54" spans="1:286" x14ac:dyDescent="0.3">
      <c r="A54" t="s">
        <v>949</v>
      </c>
      <c r="B54" t="s">
        <v>1185</v>
      </c>
      <c r="C54" t="str">
        <f>Линии[[#This Row],[_авто наименование]]</f>
        <v>Ввод питающей линии</v>
      </c>
      <c r="E54">
        <f>Линии[[#This Row],[_авто Р]]</f>
        <v>3.4</v>
      </c>
      <c r="G54" t="str">
        <f>Линии[[#This Row],[_авто автомат]]</f>
        <v>3P С10А</v>
      </c>
      <c r="H54" t="str">
        <f>Линии[[#This Row],[_авто управление]]</f>
        <v/>
      </c>
      <c r="I54" t="str">
        <f>Линии[[#This Row],[_авто аппараты]]</f>
        <v/>
      </c>
      <c r="J54">
        <v>2.5</v>
      </c>
      <c r="K54" t="str">
        <f>Линии[[#This Row],[_авто длина по плану]]</f>
        <v/>
      </c>
      <c r="L54" t="str">
        <f>Линии[[#This Row],[_авто фаза]]</f>
        <v>L1,L2,L3</v>
      </c>
      <c r="M54" t="str">
        <f>Линии[[#This Row],[_авто клемма]]</f>
        <v/>
      </c>
      <c r="N54" t="str">
        <f t="shared" si="138"/>
        <v/>
      </c>
      <c r="O54" s="6" cm="1">
        <f t="array" ref="O54">IF(B54="","",IF(BH54&lt;&gt;"",IFERROR(_xlfn.XLOOKUP(BH54,Щиты[Щит],Щиты[Iр, А]),""),IF(BP54=1,IF(OR(N(_xlfn.XLOOKUP(A54,Щиты[Щит],Щиты[Вводов],1))&lt;=1,LOWER(TRIM(_xlfn.XLOOKUP(A54,Щиты[Щит],Щиты[АВР],"")&amp;""))="да"),IFERROR(_xlfn.XLOOKUP(A54,Щиты[Щит],Щиты[Iр, А]),""),IFERROR(N(BS54)*_xlfn.XLOOKUP(A54,Щиты[Щит],Щиты[Кс итог])/(SQRT(3)*Uн_лин*_xlfn.XLOOKUP(A54,Щиты[Щит],Щиты[cos φ])),"")),IF(BV54=1,IFERROR(BS54*1000/BU54,""),IFERROR(_xlfn.IFS(BX54=1,BS54/((Uн_лин/SQRT(3))*CE54),BX54=3,BS54/(SQRT(3)*Uн_лин*CE54)),"")))))</f>
        <v>7.4141743201689332</v>
      </c>
      <c r="P54" s="7" t="str">
        <f>IF(B54="","",IFERROR(IF(VLOOKUP(BC54,Потребители_обозначение,4,FALSE)=1,VLOOKUP(BC54,Потребители_обозначение,3,FALSE)*(MAX(1,N(D54))*2-1)+EI54+VLOOKUP(BE54,Этаж_обозначение,3,FALSE)+VLOOKUP(BE54,Этаж_обозначение,4,FALSE),VLOOKUP(BC54,Потребители_обозначение,3,FALSE)*(MAX(1,N(D54))*2-1)+EI54),EI54))</f>
        <v/>
      </c>
      <c r="Q54" s="6" t="str">
        <f t="shared" si="139"/>
        <v/>
      </c>
      <c r="R54" t="str">
        <f t="shared" si="140"/>
        <v>ВВГнг(А)-LS (5х2,5)</v>
      </c>
      <c r="S54" t="str">
        <f>IF(BM54="","",IF(BN54="вводной узел","узел ","")&amp;"л."&amp;(INT((BM54-1)/Столбцов_на_лист)+1)&amp;" / "&amp;(MOD(BM54-1,Столбцов_на_лист)+1))</f>
        <v>узел л.1 / 1</v>
      </c>
      <c r="T54" s="119" t="str">
        <f t="shared" si="141"/>
        <v/>
      </c>
      <c r="U54" s="7" t="str">
        <f>IF(OR(CG54=0,N(BV54)+N(IB54)=0),"",ROUNDUP(Запас_БП*(N(HY54)+N(HZ54)),0))</f>
        <v/>
      </c>
      <c r="V54" s="119" t="str">
        <f t="shared" si="142"/>
        <v/>
      </c>
      <c r="W54" s="7" t="str">
        <f>IFERROR(IF(OR(B54="",BP54=1,BV54=1,NOT(ISNUMBER(EN54)),N(DT54)=0),"",MAX(0,ROUNDDOWN((c_min*(Uн_лин*1000/SQRT(3))/(HT54*N(DT54))-_xlfn.XLOOKUP(A54,Щиты[Щит],Щиты[Zпетли на шинах, Ом]))*EN54/(2*ρкз_Cu),0))),"")</f>
        <v/>
      </c>
      <c r="Y54" t="str">
        <f>Линии[[#This Row],[_авто утечка]]</f>
        <v/>
      </c>
      <c r="Z54">
        <v>3</v>
      </c>
      <c r="AA54">
        <v>400</v>
      </c>
      <c r="AB54" t="s">
        <v>556</v>
      </c>
      <c r="AJ54" t="s">
        <v>1186</v>
      </c>
      <c r="AK54" t="str">
        <f>Линии[[#This Row],[_авто модуль]]</f>
        <v/>
      </c>
      <c r="AM54">
        <v>1</v>
      </c>
      <c r="AN54" t="s">
        <v>11</v>
      </c>
      <c r="AO54">
        <v>5</v>
      </c>
      <c r="BA54" cm="1">
        <f t="array" ref="BA54">ROW()-ROW(Линии[#Headers])</f>
        <v>52</v>
      </c>
      <c r="BC54" s="6" t="str">
        <f t="shared" si="143"/>
        <v>Ввод</v>
      </c>
      <c r="BD54" t="str">
        <f t="shared" si="144"/>
        <v>1</v>
      </c>
      <c r="BE54" t="str">
        <f t="shared" si="145"/>
        <v>1</v>
      </c>
      <c r="BF54" t="str">
        <f t="shared" si="146"/>
        <v/>
      </c>
      <c r="BG54" t="str">
        <f t="shared" si="147"/>
        <v/>
      </c>
      <c r="BH54" t="str">
        <f>IF(X54&lt;&gt;"",X54,IF(AND(B54&lt;&gt;"",B54&lt;&gt;A54,ISNUMBER(_xlfn.XMATCH(B54,Щиты[Щит]))),B54,""))</f>
        <v/>
      </c>
      <c r="BI54" t="str" cm="1">
        <f t="array" ref="BI54">IF(B54="","",IF(BH54&lt;&gt;"","Щит "&amp;BH54,_xlfn.LET(_xlpm.nm,IFERROR(_xlfn.XLOOKUP(BC54,Коды_код,Коды_имя)&amp;"",""),_xlpm.md,IFERROR(N(_xlfn.XLOOKUP(BC54,Коды_код,Коды_режим)),1),_xlpm.ex,IF(Имя_режим="по экспликации",IFERROR(_xlfn.XLOOKUP(BE54&amp;"|"&amp;BG54,Экспликация[Этаж]&amp;"|"&amp;Экспликация[Помещение],Экспликация[Название])&amp;"",""),""),_xlpm.rm,IF(BG54="","",IF(_xlpm.ex&lt;&gt;"",". "&amp;_xlpm.ex&amp;IF(Имя_пом="нет"," ("&amp;BG54&amp;")"," (пом. "&amp;BG54&amp;")"),IF(Имя_пом="нет"," ",", пом. ")&amp;BG54)),IF(_xlpm.nm="","",IF(_xlpm.md=2,_xlpm.nm&amp;" шлейф "&amp;BE54,_xlpm.nm&amp;_xlpm.rm)))))</f>
        <v>Ввод питающей линии</v>
      </c>
      <c r="BJ54" t="str">
        <f t="shared" si="148"/>
        <v>Ввод питающей линии</v>
      </c>
      <c r="BK54">
        <f>IFERROR(_xlfn.XMATCH(A54,Щиты[Щит]),0)</f>
        <v>6</v>
      </c>
      <c r="BL54">
        <f>_xlfn.LET(_xlpm.k,IFERROR(_xlfn.XLOOKUP(A54,Щиты[Щит],Щиты[Мест под вводной узел]),""),IF(_xlpm.k="",Столбцов_на_лист,N(_xlpm.k)))</f>
        <v>3</v>
      </c>
      <c r="BM54">
        <f t="shared" si="149"/>
        <v>1</v>
      </c>
      <c r="BN54" t="str">
        <f t="shared" si="150"/>
        <v>вводной узел</v>
      </c>
      <c r="BO54" s="6">
        <f>IFERROR(N(_xlfn.XLOOKUP(BC54,Коды_код,Коды_квт)),0)</f>
        <v>0</v>
      </c>
      <c r="BP54">
        <f t="shared" si="151"/>
        <v>1</v>
      </c>
      <c r="BQ54">
        <f>IF(B54="","",IF(BH54&lt;&gt;"",IFERROR(_xlfn.XLOOKUP(BH54,Щиты[Щит],Щиты[Руст, кВт]),0),IF(BP54=1,IF(OR(N(_xlfn.XLOOKUP(A54,Щиты[Щит],Щиты[Вводов],1))&lt;=1,LOWER(TRIM(_xlfn.XLOOKUP(A54,Щиты[Щит],Щиты[АВР],"")&amp;""))="да"),IFERROR(_xlfn.XLOOKUP(A54,Щиты[Щит],Щиты[Руст, кВт]),0),SUMIFS(Линии[_Р для вводов],Линии[Щит],A54,Линии[Источник для режимов],GF54)),IF(BO54&gt;0,ROUND(BO54*MAX(1,N(D54)),3),""))))</f>
        <v>3.4</v>
      </c>
      <c r="BR54">
        <f t="shared" si="152"/>
        <v>3.4</v>
      </c>
      <c r="BS54" s="6">
        <f>IF(B54="","",IF(BH54&lt;&gt;"",IFERROR(_xlfn.XLOOKUP(BH54,Щиты[Щит],Щиты[Руст, кВт]),0),N(BR54)))</f>
        <v>3.4</v>
      </c>
      <c r="BT54" t="str">
        <f>IF(B54="","",IFERROR(IF(VLOOKUP(BC54,Потребители_обозначение,8,FALSE)=0,"",VLOOKUP(BC54,Потребители_обозначение,8,FALSE)),""))</f>
        <v/>
      </c>
      <c r="BU54">
        <f t="shared" si="153"/>
        <v>400</v>
      </c>
      <c r="BV54">
        <f t="shared" si="154"/>
        <v>0</v>
      </c>
      <c r="BW54">
        <f>IF(B54="","",IF(BH54&lt;&gt;"",3,IFERROR(IF(N(VLOOKUP(BC54,Потребители_обозначение,9,FALSE))=0,1,VLOOKUP(BC54,Потребители_обозначение,9,FALSE)),1)))</f>
        <v>1</v>
      </c>
      <c r="BX54">
        <f t="shared" si="155"/>
        <v>3</v>
      </c>
      <c r="BY54" t="str">
        <f>IF(B54="","",_xlfn.LET(_xlpm.bc,IFERROR(IF(VLOOKUP(BC54,Потребители_обозначение,6,FALSE)=0,"",VLOOKUP(BC54,Потребители_обозначение,6,FALSE)&amp;""),""),IF(AND(GA54="да",OR(_xlpm.bc="",_xlpm.bc="мс")),Марка_пож,IF(AND(_xlpm.bc="",BH54&lt;&gt;""),"мс",_xlpm.bc))))</f>
        <v/>
      </c>
      <c r="BZ54" t="str">
        <f t="shared" si="156"/>
        <v>мс</v>
      </c>
      <c r="CA54">
        <f>IF(B54="","",_xlfn.LET(_xlpm.cc,IFERROR(N(VLOOKUP(BC54,Потребители_обозначение,7,FALSE)),0),IF(_xlpm.cc&gt;0,_xlpm.cc,IF(BZ54="","",IF(BV54=1,2,IF(N(BX54)=3,5,3))))))</f>
        <v>5</v>
      </c>
      <c r="CB54">
        <f t="shared" si="157"/>
        <v>5</v>
      </c>
      <c r="CC54">
        <f>IFERROR(N(VLOOKUP(BC54,Потребители_обозначение,10,FALSE)),0)</f>
        <v>0</v>
      </c>
      <c r="CD54">
        <f>IFERROR(VLOOKUP(BC54,Потребители_обозначение,5,FALSE),0)</f>
        <v>1</v>
      </c>
      <c r="CE54" s="6" cm="1">
        <f t="array" ref="CE54">IF(B54="","",IF(BH54&lt;&gt;"",IFERROR(_xlfn.XLOOKUP(BH54,Щиты[Щит],Щиты[cos φ]),0.95),IF(BP54=1,IFERROR(_xlfn.XLOOKUP(A54,Щиты[Щит],Щиты[cos φ]),0.95),IF(ISNUMBER(AD54),AD54,IFERROR(IF(CD54=2,_xlfn.IFS(BX54=3,VLOOKUP(BS54,Справочная_двигатели,8,FALSE),BX54=1,VLOOKUP(BS54,Справочная_двигатели,10,TRUE)),IF(AND(Методика="нормы 2026",FG54="Сил"),0.8,0.95)),0.95)))))</f>
        <v>0.8176470588235295</v>
      </c>
      <c r="CF54">
        <f t="shared" si="158"/>
        <v>0</v>
      </c>
      <c r="CG54">
        <f t="shared" si="159"/>
        <v>1</v>
      </c>
      <c r="CH54">
        <f t="shared" si="160"/>
        <v>0</v>
      </c>
      <c r="CI54">
        <f>IF(B54="","",IF(BV54=1,IFERROR(BS54/((Uн_лин/SQRT(3))*MAX(0.5,N(CE54))),0),N(O54)))</f>
        <v>7.4141743201689332</v>
      </c>
      <c r="CJ54">
        <f t="shared" si="161"/>
        <v>0</v>
      </c>
      <c r="CK54">
        <f t="shared" si="162"/>
        <v>0</v>
      </c>
      <c r="CL54">
        <f t="shared" si="163"/>
        <v>0</v>
      </c>
      <c r="CM54">
        <f t="shared" si="164"/>
        <v>0</v>
      </c>
      <c r="CN54">
        <f t="shared" si="165"/>
        <v>0</v>
      </c>
      <c r="CO54">
        <f>IF(BC54="",0,_xlfn.LET(_xlpm.v,IFERROR(_xlfn.XLOOKUP(B54,Коды_код,Коды_мА),IFERROR(_xlfn.XLOOKUP(BC54,Коды_код,Коды_мА),IFERROR(_xlfn.XLOOKUP(LEFT(BC54,2),Коды_код,Коды_мА),""))),IF(_xlpm.v="да",30,IF(ISNUMBER(_xlpm.v),_xlpm.v,0))))</f>
        <v>0</v>
      </c>
      <c r="CP54" t="str">
        <f t="shared" si="166"/>
        <v/>
      </c>
      <c r="CQ54" t="str">
        <f>_xlfn.LET(_xlpm.k,IFERROR(_xlfn.XLOOKUP(BC54,Коды_код,Коды_утечка)&amp;"",""),IF(_xlpm.k="","дифавтомат",_xlpm.k))</f>
        <v>дифавтомат</v>
      </c>
      <c r="CR54" t="str" cm="1">
        <f t="array" ref="CR54">IF(CG54=0,"",_xlfn.LET(_xlpm.sg,TRIM(_xlfn.TEXTSPLIT(DD54&amp;"",";")),_xlpm.f_,_xlfn._xlws.FILTER(_xlpm.sg,LEFT(_xlpm.sg,3)="УЗО",""),IFERROR(INDEX(_xlpm.f_,1)&amp;"","")))</f>
        <v/>
      </c>
      <c r="CS54" t="str">
        <f t="shared" si="167"/>
        <v/>
      </c>
      <c r="CT54" s="6" t="str" cm="1">
        <f t="array" ref="CT54">IF(CR54="","",_xlfn.LET(_xlpm.tk,_xlfn.TEXTSPLIT(UPPER(CR54)," ",,TRUE),_xlpm.a_,_xlfn._xlws.FILTER(_xlpm.tk,ISNUMBER(--LEFT(_xlpm.tk,1))*((ISNUMBER(SEARCH("А",_xlpm.tk))+ISNUMBER(SEARCH("A",_xlpm.tk)))&gt;0)*NOT(ISNUMBER(SEARCH("МА",_xlpm.tk)))*NOT(ISNUMBER(SEARCH("MA",_xlpm.tk))),""),IFERROR(--SUBSTITUTE(SUBSTITUTE(INDEX(_xlpm.a_,1),"А",""),"A",""),"")))</f>
        <v/>
      </c>
      <c r="CU54" t="str" cm="1">
        <f t="array" ref="CU54">IF(CR54="","",_xlfn.LET(_xlpm.tk,_xlfn.TEXTSPLIT(UPPER(CR54)," ",,TRUE),_xlpm.a_,_xlfn._xlws.FILTER(_xlpm.tk,ISNUMBER(--LEFT(_xlpm.tk,1))*((ISNUMBER(SEARCH("МА",_xlpm.tk))+ISNUMBER(SEARCH("MA",_xlpm.tk)))&gt;0),""),IFERROR(--SUBSTITUTE(SUBSTITUTE(INDEX(_xlpm.a_,1),"МА",""),"MA",""),30)))</f>
        <v/>
      </c>
      <c r="CV54" t="str">
        <f>IF(CS54="","",IFERROR(_xlfn.XLOOKUP(CS54,Линии[_n],Линии[_УЗО, мА]),30))</f>
        <v/>
      </c>
      <c r="CW54">
        <f>IF(CS54="",0,IF(ISNUMBER(SEARCH("4P",IFERROR(_xlfn.XLOOKUP(CS54,Линии[_n],Линии[_УЗО строки])&amp;"",""))),0,1))</f>
        <v>0</v>
      </c>
      <c r="CX54" t="str">
        <f>IF(AND(CS54&lt;&gt;"",CS54=BA54),SUMIFS(Линии[_ток на 230 В],Линии[_блок УЗО],BA54,Линии[Щит],A54),"")</f>
        <v/>
      </c>
      <c r="CY54" t="str">
        <f>IF(AND(CS54&lt;&gt;"",CS54=BA54),SUMIFS(Линии[_ток утечки линии, мА],Линии[_блок УЗО],BA54,Линии[Щит],A54),"")</f>
        <v/>
      </c>
      <c r="CZ54">
        <f t="shared" si="168"/>
        <v>0</v>
      </c>
      <c r="DA54">
        <f t="shared" si="169"/>
        <v>0</v>
      </c>
      <c r="DB54">
        <f>IF(B54="",0,IFERROR(--_xlfn.XLOOKUP(B54,Коды_код,Коды_минавт),IFERROR(--_xlfn.XLOOKUP(BC54,Коды_код,Коды_минавт),IFERROR(--_xlfn.XLOOKUP(LEFT(BC54,2),Коды_код,Коды_минавт),0))))</f>
        <v>0</v>
      </c>
      <c r="DC54" t="str">
        <f>IF(B54="","",IFERROR(_xlfn.XLOOKUP(BC54,Коды_код,Коды_апп)&amp;"",""))</f>
        <v/>
      </c>
      <c r="DD54" t="str">
        <f t="shared" si="170"/>
        <v/>
      </c>
      <c r="DE54" t="str" cm="1">
        <f t="array" ref="DE54">IF(TRIM(DD54&amp;"")="","",IFERROR(TRIM(INDEX(_xlfn.TEXTSPLIT(DD54&amp;";;;",";"),1)),""))</f>
        <v/>
      </c>
      <c r="DF54" t="str" cm="1">
        <f t="array" ref="DF54">IF(TRIM(DD54&amp;"")="","",IFERROR(TRIM(INDEX(_xlfn.TEXTSPLIT(DD54&amp;";;;",";"),2)),""))</f>
        <v/>
      </c>
      <c r="DG54" t="str" cm="1">
        <f t="array" ref="DG54">IF(TRIM(DD54&amp;"")="","",IFERROR(TRIM(INDEX(_xlfn.TEXTSPLIT(DD54&amp;";;;",";"),3)),""))</f>
        <v/>
      </c>
      <c r="DH54">
        <f t="shared" si="171"/>
        <v>0</v>
      </c>
      <c r="DI54" t="str">
        <f>IF(B54="","",_xlfn.LET(_xlpm.t,LOWER(AZ54&amp;""),IF(ISNUMBER(SEARCH("dim",_xlpm.t)),"DIM",IF(ISNUMBER(SEARCH("dali",_xlpm.t)),"DALI",IF(OR(ISNUMBER(SEARCH("relay",_xlpm.t)),ISNUMBER(SEARCH("реле",_xlpm.t))),"Relay",IF(ISNUMBER(SEARCH("кнопк",_xlpm.t)),"",IFERROR(_xlfn.XLOOKUP(BC54,Коды_код,Коды_упр)&amp;"","")))))))</f>
        <v/>
      </c>
      <c r="DJ54" t="str">
        <f t="shared" si="172"/>
        <v/>
      </c>
      <c r="DK54">
        <f>IF(B54="","",_xlfn.LET(_xlpm.ig,IF(N(CX54)&gt;0,N(CX54),N(CI54)+IF(AJ54="вручную",0,N(CJ54))),_xlpm.n0,IFERROR(VLOOKUP(_xlpm.ig,Автомат_номиналы,2,TRUE),0),_xlpm.mn,MAX(DB54,IF(AJ54="вручную",0,N(CM54))),MAX(_xlpm.n0,_xlpm.mn,IF(DH54=1,Мин_автомат_БП,0))))</f>
        <v>10</v>
      </c>
      <c r="DL54">
        <f t="shared" si="173"/>
        <v>3</v>
      </c>
      <c r="DM54" t="str">
        <f t="shared" si="174"/>
        <v>3P</v>
      </c>
      <c r="DN54" t="str">
        <f>_xlfn.LET(_xlpm.cc,UPPER(TRIM(IFERROR(_xlfn.XLOOKUP(BC54,Коды_код,Коды_хар)&amp;"",""))),IF(OR(_xlpm.cc="B",_xlpm.cc="В"),"B",IF(_xlpm.cc="D","D","С")))</f>
        <v>С</v>
      </c>
      <c r="DO54" t="str">
        <f t="shared" si="175"/>
        <v>3P С10А</v>
      </c>
      <c r="DP54" t="str">
        <f t="shared" si="176"/>
        <v>3P С10А</v>
      </c>
      <c r="DQ54" t="str">
        <f t="shared" si="177"/>
        <v>3P С10А</v>
      </c>
      <c r="DR54" cm="1">
        <f t="array" ref="DR54">IF(DQ54="","",_xlfn.LET(_xlpm.t,SUBSTITUTE(SUBSTITUTE(SUBSTITUTE(UPPER(DQ54),"С","C"),"А","A"),"В","B"),_xlpm.tk,_xlfn.TEXTSPLIT(_xlpm.t," "),_xlpm.f,_xlfn._xlws.FILTER(_xlpm.tk,ISNUMBER(--MID(_xlpm.tk,2,1))*ISNUMBER(SEARCH(LEFT(_xlpm.tk,1)&amp;"#","B#C#D#"))*(LEN(_xlpm.tk)&gt;1),""),_xlpm.x,INDEX(_xlpm.f,1),IFERROR(--SUBSTITUTE(MID(_xlpm.x,2,9),"A",""),IFERROR(--SUBSTITUTE(INDEX(_xlfn._xlws.FILTER(_xlpm.tk,ISNUMBER(--SUBSTITUTE(_xlpm.tk,"A","")),""),1),"A",""),""))))</f>
        <v>10</v>
      </c>
      <c r="DS54" t="str">
        <f t="shared" si="178"/>
        <v>узел</v>
      </c>
      <c r="DT54">
        <f t="shared" si="179"/>
        <v>10</v>
      </c>
      <c r="DU54" t="str">
        <f t="shared" si="180"/>
        <v>3P С10А</v>
      </c>
      <c r="DV54">
        <f t="shared" si="181"/>
        <v>0</v>
      </c>
      <c r="DW54">
        <f t="shared" si="182"/>
        <v>0</v>
      </c>
      <c r="DX54">
        <f t="shared" si="183"/>
        <v>0</v>
      </c>
      <c r="DY54">
        <f t="shared" si="184"/>
        <v>7.4141743201689332</v>
      </c>
      <c r="DZ54">
        <f t="shared" si="185"/>
        <v>0.92</v>
      </c>
      <c r="EA54">
        <f>IF(ISNUMBER(AP54),AP54,К_прокл)</f>
        <v>1</v>
      </c>
      <c r="EB54">
        <f t="shared" si="186"/>
        <v>3</v>
      </c>
      <c r="EC54">
        <f>IFERROR(N(VLOOKUP(BZ54,Кабель_обозначение,3,FALSE)),1)</f>
        <v>1</v>
      </c>
      <c r="ED54">
        <f>IFERROR(N(_xlfn.XLOOKUP(A54,Щиты[Щит],Щиты[ΔU до шин, %])),0)</f>
        <v>1.3160288498727977</v>
      </c>
      <c r="EE54">
        <f>IFERROR(_xlfn.XLOOKUP(A54,Щиты[Щит],Щиты[Zпетли на шинах, Ом]),"")</f>
        <v>0.57177829354840215</v>
      </c>
      <c r="EF54">
        <f>IFERROR(N(_xlfn.XLOOKUP(A54,Щиты[Щит],Щиты[ΔU до шин (подбор), %])),0)</f>
        <v>1.3160288498727977</v>
      </c>
      <c r="EG54">
        <f>IFERROR(_xlfn.XLOOKUP(A54,Щиты[Щит],Щиты[Zпетли на шинах (подбор), Ом]),"")</f>
        <v>0.57177829354840215</v>
      </c>
      <c r="EH54" t="str">
        <f t="shared" si="187"/>
        <v/>
      </c>
      <c r="EI54" t="str">
        <f t="shared" si="188"/>
        <v/>
      </c>
      <c r="EJ54">
        <f t="shared" si="189"/>
        <v>1</v>
      </c>
      <c r="EK54">
        <f t="shared" si="190"/>
        <v>0.57999999999999996</v>
      </c>
      <c r="EL54" s="6">
        <f>IF(B54="","",IF(BV54=1,dU_LED,IF(IFERROR(_xlfn.XLOOKUP(BC54,Коды_код,Коды_уго),"")="Светильник",3,4)+IF(Методика="нормы 2026",MIN(0.5,MAX(0,N(P54)-100)*0.005),0)))</f>
        <v>4</v>
      </c>
      <c r="EM54" cm="1">
        <f t="array" ref="EM54">IF(OR(B54="",BZ54="",EC54&lt;&gt;1),"",_xlfn.LET(_xlpm.sz,Iдоп_S,_xlpm.t_,CHOOSE(EB54,Iдоп_1ж,Iдоп_2ж,Iдоп_3ж)*DZ54*EA54,_xlpm.dcx,BV54=1,_xlpm.inn,IF(_xlpm.dcx,N(O54),N(DT54)),_xlpm.smin,MAX(1.5,CC54),_xlpm.L_,N(P54),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54)/N(BU54)*100,999),IFERROR(N(EJ54)*(_xlpm.rho*_xlpm.L_/_xlpm.sz*N(CE54)+_xlpm.xx*_xlpm.L_*N(EK54)/1000)*N(O54)/((Uн_лин/SQRT(3))*1000)*100,999)),_xlpm.kz,IF(OR(_xlpm.dcx,DW54=1,NOT(ISNUMBER(EG54)),_xlpm.L_=0,_xlpm.inn=0),1,IFERROR(--(c_min*(Uн_лин*1000/SQRT(3))/(EG54+2*ρкз_Cu*_xlpm.L_/_xlpm.sz)&gt;=HT54*_xlpm.inn),0)),_xlpm.ok,IFERROR((_xlpm.sz&gt;=_xlpm.smin)*(_xlpm.t_&gt;=_xlpm.inn)*IF(_xlpm.L_&gt;0,(_xlpm.du_+IF(_xlpm.dcx,0,EF54)&lt;=EL54+0.00001),1)*_xlpm.kz,0),_xlpm.r_,_xlfn._xlws.FILTER(_xlpm.sz,_xlpm.ok,"не подобрано"),INDEX(_xlpm.r_,1)))</f>
        <v>1.5</v>
      </c>
      <c r="EN54">
        <f t="shared" si="191"/>
        <v>2.5</v>
      </c>
      <c r="EO54" cm="1">
        <f t="array" ref="EO54">IF(OR(B54="",BZ54="",EC54&lt;&gt;1),"",_xlfn.LET(_xlpm.sz,Iдоп_S,_xlpm.t_,CHOOSE(EB54,Iдоп_1ж,Iдоп_2ж,Iдоп_3ж)*DZ54*EA54,_xlpm.ok,IFERROR((_xlpm.sz&gt;=MAX(1.5,CC54))*(_xlpm.t_&gt;=N(DT54)),0),_xlpm.r_,_xlfn._xlws.FILTER(_xlpm.sz,_xlpm.ok,""),INDEX(_xlpm.r_,1)))</f>
        <v>1.5</v>
      </c>
      <c r="EP54" s="6" cm="1">
        <f t="array" ref="EP54">IFERROR(ROUNDUP(N(EJ54)*(_xlfn.XLOOKUP(EO54,INDEX(Кабель_сопротивление,0,1),INDEX(Кабель_сопротивление,0,3))*N(P54)/EO54*N(CE54)+_xlfn.XLOOKUP(EO54,INDEX(Кабель_сопротивление,0,1),INDEX(Кабель_сопротивление,0,2))*N(P54)*N(EK54)/1000)*N(O54)/((Uн_лин/SQRT(3))*1000)*100,2),"")</f>
        <v>0</v>
      </c>
      <c r="EQ54">
        <f>IFERROR(2*ρкз_Cu*N(P54)/EO54,"")</f>
        <v>0</v>
      </c>
      <c r="ER54">
        <f>IFERROR(VLOOKUP(EN54,Кабель_сопротивление,3,FALSE),"")</f>
        <v>2.2499999999999999E-2</v>
      </c>
      <c r="ES54">
        <f>IFERROR(VLOOKUP(EN54,Кабель_сопротивление,2,FALSE),"")</f>
        <v>0.1</v>
      </c>
      <c r="ET54" t="str">
        <f t="shared" si="192"/>
        <v/>
      </c>
      <c r="EU54" t="str">
        <f t="shared" si="193"/>
        <v/>
      </c>
      <c r="EV54" t="str">
        <f t="shared" si="194"/>
        <v/>
      </c>
      <c r="EW54" s="6" t="str">
        <f>IFERROR(ROUNDUP(EV54/IF(BV54=1,BU54,(Uн_лин/SQRT(3))*1000)*100,2),"")</f>
        <v/>
      </c>
      <c r="EX54" t="str">
        <f>IFERROR(VLOOKUP(BZ54,Кабель_обозначение,2,FALSE),"")</f>
        <v>ВВГнг(А)-LS</v>
      </c>
      <c r="EY54" t="str">
        <f t="shared" si="195"/>
        <v>ВВГнг(А)-LS (5х2,5)</v>
      </c>
      <c r="EZ54" t="str">
        <f t="shared" si="196"/>
        <v>ВВГнг(А)-LS (5х2,5)</v>
      </c>
      <c r="FA54" t="str">
        <f>IFERROR(2*ρкз_Cu*P54/EN54,"")</f>
        <v/>
      </c>
      <c r="FB54">
        <f t="shared" si="197"/>
        <v>0</v>
      </c>
      <c r="FC54" s="6" t="str">
        <f>IFERROR(IF(OR(B54="",BV54=1,NOT(ISNUMBER(EN54)),N(P54)=0),"",_xlfn.XLOOKUP(A54,Щиты[Щит],Щиты[Zпетли на шинах, Ом])+FA54),"")</f>
        <v/>
      </c>
      <c r="FD54" s="6" t="str">
        <f>IF(ISNUMBER(FC54),c_min*(Uн_лин*1000/SQRT(3))/FC54,"")</f>
        <v/>
      </c>
      <c r="FE54" s="6">
        <f>IFERROR(IF(OR(B54="",NOT(ISNUMBER(EN54))),"",1.05*(Uн_лин*1000/SQRT(3))/(_xlfn.XLOOKUP(A54,Щиты[Щит],Щиты[Zmax на шинах, Ом])+FB54)/1000),"")</f>
        <v>1.3370225286125974</v>
      </c>
      <c r="FF54" s="6" t="str">
        <f>IF(B54="","",IF(ISNUMBER(AC54),"Сил",IF(IFERROR(_xlfn.XLOOKUP(BC54,Коды_код,Коды_группа)&amp;"","")="","Быт",_xlfn.XLOOKUP(BC54,Коды_код,Коды_группа)&amp;"")))</f>
        <v>Нет</v>
      </c>
      <c r="FG54" s="6" t="str">
        <f t="shared" si="198"/>
        <v>Нет</v>
      </c>
      <c r="FH54" s="6">
        <f>IF(FG54="Щит","щит",IF(FG54="","",IF(FG54="Быт",IFERROR(_xlfn.XLOOKUP(A54,Щиты[Щит],Щиты[Кс быт]),1),IF(FG54="Сил",IF(ISNUMBER(AC54),AC54,IF(Методика="нормы 2026",IFERROR(_xlfn.XLOOKUP(A54,Щиты[Щит],Щиты[Кс силовых (табл. 7.5)]),1),1)),IF(OR(FG54="Пост",FG54="Отоп"),1,IF(FG54="ВНГ",0.7,0))))))</f>
        <v>0</v>
      </c>
      <c r="FI54">
        <f>IF(FG54="","",IF(AND(BP54=1,TRIM(AE54&amp;"")=""),IF(COUNTIFS(Линии[Щит],A54,Линии[Секция (1/2/3)],"&gt;=2")&gt;0,MIN(3,MAX(1,IFERROR(--BD54,1))),1),IFERROR(MIN(3,MAX(1,INT(--AE54))),1)))</f>
        <v>1</v>
      </c>
      <c r="FJ54">
        <f t="shared" si="199"/>
        <v>0</v>
      </c>
      <c r="FK54">
        <f t="shared" si="200"/>
        <v>0</v>
      </c>
      <c r="FL54">
        <f t="shared" si="201"/>
        <v>0</v>
      </c>
      <c r="FM54">
        <f t="shared" si="202"/>
        <v>0</v>
      </c>
      <c r="FN54">
        <f t="shared" si="203"/>
        <v>0</v>
      </c>
      <c r="FO54">
        <f t="shared" si="204"/>
        <v>0</v>
      </c>
      <c r="FP54">
        <f t="shared" si="205"/>
        <v>0</v>
      </c>
      <c r="FQ54">
        <f t="shared" si="206"/>
        <v>0</v>
      </c>
      <c r="FR54">
        <f t="shared" si="207"/>
        <v>0</v>
      </c>
      <c r="FS54">
        <f>IF(CG54=1,IF(AND(CH54=1,CW54=1),0,IF(AND(CS54&lt;&gt;"",CS54=BA54,CW54=1),SUMIFS(Линии[_Р линии, кВт],Линии[_блок УЗО],BA54,Линии[Щит],A54),N(BS54)+IF(AJ54="вручную",0,N(CK54)))),0)</f>
        <v>3.4</v>
      </c>
      <c r="FT54" t="str">
        <f t="shared" si="208"/>
        <v/>
      </c>
      <c r="FU54" t="str">
        <f>IF(B54="","",IF(CG54=0,IF(BA54=1,"",FW53),IF(AND(CH54=1,CW54=1,CS54&lt;&gt;""),IFERROR(_xlfn.XLOOKUP(CS54,Линии[_n],Линии[_фаза итог]),"L1"),IF(OR(N(DL54)&gt;=3,N(BX54)&gt;=3),"L1,L2,L3",IFERROR(_xlfn.TEXTBEFORE(_xlfn.TEXTAFTER(_xlfn.XLOOKUP(A54,Щиты[Щит],Щиты[_фазы авто]),";"&amp;BA54&amp;":"),";"),"L1")))))</f>
        <v>L1,L2,L3</v>
      </c>
      <c r="FV54" t="str">
        <f t="shared" si="209"/>
        <v>L1,L2,L3</v>
      </c>
      <c r="FW54" t="str">
        <f t="shared" si="210"/>
        <v>L1,L2,L3</v>
      </c>
      <c r="FX54" cm="1">
        <f t="array" ref="FX54">IFERROR(IF(CD54=2,_xlfn.IFS(BX54=3,VLOOKUP(BS54,Справочная_двигатели,3,FALSE),BX54=1,VLOOKUP(BS54,Справочная_двигатели,5,TRUE)),0),0)</f>
        <v>0</v>
      </c>
      <c r="FY54">
        <f>IFERROR(IF(CD54=3,VLOOKUP(BS54,Справочная_ЛЭД,2,TRUE),0),0)</f>
        <v>0</v>
      </c>
      <c r="FZ54" s="6">
        <f t="shared" si="211"/>
        <v>0</v>
      </c>
      <c r="GA54" t="str">
        <f>IF(B54="","",IF(TRIM(AH54&amp;"")&lt;&gt;"",IF(LOWER(TRIM(AH54&amp;""))="да","да","нет"),IF(IFERROR(_xlfn.XLOOKUP(BC54,Коды_код,Коды_пожарная),"")="да","да","нет")))</f>
        <v>нет</v>
      </c>
      <c r="GB54" t="str">
        <f t="shared" si="212"/>
        <v/>
      </c>
      <c r="GC54" t="str">
        <f t="shared" si="213"/>
        <v>основная</v>
      </c>
      <c r="GD54">
        <f>IF(AND(BP54=1,TRIM(AE54&amp;"")=""),IF(COUNTIFS(Линии[Щит],A54,Линии[Секция (1/2/3)],"&gt;=2")&gt;0,MIN(3,MAX(1,IFERROR(--BD54,1))),1),IFERROR(MIN(3,MAX(1,INT(--AE54))),1))</f>
        <v>1</v>
      </c>
      <c r="GE54" t="str" cm="1">
        <f t="array" ref="GE54">IF(B54="","",_xlfn.LET(_xlpm.t,IFERROR(_xlfn.XLOOKUP(1,(Шины[Шина]=GC54)*(((Шины[Щит]=A54)+(Шины[Щит]=""))&gt;0),Шины[Тип]),"")&amp;"",IF(_xlpm.t&lt;&gt;"",_xlpm.t,IF(ISNUMBER(SEARCH("ИБП",GC54)),"ИБП",IF(ISNUMBER(SEARCH("ДГУ",GC54)),"ДГУ","Ввод "&amp;GD54)))))</f>
        <v>Ввод 1</v>
      </c>
      <c r="GF54" t="str">
        <f t="shared" si="214"/>
        <v>Ввод 1</v>
      </c>
      <c r="GG54" t="str">
        <f>IF(BP54=0,"",IF(TRIM(AG54&amp;"")&lt;&gt;"",TRIM(AG54&amp;""),IF(OR(GE54="ИБП",GE54="ДГУ"),"I особая",_xlfn.XLOOKUP(A54,Щиты[Щит],Щиты[Категория шины «Ввод»],"III"))))</f>
        <v>I</v>
      </c>
      <c r="GH54" t="str">
        <f>IF(A54="","",_xlfn.XLOOKUP(A54,Щиты[Щит],Щиты[Путь],""))</f>
        <v>|ВРУ|ЩСПЗ|</v>
      </c>
      <c r="GI54" t="str">
        <f>IF(B54="","",IF(AI54&lt;&gt;"",AI54,IF(IFERROR(_xlfn.XLOOKUP(BC54,Коды_код,Коды_вид)&amp;"","")="","Прочее",_xlfn.XLOOKUP(BC54,Коды_код,Коды_вид)&amp;"")))</f>
        <v>Прочее</v>
      </c>
      <c r="GJ54">
        <f>IF(BM54="","",INT((BM54-1)/Столбцов_на_лист)+1)</f>
        <v>1</v>
      </c>
      <c r="GK54" t="str">
        <f t="shared" si="215"/>
        <v>ВВГнг(А)-LS (5х2,5)</v>
      </c>
      <c r="GL54">
        <f t="shared" si="216"/>
        <v>3.4</v>
      </c>
      <c r="GM54">
        <f t="shared" si="217"/>
        <v>7.42</v>
      </c>
      <c r="GN54">
        <f t="shared" si="218"/>
        <v>3</v>
      </c>
      <c r="GO54">
        <f t="shared" si="219"/>
        <v>0</v>
      </c>
      <c r="GP54">
        <f t="shared" si="220"/>
        <v>0</v>
      </c>
      <c r="GQ54" t="str">
        <f>IF(BM54="","",IF(AND(CG54=1,GP54=1),COUNTIFS(A$3:A54,A54,CG$3:CG54,1,GP$3:GP54,1),IF(OR(OR(BA54=1,A54&lt;&gt;A53),AJ54="вручную",GP54=0),"",IF(BA54=1,"",GR53))))</f>
        <v/>
      </c>
      <c r="GR54" t="str">
        <f t="shared" si="221"/>
        <v/>
      </c>
      <c r="GS54">
        <f>IF(B54="","",IFERROR(LOOKUP(INDEX(CHOOSE(EB54,Iдоп_1ж,Iдоп_2ж,Iдоп_3ж),MATCH(EN54,Iдоп_S,0))*DZ54*EA54,{6,10,16,20,25,32,40,50,63,80,100,125,160,200,250,315,400,500,630}),""))</f>
        <v>20</v>
      </c>
      <c r="GT54" t="str">
        <f t="shared" si="222"/>
        <v/>
      </c>
      <c r="GU54" t="str">
        <f t="shared" si="223"/>
        <v/>
      </c>
      <c r="GV54" t="str">
        <f t="shared" si="224"/>
        <v/>
      </c>
      <c r="GW54">
        <f t="shared" si="225"/>
        <v>0</v>
      </c>
      <c r="GX54" t="str">
        <f>IF(OR(B54="",DJ54=""),"",IFERROR(_xlfn.XLOOKUP(DJ54,Модули_умолч[Управление],Модули_умолч[Модель])&amp;"",""))</f>
        <v/>
      </c>
      <c r="GY54">
        <f>IF(DJ54="",1,IFERROR(MAX(0,N(_xlfn.XLOOKUP(DJ54,Модули_умолч[Управление],Модули_умолч[Каналов на линию]))),1))</f>
        <v>1</v>
      </c>
      <c r="GZ54" t="str">
        <f t="shared" si="226"/>
        <v/>
      </c>
      <c r="HA54" t="str">
        <f t="shared" si="227"/>
        <v/>
      </c>
      <c r="HB54" t="str">
        <f t="shared" si="228"/>
        <v/>
      </c>
      <c r="HC54">
        <f>IF(HB54="",0,IFERROR(N(VLOOKUP(HB54,Модули_спр,3,FALSE)),0))</f>
        <v>0</v>
      </c>
      <c r="HD54" t="str">
        <f t="shared" si="229"/>
        <v/>
      </c>
      <c r="HE54" t="str">
        <f t="shared" si="230"/>
        <v/>
      </c>
      <c r="HF54" t="str">
        <f>IF(OR(HE54="",HE54="-"),"",IFERROR(VLOOKUP(HE54,Модули_спр,2,FALSE),"R"))</f>
        <v/>
      </c>
      <c r="HG54" t="str">
        <f>IF(HF54="","",HF54&amp;"."&amp;COUNTIFS(A$3:A54,A54,HF$3:HF54,HF54))</f>
        <v/>
      </c>
      <c r="HH54" t="str">
        <f t="shared" si="231"/>
        <v/>
      </c>
      <c r="HI54" t="str">
        <f t="shared" si="232"/>
        <v/>
      </c>
      <c r="HJ54" t="str">
        <f t="shared" si="233"/>
        <v/>
      </c>
      <c r="HK54" t="str">
        <f t="shared" si="234"/>
        <v/>
      </c>
      <c r="HL54">
        <f t="shared" si="235"/>
        <v>0</v>
      </c>
      <c r="HM54" t="str">
        <f>IF(HL54=1,"XT"&amp;COUNTIFS(A$3:A54,A54,HL$3:HL54,1),"")</f>
        <v/>
      </c>
      <c r="HN54" t="str">
        <f t="shared" si="236"/>
        <v/>
      </c>
      <c r="HO54" t="str">
        <f t="shared" si="237"/>
        <v/>
      </c>
      <c r="HP54" t="str">
        <f t="shared" si="238"/>
        <v/>
      </c>
      <c r="HQ54" t="str">
        <f t="shared" si="239"/>
        <v>ok</v>
      </c>
      <c r="HR54" t="str">
        <f>IF(OR(HJ54="",HH54=""),"",IF(HJ54+MAX(0,GY54-1)&gt;IFERROR(VLOOKUP(HI54,Модули_спр,3,FALSE),99),"ЛИШНИЙ КАНАЛ",IF(AND(AL54&lt;&gt;"=",GY54&gt;0,COUNTIFS(Линии[_модуль гр.],HH54,Линии[Канал (итог)],HJ54,Линии[Канал],"&lt;&gt;=",Линии[Щит],A54)&gt;1),"ДУБЛЬ КАНАЛА","")))</f>
        <v/>
      </c>
      <c r="HS54" s="6" t="str">
        <f t="shared" si="240"/>
        <v/>
      </c>
      <c r="HT54">
        <f t="shared" si="241"/>
        <v>10</v>
      </c>
      <c r="HU54" t="str">
        <f t="shared" si="242"/>
        <v/>
      </c>
      <c r="HV54">
        <f t="shared" si="243"/>
        <v>0</v>
      </c>
      <c r="HW54">
        <f t="shared" si="244"/>
        <v>0</v>
      </c>
      <c r="HX54">
        <f t="shared" si="245"/>
        <v>0</v>
      </c>
      <c r="HY54">
        <f t="shared" si="246"/>
        <v>0</v>
      </c>
      <c r="HZ54">
        <f t="shared" si="247"/>
        <v>0</v>
      </c>
      <c r="IA54">
        <f t="shared" si="248"/>
        <v>0</v>
      </c>
      <c r="IB54">
        <f t="shared" si="249"/>
        <v>0</v>
      </c>
      <c r="IC54" t="str">
        <f t="shared" si="250"/>
        <v/>
      </c>
      <c r="ID54" t="str" cm="1">
        <f t="array" ref="ID54">IF(IC54="","",_xlfn.LET(_xlpm.tk,_xlfn.TEXTSPLIT(SUBSTITUTE(SUBSTITUTE(IC54,";"," "),"→"," ")," ",,TRUE),_xlpm.w_,_xlfn._xlws.FILTER(_xlpm.tk,ISNUMBER(--LEFT(_xlpm.tk,1))*((ISNUMBER(SEARCH("W",_xlpm.tk))+ISNUMBER(SEARCH("Вт",_xlpm.tk)))&gt;0),""),IFERROR(--SUBSTITUTE(SUBSTITUTE(UPPER(INDEX(_xlpm.w_,1)),"W",""),"ВТ",""),"")))</f>
        <v/>
      </c>
      <c r="IE54" t="str" cm="1">
        <f t="array" ref="IE54">IF(IC54="","",_xlfn.LET(_xlpm.tk,_xlfn.TEXTSPLIT(SUBSTITUTE(SUBSTITUTE(IC54,";"," "),"→"," ")," ",,TRUE),_xlpm.v_,_xlfn._xlws.FILTER(_xlpm.tk,ISNUMBER(--LEFT(_xlpm.tk,1))*((ISNUMBER(SEARCH("V",_xlpm.tk))+(RIGHT(UPPER(_xlpm.tk))="В"))&gt;0),""),IFERROR(--SUBSTITUTE(SUBSTITUTE(UPPER(INDEX(_xlpm.v_,1)),"V",""),"В",""),"")))</f>
        <v/>
      </c>
      <c r="IF54" s="6" t="str">
        <f>IF(OR(BV54=0,HI54="",HJ54=""),"",IFERROR(N(_xlfn.XLOOKUP(HI54,Каталог!$C$4:$C$500,Каталог!$Q$4:$Q$500)),""))</f>
        <v/>
      </c>
      <c r="IG54" s="6" t="str">
        <f>IF(N(IF54)=0,"",SUMIFS(Линии[Iр, А],Линии[Щит],A54,Линии[_модуль гр.],HH54,Линии[Канал (итог)],HJ54))</f>
        <v/>
      </c>
      <c r="IH54" t="str">
        <f>IF(AND(B54="",HO54=""),"",_xlfn.TEXTJOIN("; ",TRUE,IF(AND(B54&lt;&gt;"",FV54=""),"нет фазы",""),IF(AND(B54&lt;&gt;"",N(GL54)=0,FG54&lt;&gt;"Нет"),"нет мощности",""),IF(AND(HN54&lt;&gt;"",COUNTIFS(Линии[Щит],A54,Линии[Клемма (итог)],HN54)&gt;1),"дубль клеммы "&amp;HN54,""),IF(AND(HQ54&lt;&gt;"",HQ54&lt;&gt;"ok"),HQ54,""),IF(HR54&lt;&gt;"",HR54,""),IF(AND(N(CB54)&gt;=4,N(BX54)=1),CB54&amp;" жил на 1 фазе",""),IF(AND(BC54="R",CG54=1,IF(CS54&lt;&gt;"",N(CV54)&gt;30,OR(N(DA54)=0,N(DA54)&gt;30))),"розетка без дифзащиты до 30 мА",""),IF(AND(CG54=1,N(DA54)&gt;0,ISNUMBER(T54)),IF(T54&gt;N(DA54)/3,"ток утечки "&amp;FIXED(T54,1)&amp;" мА &gt; 1/3 уставки ("&amp;DA54&amp;" мА)",""),""),IF(AND(CH54=1,CS54=""),"«узо»: нет строки с УЗО выше (УЗО 2P 40А 30мА в «Аппаратах»)",""),IF(AND(CS54&lt;&gt;"",CS54=BA54),IF(CT54="","впишите номинал УЗО (УЗО 2P 40А 30мА)",IF(N(CT54)&lt;N(DT54),"УЗО "&amp;CT54&amp;" А &lt; автомата "&amp;DT54&amp;" А перед ним",IF(N(CT54)&lt;N(CX54),"УЗО "&amp;CT54&amp;" А &lt; тока блока "&amp;FIXED(CX54,1)&amp;" А",""))),""),IF(AND(CS54&lt;&gt;"",CS54=BA54,ISNUMBER(CY54)),IF(CY54&gt;N(CV54)/3,"ток утечки блока УЗО "&amp;FIXED(CY54,1)&amp;" мА &gt; 1/3 уставки ("&amp;CV54&amp;" мА)",""),""),IF(AND(CG54=1,N(BV54)+N(IB54)&gt;0,IC54=""),"линии до 50 В без БП: впишите в «Аппараты» (БП 24V 480W)",""),IF(AND(CG54=1,ISNUMBER(ID54),ISNUMBER(U54)),IF(U54&gt;ID54,"БП "&amp;ID54&amp;" Вт &lt; нужно "&amp;U54&amp;" Вт (×"&amp;Запас_БП&amp;")",""),""),IF(AND(CG54=1,ISNUMBER(IE54),N(BV54)=1),IF(IE54&lt;&gt;N(BU54),"БП на "&amp;IE54&amp;" В, линия "&amp;BU54&amp;" В",""),""),IF(AND(N(IF54)&gt;0,N(IG54)&gt;N(IF54)),HH54&amp;" канал "&amp;HJ54&amp;": "&amp;FIXED(IG54,1)&amp;" А &gt; "&amp;IF54&amp;" А",""),IFERROR(IF(AND(ISNUMBER(Q54),Q54&gt;EL54),"потери "&amp;FIXED(Q54,1)&amp;" % &gt; "&amp;EL54&amp;" %",""),""),IFERROR(IF(LEFT(HU54,4)="мало","Iкз мало — отключение &gt; 0,4 с",""),""),IF(AND(B54&lt;&gt;"",BM54=""),"не на схеме",""),IF(AND(CG54=0,B54&lt;&gt;"",FV54&lt;&gt;"",IF(BA54=1,"",FW53)&lt;&gt;"",FV54&lt;&gt;IF(BA54=1,"",FW53)),"фаза не как у автомата группы ("&amp;IF(BA54=1,"",FW53)&amp;")","")))</f>
        <v/>
      </c>
      <c r="II54" s="6" t="str">
        <f>IF(OR(CG54=0,DQ54=""),"",_xlfn.LET(_xlpm.t,IFERROR(_xlfn.XLOOKUP(DQ54,Каталог!$U$4:$U$500,Каталог!$G$4:$G$500),""),_xlpm.k,SEARCH("кА",_xlpm.t),IFERROR(--TRIM(RIGHT(SUBSTITUTE(MID(_xlpm.t,MAX(1,_xlpm.k-4),_xlpm.k-MAX(1,_xlpm.k-4))," ",REPT(" ",9)),5)),"")))</f>
        <v/>
      </c>
      <c r="IJ54" t="str">
        <f>IF(OR(II54="",CG54=0),"",IF(_xlfn.XLOOKUP(A54,Щиты[Щит],Щиты[Iкз max на шинах, кА],"")="","",IF(II54&lt;_xlfn.XLOOKUP(A54,Щиты[Щит],Щиты[Iкз max на шинах, кА]),"Icu "&amp;II54&amp;" кА &lt; Iкз max","ok")))</f>
        <v/>
      </c>
      <c r="IK54" t="str">
        <f t="shared" si="251"/>
        <v/>
      </c>
      <c r="IL54" t="str">
        <f t="shared" si="252"/>
        <v/>
      </c>
      <c r="IM54" t="str">
        <f t="shared" si="253"/>
        <v/>
      </c>
      <c r="IN54" t="str" cm="1">
        <f t="array" ref="IN54">IF(IM54="","",_xlfn.LET(_xlpm.nd,_xlfn.TEXTSPLIT(IM54,"|"),IF(COLUMNS(_xlpm.nd)&gt;1,A54&amp;"¦"&amp;INDEX(_xlpm.nd,1)&amp;"¦"&amp;INDEX(_xlpm.nd,2),"")))</f>
        <v/>
      </c>
      <c r="IO54" t="str">
        <f t="shared" si="254"/>
        <v/>
      </c>
      <c r="IP54" t="str" cm="1">
        <f t="array" ref="IP54">IF(IM54="","",_xlfn.LET(_xlpm.nd,_xlfn.TEXTSPLIT(IM54,"|"),IF(COLUMNS(_xlpm.nd)&gt;2,A54&amp;"¦"&amp;INDEX(_xlpm.nd,2)&amp;"¦"&amp;INDEX(_xlpm.nd,3),"")))</f>
        <v/>
      </c>
      <c r="IQ54" t="str">
        <f t="shared" si="255"/>
        <v/>
      </c>
      <c r="IR54" t="str" cm="1">
        <f t="array" ref="IR54">IF(IM54="","",_xlfn.LET(_xlpm.nd,_xlfn.TEXTSPLIT(IM54,"|"),IF(COLUMNS(_xlpm.nd)&gt;3,A54&amp;"¦"&amp;INDEX(_xlpm.nd,3)&amp;"¦"&amp;INDEX(_xlpm.nd,4),"")))</f>
        <v/>
      </c>
      <c r="IS54" t="str">
        <f t="shared" si="256"/>
        <v/>
      </c>
      <c r="IT54" t="str" cm="1">
        <f t="array" ref="IT54">IF(IM54="","",_xlfn.LET(_xlpm.nd,_xlfn.TEXTSPLIT(IM54,"|"),IF(COLUMNS(_xlpm.nd)&gt;4,A54&amp;"¦"&amp;INDEX(_xlpm.nd,4)&amp;"¦"&amp;INDEX(_xlpm.nd,5),"")))</f>
        <v/>
      </c>
      <c r="IU54" t="str">
        <f t="shared" si="257"/>
        <v/>
      </c>
      <c r="IV54" t="str" cm="1">
        <f t="array" ref="IV54">IF(IM54="","",_xlfn.LET(_xlpm.nd,_xlfn.TEXTSPLIT(IM54,"|"),IF(COLUMNS(_xlpm.nd)&gt;5,A54&amp;"¦"&amp;INDEX(_xlpm.nd,5)&amp;"¦"&amp;INDEX(_xlpm.nd,6),"")))</f>
        <v/>
      </c>
      <c r="IW54" t="str">
        <f t="shared" si="258"/>
        <v/>
      </c>
      <c r="IX54" t="str" cm="1">
        <f t="array" ref="IX54">IF(IM54="","",_xlfn.LET(_xlpm.nd,_xlfn.TEXTSPLIT(IM54,"|"),IF(COLUMNS(_xlpm.nd)&gt;6,A54&amp;"¦"&amp;INDEX(_xlpm.nd,6)&amp;"¦"&amp;INDEX(_xlpm.nd,7),"")))</f>
        <v/>
      </c>
      <c r="IY54" t="str">
        <f t="shared" si="259"/>
        <v/>
      </c>
      <c r="IZ54" t="str">
        <f t="shared" si="260"/>
        <v/>
      </c>
      <c r="JA54" t="str">
        <f t="shared" si="261"/>
        <v/>
      </c>
      <c r="JB54">
        <f t="shared" si="262"/>
        <v>0</v>
      </c>
      <c r="JC54">
        <f t="shared" si="263"/>
        <v>0</v>
      </c>
      <c r="JD54" t="str">
        <f t="shared" si="264"/>
        <v/>
      </c>
      <c r="JE54" t="str">
        <f t="shared" si="265"/>
        <v/>
      </c>
      <c r="JF54" t="str">
        <f t="shared" si="266"/>
        <v/>
      </c>
      <c r="JG54" t="str">
        <f t="shared" si="267"/>
        <v/>
      </c>
      <c r="JH54">
        <f>IF(B54="","",IFERROR(_xlfn.XLOOKUP(B54,Коды_код,Коды_уго),IFERROR(_xlfn.XLOOKUP(BC54,Коды_код,Коды_уго),IFERROR(_xlfn.XLOOKUP(LEFT(BC54,2),Коды_код,Коды_уго),""))))</f>
        <v>0</v>
      </c>
      <c r="JI54" t="str">
        <f>IF(B54="","",IF(OR(JH54="",JH54=0),"BOX",IFERROR(IF(VLOOKUP(JH54,УГО_блоки,3,FALSE)&amp;""&lt;&gt;"",VLOOKUP(JH54,УГО_блоки,3,FALSE),VLOOKUP(JH54,УГО_блоки,2,FALSE)),JH54)))</f>
        <v>BOX</v>
      </c>
      <c r="JJ54">
        <f t="shared" si="268"/>
        <v>1</v>
      </c>
      <c r="JK54" t="str">
        <f>IF(DQ54="","",IF(COUNTIF(DQ$3:DQ54,DQ54)=1,MAX(JK$2:JK53)+1,""))</f>
        <v/>
      </c>
      <c r="JL54" t="str">
        <f>IF(DE54="","",IF(COUNTIF(DE$3:DE54,DE54)+COUNTIF(DF$2:DF53,DE54)+COUNTIF(DG$2:DG53,DE54)=1,MAX(JL$2:JN53)+1,""))</f>
        <v/>
      </c>
      <c r="JM54" t="str">
        <f>IF(DF54="","",IF(COUNTIF(DE$3:DE54,DF54)+COUNTIF(DF$3:DF54,DF54)+COUNTIF(DG$2:DG53,DF54)=1,MAX(JL$2:JN53,JL54)+1,""))</f>
        <v/>
      </c>
      <c r="JN54" t="str">
        <f>IF(DG54="","",IF(COUNTIF(DE$3:DE54,DG54)+COUNTIF(DF$3:DF54,DG54)+COUNTIF(DG$3:DG54,DG54)=1,MAX(JL$2:JN53,JL54,JM54)+1,""))</f>
        <v/>
      </c>
      <c r="JO54" t="str">
        <f t="shared" si="269"/>
        <v/>
      </c>
      <c r="JP54" t="str">
        <f>IF(JO54="","",IF(COUNTIF(JO$3:JO54,JO54)=1,MAX(JP$2:JP53)+1,""))</f>
        <v/>
      </c>
      <c r="JQ54" t="str">
        <f>IF(HG54="","",COUNTIF(HG$3:HG54,"?*"))</f>
        <v/>
      </c>
      <c r="JR54" t="str">
        <f>IF(OR(HG54="",HI54=""),"",IF(COUNTIFS(HG$3:HG54,"?*",HI$3:HI54,HI54)=1,MAX(JR$2:JR53)+1,""))</f>
        <v/>
      </c>
      <c r="JS54">
        <f t="shared" si="270"/>
        <v>0</v>
      </c>
      <c r="JT54">
        <f>IF(B54="","",COUNTIF(B$3:B54,"?*"))</f>
        <v>50</v>
      </c>
      <c r="JU54">
        <f>IF(HL54&lt;&gt;1,0,_xlfn.LET(_xlpm.k,MAX(IFERROR(--_xlfn.XLOOKUP(B54,Коды_код,Коды_3L),0),IFERROR(--_xlfn.XLOOKUP(BC54,Коды_код,Коды_3L),0),IFERROR(--_xlfn.XLOOKUP(LEFT(BC54,2),Коды_код,Коды_3L),0)),IF(_xlpm.k&gt;0,_xlpm.k,IF(IFERROR(--LEFT(SUBSTITUTE(JO54,"x","х"),FIND("х",SUBSTITUTE(JO54,"x","х"))-1),3)&gt;3,Каталог!$S$9,1))))</f>
        <v>0</v>
      </c>
      <c r="JV54">
        <f t="shared" si="271"/>
        <v>0</v>
      </c>
      <c r="JW54" t="str">
        <f t="shared" si="272"/>
        <v>авто</v>
      </c>
      <c r="JX54" t="str">
        <f t="shared" si="273"/>
        <v/>
      </c>
      <c r="JY54">
        <f t="shared" si="274"/>
        <v>0</v>
      </c>
      <c r="JZ54">
        <f t="shared" si="275"/>
        <v>1</v>
      </c>
    </row>
    <row r="55" spans="1:286" x14ac:dyDescent="0.3">
      <c r="A55" t="s">
        <v>949</v>
      </c>
      <c r="B55" t="s">
        <v>1187</v>
      </c>
      <c r="C55" t="str">
        <f>Линии[[#This Row],[_авто наименование]]</f>
        <v>Ввод питающей линии</v>
      </c>
      <c r="E55">
        <f>Линии[[#This Row],[_авто Р]]</f>
        <v>3.4</v>
      </c>
      <c r="G55" t="str">
        <f>Линии[[#This Row],[_авто автомат]]</f>
        <v>3P С10А</v>
      </c>
      <c r="H55" t="str">
        <f>Линии[[#This Row],[_авто управление]]</f>
        <v/>
      </c>
      <c r="I55" t="str">
        <f>Линии[[#This Row],[_авто аппараты]]</f>
        <v/>
      </c>
      <c r="J55">
        <v>2.5</v>
      </c>
      <c r="K55" t="str">
        <f>Линии[[#This Row],[_авто длина по плану]]</f>
        <v/>
      </c>
      <c r="L55" t="str">
        <f>Линии[[#This Row],[_авто фаза]]</f>
        <v>L1,L2,L3</v>
      </c>
      <c r="M55" t="str">
        <f>Линии[[#This Row],[_авто клемма]]</f>
        <v/>
      </c>
      <c r="N55" t="str">
        <f t="shared" si="138"/>
        <v/>
      </c>
      <c r="O55" s="6" cm="1">
        <f t="array" ref="O55">IF(B55="","",IF(BH55&lt;&gt;"",IFERROR(_xlfn.XLOOKUP(BH55,Щиты[Щит],Щиты[Iр, А]),""),IF(BP55=1,IF(OR(N(_xlfn.XLOOKUP(A55,Щиты[Щит],Щиты[Вводов],1))&lt;=1,LOWER(TRIM(_xlfn.XLOOKUP(A55,Щиты[Щит],Щиты[АВР],"")&amp;""))="да"),IFERROR(_xlfn.XLOOKUP(A55,Щиты[Щит],Щиты[Iр, А]),""),IFERROR(N(BS55)*_xlfn.XLOOKUP(A55,Щиты[Щит],Щиты[Кс итог])/(SQRT(3)*Uн_лин*_xlfn.XLOOKUP(A55,Щиты[Щит],Щиты[cos φ])),"")),IF(BV55=1,IFERROR(BS55*1000/BU55,""),IFERROR(_xlfn.IFS(BX55=1,BS55/((Uн_лин/SQRT(3))*CE55),BX55=3,BS55/(SQRT(3)*Uн_лин*CE55)),"")))))</f>
        <v>7.4141743201689332</v>
      </c>
      <c r="P55" s="7" t="str">
        <f>IF(B55="","",IFERROR(IF(VLOOKUP(BC55,Потребители_обозначение,4,FALSE)=1,VLOOKUP(BC55,Потребители_обозначение,3,FALSE)*(MAX(1,N(D55))*2-1)+EI55+VLOOKUP(BE55,Этаж_обозначение,3,FALSE)+VLOOKUP(BE55,Этаж_обозначение,4,FALSE),VLOOKUP(BC55,Потребители_обозначение,3,FALSE)*(MAX(1,N(D55))*2-1)+EI55),EI55))</f>
        <v/>
      </c>
      <c r="Q55" s="6" t="str">
        <f t="shared" si="139"/>
        <v/>
      </c>
      <c r="R55" t="str">
        <f t="shared" si="140"/>
        <v>ВВГнг(А)-LS (5х2,5)</v>
      </c>
      <c r="S55" t="str">
        <f>IF(BM55="","",IF(BN55="вводной узел","узел ","")&amp;"л."&amp;(INT((BM55-1)/Столбцов_на_лист)+1)&amp;" / "&amp;(MOD(BM55-1,Столбцов_на_лист)+1))</f>
        <v>узел л.1 / 2</v>
      </c>
      <c r="T55" s="119" t="str">
        <f t="shared" si="141"/>
        <v/>
      </c>
      <c r="U55" s="7" t="str">
        <f>IF(OR(CG55=0,N(BV55)+N(IB55)=0),"",ROUNDUP(Запас_БП*(N(HY55)+N(HZ55)),0))</f>
        <v/>
      </c>
      <c r="V55" s="119" t="str">
        <f t="shared" si="142"/>
        <v/>
      </c>
      <c r="W55" s="7" t="str">
        <f>IFERROR(IF(OR(B55="",BP55=1,BV55=1,NOT(ISNUMBER(EN55)),N(DT55)=0),"",MAX(0,ROUNDDOWN((c_min*(Uн_лин*1000/SQRT(3))/(HT55*N(DT55))-_xlfn.XLOOKUP(A55,Щиты[Щит],Щиты[Zпетли на шинах, Ом]))*EN55/(2*ρкз_Cu),0))),"")</f>
        <v/>
      </c>
      <c r="Y55" t="str">
        <f>Линии[[#This Row],[_авто утечка]]</f>
        <v/>
      </c>
      <c r="Z55">
        <v>3</v>
      </c>
      <c r="AA55">
        <v>400</v>
      </c>
      <c r="AB55" t="s">
        <v>556</v>
      </c>
      <c r="AJ55" t="s">
        <v>1186</v>
      </c>
      <c r="AK55" t="str">
        <f>Линии[[#This Row],[_авто модуль]]</f>
        <v/>
      </c>
      <c r="AM55">
        <v>2</v>
      </c>
      <c r="AN55" t="s">
        <v>11</v>
      </c>
      <c r="AO55">
        <v>5</v>
      </c>
      <c r="BA55" cm="1">
        <f t="array" ref="BA55">ROW()-ROW(Линии[#Headers])</f>
        <v>53</v>
      </c>
      <c r="BC55" s="6" t="str">
        <f t="shared" si="143"/>
        <v>Ввод</v>
      </c>
      <c r="BD55" t="str">
        <f t="shared" si="144"/>
        <v>2</v>
      </c>
      <c r="BE55" t="str">
        <f t="shared" si="145"/>
        <v>2</v>
      </c>
      <c r="BF55" t="str">
        <f t="shared" si="146"/>
        <v/>
      </c>
      <c r="BG55" t="str">
        <f t="shared" si="147"/>
        <v/>
      </c>
      <c r="BH55" t="str">
        <f>IF(X55&lt;&gt;"",X55,IF(AND(B55&lt;&gt;"",B55&lt;&gt;A55,ISNUMBER(_xlfn.XMATCH(B55,Щиты[Щит]))),B55,""))</f>
        <v/>
      </c>
      <c r="BI55" t="str" cm="1">
        <f t="array" ref="BI55">IF(B55="","",IF(BH55&lt;&gt;"","Щит "&amp;BH55,_xlfn.LET(_xlpm.nm,IFERROR(_xlfn.XLOOKUP(BC55,Коды_код,Коды_имя)&amp;"",""),_xlpm.md,IFERROR(N(_xlfn.XLOOKUP(BC55,Коды_код,Коды_режим)),1),_xlpm.ex,IF(Имя_режим="по экспликации",IFERROR(_xlfn.XLOOKUP(BE55&amp;"|"&amp;BG55,Экспликация[Этаж]&amp;"|"&amp;Экспликация[Помещение],Экспликация[Название])&amp;"",""),""),_xlpm.rm,IF(BG55="","",IF(_xlpm.ex&lt;&gt;"",". "&amp;_xlpm.ex&amp;IF(Имя_пом="нет"," ("&amp;BG55&amp;")"," (пом. "&amp;BG55&amp;")"),IF(Имя_пом="нет"," ",", пом. ")&amp;BG55)),IF(_xlpm.nm="","",IF(_xlpm.md=2,_xlpm.nm&amp;" шлейф "&amp;BE55,_xlpm.nm&amp;_xlpm.rm)))))</f>
        <v>Ввод питающей линии</v>
      </c>
      <c r="BJ55" t="str">
        <f t="shared" si="148"/>
        <v>Ввод питающей линии</v>
      </c>
      <c r="BK55">
        <f>IFERROR(_xlfn.XMATCH(A55,Щиты[Щит]),0)</f>
        <v>6</v>
      </c>
      <c r="BL55">
        <f>_xlfn.LET(_xlpm.k,IFERROR(_xlfn.XLOOKUP(A55,Щиты[Щит],Щиты[Мест под вводной узел]),""),IF(_xlpm.k="",Столбцов_на_лист,N(_xlpm.k)))</f>
        <v>3</v>
      </c>
      <c r="BM55">
        <f t="shared" si="149"/>
        <v>2</v>
      </c>
      <c r="BN55" t="str">
        <f t="shared" si="150"/>
        <v>вводной узел</v>
      </c>
      <c r="BO55" s="6">
        <f>IFERROR(N(_xlfn.XLOOKUP(BC55,Коды_код,Коды_квт)),0)</f>
        <v>0</v>
      </c>
      <c r="BP55">
        <f t="shared" si="151"/>
        <v>1</v>
      </c>
      <c r="BQ55">
        <f>IF(B55="","",IF(BH55&lt;&gt;"",IFERROR(_xlfn.XLOOKUP(BH55,Щиты[Щит],Щиты[Руст, кВт]),0),IF(BP55=1,IF(OR(N(_xlfn.XLOOKUP(A55,Щиты[Щит],Щиты[Вводов],1))&lt;=1,LOWER(TRIM(_xlfn.XLOOKUP(A55,Щиты[Щит],Щиты[АВР],"")&amp;""))="да"),IFERROR(_xlfn.XLOOKUP(A55,Щиты[Щит],Щиты[Руст, кВт]),0),SUMIFS(Линии[_Р для вводов],Линии[Щит],A55,Линии[Источник для режимов],GF55)),IF(BO55&gt;0,ROUND(BO55*MAX(1,N(D55)),3),""))))</f>
        <v>3.4</v>
      </c>
      <c r="BR55">
        <f t="shared" si="152"/>
        <v>3.4</v>
      </c>
      <c r="BS55" s="6">
        <f>IF(B55="","",IF(BH55&lt;&gt;"",IFERROR(_xlfn.XLOOKUP(BH55,Щиты[Щит],Щиты[Руст, кВт]),0),N(BR55)))</f>
        <v>3.4</v>
      </c>
      <c r="BT55" t="str">
        <f>IF(B55="","",IFERROR(IF(VLOOKUP(BC55,Потребители_обозначение,8,FALSE)=0,"",VLOOKUP(BC55,Потребители_обозначение,8,FALSE)),""))</f>
        <v/>
      </c>
      <c r="BU55">
        <f t="shared" si="153"/>
        <v>400</v>
      </c>
      <c r="BV55">
        <f t="shared" si="154"/>
        <v>0</v>
      </c>
      <c r="BW55">
        <f>IF(B55="","",IF(BH55&lt;&gt;"",3,IFERROR(IF(N(VLOOKUP(BC55,Потребители_обозначение,9,FALSE))=0,1,VLOOKUP(BC55,Потребители_обозначение,9,FALSE)),1)))</f>
        <v>1</v>
      </c>
      <c r="BX55">
        <f t="shared" si="155"/>
        <v>3</v>
      </c>
      <c r="BY55" t="str">
        <f>IF(B55="","",_xlfn.LET(_xlpm.bc,IFERROR(IF(VLOOKUP(BC55,Потребители_обозначение,6,FALSE)=0,"",VLOOKUP(BC55,Потребители_обозначение,6,FALSE)&amp;""),""),IF(AND(GA55="да",OR(_xlpm.bc="",_xlpm.bc="мс")),Марка_пож,IF(AND(_xlpm.bc="",BH55&lt;&gt;""),"мс",_xlpm.bc))))</f>
        <v/>
      </c>
      <c r="BZ55" t="str">
        <f t="shared" si="156"/>
        <v>мс</v>
      </c>
      <c r="CA55">
        <f>IF(B55="","",_xlfn.LET(_xlpm.cc,IFERROR(N(VLOOKUP(BC55,Потребители_обозначение,7,FALSE)),0),IF(_xlpm.cc&gt;0,_xlpm.cc,IF(BZ55="","",IF(BV55=1,2,IF(N(BX55)=3,5,3))))))</f>
        <v>5</v>
      </c>
      <c r="CB55">
        <f t="shared" si="157"/>
        <v>5</v>
      </c>
      <c r="CC55">
        <f>IFERROR(N(VLOOKUP(BC55,Потребители_обозначение,10,FALSE)),0)</f>
        <v>0</v>
      </c>
      <c r="CD55">
        <f>IFERROR(VLOOKUP(BC55,Потребители_обозначение,5,FALSE),0)</f>
        <v>1</v>
      </c>
      <c r="CE55" s="6" cm="1">
        <f t="array" ref="CE55">IF(B55="","",IF(BH55&lt;&gt;"",IFERROR(_xlfn.XLOOKUP(BH55,Щиты[Щит],Щиты[cos φ]),0.95),IF(BP55=1,IFERROR(_xlfn.XLOOKUP(A55,Щиты[Щит],Щиты[cos φ]),0.95),IF(ISNUMBER(AD55),AD55,IFERROR(IF(CD55=2,_xlfn.IFS(BX55=3,VLOOKUP(BS55,Справочная_двигатели,8,FALSE),BX55=1,VLOOKUP(BS55,Справочная_двигатели,10,TRUE)),IF(AND(Методика="нормы 2026",FG55="Сил"),0.8,0.95)),0.95)))))</f>
        <v>0.8176470588235295</v>
      </c>
      <c r="CF55">
        <f t="shared" si="158"/>
        <v>0</v>
      </c>
      <c r="CG55">
        <f t="shared" si="159"/>
        <v>1</v>
      </c>
      <c r="CH55">
        <f t="shared" si="160"/>
        <v>0</v>
      </c>
      <c r="CI55">
        <f>IF(B55="","",IF(BV55=1,IFERROR(BS55/((Uн_лин/SQRT(3))*MAX(0.5,N(CE55))),0),N(O55)))</f>
        <v>7.4141743201689332</v>
      </c>
      <c r="CJ55">
        <f t="shared" si="161"/>
        <v>0</v>
      </c>
      <c r="CK55">
        <f t="shared" si="162"/>
        <v>0</v>
      </c>
      <c r="CL55">
        <f t="shared" si="163"/>
        <v>0</v>
      </c>
      <c r="CM55">
        <f t="shared" si="164"/>
        <v>0</v>
      </c>
      <c r="CN55">
        <f t="shared" si="165"/>
        <v>0</v>
      </c>
      <c r="CO55">
        <f>IF(BC55="",0,_xlfn.LET(_xlpm.v,IFERROR(_xlfn.XLOOKUP(B55,Коды_код,Коды_мА),IFERROR(_xlfn.XLOOKUP(BC55,Коды_код,Коды_мА),IFERROR(_xlfn.XLOOKUP(LEFT(BC55,2),Коды_код,Коды_мА),""))),IF(_xlpm.v="да",30,IF(ISNUMBER(_xlpm.v),_xlpm.v,0))))</f>
        <v>0</v>
      </c>
      <c r="CP55" t="str">
        <f t="shared" si="166"/>
        <v/>
      </c>
      <c r="CQ55" t="str">
        <f>_xlfn.LET(_xlpm.k,IFERROR(_xlfn.XLOOKUP(BC55,Коды_код,Коды_утечка)&amp;"",""),IF(_xlpm.k="","дифавтомат",_xlpm.k))</f>
        <v>дифавтомат</v>
      </c>
      <c r="CR55" t="str" cm="1">
        <f t="array" ref="CR55">IF(CG55=0,"",_xlfn.LET(_xlpm.sg,TRIM(_xlfn.TEXTSPLIT(DD55&amp;"",";")),_xlpm.f_,_xlfn._xlws.FILTER(_xlpm.sg,LEFT(_xlpm.sg,3)="УЗО",""),IFERROR(INDEX(_xlpm.f_,1)&amp;"","")))</f>
        <v/>
      </c>
      <c r="CS55" t="str">
        <f t="shared" si="167"/>
        <v/>
      </c>
      <c r="CT55" s="6" t="str" cm="1">
        <f t="array" ref="CT55">IF(CR55="","",_xlfn.LET(_xlpm.tk,_xlfn.TEXTSPLIT(UPPER(CR55)," ",,TRUE),_xlpm.a_,_xlfn._xlws.FILTER(_xlpm.tk,ISNUMBER(--LEFT(_xlpm.tk,1))*((ISNUMBER(SEARCH("А",_xlpm.tk))+ISNUMBER(SEARCH("A",_xlpm.tk)))&gt;0)*NOT(ISNUMBER(SEARCH("МА",_xlpm.tk)))*NOT(ISNUMBER(SEARCH("MA",_xlpm.tk))),""),IFERROR(--SUBSTITUTE(SUBSTITUTE(INDEX(_xlpm.a_,1),"А",""),"A",""),"")))</f>
        <v/>
      </c>
      <c r="CU55" t="str" cm="1">
        <f t="array" ref="CU55">IF(CR55="","",_xlfn.LET(_xlpm.tk,_xlfn.TEXTSPLIT(UPPER(CR55)," ",,TRUE),_xlpm.a_,_xlfn._xlws.FILTER(_xlpm.tk,ISNUMBER(--LEFT(_xlpm.tk,1))*((ISNUMBER(SEARCH("МА",_xlpm.tk))+ISNUMBER(SEARCH("MA",_xlpm.tk)))&gt;0),""),IFERROR(--SUBSTITUTE(SUBSTITUTE(INDEX(_xlpm.a_,1),"МА",""),"MA",""),30)))</f>
        <v/>
      </c>
      <c r="CV55" t="str">
        <f>IF(CS55="","",IFERROR(_xlfn.XLOOKUP(CS55,Линии[_n],Линии[_УЗО, мА]),30))</f>
        <v/>
      </c>
      <c r="CW55">
        <f>IF(CS55="",0,IF(ISNUMBER(SEARCH("4P",IFERROR(_xlfn.XLOOKUP(CS55,Линии[_n],Линии[_УЗО строки])&amp;"",""))),0,1))</f>
        <v>0</v>
      </c>
      <c r="CX55" t="str">
        <f>IF(AND(CS55&lt;&gt;"",CS55=BA55),SUMIFS(Линии[_ток на 230 В],Линии[_блок УЗО],BA55,Линии[Щит],A55),"")</f>
        <v/>
      </c>
      <c r="CY55" t="str">
        <f>IF(AND(CS55&lt;&gt;"",CS55=BA55),SUMIFS(Линии[_ток утечки линии, мА],Линии[_блок УЗО],BA55,Линии[Щит],A55),"")</f>
        <v/>
      </c>
      <c r="CZ55">
        <f t="shared" si="168"/>
        <v>0</v>
      </c>
      <c r="DA55">
        <f t="shared" si="169"/>
        <v>0</v>
      </c>
      <c r="DB55">
        <f>IF(B55="",0,IFERROR(--_xlfn.XLOOKUP(B55,Коды_код,Коды_минавт),IFERROR(--_xlfn.XLOOKUP(BC55,Коды_код,Коды_минавт),IFERROR(--_xlfn.XLOOKUP(LEFT(BC55,2),Коды_код,Коды_минавт),0))))</f>
        <v>0</v>
      </c>
      <c r="DC55" t="str">
        <f>IF(B55="","",IFERROR(_xlfn.XLOOKUP(BC55,Коды_код,Коды_апп)&amp;"",""))</f>
        <v/>
      </c>
      <c r="DD55" t="str">
        <f t="shared" si="170"/>
        <v/>
      </c>
      <c r="DE55" t="str" cm="1">
        <f t="array" ref="DE55">IF(TRIM(DD55&amp;"")="","",IFERROR(TRIM(INDEX(_xlfn.TEXTSPLIT(DD55&amp;";;;",";"),1)),""))</f>
        <v/>
      </c>
      <c r="DF55" t="str" cm="1">
        <f t="array" ref="DF55">IF(TRIM(DD55&amp;"")="","",IFERROR(TRIM(INDEX(_xlfn.TEXTSPLIT(DD55&amp;";;;",";"),2)),""))</f>
        <v/>
      </c>
      <c r="DG55" t="str" cm="1">
        <f t="array" ref="DG55">IF(TRIM(DD55&amp;"")="","",IFERROR(TRIM(INDEX(_xlfn.TEXTSPLIT(DD55&amp;";;;",";"),3)),""))</f>
        <v/>
      </c>
      <c r="DH55">
        <f t="shared" si="171"/>
        <v>0</v>
      </c>
      <c r="DI55" t="str">
        <f>IF(B55="","",_xlfn.LET(_xlpm.t,LOWER(AZ55&amp;""),IF(ISNUMBER(SEARCH("dim",_xlpm.t)),"DIM",IF(ISNUMBER(SEARCH("dali",_xlpm.t)),"DALI",IF(OR(ISNUMBER(SEARCH("relay",_xlpm.t)),ISNUMBER(SEARCH("реле",_xlpm.t))),"Relay",IF(ISNUMBER(SEARCH("кнопк",_xlpm.t)),"",IFERROR(_xlfn.XLOOKUP(BC55,Коды_код,Коды_упр)&amp;"","")))))))</f>
        <v/>
      </c>
      <c r="DJ55" t="str">
        <f t="shared" si="172"/>
        <v/>
      </c>
      <c r="DK55">
        <f>IF(B55="","",_xlfn.LET(_xlpm.ig,IF(N(CX55)&gt;0,N(CX55),N(CI55)+IF(AJ55="вручную",0,N(CJ55))),_xlpm.n0,IFERROR(VLOOKUP(_xlpm.ig,Автомат_номиналы,2,TRUE),0),_xlpm.mn,MAX(DB55,IF(AJ55="вручную",0,N(CM55))),MAX(_xlpm.n0,_xlpm.mn,IF(DH55=1,Мин_автомат_БП,0))))</f>
        <v>10</v>
      </c>
      <c r="DL55">
        <f t="shared" si="173"/>
        <v>3</v>
      </c>
      <c r="DM55" t="str">
        <f t="shared" si="174"/>
        <v>3P</v>
      </c>
      <c r="DN55" t="str">
        <f>_xlfn.LET(_xlpm.cc,UPPER(TRIM(IFERROR(_xlfn.XLOOKUP(BC55,Коды_код,Коды_хар)&amp;"",""))),IF(OR(_xlpm.cc="B",_xlpm.cc="В"),"B",IF(_xlpm.cc="D","D","С")))</f>
        <v>С</v>
      </c>
      <c r="DO55" t="str">
        <f t="shared" si="175"/>
        <v>3P С10А</v>
      </c>
      <c r="DP55" t="str">
        <f t="shared" si="176"/>
        <v>3P С10А</v>
      </c>
      <c r="DQ55" t="str">
        <f t="shared" si="177"/>
        <v>3P С10А</v>
      </c>
      <c r="DR55" cm="1">
        <f t="array" ref="DR55">IF(DQ55="","",_xlfn.LET(_xlpm.t,SUBSTITUTE(SUBSTITUTE(SUBSTITUTE(UPPER(DQ55),"С","C"),"А","A"),"В","B"),_xlpm.tk,_xlfn.TEXTSPLIT(_xlpm.t," "),_xlpm.f,_xlfn._xlws.FILTER(_xlpm.tk,ISNUMBER(--MID(_xlpm.tk,2,1))*ISNUMBER(SEARCH(LEFT(_xlpm.tk,1)&amp;"#","B#C#D#"))*(LEN(_xlpm.tk)&gt;1),""),_xlpm.x,INDEX(_xlpm.f,1),IFERROR(--SUBSTITUTE(MID(_xlpm.x,2,9),"A",""),IFERROR(--SUBSTITUTE(INDEX(_xlfn._xlws.FILTER(_xlpm.tk,ISNUMBER(--SUBSTITUTE(_xlpm.tk,"A","")),""),1),"A",""),""))))</f>
        <v>10</v>
      </c>
      <c r="DS55" t="str">
        <f t="shared" si="178"/>
        <v>узел</v>
      </c>
      <c r="DT55">
        <f t="shared" si="179"/>
        <v>10</v>
      </c>
      <c r="DU55" t="str">
        <f t="shared" si="180"/>
        <v>3P С10А</v>
      </c>
      <c r="DV55">
        <f t="shared" si="181"/>
        <v>0</v>
      </c>
      <c r="DW55">
        <f t="shared" si="182"/>
        <v>0</v>
      </c>
      <c r="DX55">
        <f t="shared" si="183"/>
        <v>0</v>
      </c>
      <c r="DY55">
        <f t="shared" si="184"/>
        <v>7.4141743201689332</v>
      </c>
      <c r="DZ55">
        <f t="shared" si="185"/>
        <v>0.92</v>
      </c>
      <c r="EA55">
        <f>IF(ISNUMBER(AP55),AP55,К_прокл)</f>
        <v>1</v>
      </c>
      <c r="EB55">
        <f t="shared" si="186"/>
        <v>3</v>
      </c>
      <c r="EC55">
        <f>IFERROR(N(VLOOKUP(BZ55,Кабель_обозначение,3,FALSE)),1)</f>
        <v>1</v>
      </c>
      <c r="ED55">
        <f>IFERROR(N(_xlfn.XLOOKUP(A55,Щиты[Щит],Щиты[ΔU до шин, %])),0)</f>
        <v>1.3160288498727977</v>
      </c>
      <c r="EE55">
        <f>IFERROR(_xlfn.XLOOKUP(A55,Щиты[Щит],Щиты[Zпетли на шинах, Ом]),"")</f>
        <v>0.57177829354840215</v>
      </c>
      <c r="EF55">
        <f>IFERROR(N(_xlfn.XLOOKUP(A55,Щиты[Щит],Щиты[ΔU до шин (подбор), %])),0)</f>
        <v>1.3160288498727977</v>
      </c>
      <c r="EG55">
        <f>IFERROR(_xlfn.XLOOKUP(A55,Щиты[Щит],Щиты[Zпетли на шинах (подбор), Ом]),"")</f>
        <v>0.57177829354840215</v>
      </c>
      <c r="EH55" t="str">
        <f t="shared" si="187"/>
        <v/>
      </c>
      <c r="EI55" t="str">
        <f t="shared" si="188"/>
        <v/>
      </c>
      <c r="EJ55">
        <f t="shared" si="189"/>
        <v>1</v>
      </c>
      <c r="EK55">
        <f t="shared" si="190"/>
        <v>0.57999999999999996</v>
      </c>
      <c r="EL55" s="6">
        <f>IF(B55="","",IF(BV55=1,dU_LED,IF(IFERROR(_xlfn.XLOOKUP(BC55,Коды_код,Коды_уго),"")="Светильник",3,4)+IF(Методика="нормы 2026",MIN(0.5,MAX(0,N(P55)-100)*0.005),0)))</f>
        <v>4</v>
      </c>
      <c r="EM55" cm="1">
        <f t="array" ref="EM55">IF(OR(B55="",BZ55="",EC55&lt;&gt;1),"",_xlfn.LET(_xlpm.sz,Iдоп_S,_xlpm.t_,CHOOSE(EB55,Iдоп_1ж,Iдоп_2ж,Iдоп_3ж)*DZ55*EA55,_xlpm.dcx,BV55=1,_xlpm.inn,IF(_xlpm.dcx,N(O55),N(DT55)),_xlpm.smin,MAX(1.5,CC55),_xlpm.L_,N(P55),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55)/N(BU55)*100,999),IFERROR(N(EJ55)*(_xlpm.rho*_xlpm.L_/_xlpm.sz*N(CE55)+_xlpm.xx*_xlpm.L_*N(EK55)/1000)*N(O55)/((Uн_лин/SQRT(3))*1000)*100,999)),_xlpm.kz,IF(OR(_xlpm.dcx,DW55=1,NOT(ISNUMBER(EG55)),_xlpm.L_=0,_xlpm.inn=0),1,IFERROR(--(c_min*(Uн_лин*1000/SQRT(3))/(EG55+2*ρкз_Cu*_xlpm.L_/_xlpm.sz)&gt;=HT55*_xlpm.inn),0)),_xlpm.ok,IFERROR((_xlpm.sz&gt;=_xlpm.smin)*(_xlpm.t_&gt;=_xlpm.inn)*IF(_xlpm.L_&gt;0,(_xlpm.du_+IF(_xlpm.dcx,0,EF55)&lt;=EL55+0.00001),1)*_xlpm.kz,0),_xlpm.r_,_xlfn._xlws.FILTER(_xlpm.sz,_xlpm.ok,"не подобрано"),INDEX(_xlpm.r_,1)))</f>
        <v>1.5</v>
      </c>
      <c r="EN55">
        <f t="shared" si="191"/>
        <v>2.5</v>
      </c>
      <c r="EO55" cm="1">
        <f t="array" ref="EO55">IF(OR(B55="",BZ55="",EC55&lt;&gt;1),"",_xlfn.LET(_xlpm.sz,Iдоп_S,_xlpm.t_,CHOOSE(EB55,Iдоп_1ж,Iдоп_2ж,Iдоп_3ж)*DZ55*EA55,_xlpm.ok,IFERROR((_xlpm.sz&gt;=MAX(1.5,CC55))*(_xlpm.t_&gt;=N(DT55)),0),_xlpm.r_,_xlfn._xlws.FILTER(_xlpm.sz,_xlpm.ok,""),INDEX(_xlpm.r_,1)))</f>
        <v>1.5</v>
      </c>
      <c r="EP55" s="6" cm="1">
        <f t="array" ref="EP55">IFERROR(ROUNDUP(N(EJ55)*(_xlfn.XLOOKUP(EO55,INDEX(Кабель_сопротивление,0,1),INDEX(Кабель_сопротивление,0,3))*N(P55)/EO55*N(CE55)+_xlfn.XLOOKUP(EO55,INDEX(Кабель_сопротивление,0,1),INDEX(Кабель_сопротивление,0,2))*N(P55)*N(EK55)/1000)*N(O55)/((Uн_лин/SQRT(3))*1000)*100,2),"")</f>
        <v>0</v>
      </c>
      <c r="EQ55">
        <f>IFERROR(2*ρкз_Cu*N(P55)/EO55,"")</f>
        <v>0</v>
      </c>
      <c r="ER55">
        <f>IFERROR(VLOOKUP(EN55,Кабель_сопротивление,3,FALSE),"")</f>
        <v>2.2499999999999999E-2</v>
      </c>
      <c r="ES55">
        <f>IFERROR(VLOOKUP(EN55,Кабель_сопротивление,2,FALSE),"")</f>
        <v>0.1</v>
      </c>
      <c r="ET55" t="str">
        <f t="shared" si="192"/>
        <v/>
      </c>
      <c r="EU55" t="str">
        <f t="shared" si="193"/>
        <v/>
      </c>
      <c r="EV55" t="str">
        <f t="shared" si="194"/>
        <v/>
      </c>
      <c r="EW55" s="6" t="str">
        <f>IFERROR(ROUNDUP(EV55/IF(BV55=1,BU55,(Uн_лин/SQRT(3))*1000)*100,2),"")</f>
        <v/>
      </c>
      <c r="EX55" t="str">
        <f>IFERROR(VLOOKUP(BZ55,Кабель_обозначение,2,FALSE),"")</f>
        <v>ВВГнг(А)-LS</v>
      </c>
      <c r="EY55" t="str">
        <f t="shared" si="195"/>
        <v>ВВГнг(А)-LS (5х2,5)</v>
      </c>
      <c r="EZ55" t="str">
        <f t="shared" si="196"/>
        <v>ВВГнг(А)-LS (5х2,5)</v>
      </c>
      <c r="FA55" t="str">
        <f>IFERROR(2*ρкз_Cu*P55/EN55,"")</f>
        <v/>
      </c>
      <c r="FB55">
        <f t="shared" si="197"/>
        <v>0</v>
      </c>
      <c r="FC55" s="6" t="str">
        <f>IFERROR(IF(OR(B55="",BV55=1,NOT(ISNUMBER(EN55)),N(P55)=0),"",_xlfn.XLOOKUP(A55,Щиты[Щит],Щиты[Zпетли на шинах, Ом])+FA55),"")</f>
        <v/>
      </c>
      <c r="FD55" s="6" t="str">
        <f>IF(ISNUMBER(FC55),c_min*(Uн_лин*1000/SQRT(3))/FC55,"")</f>
        <v/>
      </c>
      <c r="FE55" s="6">
        <f>IFERROR(IF(OR(B55="",NOT(ISNUMBER(EN55))),"",1.05*(Uн_лин*1000/SQRT(3))/(_xlfn.XLOOKUP(A55,Щиты[Щит],Щиты[Zmax на шинах, Ом])+FB55)/1000),"")</f>
        <v>1.3370225286125974</v>
      </c>
      <c r="FF55" s="6" t="str">
        <f>IF(B55="","",IF(ISNUMBER(AC55),"Сил",IF(IFERROR(_xlfn.XLOOKUP(BC55,Коды_код,Коды_группа)&amp;"","")="","Быт",_xlfn.XLOOKUP(BC55,Коды_код,Коды_группа)&amp;"")))</f>
        <v>Нет</v>
      </c>
      <c r="FG55" s="6" t="str">
        <f t="shared" si="198"/>
        <v>Нет</v>
      </c>
      <c r="FH55" s="6">
        <f>IF(FG55="Щит","щит",IF(FG55="","",IF(FG55="Быт",IFERROR(_xlfn.XLOOKUP(A55,Щиты[Щит],Щиты[Кс быт]),1),IF(FG55="Сил",IF(ISNUMBER(AC55),AC55,IF(Методика="нормы 2026",IFERROR(_xlfn.XLOOKUP(A55,Щиты[Щит],Щиты[Кс силовых (табл. 7.5)]),1),1)),IF(OR(FG55="Пост",FG55="Отоп"),1,IF(FG55="ВНГ",0.7,0))))))</f>
        <v>0</v>
      </c>
      <c r="FI55">
        <f>IF(FG55="","",IF(AND(BP55=1,TRIM(AE55&amp;"")=""),IF(COUNTIFS(Линии[Щит],A55,Линии[Секция (1/2/3)],"&gt;=2")&gt;0,MIN(3,MAX(1,IFERROR(--BD55,1))),1),IFERROR(MIN(3,MAX(1,INT(--AE55))),1)))</f>
        <v>1</v>
      </c>
      <c r="FJ55">
        <f t="shared" si="199"/>
        <v>0</v>
      </c>
      <c r="FK55">
        <f t="shared" si="200"/>
        <v>0</v>
      </c>
      <c r="FL55">
        <f t="shared" si="201"/>
        <v>0</v>
      </c>
      <c r="FM55">
        <f t="shared" si="202"/>
        <v>0</v>
      </c>
      <c r="FN55">
        <f t="shared" si="203"/>
        <v>0</v>
      </c>
      <c r="FO55">
        <f t="shared" si="204"/>
        <v>0</v>
      </c>
      <c r="FP55">
        <f t="shared" si="205"/>
        <v>0</v>
      </c>
      <c r="FQ55">
        <f t="shared" si="206"/>
        <v>0</v>
      </c>
      <c r="FR55">
        <f t="shared" si="207"/>
        <v>0</v>
      </c>
      <c r="FS55">
        <f>IF(CG55=1,IF(AND(CH55=1,CW55=1),0,IF(AND(CS55&lt;&gt;"",CS55=BA55,CW55=1),SUMIFS(Линии[_Р линии, кВт],Линии[_блок УЗО],BA55,Линии[Щит],A55),N(BS55)+IF(AJ55="вручную",0,N(CK55)))),0)</f>
        <v>3.4</v>
      </c>
      <c r="FT55" t="str">
        <f t="shared" si="208"/>
        <v/>
      </c>
      <c r="FU55" t="str">
        <f>IF(B55="","",IF(CG55=0,IF(BA55=1,"",FW54),IF(AND(CH55=1,CW55=1,CS55&lt;&gt;""),IFERROR(_xlfn.XLOOKUP(CS55,Линии[_n],Линии[_фаза итог]),"L1"),IF(OR(N(DL55)&gt;=3,N(BX55)&gt;=3),"L1,L2,L3",IFERROR(_xlfn.TEXTBEFORE(_xlfn.TEXTAFTER(_xlfn.XLOOKUP(A55,Щиты[Щит],Щиты[_фазы авто]),";"&amp;BA55&amp;":"),";"),"L1")))))</f>
        <v>L1,L2,L3</v>
      </c>
      <c r="FV55" t="str">
        <f t="shared" si="209"/>
        <v>L1,L2,L3</v>
      </c>
      <c r="FW55" t="str">
        <f t="shared" si="210"/>
        <v>L1,L2,L3</v>
      </c>
      <c r="FX55" cm="1">
        <f t="array" ref="FX55">IFERROR(IF(CD55=2,_xlfn.IFS(BX55=3,VLOOKUP(BS55,Справочная_двигатели,3,FALSE),BX55=1,VLOOKUP(BS55,Справочная_двигатели,5,TRUE)),0),0)</f>
        <v>0</v>
      </c>
      <c r="FY55">
        <f>IFERROR(IF(CD55=3,VLOOKUP(BS55,Справочная_ЛЭД,2,TRUE),0),0)</f>
        <v>0</v>
      </c>
      <c r="FZ55" s="6">
        <f t="shared" si="211"/>
        <v>0</v>
      </c>
      <c r="GA55" t="str">
        <f>IF(B55="","",IF(TRIM(AH55&amp;"")&lt;&gt;"",IF(LOWER(TRIM(AH55&amp;""))="да","да","нет"),IF(IFERROR(_xlfn.XLOOKUP(BC55,Коды_код,Коды_пожарная),"")="да","да","нет")))</f>
        <v>нет</v>
      </c>
      <c r="GB55" t="str">
        <f t="shared" si="212"/>
        <v/>
      </c>
      <c r="GC55" t="str">
        <f t="shared" si="213"/>
        <v>основная</v>
      </c>
      <c r="GD55">
        <f>IF(AND(BP55=1,TRIM(AE55&amp;"")=""),IF(COUNTIFS(Линии[Щит],A55,Линии[Секция (1/2/3)],"&gt;=2")&gt;0,MIN(3,MAX(1,IFERROR(--BD55,1))),1),IFERROR(MIN(3,MAX(1,INT(--AE55))),1))</f>
        <v>1</v>
      </c>
      <c r="GE55" t="str" cm="1">
        <f t="array" ref="GE55">IF(B55="","",_xlfn.LET(_xlpm.t,IFERROR(_xlfn.XLOOKUP(1,(Шины[Шина]=GC55)*(((Шины[Щит]=A55)+(Шины[Щит]=""))&gt;0),Шины[Тип]),"")&amp;"",IF(_xlpm.t&lt;&gt;"",_xlpm.t,IF(ISNUMBER(SEARCH("ИБП",GC55)),"ИБП",IF(ISNUMBER(SEARCH("ДГУ",GC55)),"ДГУ","Ввод "&amp;GD55)))))</f>
        <v>Ввод 1</v>
      </c>
      <c r="GF55" t="str">
        <f t="shared" si="214"/>
        <v>Ввод 1</v>
      </c>
      <c r="GG55" t="str">
        <f>IF(BP55=0,"",IF(TRIM(AG55&amp;"")&lt;&gt;"",TRIM(AG55&amp;""),IF(OR(GE55="ИБП",GE55="ДГУ"),"I особая",_xlfn.XLOOKUP(A55,Щиты[Щит],Щиты[Категория шины «Ввод»],"III"))))</f>
        <v>I</v>
      </c>
      <c r="GH55" t="str">
        <f>IF(A55="","",_xlfn.XLOOKUP(A55,Щиты[Щит],Щиты[Путь],""))</f>
        <v>|ВРУ|ЩСПЗ|</v>
      </c>
      <c r="GI55" t="str">
        <f>IF(B55="","",IF(AI55&lt;&gt;"",AI55,IF(IFERROR(_xlfn.XLOOKUP(BC55,Коды_код,Коды_вид)&amp;"","")="","Прочее",_xlfn.XLOOKUP(BC55,Коды_код,Коды_вид)&amp;"")))</f>
        <v>Прочее</v>
      </c>
      <c r="GJ55">
        <f>IF(BM55="","",INT((BM55-1)/Столбцов_на_лист)+1)</f>
        <v>1</v>
      </c>
      <c r="GK55" t="str">
        <f t="shared" si="215"/>
        <v>ВВГнг(А)-LS (5х2,5)</v>
      </c>
      <c r="GL55">
        <f t="shared" si="216"/>
        <v>3.4</v>
      </c>
      <c r="GM55">
        <f t="shared" si="217"/>
        <v>7.42</v>
      </c>
      <c r="GN55">
        <f t="shared" si="218"/>
        <v>3</v>
      </c>
      <c r="GO55">
        <f t="shared" si="219"/>
        <v>0</v>
      </c>
      <c r="GP55">
        <f t="shared" si="220"/>
        <v>0</v>
      </c>
      <c r="GQ55" t="str">
        <f>IF(BM55="","",IF(AND(CG55=1,GP55=1),COUNTIFS(A$3:A55,A55,CG$3:CG55,1,GP$3:GP55,1),IF(OR(OR(BA55=1,A55&lt;&gt;A54),AJ55="вручную",GP55=0),"",IF(BA55=1,"",GR54))))</f>
        <v/>
      </c>
      <c r="GR55" t="str">
        <f t="shared" si="221"/>
        <v/>
      </c>
      <c r="GS55">
        <f>IF(B55="","",IFERROR(LOOKUP(INDEX(CHOOSE(EB55,Iдоп_1ж,Iдоп_2ж,Iдоп_3ж),MATCH(EN55,Iдоп_S,0))*DZ55*EA55,{6,10,16,20,25,32,40,50,63,80,100,125,160,200,250,315,400,500,630}),""))</f>
        <v>20</v>
      </c>
      <c r="GT55" t="str">
        <f t="shared" si="222"/>
        <v/>
      </c>
      <c r="GU55" t="str">
        <f t="shared" si="223"/>
        <v/>
      </c>
      <c r="GV55" t="str">
        <f t="shared" si="224"/>
        <v/>
      </c>
      <c r="GW55">
        <f t="shared" si="225"/>
        <v>0</v>
      </c>
      <c r="GX55" t="str">
        <f>IF(OR(B55="",DJ55=""),"",IFERROR(_xlfn.XLOOKUP(DJ55,Модули_умолч[Управление],Модули_умолч[Модель])&amp;"",""))</f>
        <v/>
      </c>
      <c r="GY55">
        <f>IF(DJ55="",1,IFERROR(MAX(0,N(_xlfn.XLOOKUP(DJ55,Модули_умолч[Управление],Модули_умолч[Каналов на линию]))),1))</f>
        <v>1</v>
      </c>
      <c r="GZ55" t="str">
        <f t="shared" si="226"/>
        <v/>
      </c>
      <c r="HA55" t="str">
        <f t="shared" si="227"/>
        <v/>
      </c>
      <c r="HB55" t="str">
        <f t="shared" si="228"/>
        <v/>
      </c>
      <c r="HC55">
        <f>IF(HB55="",0,IFERROR(N(VLOOKUP(HB55,Модули_спр,3,FALSE)),0))</f>
        <v>0</v>
      </c>
      <c r="HD55" t="str">
        <f t="shared" si="229"/>
        <v/>
      </c>
      <c r="HE55" t="str">
        <f t="shared" si="230"/>
        <v/>
      </c>
      <c r="HF55" t="str">
        <f>IF(OR(HE55="",HE55="-"),"",IFERROR(VLOOKUP(HE55,Модули_спр,2,FALSE),"R"))</f>
        <v/>
      </c>
      <c r="HG55" t="str">
        <f>IF(HF55="","",HF55&amp;"."&amp;COUNTIFS(A$3:A55,A55,HF$3:HF55,HF55))</f>
        <v/>
      </c>
      <c r="HH55" t="str">
        <f t="shared" si="231"/>
        <v/>
      </c>
      <c r="HI55" t="str">
        <f t="shared" si="232"/>
        <v/>
      </c>
      <c r="HJ55" t="str">
        <f t="shared" si="233"/>
        <v/>
      </c>
      <c r="HK55" t="str">
        <f t="shared" si="234"/>
        <v/>
      </c>
      <c r="HL55">
        <f t="shared" si="235"/>
        <v>0</v>
      </c>
      <c r="HM55" t="str">
        <f>IF(HL55=1,"XT"&amp;COUNTIFS(A$3:A55,A55,HL$3:HL55,1),"")</f>
        <v/>
      </c>
      <c r="HN55" t="str">
        <f t="shared" si="236"/>
        <v/>
      </c>
      <c r="HO55" t="str">
        <f t="shared" si="237"/>
        <v/>
      </c>
      <c r="HP55" t="str">
        <f t="shared" si="238"/>
        <v/>
      </c>
      <c r="HQ55" t="str">
        <f t="shared" si="239"/>
        <v>ok</v>
      </c>
      <c r="HR55" t="str">
        <f>IF(OR(HJ55="",HH55=""),"",IF(HJ55+MAX(0,GY55-1)&gt;IFERROR(VLOOKUP(HI55,Модули_спр,3,FALSE),99),"ЛИШНИЙ КАНАЛ",IF(AND(AL55&lt;&gt;"=",GY55&gt;0,COUNTIFS(Линии[_модуль гр.],HH55,Линии[Канал (итог)],HJ55,Линии[Канал],"&lt;&gt;=",Линии[Щит],A55)&gt;1),"ДУБЛЬ КАНАЛА","")))</f>
        <v/>
      </c>
      <c r="HS55" s="6" t="str">
        <f t="shared" si="240"/>
        <v/>
      </c>
      <c r="HT55">
        <f t="shared" si="241"/>
        <v>10</v>
      </c>
      <c r="HU55" t="str">
        <f t="shared" si="242"/>
        <v/>
      </c>
      <c r="HV55">
        <f t="shared" si="243"/>
        <v>0</v>
      </c>
      <c r="HW55">
        <f t="shared" si="244"/>
        <v>0</v>
      </c>
      <c r="HX55">
        <f t="shared" si="245"/>
        <v>0</v>
      </c>
      <c r="HY55">
        <f t="shared" si="246"/>
        <v>0</v>
      </c>
      <c r="HZ55">
        <f t="shared" si="247"/>
        <v>0</v>
      </c>
      <c r="IA55">
        <f t="shared" si="248"/>
        <v>0</v>
      </c>
      <c r="IB55">
        <f t="shared" si="249"/>
        <v>0</v>
      </c>
      <c r="IC55" t="str">
        <f t="shared" si="250"/>
        <v/>
      </c>
      <c r="ID55" t="str" cm="1">
        <f t="array" ref="ID55">IF(IC55="","",_xlfn.LET(_xlpm.tk,_xlfn.TEXTSPLIT(SUBSTITUTE(SUBSTITUTE(IC55,";"," "),"→"," ")," ",,TRUE),_xlpm.w_,_xlfn._xlws.FILTER(_xlpm.tk,ISNUMBER(--LEFT(_xlpm.tk,1))*((ISNUMBER(SEARCH("W",_xlpm.tk))+ISNUMBER(SEARCH("Вт",_xlpm.tk)))&gt;0),""),IFERROR(--SUBSTITUTE(SUBSTITUTE(UPPER(INDEX(_xlpm.w_,1)),"W",""),"ВТ",""),"")))</f>
        <v/>
      </c>
      <c r="IE55" t="str" cm="1">
        <f t="array" ref="IE55">IF(IC55="","",_xlfn.LET(_xlpm.tk,_xlfn.TEXTSPLIT(SUBSTITUTE(SUBSTITUTE(IC55,";"," "),"→"," ")," ",,TRUE),_xlpm.v_,_xlfn._xlws.FILTER(_xlpm.tk,ISNUMBER(--LEFT(_xlpm.tk,1))*((ISNUMBER(SEARCH("V",_xlpm.tk))+(RIGHT(UPPER(_xlpm.tk))="В"))&gt;0),""),IFERROR(--SUBSTITUTE(SUBSTITUTE(UPPER(INDEX(_xlpm.v_,1)),"V",""),"В",""),"")))</f>
        <v/>
      </c>
      <c r="IF55" s="6" t="str">
        <f>IF(OR(BV55=0,HI55="",HJ55=""),"",IFERROR(N(_xlfn.XLOOKUP(HI55,Каталог!$C$4:$C$500,Каталог!$Q$4:$Q$500)),""))</f>
        <v/>
      </c>
      <c r="IG55" s="6" t="str">
        <f>IF(N(IF55)=0,"",SUMIFS(Линии[Iр, А],Линии[Щит],A55,Линии[_модуль гр.],HH55,Линии[Канал (итог)],HJ55))</f>
        <v/>
      </c>
      <c r="IH55" t="str">
        <f>IF(AND(B55="",HO55=""),"",_xlfn.TEXTJOIN("; ",TRUE,IF(AND(B55&lt;&gt;"",FV55=""),"нет фазы",""),IF(AND(B55&lt;&gt;"",N(GL55)=0,FG55&lt;&gt;"Нет"),"нет мощности",""),IF(AND(HN55&lt;&gt;"",COUNTIFS(Линии[Щит],A55,Линии[Клемма (итог)],HN55)&gt;1),"дубль клеммы "&amp;HN55,""),IF(AND(HQ55&lt;&gt;"",HQ55&lt;&gt;"ok"),HQ55,""),IF(HR55&lt;&gt;"",HR55,""),IF(AND(N(CB55)&gt;=4,N(BX55)=1),CB55&amp;" жил на 1 фазе",""),IF(AND(BC55="R",CG55=1,IF(CS55&lt;&gt;"",N(CV55)&gt;30,OR(N(DA55)=0,N(DA55)&gt;30))),"розетка без дифзащиты до 30 мА",""),IF(AND(CG55=1,N(DA55)&gt;0,ISNUMBER(T55)),IF(T55&gt;N(DA55)/3,"ток утечки "&amp;FIXED(T55,1)&amp;" мА &gt; 1/3 уставки ("&amp;DA55&amp;" мА)",""),""),IF(AND(CH55=1,CS55=""),"«узо»: нет строки с УЗО выше (УЗО 2P 40А 30мА в «Аппаратах»)",""),IF(AND(CS55&lt;&gt;"",CS55=BA55),IF(CT55="","впишите номинал УЗО (УЗО 2P 40А 30мА)",IF(N(CT55)&lt;N(DT55),"УЗО "&amp;CT55&amp;" А &lt; автомата "&amp;DT55&amp;" А перед ним",IF(N(CT55)&lt;N(CX55),"УЗО "&amp;CT55&amp;" А &lt; тока блока "&amp;FIXED(CX55,1)&amp;" А",""))),""),IF(AND(CS55&lt;&gt;"",CS55=BA55,ISNUMBER(CY55)),IF(CY55&gt;N(CV55)/3,"ток утечки блока УЗО "&amp;FIXED(CY55,1)&amp;" мА &gt; 1/3 уставки ("&amp;CV55&amp;" мА)",""),""),IF(AND(CG55=1,N(BV55)+N(IB55)&gt;0,IC55=""),"линии до 50 В без БП: впишите в «Аппараты» (БП 24V 480W)",""),IF(AND(CG55=1,ISNUMBER(ID55),ISNUMBER(U55)),IF(U55&gt;ID55,"БП "&amp;ID55&amp;" Вт &lt; нужно "&amp;U55&amp;" Вт (×"&amp;Запас_БП&amp;")",""),""),IF(AND(CG55=1,ISNUMBER(IE55),N(BV55)=1),IF(IE55&lt;&gt;N(BU55),"БП на "&amp;IE55&amp;" В, линия "&amp;BU55&amp;" В",""),""),IF(AND(N(IF55)&gt;0,N(IG55)&gt;N(IF55)),HH55&amp;" канал "&amp;HJ55&amp;": "&amp;FIXED(IG55,1)&amp;" А &gt; "&amp;IF55&amp;" А",""),IFERROR(IF(AND(ISNUMBER(Q55),Q55&gt;EL55),"потери "&amp;FIXED(Q55,1)&amp;" % &gt; "&amp;EL55&amp;" %",""),""),IFERROR(IF(LEFT(HU55,4)="мало","Iкз мало — отключение &gt; 0,4 с",""),""),IF(AND(B55&lt;&gt;"",BM55=""),"не на схеме",""),IF(AND(CG55=0,B55&lt;&gt;"",FV55&lt;&gt;"",IF(BA55=1,"",FW54)&lt;&gt;"",FV55&lt;&gt;IF(BA55=1,"",FW54)),"фаза не как у автомата группы ("&amp;IF(BA55=1,"",FW54)&amp;")","")))</f>
        <v/>
      </c>
      <c r="II55" s="6" t="str">
        <f>IF(OR(CG55=0,DQ55=""),"",_xlfn.LET(_xlpm.t,IFERROR(_xlfn.XLOOKUP(DQ55,Каталог!$U$4:$U$500,Каталог!$G$4:$G$500),""),_xlpm.k,SEARCH("кА",_xlpm.t),IFERROR(--TRIM(RIGHT(SUBSTITUTE(MID(_xlpm.t,MAX(1,_xlpm.k-4),_xlpm.k-MAX(1,_xlpm.k-4))," ",REPT(" ",9)),5)),"")))</f>
        <v/>
      </c>
      <c r="IJ55" t="str">
        <f>IF(OR(II55="",CG55=0),"",IF(_xlfn.XLOOKUP(A55,Щиты[Щит],Щиты[Iкз max на шинах, кА],"")="","",IF(II55&lt;_xlfn.XLOOKUP(A55,Щиты[Щит],Щиты[Iкз max на шинах, кА]),"Icu "&amp;II55&amp;" кА &lt; Iкз max","ok")))</f>
        <v/>
      </c>
      <c r="IK55" t="str">
        <f t="shared" si="251"/>
        <v/>
      </c>
      <c r="IL55" t="str">
        <f t="shared" si="252"/>
        <v/>
      </c>
      <c r="IM55" t="str">
        <f t="shared" si="253"/>
        <v/>
      </c>
      <c r="IN55" t="str" cm="1">
        <f t="array" ref="IN55">IF(IM55="","",_xlfn.LET(_xlpm.nd,_xlfn.TEXTSPLIT(IM55,"|"),IF(COLUMNS(_xlpm.nd)&gt;1,A55&amp;"¦"&amp;INDEX(_xlpm.nd,1)&amp;"¦"&amp;INDEX(_xlpm.nd,2),"")))</f>
        <v/>
      </c>
      <c r="IO55" t="str">
        <f t="shared" si="254"/>
        <v/>
      </c>
      <c r="IP55" t="str" cm="1">
        <f t="array" ref="IP55">IF(IM55="","",_xlfn.LET(_xlpm.nd,_xlfn.TEXTSPLIT(IM55,"|"),IF(COLUMNS(_xlpm.nd)&gt;2,A55&amp;"¦"&amp;INDEX(_xlpm.nd,2)&amp;"¦"&amp;INDEX(_xlpm.nd,3),"")))</f>
        <v/>
      </c>
      <c r="IQ55" t="str">
        <f t="shared" si="255"/>
        <v/>
      </c>
      <c r="IR55" t="str" cm="1">
        <f t="array" ref="IR55">IF(IM55="","",_xlfn.LET(_xlpm.nd,_xlfn.TEXTSPLIT(IM55,"|"),IF(COLUMNS(_xlpm.nd)&gt;3,A55&amp;"¦"&amp;INDEX(_xlpm.nd,3)&amp;"¦"&amp;INDEX(_xlpm.nd,4),"")))</f>
        <v/>
      </c>
      <c r="IS55" t="str">
        <f t="shared" si="256"/>
        <v/>
      </c>
      <c r="IT55" t="str" cm="1">
        <f t="array" ref="IT55">IF(IM55="","",_xlfn.LET(_xlpm.nd,_xlfn.TEXTSPLIT(IM55,"|"),IF(COLUMNS(_xlpm.nd)&gt;4,A55&amp;"¦"&amp;INDEX(_xlpm.nd,4)&amp;"¦"&amp;INDEX(_xlpm.nd,5),"")))</f>
        <v/>
      </c>
      <c r="IU55" t="str">
        <f t="shared" si="257"/>
        <v/>
      </c>
      <c r="IV55" t="str" cm="1">
        <f t="array" ref="IV55">IF(IM55="","",_xlfn.LET(_xlpm.nd,_xlfn.TEXTSPLIT(IM55,"|"),IF(COLUMNS(_xlpm.nd)&gt;5,A55&amp;"¦"&amp;INDEX(_xlpm.nd,5)&amp;"¦"&amp;INDEX(_xlpm.nd,6),"")))</f>
        <v/>
      </c>
      <c r="IW55" t="str">
        <f t="shared" si="258"/>
        <v/>
      </c>
      <c r="IX55" t="str" cm="1">
        <f t="array" ref="IX55">IF(IM55="","",_xlfn.LET(_xlpm.nd,_xlfn.TEXTSPLIT(IM55,"|"),IF(COLUMNS(_xlpm.nd)&gt;6,A55&amp;"¦"&amp;INDEX(_xlpm.nd,6)&amp;"¦"&amp;INDEX(_xlpm.nd,7),"")))</f>
        <v/>
      </c>
      <c r="IY55" t="str">
        <f t="shared" si="259"/>
        <v/>
      </c>
      <c r="IZ55" t="str">
        <f t="shared" si="260"/>
        <v/>
      </c>
      <c r="JA55" t="str">
        <f t="shared" si="261"/>
        <v/>
      </c>
      <c r="JB55">
        <f t="shared" si="262"/>
        <v>0</v>
      </c>
      <c r="JC55">
        <f t="shared" si="263"/>
        <v>0</v>
      </c>
      <c r="JD55" t="str">
        <f t="shared" si="264"/>
        <v/>
      </c>
      <c r="JE55" t="str">
        <f t="shared" si="265"/>
        <v/>
      </c>
      <c r="JF55" t="str">
        <f t="shared" si="266"/>
        <v/>
      </c>
      <c r="JG55" t="str">
        <f t="shared" si="267"/>
        <v/>
      </c>
      <c r="JH55">
        <f>IF(B55="","",IFERROR(_xlfn.XLOOKUP(B55,Коды_код,Коды_уго),IFERROR(_xlfn.XLOOKUP(BC55,Коды_код,Коды_уго),IFERROR(_xlfn.XLOOKUP(LEFT(BC55,2),Коды_код,Коды_уго),""))))</f>
        <v>0</v>
      </c>
      <c r="JI55" t="str">
        <f>IF(B55="","",IF(OR(JH55="",JH55=0),"BOX",IFERROR(IF(VLOOKUP(JH55,УГО_блоки,3,FALSE)&amp;""&lt;&gt;"",VLOOKUP(JH55,УГО_блоки,3,FALSE),VLOOKUP(JH55,УГО_блоки,2,FALSE)),JH55)))</f>
        <v>BOX</v>
      </c>
      <c r="JJ55">
        <f t="shared" si="268"/>
        <v>1</v>
      </c>
      <c r="JK55" t="str">
        <f>IF(DQ55="","",IF(COUNTIF(DQ$3:DQ55,DQ55)=1,MAX(JK$2:JK54)+1,""))</f>
        <v/>
      </c>
      <c r="JL55" t="str">
        <f>IF(DE55="","",IF(COUNTIF(DE$3:DE55,DE55)+COUNTIF(DF$2:DF54,DE55)+COUNTIF(DG$2:DG54,DE55)=1,MAX(JL$2:JN54)+1,""))</f>
        <v/>
      </c>
      <c r="JM55" t="str">
        <f>IF(DF55="","",IF(COUNTIF(DE$3:DE55,DF55)+COUNTIF(DF$3:DF55,DF55)+COUNTIF(DG$2:DG54,DF55)=1,MAX(JL$2:JN54,JL55)+1,""))</f>
        <v/>
      </c>
      <c r="JN55" t="str">
        <f>IF(DG55="","",IF(COUNTIF(DE$3:DE55,DG55)+COUNTIF(DF$3:DF55,DG55)+COUNTIF(DG$3:DG55,DG55)=1,MAX(JL$2:JN54,JL55,JM55)+1,""))</f>
        <v/>
      </c>
      <c r="JO55" t="str">
        <f t="shared" si="269"/>
        <v/>
      </c>
      <c r="JP55" t="str">
        <f>IF(JO55="","",IF(COUNTIF(JO$3:JO55,JO55)=1,MAX(JP$2:JP54)+1,""))</f>
        <v/>
      </c>
      <c r="JQ55" t="str">
        <f>IF(HG55="","",COUNTIF(HG$3:HG55,"?*"))</f>
        <v/>
      </c>
      <c r="JR55" t="str">
        <f>IF(OR(HG55="",HI55=""),"",IF(COUNTIFS(HG$3:HG55,"?*",HI$3:HI55,HI55)=1,MAX(JR$2:JR54)+1,""))</f>
        <v/>
      </c>
      <c r="JS55">
        <f t="shared" si="270"/>
        <v>0</v>
      </c>
      <c r="JT55">
        <f>IF(B55="","",COUNTIF(B$3:B55,"?*"))</f>
        <v>51</v>
      </c>
      <c r="JU55">
        <f>IF(HL55&lt;&gt;1,0,_xlfn.LET(_xlpm.k,MAX(IFERROR(--_xlfn.XLOOKUP(B55,Коды_код,Коды_3L),0),IFERROR(--_xlfn.XLOOKUP(BC55,Коды_код,Коды_3L),0),IFERROR(--_xlfn.XLOOKUP(LEFT(BC55,2),Коды_код,Коды_3L),0)),IF(_xlpm.k&gt;0,_xlpm.k,IF(IFERROR(--LEFT(SUBSTITUTE(JO55,"x","х"),FIND("х",SUBSTITUTE(JO55,"x","х"))-1),3)&gt;3,Каталог!$S$9,1))))</f>
        <v>0</v>
      </c>
      <c r="JV55">
        <f t="shared" si="271"/>
        <v>0</v>
      </c>
      <c r="JW55" t="str">
        <f t="shared" si="272"/>
        <v>авто</v>
      </c>
      <c r="JX55" t="str">
        <f t="shared" si="273"/>
        <v/>
      </c>
      <c r="JY55">
        <f t="shared" si="274"/>
        <v>0</v>
      </c>
      <c r="JZ55">
        <f t="shared" si="275"/>
        <v>1</v>
      </c>
    </row>
    <row r="56" spans="1:286" x14ac:dyDescent="0.3">
      <c r="A56" t="s">
        <v>949</v>
      </c>
      <c r="B56" t="s">
        <v>1234</v>
      </c>
      <c r="C56" t="s">
        <v>1255</v>
      </c>
      <c r="E56">
        <v>0.4</v>
      </c>
      <c r="G56" t="str">
        <f>Линии[[#This Row],[_авто автомат]]</f>
        <v>1P С6А</v>
      </c>
      <c r="H56" t="str">
        <f>Линии[[#This Row],[_авто управление]]</f>
        <v/>
      </c>
      <c r="I56" t="str">
        <f>Линии[[#This Row],[_авто аппараты]]</f>
        <v/>
      </c>
      <c r="J56">
        <f>Линии[[#This Row],[_авто сечение]]</f>
        <v>1.5</v>
      </c>
      <c r="K56">
        <v>10</v>
      </c>
      <c r="L56" t="str">
        <f>Линии[[#This Row],[_авто фаза]]</f>
        <v>L1</v>
      </c>
      <c r="M56" t="str">
        <f>Линии[[#This Row],[_авто клемма]]</f>
        <v>XT1</v>
      </c>
      <c r="N56" t="str">
        <f t="shared" si="138"/>
        <v/>
      </c>
      <c r="O56" s="6" cm="1">
        <f t="array" ref="O56">IF(B56="","",IF(BH56&lt;&gt;"",IFERROR(_xlfn.XLOOKUP(BH56,Щиты[Щит],Щиты[Iр, А]),""),IF(BP56=1,IF(OR(N(_xlfn.XLOOKUP(A56,Щиты[Щит],Щиты[Вводов],1))&lt;=1,LOWER(TRIM(_xlfn.XLOOKUP(A56,Щиты[Щит],Щиты[АВР],"")&amp;""))="да"),IFERROR(_xlfn.XLOOKUP(A56,Щиты[Щит],Щиты[Iр, А]),""),IFERROR(N(BS56)*_xlfn.XLOOKUP(A56,Щиты[Щит],Щиты[Кс итог])/(SQRT(3)*Uн_лин*_xlfn.XLOOKUP(A56,Щиты[Щит],Щиты[cos φ])),"")),IF(BV56=1,IFERROR(BS56*1000/BU56,""),IFERROR(_xlfn.IFS(BX56=1,BS56/((Uн_лин/SQRT(3))*CE56),BX56=3,BS56/(SQRT(3)*Uн_лин*CE56)),"")))))</f>
        <v>1.823211376388292</v>
      </c>
      <c r="P56" s="7">
        <f>IF(B56="","",IFERROR(IF(VLOOKUP(BC56,Потребители_обозначение,4,FALSE)=1,VLOOKUP(BC56,Потребители_обозначение,3,FALSE)*(MAX(1,N(D56))*2-1)+EI56+VLOOKUP(BE56,Этаж_обозначение,3,FALSE)+VLOOKUP(BE56,Этаж_обозначение,4,FALSE),VLOOKUP(BC56,Потребители_обозначение,3,FALSE)*(MAX(1,N(D56))*2-1)+EI56),EI56))</f>
        <v>11</v>
      </c>
      <c r="Q56" s="6">
        <f t="shared" si="139"/>
        <v>1.5660288498727977</v>
      </c>
      <c r="R56" t="str">
        <f t="shared" si="140"/>
        <v>ВВГнг(А)-FRLS (3х1,5)</v>
      </c>
      <c r="S56" t="str">
        <f>IF(BM56="","",IF(BN56="вводной узел","узел ","")&amp;"л."&amp;(INT((BM56-1)/Столбцов_на_лист)+1)&amp;" / "&amp;(MOD(BM56-1,Столбцов_на_лист)+1))</f>
        <v>л.1 / 4</v>
      </c>
      <c r="T56" s="119">
        <f t="shared" si="141"/>
        <v>0.8</v>
      </c>
      <c r="U56" s="7" t="str">
        <f>IF(OR(CG56=0,N(BV56)+N(IB56)=0),"",ROUNDUP(Запас_БП*(N(HY56)+N(HZ56)),0))</f>
        <v/>
      </c>
      <c r="V56" s="119" t="str">
        <f t="shared" si="142"/>
        <v/>
      </c>
      <c r="W56" s="7">
        <f>IFERROR(IF(OR(B56="",BP56=1,BV56=1,NOT(ISNUMBER(EN56)),N(DT56)=0),"",MAX(0,ROUNDDOWN((c_min*(Uн_лин*1000/SQRT(3))/(HT56*N(DT56))-_xlfn.XLOOKUP(A56,Щиты[Щит],Щиты[Zпетли на шинах, Ом]))*EN56/(2*ρкз_Cu),0))),"")</f>
        <v>87</v>
      </c>
      <c r="Y56" t="str">
        <f>Линии[[#This Row],[_авто утечка]]</f>
        <v/>
      </c>
      <c r="Z56">
        <v>1</v>
      </c>
      <c r="AA56">
        <v>230</v>
      </c>
      <c r="AB56" t="str">
        <f>Линии[[#This Row],[_авто группа Кс]]</f>
        <v>Пост</v>
      </c>
      <c r="AG56" t="s">
        <v>800</v>
      </c>
      <c r="AH56" t="s">
        <v>497</v>
      </c>
      <c r="AK56" t="str">
        <f>Линии[[#This Row],[_авто модуль]]</f>
        <v/>
      </c>
      <c r="AN56" t="s">
        <v>13</v>
      </c>
      <c r="AO56">
        <v>3</v>
      </c>
      <c r="BA56" cm="1">
        <f t="array" ref="BA56">ROW()-ROW(Линии[#Headers])</f>
        <v>54</v>
      </c>
      <c r="BC56" s="6" t="str">
        <f t="shared" si="143"/>
        <v>АПС</v>
      </c>
      <c r="BD56" t="str">
        <f t="shared" si="144"/>
        <v>0.02.1</v>
      </c>
      <c r="BE56" t="str">
        <f t="shared" si="145"/>
        <v>0</v>
      </c>
      <c r="BF56" t="str">
        <f t="shared" si="146"/>
        <v>02.1</v>
      </c>
      <c r="BG56" t="str">
        <f t="shared" si="147"/>
        <v>02</v>
      </c>
      <c r="BH56" t="str">
        <f>IF(X56&lt;&gt;"",X56,IF(AND(B56&lt;&gt;"",B56&lt;&gt;A56,ISNUMBER(_xlfn.XMATCH(B56,Щиты[Щит]))),B56,""))</f>
        <v/>
      </c>
      <c r="BI56" t="str" cm="1">
        <f t="array" ref="BI56">IF(B56="","",IF(BH56&lt;&gt;"","Щит "&amp;BH56,_xlfn.LET(_xlpm.nm,IFERROR(_xlfn.XLOOKUP(BC56,Коды_код,Коды_имя)&amp;"",""),_xlpm.md,IFERROR(N(_xlfn.XLOOKUP(BC56,Коды_код,Коды_режим)),1),_xlpm.ex,IF(Имя_режим="по экспликации",IFERROR(_xlfn.XLOOKUP(BE56&amp;"|"&amp;BG56,Экспликация[Этаж]&amp;"|"&amp;Экспликация[Помещение],Экспликация[Название])&amp;"",""),""),_xlpm.rm,IF(BG56="","",IF(_xlpm.ex&lt;&gt;"",". "&amp;_xlpm.ex&amp;IF(Имя_пом="нет"," ("&amp;BG56&amp;")"," (пом. "&amp;BG56&amp;")"),IF(Имя_пом="нет"," ",", пом. ")&amp;BG56)),IF(_xlpm.nm="","",IF(_xlpm.md=2,_xlpm.nm&amp;" шлейф "&amp;BE56,_xlpm.nm&amp;_xlpm.rm)))))</f>
        <v>Реле АПС, пом. 02</v>
      </c>
      <c r="BJ56" t="str">
        <f t="shared" si="148"/>
        <v>Прибор пожарной сигнализации</v>
      </c>
      <c r="BK56">
        <f>IFERROR(_xlfn.XMATCH(A56,Щиты[Щит]),0)</f>
        <v>6</v>
      </c>
      <c r="BL56">
        <f>_xlfn.LET(_xlpm.k,IFERROR(_xlfn.XLOOKUP(A56,Щиты[Щит],Щиты[Мест под вводной узел]),""),IF(_xlpm.k="",Столбцов_на_лист,N(_xlpm.k)))</f>
        <v>3</v>
      </c>
      <c r="BM56">
        <f t="shared" si="149"/>
        <v>4</v>
      </c>
      <c r="BN56" t="str">
        <f t="shared" si="150"/>
        <v>линии</v>
      </c>
      <c r="BO56" s="6">
        <f>IFERROR(N(_xlfn.XLOOKUP(BC56,Коды_код,Коды_квт)),0)</f>
        <v>0</v>
      </c>
      <c r="BP56">
        <f t="shared" si="151"/>
        <v>0</v>
      </c>
      <c r="BQ56" t="str">
        <f>IF(B56="","",IF(BH56&lt;&gt;"",IFERROR(_xlfn.XLOOKUP(BH56,Щиты[Щит],Щиты[Руст, кВт]),0),IF(BP56=1,IF(OR(N(_xlfn.XLOOKUP(A56,Щиты[Щит],Щиты[Вводов],1))&lt;=1,LOWER(TRIM(_xlfn.XLOOKUP(A56,Щиты[Щит],Щиты[АВР],"")&amp;""))="да"),IFERROR(_xlfn.XLOOKUP(A56,Щиты[Щит],Щиты[Руст, кВт]),0),SUMIFS(Линии[_Р для вводов],Линии[Щит],A56,Линии[Источник для режимов],GF56)),IF(BO56&gt;0,ROUND(BO56*MAX(1,N(D56)),3),""))))</f>
        <v/>
      </c>
      <c r="BR56">
        <f t="shared" si="152"/>
        <v>0.4</v>
      </c>
      <c r="BS56" s="6">
        <f>IF(B56="","",IF(BH56&lt;&gt;"",IFERROR(_xlfn.XLOOKUP(BH56,Щиты[Щит],Щиты[Руст, кВт]),0),N(BR56)))</f>
        <v>0.4</v>
      </c>
      <c r="BT56" t="str">
        <f>IF(B56="","",IFERROR(IF(VLOOKUP(BC56,Потребители_обозначение,8,FALSE)=0,"",VLOOKUP(BC56,Потребители_обозначение,8,FALSE)),""))</f>
        <v/>
      </c>
      <c r="BU56">
        <f t="shared" si="153"/>
        <v>230</v>
      </c>
      <c r="BV56">
        <f t="shared" si="154"/>
        <v>0</v>
      </c>
      <c r="BW56">
        <f>IF(B56="","",IF(BH56&lt;&gt;"",3,IFERROR(IF(N(VLOOKUP(BC56,Потребители_обозначение,9,FALSE))=0,1,VLOOKUP(BC56,Потребители_обозначение,9,FALSE)),1)))</f>
        <v>1</v>
      </c>
      <c r="BX56">
        <f t="shared" si="155"/>
        <v>1</v>
      </c>
      <c r="BY56" t="str">
        <f>IF(B56="","",_xlfn.LET(_xlpm.bc,IFERROR(IF(VLOOKUP(BC56,Потребители_обозначение,6,FALSE)=0,"",VLOOKUP(BC56,Потребители_обозначение,6,FALSE)&amp;""),""),IF(AND(GA56="да",OR(_xlpm.bc="",_xlpm.bc="мс")),Марка_пож,IF(AND(_xlpm.bc="",BH56&lt;&gt;""),"мс",_xlpm.bc))))</f>
        <v>мфр</v>
      </c>
      <c r="BZ56" t="str">
        <f t="shared" si="156"/>
        <v>мфр</v>
      </c>
      <c r="CA56">
        <f>IF(B56="","",_xlfn.LET(_xlpm.cc,IFERROR(N(VLOOKUP(BC56,Потребители_обозначение,7,FALSE)),0),IF(_xlpm.cc&gt;0,_xlpm.cc,IF(BZ56="","",IF(BV56=1,2,IF(N(BX56)=3,5,3))))))</f>
        <v>3</v>
      </c>
      <c r="CB56">
        <f t="shared" si="157"/>
        <v>3</v>
      </c>
      <c r="CC56">
        <f>IFERROR(N(VLOOKUP(BC56,Потребители_обозначение,10,FALSE)),0)</f>
        <v>0</v>
      </c>
      <c r="CD56">
        <f>IFERROR(VLOOKUP(BC56,Потребители_обозначение,5,FALSE),0)</f>
        <v>1</v>
      </c>
      <c r="CE56" s="6" cm="1">
        <f t="array" ref="CE56">IF(B56="","",IF(BH56&lt;&gt;"",IFERROR(_xlfn.XLOOKUP(BH56,Щиты[Щит],Щиты[cos φ]),0.95),IF(BP56=1,IFERROR(_xlfn.XLOOKUP(A56,Щиты[Щит],Щиты[cos φ]),0.95),IF(ISNUMBER(AD56),AD56,IFERROR(IF(CD56=2,_xlfn.IFS(BX56=3,VLOOKUP(BS56,Справочная_двигатели,8,FALSE),BX56=1,VLOOKUP(BS56,Справочная_двигатели,10,TRUE)),IF(AND(Методика="нормы 2026",FG56="Сил"),0.8,0.95)),0.95)))))</f>
        <v>0.95</v>
      </c>
      <c r="CF56">
        <f t="shared" si="158"/>
        <v>0</v>
      </c>
      <c r="CG56">
        <f t="shared" si="159"/>
        <v>1</v>
      </c>
      <c r="CH56">
        <f t="shared" si="160"/>
        <v>0</v>
      </c>
      <c r="CI56">
        <f>IF(B56="","",IF(BV56=1,IFERROR(BS56/((Uн_лин/SQRT(3))*MAX(0.5,N(CE56))),0),N(O56)))</f>
        <v>1.823211376388292</v>
      </c>
      <c r="CJ56">
        <f t="shared" si="161"/>
        <v>0</v>
      </c>
      <c r="CK56">
        <f t="shared" si="162"/>
        <v>0</v>
      </c>
      <c r="CL56">
        <f t="shared" si="163"/>
        <v>0</v>
      </c>
      <c r="CM56">
        <f t="shared" si="164"/>
        <v>0</v>
      </c>
      <c r="CN56">
        <f t="shared" si="165"/>
        <v>0</v>
      </c>
      <c r="CO56">
        <f>IF(BC56="",0,_xlfn.LET(_xlpm.v,IFERROR(_xlfn.XLOOKUP(B56,Коды_код,Коды_мА),IFERROR(_xlfn.XLOOKUP(BC56,Коды_код,Коды_мА),IFERROR(_xlfn.XLOOKUP(LEFT(BC56,2),Коды_код,Коды_мА),""))),IF(_xlpm.v="да",30,IF(ISNUMBER(_xlpm.v),_xlpm.v,0))))</f>
        <v>0</v>
      </c>
      <c r="CP56" t="str">
        <f t="shared" si="166"/>
        <v/>
      </c>
      <c r="CQ56" t="str">
        <f>_xlfn.LET(_xlpm.k,IFERROR(_xlfn.XLOOKUP(BC56,Коды_код,Коды_утечка)&amp;"",""),IF(_xlpm.k="","дифавтомат",_xlpm.k))</f>
        <v>дифавтомат</v>
      </c>
      <c r="CR56" t="str" cm="1">
        <f t="array" ref="CR56">IF(CG56=0,"",_xlfn.LET(_xlpm.sg,TRIM(_xlfn.TEXTSPLIT(DD56&amp;"",";")),_xlpm.f_,_xlfn._xlws.FILTER(_xlpm.sg,LEFT(_xlpm.sg,3)="УЗО",""),IFERROR(INDEX(_xlpm.f_,1)&amp;"","")))</f>
        <v/>
      </c>
      <c r="CS56" t="str">
        <f t="shared" si="167"/>
        <v/>
      </c>
      <c r="CT56" s="6" t="str" cm="1">
        <f t="array" ref="CT56">IF(CR56="","",_xlfn.LET(_xlpm.tk,_xlfn.TEXTSPLIT(UPPER(CR56)," ",,TRUE),_xlpm.a_,_xlfn._xlws.FILTER(_xlpm.tk,ISNUMBER(--LEFT(_xlpm.tk,1))*((ISNUMBER(SEARCH("А",_xlpm.tk))+ISNUMBER(SEARCH("A",_xlpm.tk)))&gt;0)*NOT(ISNUMBER(SEARCH("МА",_xlpm.tk)))*NOT(ISNUMBER(SEARCH("MA",_xlpm.tk))),""),IFERROR(--SUBSTITUTE(SUBSTITUTE(INDEX(_xlpm.a_,1),"А",""),"A",""),"")))</f>
        <v/>
      </c>
      <c r="CU56" t="str" cm="1">
        <f t="array" ref="CU56">IF(CR56="","",_xlfn.LET(_xlpm.tk,_xlfn.TEXTSPLIT(UPPER(CR56)," ",,TRUE),_xlpm.a_,_xlfn._xlws.FILTER(_xlpm.tk,ISNUMBER(--LEFT(_xlpm.tk,1))*((ISNUMBER(SEARCH("МА",_xlpm.tk))+ISNUMBER(SEARCH("MA",_xlpm.tk)))&gt;0),""),IFERROR(--SUBSTITUTE(SUBSTITUTE(INDEX(_xlpm.a_,1),"МА",""),"MA",""),30)))</f>
        <v/>
      </c>
      <c r="CV56" t="str">
        <f>IF(CS56="","",IFERROR(_xlfn.XLOOKUP(CS56,Линии[_n],Линии[_УЗО, мА]),30))</f>
        <v/>
      </c>
      <c r="CW56">
        <f>IF(CS56="",0,IF(ISNUMBER(SEARCH("4P",IFERROR(_xlfn.XLOOKUP(CS56,Линии[_n],Линии[_УЗО строки])&amp;"",""))),0,1))</f>
        <v>0</v>
      </c>
      <c r="CX56" t="str">
        <f>IF(AND(CS56&lt;&gt;"",CS56=BA56),SUMIFS(Линии[_ток на 230 В],Линии[_блок УЗО],BA56,Линии[Щит],A56),"")</f>
        <v/>
      </c>
      <c r="CY56" t="str">
        <f>IF(AND(CS56&lt;&gt;"",CS56=BA56),SUMIFS(Линии[_ток утечки линии, мА],Линии[_блок УЗО],BA56,Линии[Щит],A56),"")</f>
        <v/>
      </c>
      <c r="CZ56">
        <f t="shared" si="168"/>
        <v>0</v>
      </c>
      <c r="DA56">
        <f t="shared" si="169"/>
        <v>0</v>
      </c>
      <c r="DB56">
        <f>IF(B56="",0,IFERROR(--_xlfn.XLOOKUP(B56,Коды_код,Коды_минавт),IFERROR(--_xlfn.XLOOKUP(BC56,Коды_код,Коды_минавт),IFERROR(--_xlfn.XLOOKUP(LEFT(BC56,2),Коды_код,Коды_минавт),0))))</f>
        <v>0</v>
      </c>
      <c r="DC56" t="str">
        <f>IF(B56="","",IFERROR(_xlfn.XLOOKUP(BC56,Коды_код,Коды_апп)&amp;"",""))</f>
        <v/>
      </c>
      <c r="DD56" t="str">
        <f t="shared" si="170"/>
        <v/>
      </c>
      <c r="DE56" t="str" cm="1">
        <f t="array" ref="DE56">IF(TRIM(DD56&amp;"")="","",IFERROR(TRIM(INDEX(_xlfn.TEXTSPLIT(DD56&amp;";;;",";"),1)),""))</f>
        <v/>
      </c>
      <c r="DF56" t="str" cm="1">
        <f t="array" ref="DF56">IF(TRIM(DD56&amp;"")="","",IFERROR(TRIM(INDEX(_xlfn.TEXTSPLIT(DD56&amp;";;;",";"),2)),""))</f>
        <v/>
      </c>
      <c r="DG56" t="str" cm="1">
        <f t="array" ref="DG56">IF(TRIM(DD56&amp;"")="","",IFERROR(TRIM(INDEX(_xlfn.TEXTSPLIT(DD56&amp;";;;",";"),3)),""))</f>
        <v/>
      </c>
      <c r="DH56">
        <f t="shared" si="171"/>
        <v>0</v>
      </c>
      <c r="DI56" t="str">
        <f>IF(B56="","",_xlfn.LET(_xlpm.t,LOWER(AZ56&amp;""),IF(ISNUMBER(SEARCH("dim",_xlpm.t)),"DIM",IF(ISNUMBER(SEARCH("dali",_xlpm.t)),"DALI",IF(OR(ISNUMBER(SEARCH("relay",_xlpm.t)),ISNUMBER(SEARCH("реле",_xlpm.t))),"Relay",IF(ISNUMBER(SEARCH("кнопк",_xlpm.t)),"",IFERROR(_xlfn.XLOOKUP(BC56,Коды_код,Коды_упр)&amp;"","")))))))</f>
        <v/>
      </c>
      <c r="DJ56" t="str">
        <f t="shared" si="172"/>
        <v/>
      </c>
      <c r="DK56">
        <f>IF(B56="","",_xlfn.LET(_xlpm.ig,IF(N(CX56)&gt;0,N(CX56),N(CI56)+IF(AJ56="вручную",0,N(CJ56))),_xlpm.n0,IFERROR(VLOOKUP(_xlpm.ig,Автомат_номиналы,2,TRUE),0),_xlpm.mn,MAX(DB56,IF(AJ56="вручную",0,N(CM56))),MAX(_xlpm.n0,_xlpm.mn,IF(DH56=1,Мин_автомат_БП,0))))</f>
        <v>6</v>
      </c>
      <c r="DL56">
        <f t="shared" si="173"/>
        <v>1</v>
      </c>
      <c r="DM56" t="str">
        <f t="shared" si="174"/>
        <v>1P</v>
      </c>
      <c r="DN56" t="str">
        <f>_xlfn.LET(_xlpm.cc,UPPER(TRIM(IFERROR(_xlfn.XLOOKUP(BC56,Коды_код,Коды_хар)&amp;"",""))),IF(OR(_xlpm.cc="B",_xlpm.cc="В"),"B",IF(_xlpm.cc="D","D","С")))</f>
        <v>С</v>
      </c>
      <c r="DO56" t="str">
        <f t="shared" si="175"/>
        <v>1P С6А</v>
      </c>
      <c r="DP56" t="str">
        <f t="shared" si="176"/>
        <v>1P С6А</v>
      </c>
      <c r="DQ56" t="str">
        <f t="shared" si="177"/>
        <v>1P С6А</v>
      </c>
      <c r="DR56" cm="1">
        <f t="array" ref="DR56">IF(DQ56="","",_xlfn.LET(_xlpm.t,SUBSTITUTE(SUBSTITUTE(SUBSTITUTE(UPPER(DQ56),"С","C"),"А","A"),"В","B"),_xlpm.tk,_xlfn.TEXTSPLIT(_xlpm.t," "),_xlpm.f,_xlfn._xlws.FILTER(_xlpm.tk,ISNUMBER(--MID(_xlpm.tk,2,1))*ISNUMBER(SEARCH(LEFT(_xlpm.tk,1)&amp;"#","B#C#D#"))*(LEN(_xlpm.tk)&gt;1),""),_xlpm.x,INDEX(_xlpm.f,1),IFERROR(--SUBSTITUTE(MID(_xlpm.x,2,9),"A",""),IFERROR(--SUBSTITUTE(INDEX(_xlfn._xlws.FILTER(_xlpm.tk,ISNUMBER(--SUBSTITUTE(_xlpm.tk,"A","")),""),1),"A",""),""))))</f>
        <v>6</v>
      </c>
      <c r="DS56" t="str">
        <f t="shared" si="178"/>
        <v>ok</v>
      </c>
      <c r="DT56">
        <f t="shared" si="179"/>
        <v>6</v>
      </c>
      <c r="DU56" t="str">
        <f t="shared" si="180"/>
        <v>1P С6А</v>
      </c>
      <c r="DV56">
        <f t="shared" si="181"/>
        <v>0</v>
      </c>
      <c r="DW56">
        <f t="shared" si="182"/>
        <v>0</v>
      </c>
      <c r="DX56">
        <f t="shared" si="183"/>
        <v>0</v>
      </c>
      <c r="DY56">
        <f t="shared" si="184"/>
        <v>1.823211376388292</v>
      </c>
      <c r="DZ56">
        <f t="shared" si="185"/>
        <v>1</v>
      </c>
      <c r="EA56">
        <f>IF(ISNUMBER(AP56),AP56,К_прокл)</f>
        <v>1</v>
      </c>
      <c r="EB56">
        <f t="shared" si="186"/>
        <v>2</v>
      </c>
      <c r="EC56">
        <f>IFERROR(N(VLOOKUP(BZ56,Кабель_обозначение,3,FALSE)),1)</f>
        <v>1</v>
      </c>
      <c r="ED56">
        <f>IFERROR(N(_xlfn.XLOOKUP(A56,Щиты[Щит],Щиты[ΔU до шин, %])),0)</f>
        <v>1.3160288498727977</v>
      </c>
      <c r="EE56">
        <f>IFERROR(_xlfn.XLOOKUP(A56,Щиты[Щит],Щиты[Zпетли на шинах, Ом]),"")</f>
        <v>0.57177829354840215</v>
      </c>
      <c r="EF56">
        <f>IFERROR(N(_xlfn.XLOOKUP(A56,Щиты[Щит],Щиты[ΔU до шин (подбор), %])),0)</f>
        <v>1.3160288498727977</v>
      </c>
      <c r="EG56">
        <f>IFERROR(_xlfn.XLOOKUP(A56,Щиты[Щит],Щиты[Zпетли на шинах (подбор), Ом]),"")</f>
        <v>0.57177829354840215</v>
      </c>
      <c r="EH56" t="str">
        <f t="shared" si="187"/>
        <v/>
      </c>
      <c r="EI56">
        <f t="shared" si="188"/>
        <v>10</v>
      </c>
      <c r="EJ56">
        <f t="shared" si="189"/>
        <v>2</v>
      </c>
      <c r="EK56">
        <f t="shared" si="190"/>
        <v>0.31</v>
      </c>
      <c r="EL56" s="6">
        <f>IF(B56="","",IF(BV56=1,dU_LED,IF(IFERROR(_xlfn.XLOOKUP(BC56,Коды_код,Коды_уго),"")="Светильник",3,4)+IF(Методика="нормы 2026",MIN(0.5,MAX(0,N(P56)-100)*0.005),0)))</f>
        <v>4</v>
      </c>
      <c r="EM56" cm="1">
        <f t="array" ref="EM56">IF(OR(B56="",BZ56="",EC56&lt;&gt;1),"",_xlfn.LET(_xlpm.sz,Iдоп_S,_xlpm.t_,CHOOSE(EB56,Iдоп_1ж,Iдоп_2ж,Iдоп_3ж)*DZ56*EA56,_xlpm.dcx,BV56=1,_xlpm.inn,IF(_xlpm.dcx,N(O56),N(DT56)),_xlpm.smin,MAX(1.5,CC56),_xlpm.L_,N(P56),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56)/N(BU56)*100,999),IFERROR(N(EJ56)*(_xlpm.rho*_xlpm.L_/_xlpm.sz*N(CE56)+_xlpm.xx*_xlpm.L_*N(EK56)/1000)*N(O56)/((Uн_лин/SQRT(3))*1000)*100,999)),_xlpm.kz,IF(OR(_xlpm.dcx,DW56=1,NOT(ISNUMBER(EG56)),_xlpm.L_=0,_xlpm.inn=0),1,IFERROR(--(c_min*(Uн_лин*1000/SQRT(3))/(EG56+2*ρкз_Cu*_xlpm.L_/_xlpm.sz)&gt;=HT56*_xlpm.inn),0)),_xlpm.ok,IFERROR((_xlpm.sz&gt;=_xlpm.smin)*(_xlpm.t_&gt;=_xlpm.inn)*IF(_xlpm.L_&gt;0,(_xlpm.du_+IF(_xlpm.dcx,0,EF56)&lt;=EL56+0.00001),1)*_xlpm.kz,0),_xlpm.r_,_xlfn._xlws.FILTER(_xlpm.sz,_xlpm.ok,"не подобрано"),INDEX(_xlpm.r_,1)))</f>
        <v>1.5</v>
      </c>
      <c r="EN56">
        <f t="shared" si="191"/>
        <v>1.5</v>
      </c>
      <c r="EO56" cm="1">
        <f t="array" ref="EO56">IF(OR(B56="",BZ56="",EC56&lt;&gt;1),"",_xlfn.LET(_xlpm.sz,Iдоп_S,_xlpm.t_,CHOOSE(EB56,Iдоп_1ж,Iдоп_2ж,Iдоп_3ж)*DZ56*EA56,_xlpm.ok,IFERROR((_xlpm.sz&gt;=MAX(1.5,CC56))*(_xlpm.t_&gt;=N(DT56)),0),_xlpm.r_,_xlfn._xlws.FILTER(_xlpm.sz,_xlpm.ok,""),INDEX(_xlpm.r_,1)))</f>
        <v>1.5</v>
      </c>
      <c r="EP56" s="6" cm="1">
        <f t="array" ref="EP56">IFERROR(ROUNDUP(N(EJ56)*(_xlfn.XLOOKUP(EO56,INDEX(Кабель_сопротивление,0,1),INDEX(Кабель_сопротивление,0,3))*N(P56)/EO56*N(CE56)+_xlfn.XLOOKUP(EO56,INDEX(Кабель_сопротивление,0,1),INDEX(Кабель_сопротивление,0,2))*N(P56)*N(EK56)/1000)*N(O56)/((Uн_лин/SQRT(3))*1000)*100,2),"")</f>
        <v>0.25</v>
      </c>
      <c r="EQ56">
        <f>IFERROR(2*ρкз_Cu*N(P56)/EO56,"")</f>
        <v>0.38573333333333332</v>
      </c>
      <c r="ER56">
        <f>IFERROR(VLOOKUP(EN56,Кабель_сопротивление,3,FALSE),"")</f>
        <v>2.2499999999999999E-2</v>
      </c>
      <c r="ES56">
        <f>IFERROR(VLOOKUP(EN56,Кабель_сопротивление,2,FALSE),"")</f>
        <v>0.11</v>
      </c>
      <c r="ET56" t="str">
        <f t="shared" si="192"/>
        <v/>
      </c>
      <c r="EU56" t="str">
        <f t="shared" si="193"/>
        <v/>
      </c>
      <c r="EV56">
        <f t="shared" si="194"/>
        <v>0.57294453967229597</v>
      </c>
      <c r="EW56" s="6">
        <f>IFERROR(ROUNDUP(EV56/IF(BV56=1,BU56,(Uн_лин/SQRT(3))*1000)*100,2),"")</f>
        <v>0.25</v>
      </c>
      <c r="EX56" t="str">
        <f>IFERROR(VLOOKUP(BZ56,Кабель_обозначение,2,FALSE),"")</f>
        <v>ВВГнг(А)-FRLS</v>
      </c>
      <c r="EY56" t="str">
        <f t="shared" si="195"/>
        <v>ВВГнг(А)-FRLS (3х1,5)</v>
      </c>
      <c r="EZ56" t="str">
        <f t="shared" si="196"/>
        <v>ВВГнг(А)-FRLS (3х1,5)
L=11-0,25%</v>
      </c>
      <c r="FA56">
        <f>IFERROR(2*ρкз_Cu*P56/EN56,"")</f>
        <v>0.38573333333333332</v>
      </c>
      <c r="FB56">
        <f t="shared" si="197"/>
        <v>0.12833333333333333</v>
      </c>
      <c r="FC56" s="6">
        <f>IFERROR(IF(OR(B56="",BV56=1,NOT(ISNUMBER(EN56)),N(P56)=0),"",_xlfn.XLOOKUP(A56,Щиты[Щит],Щиты[Zпетли на шинах, Ом])+FA56),"")</f>
        <v>0.95751162688173541</v>
      </c>
      <c r="FD56" s="6">
        <f>IF(ISNUMBER(FC56),c_min*(Uн_лин*1000/SQRT(3))/FC56,"")</f>
        <v>229.12839503217393</v>
      </c>
      <c r="FE56" s="6">
        <f>IFERROR(IF(OR(B56="",NOT(ISNUMBER(EN56))),"",1.05*(Uн_лин*1000/SQRT(3))/(_xlfn.XLOOKUP(A56,Щиты[Щит],Щиты[Zmax на шинах, Ом])+FB56)/1000),"")</f>
        <v>0.78298216430902245</v>
      </c>
      <c r="FF56" s="6" t="str">
        <f>IF(B56="","",IF(ISNUMBER(AC56),"Сил",IF(IFERROR(_xlfn.XLOOKUP(BC56,Коды_код,Коды_группа)&amp;"","")="","Быт",_xlfn.XLOOKUP(BC56,Коды_код,Коды_группа)&amp;"")))</f>
        <v>Пост</v>
      </c>
      <c r="FG56" s="6" t="str">
        <f t="shared" si="198"/>
        <v>Пост</v>
      </c>
      <c r="FH56" s="6">
        <f>IF(FG56="Щит","щит",IF(FG56="","",IF(FG56="Быт",IFERROR(_xlfn.XLOOKUP(A56,Щиты[Щит],Щиты[Кс быт]),1),IF(FG56="Сил",IF(ISNUMBER(AC56),AC56,IF(Методика="нормы 2026",IFERROR(_xlfn.XLOOKUP(A56,Щиты[Щит],Щиты[Кс силовых (табл. 7.5)]),1),1)),IF(OR(FG56="Пост",FG56="Отоп"),1,IF(FG56="ВНГ",0.7,0))))))</f>
        <v>1</v>
      </c>
      <c r="FI56">
        <f>IF(FG56="","",IF(AND(BP56=1,TRIM(AE56&amp;"")=""),IF(COUNTIFS(Линии[Щит],A56,Линии[Секция (1/2/3)],"&gt;=2")&gt;0,MIN(3,MAX(1,IFERROR(--BD56,1))),1),IFERROR(MIN(3,MAX(1,INT(--AE56))),1)))</f>
        <v>1</v>
      </c>
      <c r="FJ56">
        <f t="shared" si="199"/>
        <v>0.4</v>
      </c>
      <c r="FK56">
        <f t="shared" si="200"/>
        <v>0</v>
      </c>
      <c r="FL56">
        <f t="shared" si="201"/>
        <v>0</v>
      </c>
      <c r="FM56">
        <f t="shared" si="202"/>
        <v>0.4</v>
      </c>
      <c r="FN56">
        <f t="shared" si="203"/>
        <v>0</v>
      </c>
      <c r="FO56">
        <f t="shared" si="204"/>
        <v>0</v>
      </c>
      <c r="FP56">
        <f t="shared" si="205"/>
        <v>0.4</v>
      </c>
      <c r="FQ56">
        <f t="shared" si="206"/>
        <v>0.4</v>
      </c>
      <c r="FR56">
        <f t="shared" si="207"/>
        <v>0.38</v>
      </c>
      <c r="FS56">
        <f>IF(CG56=1,IF(AND(CH56=1,CW56=1),0,IF(AND(CS56&lt;&gt;"",CS56=BA56,CW56=1),SUMIFS(Линии[_Р линии, кВт],Линии[_блок УЗО],BA56,Линии[Щит],A56),N(BS56)+IF(AJ56="вручную",0,N(CK56)))),0)</f>
        <v>0.4</v>
      </c>
      <c r="FT56" t="str">
        <f t="shared" si="208"/>
        <v/>
      </c>
      <c r="FU56" t="str">
        <f>IF(B56="","",IF(CG56=0,IF(BA56=1,"",FW55),IF(AND(CH56=1,CW56=1,CS56&lt;&gt;""),IFERROR(_xlfn.XLOOKUP(CS56,Линии[_n],Линии[_фаза итог]),"L1"),IF(OR(N(DL56)&gt;=3,N(BX56)&gt;=3),"L1,L2,L3",IFERROR(_xlfn.TEXTBEFORE(_xlfn.TEXTAFTER(_xlfn.XLOOKUP(A56,Щиты[Щит],Щиты[_фазы авто]),";"&amp;BA56&amp;":"),";"),"L1")))))</f>
        <v>L1</v>
      </c>
      <c r="FV56" t="str">
        <f t="shared" si="209"/>
        <v>L1</v>
      </c>
      <c r="FW56" t="str">
        <f t="shared" si="210"/>
        <v>L1</v>
      </c>
      <c r="FX56" cm="1">
        <f t="array" ref="FX56">IFERROR(IF(CD56=2,_xlfn.IFS(BX56=3,VLOOKUP(BS56,Справочная_двигатели,3,FALSE),BX56=1,VLOOKUP(BS56,Справочная_двигатели,5,TRUE)),0),0)</f>
        <v>0</v>
      </c>
      <c r="FY56">
        <f>IFERROR(IF(CD56=3,VLOOKUP(BS56,Справочная_ЛЭД,2,TRUE),0),0)</f>
        <v>0</v>
      </c>
      <c r="FZ56" s="6">
        <f t="shared" si="211"/>
        <v>0</v>
      </c>
      <c r="GA56" t="str">
        <f>IF(B56="","",IF(TRIM(AH56&amp;"")&lt;&gt;"",IF(LOWER(TRIM(AH56&amp;""))="да","да","нет"),IF(IFERROR(_xlfn.XLOOKUP(BC56,Коды_код,Коды_пожарная),"")="да","да","нет")))</f>
        <v>да</v>
      </c>
      <c r="GB56" t="str">
        <f t="shared" si="212"/>
        <v/>
      </c>
      <c r="GC56" t="str">
        <f t="shared" si="213"/>
        <v>основная</v>
      </c>
      <c r="GD56">
        <f>IF(AND(BP56=1,TRIM(AE56&amp;"")=""),IF(COUNTIFS(Линии[Щит],A56,Линии[Секция (1/2/3)],"&gt;=2")&gt;0,MIN(3,MAX(1,IFERROR(--BD56,1))),1),IFERROR(MIN(3,MAX(1,INT(--AE56))),1))</f>
        <v>1</v>
      </c>
      <c r="GE56" t="str" cm="1">
        <f t="array" ref="GE56">IF(B56="","",_xlfn.LET(_xlpm.t,IFERROR(_xlfn.XLOOKUP(1,(Шины[Шина]=GC56)*(((Шины[Щит]=A56)+(Шины[Щит]=""))&gt;0),Шины[Тип]),"")&amp;"",IF(_xlpm.t&lt;&gt;"",_xlpm.t,IF(ISNUMBER(SEARCH("ИБП",GC56)),"ИБП",IF(ISNUMBER(SEARCH("ДГУ",GC56)),"ДГУ","Ввод "&amp;GD56)))))</f>
        <v>Ввод 1</v>
      </c>
      <c r="GF56" t="str">
        <f t="shared" si="214"/>
        <v>Ввод 1</v>
      </c>
      <c r="GG56" t="str">
        <f>IF(BP56=0,"",IF(TRIM(AG56&amp;"")&lt;&gt;"",TRIM(AG56&amp;""),IF(OR(GE56="ИБП",GE56="ДГУ"),"I особая",_xlfn.XLOOKUP(A56,Щиты[Щит],Щиты[Категория шины «Ввод»],"III"))))</f>
        <v/>
      </c>
      <c r="GH56" t="str">
        <f>IF(A56="","",_xlfn.XLOOKUP(A56,Щиты[Щит],Щиты[Путь],""))</f>
        <v>|ВРУ|ЩСПЗ|</v>
      </c>
      <c r="GI56" t="str">
        <f>IF(B56="","",IF(AI56&lt;&gt;"",AI56,IF(IFERROR(_xlfn.XLOOKUP(BC56,Коды_код,Коды_вид)&amp;"","")="","Прочее",_xlfn.XLOOKUP(BC56,Коды_код,Коды_вид)&amp;"")))</f>
        <v>Системы безопасности и связи</v>
      </c>
      <c r="GJ56">
        <f>IF(BM56="","",INT((BM56-1)/Столбцов_на_лист)+1)</f>
        <v>1</v>
      </c>
      <c r="GK56" t="str">
        <f t="shared" si="215"/>
        <v>ВВГнг(А)-FRLS (3х1,5) L=11-0,25%</v>
      </c>
      <c r="GL56">
        <f t="shared" si="216"/>
        <v>0.4</v>
      </c>
      <c r="GM56">
        <f t="shared" si="217"/>
        <v>1.83</v>
      </c>
      <c r="GN56">
        <f t="shared" si="218"/>
        <v>1</v>
      </c>
      <c r="GO56">
        <f t="shared" si="219"/>
        <v>0</v>
      </c>
      <c r="GP56">
        <f t="shared" si="220"/>
        <v>1</v>
      </c>
      <c r="GQ56">
        <f>IF(BM56="","",IF(AND(CG56=1,GP56=1),COUNTIFS(A$3:A56,A56,CG$3:CG56,1,GP$3:GP56,1),IF(OR(OR(BA56=1,A56&lt;&gt;A55),AJ56="вручную",GP56=0),"",IF(BA56=1,"",GR55))))</f>
        <v>1</v>
      </c>
      <c r="GR56">
        <f t="shared" si="221"/>
        <v>1</v>
      </c>
      <c r="GS56">
        <f>IF(B56="","",IFERROR(LOOKUP(INDEX(CHOOSE(EB56,Iдоп_1ж,Iдоп_2ж,Iдоп_3ж),MATCH(EN56,Iдоп_S,0))*DZ56*EA56,{6,10,16,20,25,32,40,50,63,80,100,125,160,200,250,315,400,500,630}),""))</f>
        <v>16</v>
      </c>
      <c r="GT56" t="str">
        <f t="shared" si="222"/>
        <v>QF1</v>
      </c>
      <c r="GU56" t="str">
        <f t="shared" si="223"/>
        <v>QF1</v>
      </c>
      <c r="GV56" t="str">
        <f t="shared" si="224"/>
        <v/>
      </c>
      <c r="GW56">
        <f t="shared" si="225"/>
        <v>0</v>
      </c>
      <c r="GX56" t="str">
        <f>IF(OR(B56="",DJ56=""),"",IFERROR(_xlfn.XLOOKUP(DJ56,Модули_умолч[Управление],Модули_умолч[Модель])&amp;"",""))</f>
        <v/>
      </c>
      <c r="GY56">
        <f>IF(DJ56="",1,IFERROR(MAX(0,N(_xlfn.XLOOKUP(DJ56,Модули_умолч[Управление],Модули_умолч[Каналов на линию]))),1))</f>
        <v>1</v>
      </c>
      <c r="GZ56" t="str">
        <f t="shared" si="226"/>
        <v/>
      </c>
      <c r="HA56" t="str">
        <f t="shared" si="227"/>
        <v/>
      </c>
      <c r="HB56" t="str">
        <f t="shared" si="228"/>
        <v/>
      </c>
      <c r="HC56">
        <f>IF(HB56="",0,IFERROR(N(VLOOKUP(HB56,Модули_спр,3,FALSE)),0))</f>
        <v>0</v>
      </c>
      <c r="HD56" t="str">
        <f t="shared" si="229"/>
        <v/>
      </c>
      <c r="HE56" t="str">
        <f t="shared" si="230"/>
        <v/>
      </c>
      <c r="HF56" t="str">
        <f>IF(OR(HE56="",HE56="-"),"",IFERROR(VLOOKUP(HE56,Модули_спр,2,FALSE),"R"))</f>
        <v/>
      </c>
      <c r="HG56" t="str">
        <f>IF(HF56="","",HF56&amp;"."&amp;COUNTIFS(A$3:A56,A56,HF$3:HF56,HF56))</f>
        <v/>
      </c>
      <c r="HH56" t="str">
        <f t="shared" si="231"/>
        <v/>
      </c>
      <c r="HI56" t="str">
        <f t="shared" si="232"/>
        <v/>
      </c>
      <c r="HJ56" t="str">
        <f t="shared" si="233"/>
        <v/>
      </c>
      <c r="HK56" t="str">
        <f t="shared" si="234"/>
        <v/>
      </c>
      <c r="HL56">
        <f t="shared" si="235"/>
        <v>1</v>
      </c>
      <c r="HM56" t="str">
        <f>IF(HL56=1,"XT"&amp;COUNTIFS(A$3:A56,A56,HL$3:HL56,1),"")</f>
        <v>XT1</v>
      </c>
      <c r="HN56" t="str">
        <f t="shared" si="236"/>
        <v>XT1</v>
      </c>
      <c r="HO56" t="str">
        <f t="shared" si="237"/>
        <v>QF1</v>
      </c>
      <c r="HP56" t="str">
        <f t="shared" si="238"/>
        <v/>
      </c>
      <c r="HQ56" t="str">
        <f t="shared" si="239"/>
        <v>ok</v>
      </c>
      <c r="HR56" t="str">
        <f>IF(OR(HJ56="",HH56=""),"",IF(HJ56+MAX(0,GY56-1)&gt;IFERROR(VLOOKUP(HI56,Модули_спр,3,FALSE),99),"ЛИШНИЙ КАНАЛ",IF(AND(AL56&lt;&gt;"=",GY56&gt;0,COUNTIFS(Линии[_модуль гр.],HH56,Линии[Канал (итог)],HJ56,Линии[Канал],"&lt;&gt;=",Линии[Щит],A56)&gt;1),"ДУБЛЬ КАНАЛА","")))</f>
        <v/>
      </c>
      <c r="HS56" s="6">
        <f t="shared" si="240"/>
        <v>38.188065838695657</v>
      </c>
      <c r="HT56">
        <f t="shared" si="241"/>
        <v>10</v>
      </c>
      <c r="HU56" t="str">
        <f t="shared" si="242"/>
        <v>ok</v>
      </c>
      <c r="HV56">
        <f t="shared" si="243"/>
        <v>0.83928455055531681</v>
      </c>
      <c r="HW56">
        <f t="shared" si="244"/>
        <v>0</v>
      </c>
      <c r="HX56">
        <f t="shared" si="245"/>
        <v>0</v>
      </c>
      <c r="HY56">
        <f t="shared" si="246"/>
        <v>0</v>
      </c>
      <c r="HZ56">
        <f t="shared" si="247"/>
        <v>0</v>
      </c>
      <c r="IA56">
        <f t="shared" si="248"/>
        <v>0</v>
      </c>
      <c r="IB56">
        <f t="shared" si="249"/>
        <v>0</v>
      </c>
      <c r="IC56" t="str">
        <f t="shared" si="250"/>
        <v/>
      </c>
      <c r="ID56" t="str" cm="1">
        <f t="array" ref="ID56">IF(IC56="","",_xlfn.LET(_xlpm.tk,_xlfn.TEXTSPLIT(SUBSTITUTE(SUBSTITUTE(IC56,";"," "),"→"," ")," ",,TRUE),_xlpm.w_,_xlfn._xlws.FILTER(_xlpm.tk,ISNUMBER(--LEFT(_xlpm.tk,1))*((ISNUMBER(SEARCH("W",_xlpm.tk))+ISNUMBER(SEARCH("Вт",_xlpm.tk)))&gt;0),""),IFERROR(--SUBSTITUTE(SUBSTITUTE(UPPER(INDEX(_xlpm.w_,1)),"W",""),"ВТ",""),"")))</f>
        <v/>
      </c>
      <c r="IE56" t="str" cm="1">
        <f t="array" ref="IE56">IF(IC56="","",_xlfn.LET(_xlpm.tk,_xlfn.TEXTSPLIT(SUBSTITUTE(SUBSTITUTE(IC56,";"," "),"→"," ")," ",,TRUE),_xlpm.v_,_xlfn._xlws.FILTER(_xlpm.tk,ISNUMBER(--LEFT(_xlpm.tk,1))*((ISNUMBER(SEARCH("V",_xlpm.tk))+(RIGHT(UPPER(_xlpm.tk))="В"))&gt;0),""),IFERROR(--SUBSTITUTE(SUBSTITUTE(UPPER(INDEX(_xlpm.v_,1)),"V",""),"В",""),"")))</f>
        <v/>
      </c>
      <c r="IF56" s="6" t="str">
        <f>IF(OR(BV56=0,HI56="",HJ56=""),"",IFERROR(N(_xlfn.XLOOKUP(HI56,Каталог!$C$4:$C$500,Каталог!$Q$4:$Q$500)),""))</f>
        <v/>
      </c>
      <c r="IG56" s="6" t="str">
        <f>IF(N(IF56)=0,"",SUMIFS(Линии[Iр, А],Линии[Щит],A56,Линии[_модуль гр.],HH56,Линии[Канал (итог)],HJ56))</f>
        <v/>
      </c>
      <c r="IH56" t="str">
        <f>IF(AND(B56="",HO56=""),"",_xlfn.TEXTJOIN("; ",TRUE,IF(AND(B56&lt;&gt;"",FV56=""),"нет фазы",""),IF(AND(B56&lt;&gt;"",N(GL56)=0,FG56&lt;&gt;"Нет"),"нет мощности",""),IF(AND(HN56&lt;&gt;"",COUNTIFS(Линии[Щит],A56,Линии[Клемма (итог)],HN56)&gt;1),"дубль клеммы "&amp;HN56,""),IF(AND(HQ56&lt;&gt;"",HQ56&lt;&gt;"ok"),HQ56,""),IF(HR56&lt;&gt;"",HR56,""),IF(AND(N(CB56)&gt;=4,N(BX56)=1),CB56&amp;" жил на 1 фазе",""),IF(AND(BC56="R",CG56=1,IF(CS56&lt;&gt;"",N(CV56)&gt;30,OR(N(DA56)=0,N(DA56)&gt;30))),"розетка без дифзащиты до 30 мА",""),IF(AND(CG56=1,N(DA56)&gt;0,ISNUMBER(T56)),IF(T56&gt;N(DA56)/3,"ток утечки "&amp;FIXED(T56,1)&amp;" мА &gt; 1/3 уставки ("&amp;DA56&amp;" мА)",""),""),IF(AND(CH56=1,CS56=""),"«узо»: нет строки с УЗО выше (УЗО 2P 40А 30мА в «Аппаратах»)",""),IF(AND(CS56&lt;&gt;"",CS56=BA56),IF(CT56="","впишите номинал УЗО (УЗО 2P 40А 30мА)",IF(N(CT56)&lt;N(DT56),"УЗО "&amp;CT56&amp;" А &lt; автомата "&amp;DT56&amp;" А перед ним",IF(N(CT56)&lt;N(CX56),"УЗО "&amp;CT56&amp;" А &lt; тока блока "&amp;FIXED(CX56,1)&amp;" А",""))),""),IF(AND(CS56&lt;&gt;"",CS56=BA56,ISNUMBER(CY56)),IF(CY56&gt;N(CV56)/3,"ток утечки блока УЗО "&amp;FIXED(CY56,1)&amp;" мА &gt; 1/3 уставки ("&amp;CV56&amp;" мА)",""),""),IF(AND(CG56=1,N(BV56)+N(IB56)&gt;0,IC56=""),"линии до 50 В без БП: впишите в «Аппараты» (БП 24V 480W)",""),IF(AND(CG56=1,ISNUMBER(ID56),ISNUMBER(U56)),IF(U56&gt;ID56,"БП "&amp;ID56&amp;" Вт &lt; нужно "&amp;U56&amp;" Вт (×"&amp;Запас_БП&amp;")",""),""),IF(AND(CG56=1,ISNUMBER(IE56),N(BV56)=1),IF(IE56&lt;&gt;N(BU56),"БП на "&amp;IE56&amp;" В, линия "&amp;BU56&amp;" В",""),""),IF(AND(N(IF56)&gt;0,N(IG56)&gt;N(IF56)),HH56&amp;" канал "&amp;HJ56&amp;": "&amp;FIXED(IG56,1)&amp;" А &gt; "&amp;IF56&amp;" А",""),IFERROR(IF(AND(ISNUMBER(Q56),Q56&gt;EL56),"потери "&amp;FIXED(Q56,1)&amp;" % &gt; "&amp;EL56&amp;" %",""),""),IFERROR(IF(LEFT(HU56,4)="мало","Iкз мало — отключение &gt; 0,4 с",""),""),IF(AND(B56&lt;&gt;"",BM56=""),"не на схеме",""),IF(AND(CG56=0,B56&lt;&gt;"",FV56&lt;&gt;"",IF(BA56=1,"",FW55)&lt;&gt;"",FV56&lt;&gt;IF(BA56=1,"",FW55)),"фаза не как у автомата группы ("&amp;IF(BA56=1,"",FW55)&amp;")","")))</f>
        <v/>
      </c>
      <c r="II56" s="6" t="str">
        <f>IF(OR(CG56=0,DQ56=""),"",_xlfn.LET(_xlpm.t,IFERROR(_xlfn.XLOOKUP(DQ56,Каталог!$U$4:$U$500,Каталог!$G$4:$G$500),""),_xlpm.k,SEARCH("кА",_xlpm.t),IFERROR(--TRIM(RIGHT(SUBSTITUTE(MID(_xlpm.t,MAX(1,_xlpm.k-4),_xlpm.k-MAX(1,_xlpm.k-4))," ",REPT(" ",9)),5)),"")))</f>
        <v/>
      </c>
      <c r="IJ56" t="str">
        <f>IF(OR(II56="",CG56=0),"",IF(_xlfn.XLOOKUP(A56,Щиты[Щит],Щиты[Iкз max на шинах, кА],"")="","",IF(II56&lt;_xlfn.XLOOKUP(A56,Щиты[Щит],Щиты[Iкз max на шинах, кА]),"Icu "&amp;II56&amp;" кА &lt; Iкз max","ok")))</f>
        <v/>
      </c>
      <c r="IK56" t="str">
        <f t="shared" si="251"/>
        <v/>
      </c>
      <c r="IL56" t="str">
        <f t="shared" si="252"/>
        <v>QF1|XT1</v>
      </c>
      <c r="IM56" t="str">
        <f t="shared" si="253"/>
        <v>QF1|XT1|кабель ВВГнг(А)-FRLS (3х1,5) → Прибор пожарной сигнализации</v>
      </c>
      <c r="IN56" t="str" cm="1">
        <f t="array" ref="IN56">IF(IM56="","",_xlfn.LET(_xlpm.nd,_xlfn.TEXTSPLIT(IM56,"|"),IF(COLUMNS(_xlpm.nd)&gt;1,A56&amp;"¦"&amp;INDEX(_xlpm.nd,1)&amp;"¦"&amp;INDEX(_xlpm.nd,2),"")))</f>
        <v>ЩСПЗ¦QF1¦XT1</v>
      </c>
      <c r="IO56" t="str">
        <f t="shared" si="254"/>
        <v>АПС.0.02.1¦Прибор пожарной сигнализации</v>
      </c>
      <c r="IP56" t="str" cm="1">
        <f t="array" ref="IP56">IF(IM56="","",_xlfn.LET(_xlpm.nd,_xlfn.TEXTSPLIT(IM56,"|"),IF(COLUMNS(_xlpm.nd)&gt;2,A56&amp;"¦"&amp;INDEX(_xlpm.nd,2)&amp;"¦"&amp;INDEX(_xlpm.nd,3),"")))</f>
        <v>ЩСПЗ¦XT1¦кабель ВВГнг(А)-FRLS (3х1,5) → Прибор пожарной сигнализации</v>
      </c>
      <c r="IQ56" t="str">
        <f t="shared" si="255"/>
        <v>АПС.0.02.1¦Прибор пожарной сигнализации</v>
      </c>
      <c r="IR56" t="str" cm="1">
        <f t="array" ref="IR56">IF(IM56="","",_xlfn.LET(_xlpm.nd,_xlfn.TEXTSPLIT(IM56,"|"),IF(COLUMNS(_xlpm.nd)&gt;3,A56&amp;"¦"&amp;INDEX(_xlpm.nd,3)&amp;"¦"&amp;INDEX(_xlpm.nd,4),"")))</f>
        <v/>
      </c>
      <c r="IS56" t="str">
        <f t="shared" si="256"/>
        <v/>
      </c>
      <c r="IT56" t="str" cm="1">
        <f t="array" ref="IT56">IF(IM56="","",_xlfn.LET(_xlpm.nd,_xlfn.TEXTSPLIT(IM56,"|"),IF(COLUMNS(_xlpm.nd)&gt;4,A56&amp;"¦"&amp;INDEX(_xlpm.nd,4)&amp;"¦"&amp;INDEX(_xlpm.nd,5),"")))</f>
        <v/>
      </c>
      <c r="IU56" t="str">
        <f t="shared" si="257"/>
        <v/>
      </c>
      <c r="IV56" t="str" cm="1">
        <f t="array" ref="IV56">IF(IM56="","",_xlfn.LET(_xlpm.nd,_xlfn.TEXTSPLIT(IM56,"|"),IF(COLUMNS(_xlpm.nd)&gt;5,A56&amp;"¦"&amp;INDEX(_xlpm.nd,5)&amp;"¦"&amp;INDEX(_xlpm.nd,6),"")))</f>
        <v/>
      </c>
      <c r="IW56" t="str">
        <f t="shared" si="258"/>
        <v/>
      </c>
      <c r="IX56" t="str" cm="1">
        <f t="array" ref="IX56">IF(IM56="","",_xlfn.LET(_xlpm.nd,_xlfn.TEXTSPLIT(IM56,"|"),IF(COLUMNS(_xlpm.nd)&gt;6,A56&amp;"¦"&amp;INDEX(_xlpm.nd,6)&amp;"¦"&amp;INDEX(_xlpm.nd,7),"")))</f>
        <v/>
      </c>
      <c r="IY56" t="str">
        <f t="shared" si="259"/>
        <v/>
      </c>
      <c r="IZ56" t="str">
        <f t="shared" si="260"/>
        <v/>
      </c>
      <c r="JA56" t="str">
        <f t="shared" si="261"/>
        <v>QF1 → XT1</v>
      </c>
      <c r="JB56">
        <f t="shared" si="262"/>
        <v>0</v>
      </c>
      <c r="JC56">
        <f t="shared" si="263"/>
        <v>0</v>
      </c>
      <c r="JD56" t="str">
        <f t="shared" si="264"/>
        <v/>
      </c>
      <c r="JE56" t="str">
        <f t="shared" si="265"/>
        <v/>
      </c>
      <c r="JF56" t="str">
        <f t="shared" si="266"/>
        <v/>
      </c>
      <c r="JG56" t="str">
        <f t="shared" si="267"/>
        <v/>
      </c>
      <c r="JH56">
        <f>IF(B56="","",IFERROR(_xlfn.XLOOKUP(B56,Коды_код,Коды_уго),IFERROR(_xlfn.XLOOKUP(BC56,Коды_код,Коды_уго),IFERROR(_xlfn.XLOOKUP(LEFT(BC56,2),Коды_код,Коды_уго),""))))</f>
        <v>0</v>
      </c>
      <c r="JI56" t="str">
        <f>IF(B56="","",IF(OR(JH56="",JH56=0),"BOX",IFERROR(IF(VLOOKUP(JH56,УГО_блоки,3,FALSE)&amp;""&lt;&gt;"",VLOOKUP(JH56,УГО_блоки,3,FALSE),VLOOKUP(JH56,УГО_блоки,2,FALSE)),JH56)))</f>
        <v>BOX</v>
      </c>
      <c r="JJ56">
        <f t="shared" si="268"/>
        <v>1</v>
      </c>
      <c r="JK56" t="str">
        <f>IF(DQ56="","",IF(COUNTIF(DQ$3:DQ56,DQ56)=1,MAX(JK$2:JK55)+1,""))</f>
        <v/>
      </c>
      <c r="JL56" t="str">
        <f>IF(DE56="","",IF(COUNTIF(DE$3:DE56,DE56)+COUNTIF(DF$2:DF55,DE56)+COUNTIF(DG$2:DG55,DE56)=1,MAX(JL$2:JN55)+1,""))</f>
        <v/>
      </c>
      <c r="JM56" t="str">
        <f>IF(DF56="","",IF(COUNTIF(DE$3:DE56,DF56)+COUNTIF(DF$3:DF56,DF56)+COUNTIF(DG$2:DG55,DF56)=1,MAX(JL$2:JN55,JL56)+1,""))</f>
        <v/>
      </c>
      <c r="JN56" t="str">
        <f>IF(DG56="","",IF(COUNTIF(DE$3:DE56,DG56)+COUNTIF(DF$3:DF56,DG56)+COUNTIF(DG$3:DG56,DG56)=1,MAX(JL$2:JN55,JL56,JM56)+1,""))</f>
        <v/>
      </c>
      <c r="JO56" t="str">
        <f t="shared" si="269"/>
        <v>3х1,5</v>
      </c>
      <c r="JP56" t="str">
        <f>IF(JO56="","",IF(COUNTIF(JO$3:JO56,JO56)=1,MAX(JP$2:JP55)+1,""))</f>
        <v/>
      </c>
      <c r="JQ56" t="str">
        <f>IF(HG56="","",COUNTIF(HG$3:HG56,"?*"))</f>
        <v/>
      </c>
      <c r="JR56" t="str">
        <f>IF(OR(HG56="",HI56=""),"",IF(COUNTIFS(HG$3:HG56,"?*",HI$3:HI56,HI56)=1,MAX(JR$2:JR55)+1,""))</f>
        <v/>
      </c>
      <c r="JS56">
        <f t="shared" si="270"/>
        <v>0</v>
      </c>
      <c r="JT56">
        <f>IF(B56="","",COUNTIF(B$3:B56,"?*"))</f>
        <v>52</v>
      </c>
      <c r="JU56">
        <f>IF(HL56&lt;&gt;1,0,_xlfn.LET(_xlpm.k,MAX(IFERROR(--_xlfn.XLOOKUP(B56,Коды_код,Коды_3L),0),IFERROR(--_xlfn.XLOOKUP(BC56,Коды_код,Коды_3L),0),IFERROR(--_xlfn.XLOOKUP(LEFT(BC56,2),Коды_код,Коды_3L),0)),IF(_xlpm.k&gt;0,_xlpm.k,IF(IFERROR(--LEFT(SUBSTITUTE(JO56,"x","х"),FIND("х",SUBSTITUTE(JO56,"x","х"))-1),3)&gt;3,Каталог!$S$9,1))))</f>
        <v>1</v>
      </c>
      <c r="JV56">
        <f t="shared" si="271"/>
        <v>0</v>
      </c>
      <c r="JW56" t="str">
        <f t="shared" si="272"/>
        <v>авто</v>
      </c>
      <c r="JX56" t="str">
        <f t="shared" si="273"/>
        <v/>
      </c>
      <c r="JY56">
        <f t="shared" si="274"/>
        <v>0</v>
      </c>
      <c r="JZ56">
        <f t="shared" si="275"/>
        <v>1</v>
      </c>
    </row>
    <row r="57" spans="1:286" x14ac:dyDescent="0.3">
      <c r="A57" t="s">
        <v>949</v>
      </c>
      <c r="B57" t="s">
        <v>1235</v>
      </c>
      <c r="C57" t="s">
        <v>1256</v>
      </c>
      <c r="E57">
        <v>3</v>
      </c>
      <c r="G57" t="str">
        <f>Линии[[#This Row],[_авто автомат]]</f>
        <v>3P С10А</v>
      </c>
      <c r="H57" t="str">
        <f>Линии[[#This Row],[_авто управление]]</f>
        <v/>
      </c>
      <c r="I57" t="str">
        <f>Линии[[#This Row],[_авто аппараты]]</f>
        <v/>
      </c>
      <c r="J57">
        <f>Линии[[#This Row],[_авто сечение]]</f>
        <v>1.5</v>
      </c>
      <c r="K57">
        <v>35</v>
      </c>
      <c r="L57" t="str">
        <f>Линии[[#This Row],[_авто фаза]]</f>
        <v>L1,L2,L3</v>
      </c>
      <c r="M57" t="str">
        <f>Линии[[#This Row],[_авто клемма]]</f>
        <v>XT2</v>
      </c>
      <c r="N57" t="str">
        <f t="shared" si="138"/>
        <v/>
      </c>
      <c r="O57" s="6" cm="1">
        <f t="array" ref="O57">IF(B57="","",IF(BH57&lt;&gt;"",IFERROR(_xlfn.XLOOKUP(BH57,Щиты[Щит],Щиты[Iр, А]),""),IF(BP57=1,IF(OR(N(_xlfn.XLOOKUP(A57,Щиты[Щит],Щиты[Вводов],1))&lt;=1,LOWER(TRIM(_xlfn.XLOOKUP(A57,Щиты[Щит],Щиты[АВР],"")&amp;""))="да"),IFERROR(_xlfn.XLOOKUP(A57,Щиты[Щит],Щиты[Iр, А]),""),IFERROR(N(BS57)*_xlfn.XLOOKUP(A57,Щиты[Щит],Щиты[Кс итог])/(SQRT(3)*Uн_лин*_xlfn.XLOOKUP(A57,Щиты[Щит],Щиты[cos φ])),"")),IF(BV57=1,IFERROR(BS57*1000/BU57,""),IFERROR(_xlfn.IFS(BX57=1,BS57/((Uн_лин/SQRT(3))*CE57),BX57=3,BS57/(SQRT(3)*Uн_лин*CE57)),"")))))</f>
        <v>5.4126587736527414</v>
      </c>
      <c r="P57" s="7">
        <f>IF(B57="","",IFERROR(IF(VLOOKUP(BC57,Потребители_обозначение,4,FALSE)=1,VLOOKUP(BC57,Потребители_обозначение,3,FALSE)*(MAX(1,N(D57))*2-1)+EI57+VLOOKUP(BE57,Этаж_обозначение,3,FALSE)+VLOOKUP(BE57,Этаж_обозначение,4,FALSE),VLOOKUP(BC57,Потребители_обозначение,3,FALSE)*(MAX(1,N(D57))*2-1)+EI57),EI57))</f>
        <v>36</v>
      </c>
      <c r="Q57" s="6">
        <f t="shared" si="139"/>
        <v>2.3360288498727977</v>
      </c>
      <c r="R57" t="str">
        <f t="shared" si="140"/>
        <v>ВВГнг(А)-FRLS (5х1,5)</v>
      </c>
      <c r="S57" t="str">
        <f>IF(BM57="","",IF(BN57="вводной узел","узел ","")&amp;"л."&amp;(INT((BM57-1)/Столбцов_на_лист)+1)&amp;" / "&amp;(MOD(BM57-1,Столбцов_на_лист)+1))</f>
        <v>л.1 / 5</v>
      </c>
      <c r="T57" s="119">
        <f t="shared" si="141"/>
        <v>2.5</v>
      </c>
      <c r="U57" s="7" t="str">
        <f>IF(OR(CG57=0,N(BV57)+N(IB57)=0),"",ROUNDUP(Запас_БП*(N(HY57)+N(HZ57)),0))</f>
        <v/>
      </c>
      <c r="V57" s="119" t="str">
        <f t="shared" si="142"/>
        <v/>
      </c>
      <c r="W57" s="7">
        <f>IFERROR(IF(OR(B57="",BP57=1,BV57=1,NOT(ISNUMBER(EN57)),N(DT57)=0),"",MAX(0,ROUNDDOWN((c_min*(Uн_лин*1000/SQRT(3))/(HT57*N(DT57))-_xlfn.XLOOKUP(A57,Щиты[Щит],Щиты[Zпетли на шинах, Ом]))*EN57/(2*ρкз_Cu),0))),"")</f>
        <v>46</v>
      </c>
      <c r="Y57" t="str">
        <f>Линии[[#This Row],[_авто утечка]]</f>
        <v/>
      </c>
      <c r="Z57">
        <v>3</v>
      </c>
      <c r="AA57">
        <v>400</v>
      </c>
      <c r="AB57" t="str">
        <f>Линии[[#This Row],[_авто группа Кс]]</f>
        <v>Сил</v>
      </c>
      <c r="AG57" t="s">
        <v>800</v>
      </c>
      <c r="AH57" t="s">
        <v>497</v>
      </c>
      <c r="AK57" t="str">
        <f>Линии[[#This Row],[_авто модуль]]</f>
        <v/>
      </c>
      <c r="AN57" t="s">
        <v>13</v>
      </c>
      <c r="AO57">
        <v>5</v>
      </c>
      <c r="BA57" cm="1">
        <f t="array" ref="BA57">ROW()-ROW(Линии[#Headers])</f>
        <v>55</v>
      </c>
      <c r="BC57" s="6" t="str">
        <f t="shared" si="143"/>
        <v>ПУ</v>
      </c>
      <c r="BD57" t="str">
        <f t="shared" si="144"/>
        <v>0.03.1</v>
      </c>
      <c r="BE57" t="str">
        <f t="shared" si="145"/>
        <v>0</v>
      </c>
      <c r="BF57" t="str">
        <f t="shared" si="146"/>
        <v>03.1</v>
      </c>
      <c r="BG57" t="str">
        <f t="shared" si="147"/>
        <v>03</v>
      </c>
      <c r="BH57" t="str">
        <f>IF(X57&lt;&gt;"",X57,IF(AND(B57&lt;&gt;"",B57&lt;&gt;A57,ISNUMBER(_xlfn.XMATCH(B57,Щиты[Щит]))),B57,""))</f>
        <v/>
      </c>
      <c r="BI57" t="str" cm="1">
        <f t="array" ref="BI57">IF(B57="","",IF(BH57&lt;&gt;"","Щит "&amp;BH57,_xlfn.LET(_xlpm.nm,IFERROR(_xlfn.XLOOKUP(BC57,Коды_код,Коды_имя)&amp;"",""),_xlpm.md,IFERROR(N(_xlfn.XLOOKUP(BC57,Коды_код,Коды_режим)),1),_xlpm.ex,IF(Имя_режим="по экспликации",IFERROR(_xlfn.XLOOKUP(BE57&amp;"|"&amp;BG57,Экспликация[Этаж]&amp;"|"&amp;Экспликация[Помещение],Экспликация[Название])&amp;"",""),""),_xlpm.rm,IF(BG57="","",IF(_xlpm.ex&lt;&gt;"",". "&amp;_xlpm.ex&amp;IF(Имя_пом="нет"," ("&amp;BG57&amp;")"," (пом. "&amp;BG57&amp;")"),IF(Имя_пом="нет"," ",", пом. ")&amp;BG57)),IF(_xlpm.nm="","",IF(_xlpm.md=2,_xlpm.nm&amp;" шлейф "&amp;BE57,_xlpm.nm&amp;_xlpm.rm)))))</f>
        <v>Приточная установка, пом. 03</v>
      </c>
      <c r="BJ57" t="str">
        <f t="shared" si="148"/>
        <v>Вентилятор подпора воздуха</v>
      </c>
      <c r="BK57">
        <f>IFERROR(_xlfn.XMATCH(A57,Щиты[Щит]),0)</f>
        <v>6</v>
      </c>
      <c r="BL57">
        <f>_xlfn.LET(_xlpm.k,IFERROR(_xlfn.XLOOKUP(A57,Щиты[Щит],Щиты[Мест под вводной узел]),""),IF(_xlpm.k="",Столбцов_на_лист,N(_xlpm.k)))</f>
        <v>3</v>
      </c>
      <c r="BM57">
        <f t="shared" si="149"/>
        <v>5</v>
      </c>
      <c r="BN57" t="str">
        <f t="shared" si="150"/>
        <v>линии</v>
      </c>
      <c r="BO57" s="6">
        <f>IFERROR(N(_xlfn.XLOOKUP(BC57,Коды_код,Коды_квт)),0)</f>
        <v>0</v>
      </c>
      <c r="BP57">
        <f t="shared" si="151"/>
        <v>0</v>
      </c>
      <c r="BQ57" t="str">
        <f>IF(B57="","",IF(BH57&lt;&gt;"",IFERROR(_xlfn.XLOOKUP(BH57,Щиты[Щит],Щиты[Руст, кВт]),0),IF(BP57=1,IF(OR(N(_xlfn.XLOOKUP(A57,Щиты[Щит],Щиты[Вводов],1))&lt;=1,LOWER(TRIM(_xlfn.XLOOKUP(A57,Щиты[Щит],Щиты[АВР],"")&amp;""))="да"),IFERROR(_xlfn.XLOOKUP(A57,Щиты[Щит],Щиты[Руст, кВт]),0),SUMIFS(Линии[_Р для вводов],Линии[Щит],A57,Линии[Источник для режимов],GF57)),IF(BO57&gt;0,ROUND(BO57*MAX(1,N(D57)),3),""))))</f>
        <v/>
      </c>
      <c r="BR57">
        <f t="shared" si="152"/>
        <v>3</v>
      </c>
      <c r="BS57" s="6">
        <f>IF(B57="","",IF(BH57&lt;&gt;"",IFERROR(_xlfn.XLOOKUP(BH57,Щиты[Щит],Щиты[Руст, кВт]),0),N(BR57)))</f>
        <v>3</v>
      </c>
      <c r="BT57" t="str">
        <f>IF(B57="","",IFERROR(IF(VLOOKUP(BC57,Потребители_обозначение,8,FALSE)=0,"",VLOOKUP(BC57,Потребители_обозначение,8,FALSE)),""))</f>
        <v/>
      </c>
      <c r="BU57">
        <f t="shared" si="153"/>
        <v>400</v>
      </c>
      <c r="BV57">
        <f t="shared" si="154"/>
        <v>0</v>
      </c>
      <c r="BW57">
        <f>IF(B57="","",IF(BH57&lt;&gt;"",3,IFERROR(IF(N(VLOOKUP(BC57,Потребители_обозначение,9,FALSE))=0,1,VLOOKUP(BC57,Потребители_обозначение,9,FALSE)),1)))</f>
        <v>1</v>
      </c>
      <c r="BX57">
        <f t="shared" si="155"/>
        <v>3</v>
      </c>
      <c r="BY57" t="str">
        <f>IF(B57="","",_xlfn.LET(_xlpm.bc,IFERROR(IF(VLOOKUP(BC57,Потребители_обозначение,6,FALSE)=0,"",VLOOKUP(BC57,Потребители_обозначение,6,FALSE)&amp;""),""),IF(AND(GA57="да",OR(_xlpm.bc="",_xlpm.bc="мс")),Марка_пож,IF(AND(_xlpm.bc="",BH57&lt;&gt;""),"мс",_xlpm.bc))))</f>
        <v>мфр</v>
      </c>
      <c r="BZ57" t="str">
        <f t="shared" si="156"/>
        <v>мфр</v>
      </c>
      <c r="CA57">
        <f>IF(B57="","",_xlfn.LET(_xlpm.cc,IFERROR(N(VLOOKUP(BC57,Потребители_обозначение,7,FALSE)),0),IF(_xlpm.cc&gt;0,_xlpm.cc,IF(BZ57="","",IF(BV57=1,2,IF(N(BX57)=3,5,3))))))</f>
        <v>5</v>
      </c>
      <c r="CB57">
        <f t="shared" si="157"/>
        <v>5</v>
      </c>
      <c r="CC57">
        <f>IFERROR(N(VLOOKUP(BC57,Потребители_обозначение,10,FALSE)),0)</f>
        <v>0</v>
      </c>
      <c r="CD57">
        <f>IFERROR(VLOOKUP(BC57,Потребители_обозначение,5,FALSE),0)</f>
        <v>1</v>
      </c>
      <c r="CE57" s="6" cm="1">
        <f t="array" ref="CE57">IF(B57="","",IF(BH57&lt;&gt;"",IFERROR(_xlfn.XLOOKUP(BH57,Щиты[Щит],Щиты[cos φ]),0.95),IF(BP57=1,IFERROR(_xlfn.XLOOKUP(A57,Щиты[Щит],Щиты[cos φ]),0.95),IF(ISNUMBER(AD57),AD57,IFERROR(IF(CD57=2,_xlfn.IFS(BX57=3,VLOOKUP(BS57,Справочная_двигатели,8,FALSE),BX57=1,VLOOKUP(BS57,Справочная_двигатели,10,TRUE)),IF(AND(Методика="нормы 2026",FG57="Сил"),0.8,0.95)),0.95)))))</f>
        <v>0.8</v>
      </c>
      <c r="CF57">
        <f t="shared" si="158"/>
        <v>0</v>
      </c>
      <c r="CG57">
        <f t="shared" si="159"/>
        <v>1</v>
      </c>
      <c r="CH57">
        <f t="shared" si="160"/>
        <v>0</v>
      </c>
      <c r="CI57">
        <f>IF(B57="","",IF(BV57=1,IFERROR(BS57/((Uн_лин/SQRT(3))*MAX(0.5,N(CE57))),0),N(O57)))</f>
        <v>5.4126587736527414</v>
      </c>
      <c r="CJ57">
        <f t="shared" si="161"/>
        <v>0</v>
      </c>
      <c r="CK57">
        <f t="shared" si="162"/>
        <v>0</v>
      </c>
      <c r="CL57">
        <f t="shared" si="163"/>
        <v>0</v>
      </c>
      <c r="CM57">
        <f t="shared" si="164"/>
        <v>0</v>
      </c>
      <c r="CN57">
        <f t="shared" si="165"/>
        <v>0</v>
      </c>
      <c r="CO57">
        <f>IF(BC57="",0,_xlfn.LET(_xlpm.v,IFERROR(_xlfn.XLOOKUP(B57,Коды_код,Коды_мА),IFERROR(_xlfn.XLOOKUP(BC57,Коды_код,Коды_мА),IFERROR(_xlfn.XLOOKUP(LEFT(BC57,2),Коды_код,Коды_мА),""))),IF(_xlpm.v="да",30,IF(ISNUMBER(_xlpm.v),_xlpm.v,0))))</f>
        <v>0</v>
      </c>
      <c r="CP57" t="str">
        <f t="shared" si="166"/>
        <v/>
      </c>
      <c r="CQ57" t="str">
        <f>_xlfn.LET(_xlpm.k,IFERROR(_xlfn.XLOOKUP(BC57,Коды_код,Коды_утечка)&amp;"",""),IF(_xlpm.k="","дифавтомат",_xlpm.k))</f>
        <v>дифавтомат</v>
      </c>
      <c r="CR57" t="str" cm="1">
        <f t="array" ref="CR57">IF(CG57=0,"",_xlfn.LET(_xlpm.sg,TRIM(_xlfn.TEXTSPLIT(DD57&amp;"",";")),_xlpm.f_,_xlfn._xlws.FILTER(_xlpm.sg,LEFT(_xlpm.sg,3)="УЗО",""),IFERROR(INDEX(_xlpm.f_,1)&amp;"","")))</f>
        <v/>
      </c>
      <c r="CS57" t="str">
        <f t="shared" si="167"/>
        <v/>
      </c>
      <c r="CT57" s="6" t="str" cm="1">
        <f t="array" ref="CT57">IF(CR57="","",_xlfn.LET(_xlpm.tk,_xlfn.TEXTSPLIT(UPPER(CR57)," ",,TRUE),_xlpm.a_,_xlfn._xlws.FILTER(_xlpm.tk,ISNUMBER(--LEFT(_xlpm.tk,1))*((ISNUMBER(SEARCH("А",_xlpm.tk))+ISNUMBER(SEARCH("A",_xlpm.tk)))&gt;0)*NOT(ISNUMBER(SEARCH("МА",_xlpm.tk)))*NOT(ISNUMBER(SEARCH("MA",_xlpm.tk))),""),IFERROR(--SUBSTITUTE(SUBSTITUTE(INDEX(_xlpm.a_,1),"А",""),"A",""),"")))</f>
        <v/>
      </c>
      <c r="CU57" t="str" cm="1">
        <f t="array" ref="CU57">IF(CR57="","",_xlfn.LET(_xlpm.tk,_xlfn.TEXTSPLIT(UPPER(CR57)," ",,TRUE),_xlpm.a_,_xlfn._xlws.FILTER(_xlpm.tk,ISNUMBER(--LEFT(_xlpm.tk,1))*((ISNUMBER(SEARCH("МА",_xlpm.tk))+ISNUMBER(SEARCH("MA",_xlpm.tk)))&gt;0),""),IFERROR(--SUBSTITUTE(SUBSTITUTE(INDEX(_xlpm.a_,1),"МА",""),"MA",""),30)))</f>
        <v/>
      </c>
      <c r="CV57" t="str">
        <f>IF(CS57="","",IFERROR(_xlfn.XLOOKUP(CS57,Линии[_n],Линии[_УЗО, мА]),30))</f>
        <v/>
      </c>
      <c r="CW57">
        <f>IF(CS57="",0,IF(ISNUMBER(SEARCH("4P",IFERROR(_xlfn.XLOOKUP(CS57,Линии[_n],Линии[_УЗО строки])&amp;"",""))),0,1))</f>
        <v>0</v>
      </c>
      <c r="CX57" t="str">
        <f>IF(AND(CS57&lt;&gt;"",CS57=BA57),SUMIFS(Линии[_ток на 230 В],Линии[_блок УЗО],BA57,Линии[Щит],A57),"")</f>
        <v/>
      </c>
      <c r="CY57" t="str">
        <f>IF(AND(CS57&lt;&gt;"",CS57=BA57),SUMIFS(Линии[_ток утечки линии, мА],Линии[_блок УЗО],BA57,Линии[Щит],A57),"")</f>
        <v/>
      </c>
      <c r="CZ57">
        <f t="shared" si="168"/>
        <v>0</v>
      </c>
      <c r="DA57">
        <f t="shared" si="169"/>
        <v>0</v>
      </c>
      <c r="DB57">
        <f>IF(B57="",0,IFERROR(--_xlfn.XLOOKUP(B57,Коды_код,Коды_минавт),IFERROR(--_xlfn.XLOOKUP(BC57,Коды_код,Коды_минавт),IFERROR(--_xlfn.XLOOKUP(LEFT(BC57,2),Коды_код,Коды_минавт),0))))</f>
        <v>0</v>
      </c>
      <c r="DC57" t="str">
        <f>IF(B57="","",IFERROR(_xlfn.XLOOKUP(BC57,Коды_код,Коды_апп)&amp;"",""))</f>
        <v/>
      </c>
      <c r="DD57" t="str">
        <f t="shared" si="170"/>
        <v/>
      </c>
      <c r="DE57" t="str" cm="1">
        <f t="array" ref="DE57">IF(TRIM(DD57&amp;"")="","",IFERROR(TRIM(INDEX(_xlfn.TEXTSPLIT(DD57&amp;";;;",";"),1)),""))</f>
        <v/>
      </c>
      <c r="DF57" t="str" cm="1">
        <f t="array" ref="DF57">IF(TRIM(DD57&amp;"")="","",IFERROR(TRIM(INDEX(_xlfn.TEXTSPLIT(DD57&amp;";;;",";"),2)),""))</f>
        <v/>
      </c>
      <c r="DG57" t="str" cm="1">
        <f t="array" ref="DG57">IF(TRIM(DD57&amp;"")="","",IFERROR(TRIM(INDEX(_xlfn.TEXTSPLIT(DD57&amp;";;;",";"),3)),""))</f>
        <v/>
      </c>
      <c r="DH57">
        <f t="shared" si="171"/>
        <v>0</v>
      </c>
      <c r="DI57" t="str">
        <f>IF(B57="","",_xlfn.LET(_xlpm.t,LOWER(AZ57&amp;""),IF(ISNUMBER(SEARCH("dim",_xlpm.t)),"DIM",IF(ISNUMBER(SEARCH("dali",_xlpm.t)),"DALI",IF(OR(ISNUMBER(SEARCH("relay",_xlpm.t)),ISNUMBER(SEARCH("реле",_xlpm.t))),"Relay",IF(ISNUMBER(SEARCH("кнопк",_xlpm.t)),"",IFERROR(_xlfn.XLOOKUP(BC57,Коды_код,Коды_упр)&amp;"","")))))))</f>
        <v/>
      </c>
      <c r="DJ57" t="str">
        <f t="shared" si="172"/>
        <v/>
      </c>
      <c r="DK57">
        <f>IF(B57="","",_xlfn.LET(_xlpm.ig,IF(N(CX57)&gt;0,N(CX57),N(CI57)+IF(AJ57="вручную",0,N(CJ57))),_xlpm.n0,IFERROR(VLOOKUP(_xlpm.ig,Автомат_номиналы,2,TRUE),0),_xlpm.mn,MAX(DB57,IF(AJ57="вручную",0,N(CM57))),MAX(_xlpm.n0,_xlpm.mn,IF(DH57=1,Мин_автомат_БП,0))))</f>
        <v>10</v>
      </c>
      <c r="DL57">
        <f t="shared" si="173"/>
        <v>3</v>
      </c>
      <c r="DM57" t="str">
        <f t="shared" si="174"/>
        <v>3P</v>
      </c>
      <c r="DN57" t="str">
        <f>_xlfn.LET(_xlpm.cc,UPPER(TRIM(IFERROR(_xlfn.XLOOKUP(BC57,Коды_код,Коды_хар)&amp;"",""))),IF(OR(_xlpm.cc="B",_xlpm.cc="В"),"B",IF(_xlpm.cc="D","D","С")))</f>
        <v>С</v>
      </c>
      <c r="DO57" t="str">
        <f t="shared" si="175"/>
        <v>3P С10А</v>
      </c>
      <c r="DP57" t="str">
        <f t="shared" si="176"/>
        <v>3P С10А</v>
      </c>
      <c r="DQ57" t="str">
        <f t="shared" si="177"/>
        <v>3P С10А</v>
      </c>
      <c r="DR57" cm="1">
        <f t="array" ref="DR57">IF(DQ57="","",_xlfn.LET(_xlpm.t,SUBSTITUTE(SUBSTITUTE(SUBSTITUTE(UPPER(DQ57),"С","C"),"А","A"),"В","B"),_xlpm.tk,_xlfn.TEXTSPLIT(_xlpm.t," "),_xlpm.f,_xlfn._xlws.FILTER(_xlpm.tk,ISNUMBER(--MID(_xlpm.tk,2,1))*ISNUMBER(SEARCH(LEFT(_xlpm.tk,1)&amp;"#","B#C#D#"))*(LEN(_xlpm.tk)&gt;1),""),_xlpm.x,INDEX(_xlpm.f,1),IFERROR(--SUBSTITUTE(MID(_xlpm.x,2,9),"A",""),IFERROR(--SUBSTITUTE(INDEX(_xlfn._xlws.FILTER(_xlpm.tk,ISNUMBER(--SUBSTITUTE(_xlpm.tk,"A","")),""),1),"A",""),""))))</f>
        <v>10</v>
      </c>
      <c r="DS57" t="str">
        <f t="shared" si="178"/>
        <v>ok</v>
      </c>
      <c r="DT57">
        <f t="shared" si="179"/>
        <v>10</v>
      </c>
      <c r="DU57" t="str">
        <f t="shared" si="180"/>
        <v>3P С10А</v>
      </c>
      <c r="DV57">
        <f t="shared" si="181"/>
        <v>0</v>
      </c>
      <c r="DW57">
        <f t="shared" si="182"/>
        <v>0</v>
      </c>
      <c r="DX57">
        <f t="shared" si="183"/>
        <v>0</v>
      </c>
      <c r="DY57">
        <f t="shared" si="184"/>
        <v>5.4126587736527414</v>
      </c>
      <c r="DZ57">
        <f t="shared" si="185"/>
        <v>0.92</v>
      </c>
      <c r="EA57">
        <f>IF(ISNUMBER(AP57),AP57,К_прокл)</f>
        <v>1</v>
      </c>
      <c r="EB57">
        <f t="shared" si="186"/>
        <v>3</v>
      </c>
      <c r="EC57">
        <f>IFERROR(N(VLOOKUP(BZ57,Кабель_обозначение,3,FALSE)),1)</f>
        <v>1</v>
      </c>
      <c r="ED57">
        <f>IFERROR(N(_xlfn.XLOOKUP(A57,Щиты[Щит],Щиты[ΔU до шин, %])),0)</f>
        <v>1.3160288498727977</v>
      </c>
      <c r="EE57">
        <f>IFERROR(_xlfn.XLOOKUP(A57,Щиты[Щит],Щиты[Zпетли на шинах, Ом]),"")</f>
        <v>0.57177829354840215</v>
      </c>
      <c r="EF57">
        <f>IFERROR(N(_xlfn.XLOOKUP(A57,Щиты[Щит],Щиты[ΔU до шин (подбор), %])),0)</f>
        <v>1.3160288498727977</v>
      </c>
      <c r="EG57">
        <f>IFERROR(_xlfn.XLOOKUP(A57,Щиты[Щит],Щиты[Zпетли на шинах (подбор), Ом]),"")</f>
        <v>0.57177829354840215</v>
      </c>
      <c r="EH57" t="str">
        <f t="shared" si="187"/>
        <v/>
      </c>
      <c r="EI57">
        <f t="shared" si="188"/>
        <v>35</v>
      </c>
      <c r="EJ57">
        <f t="shared" si="189"/>
        <v>1</v>
      </c>
      <c r="EK57">
        <f t="shared" si="190"/>
        <v>0.6</v>
      </c>
      <c r="EL57" s="6">
        <f>IF(B57="","",IF(BV57=1,dU_LED,IF(IFERROR(_xlfn.XLOOKUP(BC57,Коды_код,Коды_уго),"")="Светильник",3,4)+IF(Методика="нормы 2026",MIN(0.5,MAX(0,N(P57)-100)*0.005),0)))</f>
        <v>4</v>
      </c>
      <c r="EM57" cm="1">
        <f t="array" ref="EM57">IF(OR(B57="",BZ57="",EC57&lt;&gt;1),"",_xlfn.LET(_xlpm.sz,Iдоп_S,_xlpm.t_,CHOOSE(EB57,Iдоп_1ж,Iдоп_2ж,Iдоп_3ж)*DZ57*EA57,_xlpm.dcx,BV57=1,_xlpm.inn,IF(_xlpm.dcx,N(O57),N(DT57)),_xlpm.smin,MAX(1.5,CC57),_xlpm.L_,N(P57),_xlpm.rho,_xlfn.XLOOKUP(_xlpm.sz,INDEX(Кабель_сопротивление,0,1),INDEX(Кабель_сопротивление,0,3),""),_xlpm.xx,_xlfn.XLOOKUP(_xlpm.sz,INDEX(Кабель_сопротивление,0,1),INDEX(Кабель_сопротивление,0,2),""),_xlpm.du_,IF(_xlpm.dcx,IFERROR(2*_xlpm.rho*_xlpm.L_/_xlpm.sz*N(O57)/N(BU57)*100,999),IFERROR(N(EJ57)*(_xlpm.rho*_xlpm.L_/_xlpm.sz*N(CE57)+_xlpm.xx*_xlpm.L_*N(EK57)/1000)*N(O57)/((Uн_лин/SQRT(3))*1000)*100,999)),_xlpm.kz,IF(OR(_xlpm.dcx,DW57=1,NOT(ISNUMBER(EG57)),_xlpm.L_=0,_xlpm.inn=0),1,IFERROR(--(c_min*(Uн_лин*1000/SQRT(3))/(EG57+2*ρкз_Cu*_xlpm.L_/_xlpm.sz)&gt;=HT57*_xlpm.inn),0)),_xlpm.ok,IFERROR((_xlpm.sz&gt;=_xlpm.smin)*(_xlpm.t_&gt;=_xlpm.inn)*IF(_xlpm.L_&gt;0,(_xlpm.du_+IF(_xlpm.dcx,0,EF57)&lt;=EL57+0.00001),1)*_xlpm.kz,0),_xlpm.r_,_xlfn._xlws.FILTER(_xlpm.sz,_xlpm.ok,"не подобрано"),INDEX(_xlpm.r_,1)))</f>
        <v>1.5</v>
      </c>
      <c r="EN57">
        <f t="shared" si="191"/>
        <v>1.5</v>
      </c>
      <c r="EO57" cm="1">
        <f t="array" ref="EO57">IF(OR(B57="",BZ57="",EC57&lt;&gt;1),"",_xlfn.LET(_xlpm.sz,Iдоп_S,_xlpm.t_,CHOOSE(EB57,Iдоп_1ж,Iдоп_2ж,Iдоп_3ж)*DZ57*EA57,_xlpm.ok,IFERROR((_xlpm.sz&gt;=MAX(1.5,CC57))*(_xlpm.t_&gt;=N(DT57)),0),_xlpm.r_,_xlfn._xlws.FILTER(_xlpm.sz,_xlpm.ok,""),INDEX(_xlpm.r_,1)))</f>
        <v>1.5</v>
      </c>
      <c r="EP57" s="6" cm="1">
        <f t="array" ref="EP57">IFERROR(ROUNDUP(N(EJ57)*(_xlfn.XLOOKUP(EO57,INDEX(Кабель_сопротивление,0,1),INDEX(Кабель_сопротивление,0,3))*N(P57)/EO57*N(CE57)+_xlfn.XLOOKUP(EO57,INDEX(Кабель_сопротивление,0,1),INDEX(Кабель_сопротивление,0,2))*N(P57)*N(EK57)/1000)*N(O57)/((Uн_лин/SQRT(3))*1000)*100,2),"")</f>
        <v>1.02</v>
      </c>
      <c r="EQ57">
        <f>IFERROR(2*ρкз_Cu*N(P57)/EO57,"")</f>
        <v>1.2624</v>
      </c>
      <c r="ER57">
        <f>IFERROR(VLOOKUP(EN57,Кабель_сопротивление,3,FALSE),"")</f>
        <v>2.2499999999999999E-2</v>
      </c>
      <c r="ES57">
        <f>IFERROR(VLOOKUP(EN57,Кабель_сопротивление,2,FALSE),"")</f>
        <v>0.11</v>
      </c>
      <c r="ET57" t="str">
        <f t="shared" si="192"/>
        <v/>
      </c>
      <c r="EU57" t="str">
        <f t="shared" si="193"/>
        <v/>
      </c>
      <c r="EV57">
        <f t="shared" si="194"/>
        <v>2.3511290674641829</v>
      </c>
      <c r="EW57" s="6">
        <f>IFERROR(ROUNDUP(EV57/IF(BV57=1,BU57,(Uн_лин/SQRT(3))*1000)*100,2),"")</f>
        <v>1.02</v>
      </c>
      <c r="EX57" t="str">
        <f>IFERROR(VLOOKUP(BZ57,Кабель_обозначение,2,FALSE),"")</f>
        <v>ВВГнг(А)-FRLS</v>
      </c>
      <c r="EY57" t="str">
        <f t="shared" si="195"/>
        <v>ВВГнг(А)-FRLS (5х1,5)</v>
      </c>
      <c r="EZ57" t="str">
        <f t="shared" si="196"/>
        <v>ВВГнг(А)-FRLS (5х1,5)
L=36-1,02%</v>
      </c>
      <c r="FA57">
        <f>IFERROR(2*ρкз_Cu*P57/EN57,"")</f>
        <v>1.2624</v>
      </c>
      <c r="FB57">
        <f t="shared" si="197"/>
        <v>0.4200000000000001</v>
      </c>
      <c r="FC57" s="6">
        <f>IFERROR(IF(OR(B57="",BV57=1,NOT(ISNUMBER(EN57)),N(P57)=0),"",_xlfn.XLOOKUP(A57,Щиты[Щит],Щиты[Zпетли на шинах, Ом])+FA57),"")</f>
        <v>1.8341782935484021</v>
      </c>
      <c r="FD57" s="6">
        <f>IF(ISNUMBER(FC57),c_min*(Uн_лин*1000/SQRT(3))/FC57,"")</f>
        <v>119.61383637771648</v>
      </c>
      <c r="FE57" s="6">
        <f>IFERROR(IF(OR(B57="",NOT(ISNUMBER(EN57))),"",1.05*(Uн_лин*1000/SQRT(3))/(_xlfn.XLOOKUP(A57,Щиты[Щит],Щиты[Zmax на шинах, Ом])+FB57)/1000),"")</f>
        <v>0.40322883698163919</v>
      </c>
      <c r="FF57" s="6" t="str">
        <f>IF(B57="","",IF(ISNUMBER(AC57),"Сил",IF(IFERROR(_xlfn.XLOOKUP(BC57,Коды_код,Коды_группа)&amp;"","")="","Быт",_xlfn.XLOOKUP(BC57,Коды_код,Коды_группа)&amp;"")))</f>
        <v>Сил</v>
      </c>
      <c r="FG57" s="6" t="str">
        <f t="shared" si="198"/>
        <v>Сил</v>
      </c>
      <c r="FH57" s="6">
        <f>IF(FG57="Щит","щит",IF(FG57="","",IF(FG57="Быт",IFERROR(_xlfn.XLOOKUP(A57,Щиты[Щит],Щиты[Кс быт]),1),IF(FG57="Сил",IF(ISNUMBER(AC57),AC57,IF(Методика="нормы 2026",IFERROR(_xlfn.XLOOKUP(A57,Щиты[Щит],Щиты[Кс силовых (табл. 7.5)]),1),1)),IF(OR(FG57="Пост",FG57="Отоп"),1,IF(FG57="ВНГ",0.7,0))))))</f>
        <v>1</v>
      </c>
      <c r="FI57">
        <f>IF(FG57="","",IF(AND(BP57=1,TRIM(AE57&amp;"")=""),IF(COUNTIFS(Линии[Щит],A57,Линии[Секция (1/2/3)],"&gt;=2")&gt;0,MIN(3,MAX(1,IFERROR(--BD57,1))),1),IFERROR(MIN(3,MAX(1,INT(--AE57))),1)))</f>
        <v>1</v>
      </c>
      <c r="FJ57">
        <f t="shared" si="199"/>
        <v>3</v>
      </c>
      <c r="FK57">
        <f t="shared" si="200"/>
        <v>0</v>
      </c>
      <c r="FL57">
        <f t="shared" si="201"/>
        <v>3</v>
      </c>
      <c r="FM57">
        <f t="shared" si="202"/>
        <v>0</v>
      </c>
      <c r="FN57">
        <f t="shared" si="203"/>
        <v>0</v>
      </c>
      <c r="FO57">
        <f t="shared" si="204"/>
        <v>0</v>
      </c>
      <c r="FP57">
        <f t="shared" si="205"/>
        <v>3</v>
      </c>
      <c r="FQ57">
        <f t="shared" si="206"/>
        <v>3</v>
      </c>
      <c r="FR57">
        <f t="shared" si="207"/>
        <v>2.4000000000000004</v>
      </c>
      <c r="FS57">
        <f>IF(CG57=1,IF(AND(CH57=1,CW57=1),0,IF(AND(CS57&lt;&gt;"",CS57=BA57,CW57=1),SUMIFS(Линии[_Р линии, кВт],Линии[_блок УЗО],BA57,Линии[Щит],A57),N(BS57)+IF(AJ57="вручную",0,N(CK57)))),0)</f>
        <v>3</v>
      </c>
      <c r="FT57" t="str">
        <f t="shared" si="208"/>
        <v/>
      </c>
      <c r="FU57" t="str">
        <f>IF(B57="","",IF(CG57=0,IF(BA57=1,"",FW56),IF(AND(CH57=1,CW57=1,CS57&lt;&gt;""),IFERROR(_xlfn.XLOOKUP(CS57,Линии[_n],Линии[_фаза итог]),"L1"),IF(OR(N(DL57)&gt;=3,N(BX57)&gt;=3),"L1,L2,L3",IFERROR(_xlfn.TEXTBEFORE(_xlfn.TEXTAFTER(_xlfn.XLOOKUP(A57,Щиты[Щит],Щиты[_фазы авто]),";"&amp;BA57&amp;":"),";"),"L1")))))</f>
        <v>L1,L2,L3</v>
      </c>
      <c r="FV57" t="str">
        <f t="shared" si="209"/>
        <v>L1,L2,L3</v>
      </c>
      <c r="FW57" t="str">
        <f t="shared" si="210"/>
        <v>L1,L2,L3</v>
      </c>
      <c r="FX57" cm="1">
        <f t="array" ref="FX57">IFERROR(IF(CD57=2,_xlfn.IFS(BX57=3,VLOOKUP(BS57,Справочная_двигатели,3,FALSE),BX57=1,VLOOKUP(BS57,Справочная_двигатели,5,TRUE)),0),0)</f>
        <v>0</v>
      </c>
      <c r="FY57">
        <f>IFERROR(IF(CD57=3,VLOOKUP(BS57,Справочная_ЛЭД,2,TRUE),0),0)</f>
        <v>0</v>
      </c>
      <c r="FZ57" s="6">
        <f t="shared" si="211"/>
        <v>0</v>
      </c>
      <c r="GA57" t="str">
        <f>IF(B57="","",IF(TRIM(AH57&amp;"")&lt;&gt;"",IF(LOWER(TRIM(AH57&amp;""))="да","да","нет"),IF(IFERROR(_xlfn.XLOOKUP(BC57,Коды_код,Коды_пожарная),"")="да","да","нет")))</f>
        <v>да</v>
      </c>
      <c r="GB57" t="str">
        <f t="shared" si="212"/>
        <v/>
      </c>
      <c r="GC57" t="str">
        <f t="shared" si="213"/>
        <v>основная</v>
      </c>
      <c r="GD57">
        <f>IF(AND(BP57=1,TRIM(AE57&amp;"")=""),IF(COUNTIFS(Линии[Щит],A57,Линии[Секция (1/2/3)],"&gt;=2")&gt;0,MIN(3,MAX(1,IFERROR(--BD57,1))),1),IFERROR(MIN(3,MAX(1,INT(--AE57))),1))</f>
        <v>1</v>
      </c>
      <c r="GE57" t="str" cm="1">
        <f t="array" ref="GE57">IF(B57="","",_xlfn.LET(_xlpm.t,IFERROR(_xlfn.XLOOKUP(1,(Шины[Шина]=GC57)*(((Шины[Щит]=A57)+(Шины[Щит]=""))&gt;0),Шины[Тип]),"")&amp;"",IF(_xlpm.t&lt;&gt;"",_xlpm.t,IF(ISNUMBER(SEARCH("ИБП",GC57)),"ИБП",IF(ISNUMBER(SEARCH("ДГУ",GC57)),"ДГУ","Ввод "&amp;GD57)))))</f>
        <v>Ввод 1</v>
      </c>
      <c r="GF57" t="str">
        <f t="shared" si="214"/>
        <v>Ввод 1</v>
      </c>
      <c r="GG57" t="str">
        <f>IF(BP57=0,"",IF(TRIM(AG57&amp;"")&lt;&gt;"",TRIM(AG57&amp;""),IF(OR(GE57="ИБП",GE57="ДГУ"),"I особая",_xlfn.XLOOKUP(A57,Щиты[Щит],Щиты[Категория шины «Ввод»],"III"))))</f>
        <v/>
      </c>
      <c r="GH57" t="str">
        <f>IF(A57="","",_xlfn.XLOOKUP(A57,Щиты[Щит],Щиты[Путь],""))</f>
        <v>|ВРУ|ЩСПЗ|</v>
      </c>
      <c r="GI57" t="str">
        <f>IF(B57="","",IF(AI57&lt;&gt;"",AI57,IF(IFERROR(_xlfn.XLOOKUP(BC57,Коды_код,Коды_вид)&amp;"","")="","Прочее",_xlfn.XLOOKUP(BC57,Коды_код,Коды_вид)&amp;"")))</f>
        <v>Вентиляция</v>
      </c>
      <c r="GJ57">
        <f>IF(BM57="","",INT((BM57-1)/Столбцов_на_лист)+1)</f>
        <v>1</v>
      </c>
      <c r="GK57" t="str">
        <f t="shared" si="215"/>
        <v>ВВГнг(А)-FRLS (5х1,5) L=36-1,02%</v>
      </c>
      <c r="GL57">
        <f t="shared" si="216"/>
        <v>3</v>
      </c>
      <c r="GM57">
        <f t="shared" si="217"/>
        <v>5.42</v>
      </c>
      <c r="GN57">
        <f t="shared" si="218"/>
        <v>3</v>
      </c>
      <c r="GO57">
        <f t="shared" si="219"/>
        <v>0</v>
      </c>
      <c r="GP57">
        <f t="shared" si="220"/>
        <v>1</v>
      </c>
      <c r="GQ57">
        <f>IF(BM57="","",IF(AND(CG57=1,GP57=1),COUNTIFS(A$3:A57,A57,CG$3:CG57,1,GP$3:GP57,1),IF(OR(OR(BA57=1,A57&lt;&gt;A56),AJ57="вручную",GP57=0),"",IF(BA57=1,"",GR56))))</f>
        <v>2</v>
      </c>
      <c r="GR57">
        <f t="shared" si="221"/>
        <v>2</v>
      </c>
      <c r="GS57">
        <f>IF(B57="","",IFERROR(LOOKUP(INDEX(CHOOSE(EB57,Iдоп_1ж,Iдоп_2ж,Iдоп_3ж),MATCH(EN57,Iдоп_S,0))*DZ57*EA57,{6,10,16,20,25,32,40,50,63,80,100,125,160,200,250,315,400,500,630}),""))</f>
        <v>16</v>
      </c>
      <c r="GT57" t="str">
        <f t="shared" si="222"/>
        <v>QF2</v>
      </c>
      <c r="GU57" t="str">
        <f t="shared" si="223"/>
        <v>QF2</v>
      </c>
      <c r="GV57" t="str">
        <f t="shared" si="224"/>
        <v/>
      </c>
      <c r="GW57">
        <f t="shared" si="225"/>
        <v>0</v>
      </c>
      <c r="GX57" t="str">
        <f>IF(OR(B57="",DJ57=""),"",IFERROR(_xlfn.XLOOKUP(DJ57,Модули_умолч[Управление],Модули_умолч[Модель])&amp;"",""))</f>
        <v/>
      </c>
      <c r="GY57">
        <f>IF(DJ57="",1,IFERROR(MAX(0,N(_xlfn.XLOOKUP(DJ57,Модули_умолч[Управление],Модули_умолч[Каналов на линию]))),1))</f>
        <v>1</v>
      </c>
      <c r="GZ57" t="str">
        <f t="shared" si="226"/>
        <v/>
      </c>
      <c r="HA57" t="str">
        <f t="shared" si="227"/>
        <v/>
      </c>
      <c r="HB57" t="str">
        <f t="shared" si="228"/>
        <v/>
      </c>
      <c r="HC57">
        <f>IF(HB57="",0,IFERROR(N(VLOOKUP(HB57,Модули_спр,3,FALSE)),0))</f>
        <v>0</v>
      </c>
      <c r="HD57" t="str">
        <f t="shared" si="229"/>
        <v/>
      </c>
      <c r="HE57" t="str">
        <f t="shared" si="230"/>
        <v/>
      </c>
      <c r="HF57" t="str">
        <f>IF(OR(HE57="",HE57="-"),"",IFERROR(VLOOKUP(HE57,Модули_спр,2,FALSE),"R"))</f>
        <v/>
      </c>
      <c r="HG57" t="str">
        <f>IF(HF57="","",HF57&amp;"."&amp;COUNTIFS(A$3:A57,A57,HF$3:HF57,HF57))</f>
        <v/>
      </c>
      <c r="HH57" t="str">
        <f t="shared" si="231"/>
        <v/>
      </c>
      <c r="HI57" t="str">
        <f t="shared" si="232"/>
        <v/>
      </c>
      <c r="HJ57" t="str">
        <f t="shared" si="233"/>
        <v/>
      </c>
      <c r="HK57" t="str">
        <f t="shared" si="234"/>
        <v/>
      </c>
      <c r="HL57">
        <f t="shared" si="235"/>
        <v>1</v>
      </c>
      <c r="HM57" t="str">
        <f>IF(HL57=1,"XT"&amp;COUNTIFS(A$3:A57,A57,HL$3:HL57,1),"")</f>
        <v>XT2</v>
      </c>
      <c r="HN57" t="str">
        <f t="shared" si="236"/>
        <v>XT2</v>
      </c>
      <c r="HO57" t="str">
        <f t="shared" si="237"/>
        <v>QF2</v>
      </c>
      <c r="HP57" t="str">
        <f t="shared" si="238"/>
        <v/>
      </c>
      <c r="HQ57" t="str">
        <f t="shared" si="239"/>
        <v>ok</v>
      </c>
      <c r="HR57" t="str">
        <f>IF(OR(HJ57="",HH57=""),"",IF(HJ57+MAX(0,GY57-1)&gt;IFERROR(VLOOKUP(HI57,Модули_спр,3,FALSE),99),"ЛИШНИЙ КАНАЛ",IF(AND(AL57&lt;&gt;"=",GY57&gt;0,COUNTIFS(Линии[_модуль гр.],HH57,Линии[Канал (итог)],HJ57,Линии[Канал],"&lt;&gt;=",Линии[Щит],A57)&gt;1),"ДУБЛЬ КАНАЛА","")))</f>
        <v/>
      </c>
      <c r="HS57" s="6">
        <f t="shared" si="240"/>
        <v>11.961383637771648</v>
      </c>
      <c r="HT57">
        <f t="shared" si="241"/>
        <v>10</v>
      </c>
      <c r="HU57" t="str">
        <f t="shared" si="242"/>
        <v>ok</v>
      </c>
      <c r="HV57">
        <f t="shared" si="243"/>
        <v>2.5250635094610967</v>
      </c>
      <c r="HW57">
        <f t="shared" si="244"/>
        <v>0</v>
      </c>
      <c r="HX57">
        <f t="shared" si="245"/>
        <v>0</v>
      </c>
      <c r="HY57">
        <f t="shared" si="246"/>
        <v>0</v>
      </c>
      <c r="HZ57">
        <f t="shared" si="247"/>
        <v>0</v>
      </c>
      <c r="IA57">
        <f t="shared" si="248"/>
        <v>0</v>
      </c>
      <c r="IB57">
        <f t="shared" si="249"/>
        <v>0</v>
      </c>
      <c r="IC57" t="str">
        <f t="shared" si="250"/>
        <v/>
      </c>
      <c r="ID57" t="str" cm="1">
        <f t="array" ref="ID57">IF(IC57="","",_xlfn.LET(_xlpm.tk,_xlfn.TEXTSPLIT(SUBSTITUTE(SUBSTITUTE(IC57,";"," "),"→"," ")," ",,TRUE),_xlpm.w_,_xlfn._xlws.FILTER(_xlpm.tk,ISNUMBER(--LEFT(_xlpm.tk,1))*((ISNUMBER(SEARCH("W",_xlpm.tk))+ISNUMBER(SEARCH("Вт",_xlpm.tk)))&gt;0),""),IFERROR(--SUBSTITUTE(SUBSTITUTE(UPPER(INDEX(_xlpm.w_,1)),"W",""),"ВТ",""),"")))</f>
        <v/>
      </c>
      <c r="IE57" t="str" cm="1">
        <f t="array" ref="IE57">IF(IC57="","",_xlfn.LET(_xlpm.tk,_xlfn.TEXTSPLIT(SUBSTITUTE(SUBSTITUTE(IC57,";"," "),"→"," ")," ",,TRUE),_xlpm.v_,_xlfn._xlws.FILTER(_xlpm.tk,ISNUMBER(--LEFT(_xlpm.tk,1))*((ISNUMBER(SEARCH("V",_xlpm.tk))+(RIGHT(UPPER(_xlpm.tk))="В"))&gt;0),""),IFERROR(--SUBSTITUTE(SUBSTITUTE(UPPER(INDEX(_xlpm.v_,1)),"V",""),"В",""),"")))</f>
        <v/>
      </c>
      <c r="IF57" s="6" t="str">
        <f>IF(OR(BV57=0,HI57="",HJ57=""),"",IFERROR(N(_xlfn.XLOOKUP(HI57,Каталог!$C$4:$C$500,Каталог!$Q$4:$Q$500)),""))</f>
        <v/>
      </c>
      <c r="IG57" s="6" t="str">
        <f>IF(N(IF57)=0,"",SUMIFS(Линии[Iр, А],Линии[Щит],A57,Линии[_модуль гр.],HH57,Линии[Канал (итог)],HJ57))</f>
        <v/>
      </c>
      <c r="IH57" t="str">
        <f>IF(AND(B57="",HO57=""),"",_xlfn.TEXTJOIN("; ",TRUE,IF(AND(B57&lt;&gt;"",FV57=""),"нет фазы",""),IF(AND(B57&lt;&gt;"",N(GL57)=0,FG57&lt;&gt;"Нет"),"нет мощности",""),IF(AND(HN57&lt;&gt;"",COUNTIFS(Линии[Щит],A57,Линии[Клемма (итог)],HN57)&gt;1),"дубль клеммы "&amp;HN57,""),IF(AND(HQ57&lt;&gt;"",HQ57&lt;&gt;"ok"),HQ57,""),IF(HR57&lt;&gt;"",HR57,""),IF(AND(N(CB57)&gt;=4,N(BX57)=1),CB57&amp;" жил на 1 фазе",""),IF(AND(BC57="R",CG57=1,IF(CS57&lt;&gt;"",N(CV57)&gt;30,OR(N(DA57)=0,N(DA57)&gt;30))),"розетка без дифзащиты до 30 мА",""),IF(AND(CG57=1,N(DA57)&gt;0,ISNUMBER(T57)),IF(T57&gt;N(DA57)/3,"ток утечки "&amp;FIXED(T57,1)&amp;" мА &gt; 1/3 уставки ("&amp;DA57&amp;" мА)",""),""),IF(AND(CH57=1,CS57=""),"«узо»: нет строки с УЗО выше (УЗО 2P 40А 30мА в «Аппаратах»)",""),IF(AND(CS57&lt;&gt;"",CS57=BA57),IF(CT57="","впишите номинал УЗО (УЗО 2P 40А 30мА)",IF(N(CT57)&lt;N(DT57),"УЗО "&amp;CT57&amp;" А &lt; автомата "&amp;DT57&amp;" А перед ним",IF(N(CT57)&lt;N(CX57),"УЗО "&amp;CT57&amp;" А &lt; тока блока "&amp;FIXED(CX57,1)&amp;" А",""))),""),IF(AND(CS57&lt;&gt;"",CS57=BA57,ISNUMBER(CY57)),IF(CY57&gt;N(CV57)/3,"ток утечки блока УЗО "&amp;FIXED(CY57,1)&amp;" мА &gt; 1/3 уставки ("&amp;CV57&amp;" мА)",""),""),IF(AND(CG57=1,N(BV57)+N(IB57)&gt;0,IC57=""),"линии до 50 В без БП: впишите в «Аппараты» (БП 24V 480W)",""),IF(AND(CG57=1,ISNUMBER(ID57),ISNUMBER(U57)),IF(U57&gt;ID57,"БП "&amp;ID57&amp;" Вт &lt; нужно "&amp;U57&amp;" Вт (×"&amp;Запас_БП&amp;")",""),""),IF(AND(CG57=1,ISNUMBER(IE57),N(BV57)=1),IF(IE57&lt;&gt;N(BU57),"БП на "&amp;IE57&amp;" В, линия "&amp;BU57&amp;" В",""),""),IF(AND(N(IF57)&gt;0,N(IG57)&gt;N(IF57)),HH57&amp;" канал "&amp;HJ57&amp;": "&amp;FIXED(IG57,1)&amp;" А &gt; "&amp;IF57&amp;" А",""),IFERROR(IF(AND(ISNUMBER(Q57),Q57&gt;EL57),"потери "&amp;FIXED(Q57,1)&amp;" % &gt; "&amp;EL57&amp;" %",""),""),IFERROR(IF(LEFT(HU57,4)="мало","Iкз мало — отключение &gt; 0,4 с",""),""),IF(AND(B57&lt;&gt;"",BM57=""),"не на схеме",""),IF(AND(CG57=0,B57&lt;&gt;"",FV57&lt;&gt;"",IF(BA57=1,"",FW56)&lt;&gt;"",FV57&lt;&gt;IF(BA57=1,"",FW56)),"фаза не как у автомата группы ("&amp;IF(BA57=1,"",FW56)&amp;")","")))</f>
        <v/>
      </c>
      <c r="II57" s="6" t="str">
        <f>IF(OR(CG57=0,DQ57=""),"",_xlfn.LET(_xlpm.t,IFERROR(_xlfn.XLOOKUP(DQ57,Каталог!$U$4:$U$500,Каталог!$G$4:$G$500),""),_xlpm.k,SEARCH("кА",_xlpm.t),IFERROR(--TRIM(RIGHT(SUBSTITUTE(MID(_xlpm.t,MAX(1,_xlpm.k-4),_xlpm.k-MAX(1,_xlpm.k-4))," ",REPT(" ",9)),5)),"")))</f>
        <v/>
      </c>
      <c r="IJ57" t="str">
        <f>IF(OR(II57="",CG57=0),"",IF(_xlfn.XLOOKUP(A57,Щиты[Щит],Щиты[Iкз max на шинах, кА],"")="","",IF(II57&lt;_xlfn.XLOOKUP(A57,Щиты[Щит],Щиты[Iкз max на шинах, кА]),"Icu "&amp;II57&amp;" кА &lt; Iкз max","ok")))</f>
        <v/>
      </c>
      <c r="IK57" t="str">
        <f t="shared" si="251"/>
        <v/>
      </c>
      <c r="IL57" t="str">
        <f t="shared" si="252"/>
        <v>QF2|XT2</v>
      </c>
      <c r="IM57" t="str">
        <f t="shared" si="253"/>
        <v>QF2|XT2|кабель ВВГнг(А)-FRLS (5х1,5) → Вентилятор подпора воздуха</v>
      </c>
      <c r="IN57" t="str" cm="1">
        <f t="array" ref="IN57">IF(IM57="","",_xlfn.LET(_xlpm.nd,_xlfn.TEXTSPLIT(IM57,"|"),IF(COLUMNS(_xlpm.nd)&gt;1,A57&amp;"¦"&amp;INDEX(_xlpm.nd,1)&amp;"¦"&amp;INDEX(_xlpm.nd,2),"")))</f>
        <v>ЩСПЗ¦QF2¦XT2</v>
      </c>
      <c r="IO57" t="str">
        <f t="shared" si="254"/>
        <v>ПУ.0.03.1¦Вентилятор подпора воздуха</v>
      </c>
      <c r="IP57" t="str" cm="1">
        <f t="array" ref="IP57">IF(IM57="","",_xlfn.LET(_xlpm.nd,_xlfn.TEXTSPLIT(IM57,"|"),IF(COLUMNS(_xlpm.nd)&gt;2,A57&amp;"¦"&amp;INDEX(_xlpm.nd,2)&amp;"¦"&amp;INDEX(_xlpm.nd,3),"")))</f>
        <v>ЩСПЗ¦XT2¦кабель ВВГнг(А)-FRLS (5х1,5) → Вентилятор подпора воздуха</v>
      </c>
      <c r="IQ57" t="str">
        <f t="shared" si="255"/>
        <v>ПУ.0.03.1¦Вентилятор подпора воздуха</v>
      </c>
      <c r="IR57" t="str" cm="1">
        <f t="array" ref="IR57">IF(IM57="","",_xlfn.LET(_xlpm.nd,_xlfn.TEXTSPLIT(IM57,"|"),IF(COLUMNS(_xlpm.nd)&gt;3,A57&amp;"¦"&amp;INDEX(_xlpm.nd,3)&amp;"¦"&amp;INDEX(_xlpm.nd,4),"")))</f>
        <v/>
      </c>
      <c r="IS57" t="str">
        <f t="shared" si="256"/>
        <v/>
      </c>
      <c r="IT57" t="str" cm="1">
        <f t="array" ref="IT57">IF(IM57="","",_xlfn.LET(_xlpm.nd,_xlfn.TEXTSPLIT(IM57,"|"),IF(COLUMNS(_xlpm.nd)&gt;4,A57&amp;"¦"&amp;INDEX(_xlpm.nd,4)&amp;"¦"&amp;INDEX(_xlpm.nd,5),"")))</f>
        <v/>
      </c>
      <c r="IU57" t="str">
        <f t="shared" si="257"/>
        <v/>
      </c>
      <c r="IV57" t="str" cm="1">
        <f t="array" ref="IV57">IF(IM57="","",_xlfn.LET(_xlpm.nd,_xlfn.TEXTSPLIT(IM57,"|"),IF(COLUMNS(_xlpm.nd)&gt;5,A57&amp;"¦"&amp;INDEX(_xlpm.nd,5)&amp;"¦"&amp;INDEX(_xlpm.nd,6),"")))</f>
        <v/>
      </c>
      <c r="IW57" t="str">
        <f t="shared" si="258"/>
        <v/>
      </c>
      <c r="IX57" t="str" cm="1">
        <f t="array" ref="IX57">IF(IM57="","",_xlfn.LET(_xlpm.nd,_xlfn.TEXTSPLIT(IM57,"|"),IF(COLUMNS(_xlpm.nd)&gt;6,A57&amp;"¦"&amp;INDEX(_xlpm.nd,6)&amp;"¦"&amp;INDEX(_xlpm.nd,7),"")))</f>
        <v/>
      </c>
      <c r="IY57" t="str">
        <f t="shared" si="259"/>
        <v/>
      </c>
      <c r="IZ57" t="str">
        <f t="shared" si="260"/>
        <v/>
      </c>
      <c r="JA57" t="str">
        <f t="shared" si="261"/>
        <v>QF2 → XT2</v>
      </c>
      <c r="JB57">
        <f t="shared" si="262"/>
        <v>0</v>
      </c>
      <c r="JC57">
        <f t="shared" si="263"/>
        <v>0</v>
      </c>
      <c r="JD57" t="str">
        <f t="shared" si="264"/>
        <v/>
      </c>
      <c r="JE57" t="str">
        <f t="shared" si="265"/>
        <v/>
      </c>
      <c r="JF57" t="str">
        <f t="shared" si="266"/>
        <v/>
      </c>
      <c r="JG57" t="str">
        <f t="shared" si="267"/>
        <v/>
      </c>
      <c r="JH57" t="str">
        <f>IF(B57="","",IFERROR(_xlfn.XLOOKUP(B57,Коды_код,Коды_уго),IFERROR(_xlfn.XLOOKUP(BC57,Коды_код,Коды_уго),IFERROR(_xlfn.XLOOKUP(LEFT(BC57,2),Коды_код,Коды_уго),""))))</f>
        <v>Привод (двигатель)</v>
      </c>
      <c r="JI57" t="str">
        <f>IF(B57="","",IF(OR(JH57="",JH57=0),"BOX",IFERROR(IF(VLOOKUP(JH57,УГО_блоки,3,FALSE)&amp;""&lt;&gt;"",VLOOKUP(JH57,УГО_блоки,3,FALSE),VLOOKUP(JH57,УГО_блоки,2,FALSE)),JH57)))</f>
        <v>MOTOR</v>
      </c>
      <c r="JJ57">
        <f t="shared" si="268"/>
        <v>1</v>
      </c>
      <c r="JK57" t="str">
        <f>IF(DQ57="","",IF(COUNTIF(DQ$3:DQ57,DQ57)=1,MAX(JK$2:JK56)+1,""))</f>
        <v/>
      </c>
      <c r="JL57" t="str">
        <f>IF(DE57="","",IF(COUNTIF(DE$3:DE57,DE57)+COUNTIF(DF$2:DF56,DE57)+COUNTIF(DG$2:DG56,DE57)=1,MAX(JL$2:JN56)+1,""))</f>
        <v/>
      </c>
      <c r="JM57" t="str">
        <f>IF(DF57="","",IF(COUNTIF(DE$3:DE57,DF57)+COUNTIF(DF$3:DF57,DF57)+COUNTIF(DG$2:DG56,DF57)=1,MAX(JL$2:JN56,JL57)+1,""))</f>
        <v/>
      </c>
      <c r="JN57" t="str">
        <f>IF(DG57="","",IF(COUNTIF(DE$3:DE57,DG57)+COUNTIF(DF$3:DF57,DG57)+COUNTIF(DG$3:DG57,DG57)=1,MAX(JL$2:JN56,JL57,JM57)+1,""))</f>
        <v/>
      </c>
      <c r="JO57" t="str">
        <f t="shared" si="269"/>
        <v>5х1,5</v>
      </c>
      <c r="JP57" t="str">
        <f>IF(JO57="","",IF(COUNTIF(JO$3:JO57,JO57)=1,MAX(JP$2:JP56)+1,""))</f>
        <v/>
      </c>
      <c r="JQ57" t="str">
        <f>IF(HG57="","",COUNTIF(HG$3:HG57,"?*"))</f>
        <v/>
      </c>
      <c r="JR57" t="str">
        <f>IF(OR(HG57="",HI57=""),"",IF(COUNTIFS(HG$3:HG57,"?*",HI$3:HI57,HI57)=1,MAX(JR$2:JR56)+1,""))</f>
        <v/>
      </c>
      <c r="JS57">
        <f t="shared" si="270"/>
        <v>0</v>
      </c>
      <c r="JT57">
        <f>IF(B57="","",COUNTIF(B$3:B57,"?*"))</f>
        <v>53</v>
      </c>
      <c r="JU57">
        <f>IF(HL57&lt;&gt;1,0,_xlfn.LET(_xlpm.k,MAX(IFERROR(--_xlfn.XLOOKUP(B57,Коды_код,Коды_3L),0),IFERROR(--_xlfn.XLOOKUP(BC57,Коды_код,Коды_3L),0),IFERROR(--_xlfn.XLOOKUP(LEFT(BC57,2),Коды_код,Коды_3L),0)),IF(_xlpm.k&gt;0,_xlpm.k,IF(IFERROR(--LEFT(SUBSTITUTE(JO57,"x","х"),FIND("х",SUBSTITUTE(JO57,"x","х"))-1),3)&gt;3,Каталог!$S$9,1))))</f>
        <v>1</v>
      </c>
      <c r="JV57">
        <f t="shared" si="271"/>
        <v>2</v>
      </c>
      <c r="JW57" t="str">
        <f t="shared" si="272"/>
        <v>авто</v>
      </c>
      <c r="JX57" t="str">
        <f t="shared" si="273"/>
        <v/>
      </c>
      <c r="JY57">
        <f t="shared" si="274"/>
        <v>0</v>
      </c>
      <c r="JZ57">
        <f t="shared" si="275"/>
        <v>1</v>
      </c>
    </row>
  </sheetData>
  <mergeCells count="1">
    <mergeCell ref="A1:C1"/>
  </mergeCells>
  <conditionalFormatting sqref="A3:JZ358">
    <cfRule type="expression" dxfId="92" priority="11" stopIfTrue="1">
      <formula>$BN3="вводной узел"</formula>
    </cfRule>
    <cfRule type="expression" dxfId="91" priority="12" stopIfTrue="1">
      <formula>ODD($BK3)</formula>
    </cfRule>
    <cfRule type="expression" dxfId="90" priority="13" stopIfTrue="1">
      <formula>AND($BA3&gt;1,$A3&lt;&gt;$A2)</formula>
    </cfRule>
    <cfRule type="expression" dxfId="89" priority="14" stopIfTrue="1">
      <formula>AND($A3=$A2,$GJ3&lt;&gt;$GJ2,$GJ3&lt;&gt;"")</formula>
    </cfRule>
  </conditionalFormatting>
  <conditionalFormatting sqref="C3:C358">
    <cfRule type="expression" dxfId="88" priority="10" stopIfTrue="1">
      <formula>AND(Выдача_n&gt;0,$B3&lt;&gt;"",IFERROR(INDEX(Выдача_3,MATCH($A3&amp;"|"&amp;$B3,Выдача_ключ,0))&amp;""&lt;&gt;C3&amp;"",FALSE))</formula>
    </cfRule>
    <cfRule type="expression" dxfId="87" priority="15" stopIfTrue="1">
      <formula>_xlfn.ISFORMULA(C3)</formula>
    </cfRule>
    <cfRule type="expression" dxfId="86" priority="16" stopIfTrue="1">
      <formula>AND(NOT(_xlfn.ISFORMULA(C3)),C3&lt;&gt;"")</formula>
    </cfRule>
  </conditionalFormatting>
  <conditionalFormatting sqref="E3:E358">
    <cfRule type="expression" dxfId="85" priority="9" stopIfTrue="1">
      <formula>AND(Выдача_n&gt;0,$B3&lt;&gt;"",IFERROR(ROUND(N(INDEX(Выдача_4,MATCH($A3&amp;"|"&amp;$B3,Выдача_ключ,0))),3)&lt;&gt;ROUND(N(E3),3),FALSE))</formula>
    </cfRule>
    <cfRule type="expression" dxfId="84" priority="17" stopIfTrue="1">
      <formula>_xlfn.ISFORMULA(E3)</formula>
    </cfRule>
    <cfRule type="expression" dxfId="83" priority="18" stopIfTrue="1">
      <formula>AND(NOT(_xlfn.ISFORMULA(E3)),E3&lt;&gt;"")</formula>
    </cfRule>
  </conditionalFormatting>
  <conditionalFormatting sqref="F3:F358">
    <cfRule type="expression" dxfId="82" priority="19" stopIfTrue="1">
      <formula>F3&lt;&gt;""</formula>
    </cfRule>
  </conditionalFormatting>
  <conditionalFormatting sqref="G3:G358">
    <cfRule type="expression" dxfId="81" priority="8" stopIfTrue="1">
      <formula>AND(Выдача_n&gt;0,$B3&lt;&gt;"",IFERROR(INDEX(Выдача_5,MATCH($A3&amp;"|"&amp;$B3,Выдача_ключ,0))&amp;""&lt;&gt;G3&amp;"",FALSE))</formula>
    </cfRule>
    <cfRule type="expression" dxfId="80" priority="20" stopIfTrue="1">
      <formula>_xlfn.ISFORMULA(G3)</formula>
    </cfRule>
    <cfRule type="expression" dxfId="79" priority="21" stopIfTrue="1">
      <formula>AND(NOT(_xlfn.ISFORMULA(G3)),G3&lt;&gt;"")</formula>
    </cfRule>
  </conditionalFormatting>
  <conditionalFormatting sqref="H3:H358">
    <cfRule type="expression" dxfId="78" priority="22" stopIfTrue="1">
      <formula>_xlfn.ISFORMULA(H3)</formula>
    </cfRule>
    <cfRule type="expression" dxfId="77" priority="23" stopIfTrue="1">
      <formula>AND(NOT(_xlfn.ISFORMULA(H3)),H3&lt;&gt;"")</formula>
    </cfRule>
  </conditionalFormatting>
  <conditionalFormatting sqref="I3:I358">
    <cfRule type="expression" dxfId="76" priority="24" stopIfTrue="1">
      <formula>_xlfn.ISFORMULA(I3)</formula>
    </cfRule>
    <cfRule type="expression" dxfId="75" priority="25" stopIfTrue="1">
      <formula>AND(NOT(_xlfn.ISFORMULA(I3)),I3&lt;&gt;"")</formula>
    </cfRule>
  </conditionalFormatting>
  <conditionalFormatting sqref="J3:J358">
    <cfRule type="expression" dxfId="74" priority="7" stopIfTrue="1">
      <formula>AND(Выдача_n&gt;0,$B3&lt;&gt;"",IFERROR(INDEX(Выдача_6,MATCH($A3&amp;"|"&amp;$B3,Выдача_ключ,0))&amp;""&lt;&gt;J3&amp;"",FALSE))</formula>
    </cfRule>
    <cfRule type="expression" dxfId="73" priority="26" stopIfTrue="1">
      <formula>_xlfn.ISFORMULA(J3)</formula>
    </cfRule>
    <cfRule type="expression" dxfId="72" priority="27" stopIfTrue="1">
      <formula>AND(NOT(_xlfn.ISFORMULA(J3)),J3&lt;&gt;"")</formula>
    </cfRule>
  </conditionalFormatting>
  <conditionalFormatting sqref="K3:K358">
    <cfRule type="expression" dxfId="71" priority="28" stopIfTrue="1">
      <formula>_xlfn.ISFORMULA(K3)</formula>
    </cfRule>
    <cfRule type="expression" dxfId="70" priority="29" stopIfTrue="1">
      <formula>AND(NOT(_xlfn.ISFORMULA(K3)),K3&lt;&gt;"")</formula>
    </cfRule>
  </conditionalFormatting>
  <conditionalFormatting sqref="L3:L358">
    <cfRule type="expression" dxfId="69" priority="5" stopIfTrue="1">
      <formula>AND(Выдача_n&gt;0,$B3&lt;&gt;"",IFERROR(INDEX(Выдача_8,MATCH($A3&amp;"|"&amp;$B3,Выдача_ключ,0))&amp;""&lt;&gt;L3&amp;"",FALSE))</formula>
    </cfRule>
    <cfRule type="expression" dxfId="68" priority="30" stopIfTrue="1">
      <formula>_xlfn.ISFORMULA(L3)</formula>
    </cfRule>
    <cfRule type="expression" dxfId="67" priority="31" stopIfTrue="1">
      <formula>AND(NOT(_xlfn.ISFORMULA(L3)),L3&lt;&gt;"")</formula>
    </cfRule>
  </conditionalFormatting>
  <conditionalFormatting sqref="M3:M358">
    <cfRule type="expression" dxfId="66" priority="32" stopIfTrue="1">
      <formula>_xlfn.ISFORMULA(M3)</formula>
    </cfRule>
    <cfRule type="expression" dxfId="65" priority="33" stopIfTrue="1">
      <formula>AND(NOT(_xlfn.ISFORMULA(M3)),M3&lt;&gt;"")</formula>
    </cfRule>
  </conditionalFormatting>
  <conditionalFormatting sqref="N3:N358">
    <cfRule type="expression" dxfId="64" priority="34" stopIfTrue="1">
      <formula>N3&lt;&gt;""</formula>
    </cfRule>
  </conditionalFormatting>
  <conditionalFormatting sqref="Y3:Y358">
    <cfRule type="expression" dxfId="63" priority="35" stopIfTrue="1">
      <formula>_xlfn.ISFORMULA(Y3)</formula>
    </cfRule>
    <cfRule type="expression" dxfId="62" priority="36" stopIfTrue="1">
      <formula>AND(NOT(_xlfn.ISFORMULA(Y3)),Y3&lt;&gt;"")</formula>
    </cfRule>
  </conditionalFormatting>
  <conditionalFormatting sqref="Z3:Z358">
    <cfRule type="expression" dxfId="61" priority="37" stopIfTrue="1">
      <formula>_xlfn.ISFORMULA(Z3)</formula>
    </cfRule>
  </conditionalFormatting>
  <conditionalFormatting sqref="Z3:Z358">
    <cfRule type="expression" dxfId="60" priority="38" stopIfTrue="1">
      <formula>AND(NOT(_xlfn.ISFORMULA(Z3)),Z3&lt;&gt;"")</formula>
    </cfRule>
  </conditionalFormatting>
  <conditionalFormatting sqref="AA3:AA358">
    <cfRule type="expression" dxfId="59" priority="39" stopIfTrue="1">
      <formula>_xlfn.ISFORMULA(AA3)</formula>
    </cfRule>
  </conditionalFormatting>
  <conditionalFormatting sqref="AA3:AA358">
    <cfRule type="expression" dxfId="58" priority="40" stopIfTrue="1">
      <formula>AND(NOT(_xlfn.ISFORMULA(AA3)),AA3&lt;&gt;"")</formula>
    </cfRule>
  </conditionalFormatting>
  <conditionalFormatting sqref="AB3:AB358">
    <cfRule type="expression" dxfId="57" priority="41" stopIfTrue="1">
      <formula>_xlfn.ISFORMULA(AB3)</formula>
    </cfRule>
  </conditionalFormatting>
  <conditionalFormatting sqref="AB3:AB358">
    <cfRule type="expression" dxfId="56" priority="42" stopIfTrue="1">
      <formula>AND(NOT(_xlfn.ISFORMULA(AB3)),AB3&lt;&gt;"")</formula>
    </cfRule>
  </conditionalFormatting>
  <conditionalFormatting sqref="AK3:AK358">
    <cfRule type="expression" dxfId="55" priority="43" stopIfTrue="1">
      <formula>_xlfn.ISFORMULA(AK3)</formula>
    </cfRule>
  </conditionalFormatting>
  <conditionalFormatting sqref="AK3:AK358">
    <cfRule type="expression" dxfId="54" priority="44" stopIfTrue="1">
      <formula>AND(NOT(_xlfn.ISFORMULA(AK3)),AK3&lt;&gt;"")</formula>
    </cfRule>
  </conditionalFormatting>
  <conditionalFormatting sqref="AN3:AN358">
    <cfRule type="expression" dxfId="53" priority="45" stopIfTrue="1">
      <formula>_xlfn.ISFORMULA(AN3)</formula>
    </cfRule>
  </conditionalFormatting>
  <conditionalFormatting sqref="AN3:AN358">
    <cfRule type="expression" dxfId="52" priority="46" stopIfTrue="1">
      <formula>AND(NOT(_xlfn.ISFORMULA(AN3)),AN3&lt;&gt;"")</formula>
    </cfRule>
  </conditionalFormatting>
  <conditionalFormatting sqref="AO3:AO358">
    <cfRule type="expression" dxfId="51" priority="47" stopIfTrue="1">
      <formula>_xlfn.ISFORMULA(AO3)</formula>
    </cfRule>
  </conditionalFormatting>
  <conditionalFormatting sqref="AO3:AO358">
    <cfRule type="expression" dxfId="50" priority="48" stopIfTrue="1">
      <formula>AND(NOT(_xlfn.ISFORMULA(AO3)),AO3&lt;&gt;"")</formula>
    </cfRule>
  </conditionalFormatting>
  <conditionalFormatting sqref="P3:P358">
    <cfRule type="expression" dxfId="49" priority="6" stopIfTrue="1">
      <formula>AND(Выдача_n&gt;0,$B3&lt;&gt;"",IFERROR(ROUND(N(INDEX(Выдача_7,MATCH($A3&amp;"|"&amp;$B3,Выдача_ключ,0))),3)&lt;&gt;ROUND(N(P3),3),FALSE))</formula>
    </cfRule>
  </conditionalFormatting>
  <conditionalFormatting sqref="R3:R358">
    <cfRule type="expression" dxfId="48" priority="4" stopIfTrue="1">
      <formula>AND(Выдача_n&gt;0,$B3&lt;&gt;"",IFERROR(INDEX(Выдача_9,MATCH($A3&amp;"|"&amp;$B3,Выдача_ключ,0))&amp;""&lt;&gt;R3&amp;"",FALSE))</formula>
    </cfRule>
  </conditionalFormatting>
  <conditionalFormatting sqref="M3:M358">
    <cfRule type="expression" dxfId="47" priority="3" stopIfTrue="1">
      <formula>AND(Выдача_n&gt;0,$B3&lt;&gt;"",IFERROR(INDEX(Выдача_12,MATCH($A3&amp;"|"&amp;$B3,Выдача_ключ,0))&amp;""&lt;&gt;M3&amp;"",FALSE))</formula>
    </cfRule>
  </conditionalFormatting>
  <conditionalFormatting sqref="S3:S358">
    <cfRule type="expression" dxfId="46" priority="2" stopIfTrue="1">
      <formula>AND(Выдача_n&gt;0,$B3&lt;&gt;"",IFERROR(INDEX(Выдача_13,MATCH($A3&amp;"|"&amp;$B3,Выдача_ключ,0))&amp;""&lt;&gt;S3&amp;"",FALSE))</formula>
    </cfRule>
  </conditionalFormatting>
  <conditionalFormatting sqref="B3:B358">
    <cfRule type="expression" dxfId="45" priority="1" stopIfTrue="1">
      <formula>AND(Выдача_n&gt;0,$B3&lt;&gt;"",ISNA(MATCH($A3&amp;"|"&amp;$B3,Выдача_ключ,0)))</formula>
    </cfRule>
  </conditionalFormatting>
  <dataValidations count="6">
    <dataValidation type="list" allowBlank="1" showInputMessage="1" sqref="A3:A57" xr:uid="{908629A5-BCBF-4D54-B43C-22339D1C6925}">
      <formula1>Список_щитов</formula1>
    </dataValidation>
    <dataValidation type="list" allowBlank="1" showInputMessage="1" sqref="F3:F57" xr:uid="{7AB2A91B-ECCE-4ECF-9E2D-B780D58B9D8A}">
      <formula1>"гр,узо"</formula1>
    </dataValidation>
    <dataValidation type="list" allowBlank="1" showInputMessage="1" sqref="Y3:Y57" xr:uid="{D9CF3DB9-E4A7-48D6-8D5A-364B34FC1A8D}">
      <formula1>"10,30,100,300,нет"</formula1>
    </dataValidation>
    <dataValidation type="list" allowBlank="1" showInputMessage="1" sqref="H3:H57" xr:uid="{8795CBF9-01C5-4D3A-956F-41723C499276}">
      <formula1>"Relay,DIM,DALI,шторы,клапан"</formula1>
    </dataValidation>
    <dataValidation type="list" allowBlank="1" showInputMessage="1" sqref="AJ3:AJ57" xr:uid="{43972B82-3427-4B1D-B93D-FD13E302E0F8}">
      <formula1>"вручную,рисовать"</formula1>
    </dataValidation>
    <dataValidation type="list" allowBlank="1" showInputMessage="1" sqref="AN3:AN57" xr:uid="{90EE8A3A-804E-4C17-A08A-DD4F370F7AF4}">
      <formula1>Список_марок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41" r:id="rId3" name="Button 45">
              <controlPr defaultSize="0" print="0" autoFill="0" autoPict="0" macro="SX_RepairFormulas">
                <anchor>
                  <from>
                    <xdr:col>10</xdr:col>
                    <xdr:colOff>335280</xdr:colOff>
                    <xdr:row>0</xdr:row>
                    <xdr:rowOff>45720</xdr:rowOff>
                  </from>
                  <to>
                    <xdr:col>12</xdr:col>
                    <xdr:colOff>518160</xdr:colOff>
                    <xdr:row>0</xdr:row>
                    <xdr:rowOff>327660</xdr:rowOff>
                  </to>
                </anchor>
              </controlPr>
            </control>
          </mc:Choice>
        </mc:AlternateContent>
        <mc:AlternateContent xmlns:mc="http://schemas.openxmlformats.org/markup-compatibility/2006">
          <mc:Choice Requires="x14">
            <control shapeId="4142" r:id="rId4" name="Button 46">
              <controlPr defaultSize="0" print="0" autoFill="0" autoPict="0" macro="SX_SortBoard">
                <anchor>
                  <from>
                    <xdr:col>12</xdr:col>
                    <xdr:colOff>579120</xdr:colOff>
                    <xdr:row>0</xdr:row>
                    <xdr:rowOff>45720</xdr:rowOff>
                  </from>
                  <to>
                    <xdr:col>13</xdr:col>
                    <xdr:colOff>1501140</xdr:colOff>
                    <xdr:row>0</xdr:row>
                    <xdr:rowOff>327660</xdr:rowOff>
                  </to>
                </anchor>
              </controlPr>
            </control>
          </mc:Choice>
        </mc:AlternateContent>
        <mc:AlternateContent xmlns:mc="http://schemas.openxmlformats.org/markup-compatibility/2006">
          <mc:Choice Requires="x14">
            <control shapeId="4143" r:id="rId5" name="Button 47">
              <controlPr defaultSize="0" print="0" autoFill="0" autoPict="0" macro="SX_FreezePhases">
                <anchor>
                  <from>
                    <xdr:col>13</xdr:col>
                    <xdr:colOff>1569720</xdr:colOff>
                    <xdr:row>0</xdr:row>
                    <xdr:rowOff>45720</xdr:rowOff>
                  </from>
                  <to>
                    <xdr:col>14</xdr:col>
                    <xdr:colOff>365760</xdr:colOff>
                    <xdr:row>0</xdr:row>
                    <xdr:rowOff>327660</xdr:rowOff>
                  </to>
                </anchor>
              </controlPr>
            </control>
          </mc:Choice>
        </mc:AlternateContent>
        <mc:AlternateContent xmlns:mc="http://schemas.openxmlformats.org/markup-compatibility/2006">
          <mc:Choice Requires="x14">
            <control shapeId="4144" r:id="rId6" name="Button 48">
              <controlPr defaultSize="0" print="0" autoFill="0" autoPict="0" macro="SX_Snapshot">
                <anchor>
                  <from>
                    <xdr:col>14</xdr:col>
                    <xdr:colOff>434340</xdr:colOff>
                    <xdr:row>0</xdr:row>
                    <xdr:rowOff>45720</xdr:rowOff>
                  </from>
                  <to>
                    <xdr:col>17</xdr:col>
                    <xdr:colOff>533400</xdr:colOff>
                    <xdr:row>0</xdr:row>
                    <xdr:rowOff>327660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25FCA-89BA-43C3-9015-7BF9EDADDD98}">
  <sheetPr codeName="Лист6">
    <tabColor rgb="FFFFF2CC"/>
  </sheetPr>
  <dimension ref="A1:AJ40"/>
  <sheetViews>
    <sheetView workbookViewId="0"/>
  </sheetViews>
  <sheetFormatPr defaultColWidth="11.77734375" defaultRowHeight="14.4" x14ac:dyDescent="0.3"/>
  <cols>
    <col min="2" max="2" width="28.77734375" customWidth="1"/>
  </cols>
  <sheetData>
    <row r="1" spans="1:36" x14ac:dyDescent="0.3">
      <c r="A1" s="36" t="s">
        <v>855</v>
      </c>
    </row>
    <row r="3" spans="1:36" ht="45" customHeight="1" x14ac:dyDescent="0.3">
      <c r="A3" s="4" t="s">
        <v>856</v>
      </c>
      <c r="B3" s="4" t="s">
        <v>6</v>
      </c>
      <c r="C3" s="4" t="s">
        <v>857</v>
      </c>
      <c r="D3" s="4" t="s">
        <v>38</v>
      </c>
      <c r="E3" s="4" t="s">
        <v>858</v>
      </c>
      <c r="F3" s="4" t="s">
        <v>525</v>
      </c>
      <c r="G3" s="4" t="s">
        <v>859</v>
      </c>
      <c r="H3" s="4" t="s">
        <v>190</v>
      </c>
      <c r="I3" s="4" t="s">
        <v>860</v>
      </c>
      <c r="J3" s="4" t="s">
        <v>3</v>
      </c>
      <c r="K3" s="4" t="s">
        <v>861</v>
      </c>
      <c r="L3" s="4" t="s">
        <v>544</v>
      </c>
      <c r="M3" s="4" t="s">
        <v>789</v>
      </c>
      <c r="N3" s="4" t="s">
        <v>862</v>
      </c>
      <c r="O3" s="4" t="s">
        <v>863</v>
      </c>
      <c r="P3" s="4" t="s">
        <v>864</v>
      </c>
      <c r="Q3" s="4" t="s">
        <v>848</v>
      </c>
      <c r="R3" s="4" t="s">
        <v>865</v>
      </c>
      <c r="S3" s="4" t="s">
        <v>491</v>
      </c>
      <c r="T3" s="4" t="s">
        <v>866</v>
      </c>
      <c r="U3" s="4" t="s">
        <v>528</v>
      </c>
      <c r="V3" s="4" t="s">
        <v>867</v>
      </c>
      <c r="Y3" s="4" t="s">
        <v>31</v>
      </c>
      <c r="Z3" s="4" t="s">
        <v>873</v>
      </c>
      <c r="AA3" s="4" t="s">
        <v>874</v>
      </c>
      <c r="AB3" s="4" t="s">
        <v>875</v>
      </c>
      <c r="AD3" s="4" t="s">
        <v>876</v>
      </c>
      <c r="AE3" s="4" t="s">
        <v>9</v>
      </c>
      <c r="AF3" s="4" t="s">
        <v>877</v>
      </c>
      <c r="AH3" s="4" t="s">
        <v>31</v>
      </c>
      <c r="AI3" s="4" t="s">
        <v>51</v>
      </c>
      <c r="AJ3" s="4" t="s">
        <v>878</v>
      </c>
    </row>
    <row r="4" spans="1:36" x14ac:dyDescent="0.3">
      <c r="A4" t="s">
        <v>53</v>
      </c>
      <c r="B4" t="s">
        <v>54</v>
      </c>
      <c r="C4">
        <v>5</v>
      </c>
      <c r="D4">
        <v>1</v>
      </c>
      <c r="E4">
        <v>1</v>
      </c>
      <c r="L4" t="s">
        <v>556</v>
      </c>
      <c r="M4" t="s">
        <v>493</v>
      </c>
      <c r="Y4" s="114" t="s">
        <v>34</v>
      </c>
      <c r="Z4" t="s">
        <v>33</v>
      </c>
      <c r="AD4" t="s">
        <v>11</v>
      </c>
      <c r="AE4" t="s">
        <v>12</v>
      </c>
      <c r="AF4">
        <v>1</v>
      </c>
    </row>
    <row r="5" spans="1:36" x14ac:dyDescent="0.3">
      <c r="A5" t="s">
        <v>211</v>
      </c>
      <c r="B5" t="s">
        <v>213</v>
      </c>
      <c r="C5">
        <v>5</v>
      </c>
      <c r="D5">
        <v>1</v>
      </c>
      <c r="E5">
        <v>1</v>
      </c>
      <c r="L5" t="s">
        <v>556</v>
      </c>
      <c r="M5" t="s">
        <v>493</v>
      </c>
      <c r="Y5" s="114" t="s">
        <v>35</v>
      </c>
      <c r="AD5" t="s">
        <v>13</v>
      </c>
      <c r="AE5" t="s">
        <v>147</v>
      </c>
      <c r="AF5">
        <v>1</v>
      </c>
    </row>
    <row r="6" spans="1:36" x14ac:dyDescent="0.3">
      <c r="A6" t="s">
        <v>212</v>
      </c>
      <c r="B6" t="s">
        <v>214</v>
      </c>
      <c r="C6">
        <v>5</v>
      </c>
      <c r="D6">
        <v>1</v>
      </c>
      <c r="E6">
        <v>1</v>
      </c>
      <c r="L6" t="s">
        <v>556</v>
      </c>
      <c r="M6" t="s">
        <v>493</v>
      </c>
      <c r="Y6" s="114" t="s">
        <v>36</v>
      </c>
      <c r="AD6" t="s">
        <v>40</v>
      </c>
      <c r="AE6" t="s">
        <v>227</v>
      </c>
      <c r="AF6">
        <v>2</v>
      </c>
    </row>
    <row r="7" spans="1:36" x14ac:dyDescent="0.3">
      <c r="A7" t="s">
        <v>27</v>
      </c>
      <c r="B7" t="s">
        <v>28</v>
      </c>
      <c r="C7">
        <v>2</v>
      </c>
      <c r="D7">
        <v>1</v>
      </c>
      <c r="E7">
        <v>1</v>
      </c>
      <c r="F7" t="s">
        <v>11</v>
      </c>
      <c r="G7">
        <v>3</v>
      </c>
      <c r="H7">
        <v>230</v>
      </c>
      <c r="I7">
        <v>1</v>
      </c>
      <c r="J7">
        <v>2.5</v>
      </c>
      <c r="K7" t="s">
        <v>569</v>
      </c>
      <c r="L7" t="s">
        <v>570</v>
      </c>
      <c r="M7" t="s">
        <v>493</v>
      </c>
      <c r="N7">
        <v>0.06</v>
      </c>
      <c r="S7" t="s">
        <v>557</v>
      </c>
      <c r="T7" t="s">
        <v>497</v>
      </c>
      <c r="U7">
        <v>16</v>
      </c>
      <c r="Y7" s="114" t="s">
        <v>37</v>
      </c>
      <c r="Z7" t="s">
        <v>32</v>
      </c>
      <c r="AD7" t="s">
        <v>56</v>
      </c>
      <c r="AE7" t="s">
        <v>174</v>
      </c>
      <c r="AF7">
        <v>1</v>
      </c>
    </row>
    <row r="8" spans="1:36" x14ac:dyDescent="0.3">
      <c r="A8" t="s">
        <v>29</v>
      </c>
      <c r="B8" t="s">
        <v>30</v>
      </c>
      <c r="C8">
        <v>1</v>
      </c>
      <c r="D8">
        <v>1</v>
      </c>
      <c r="E8">
        <v>1</v>
      </c>
      <c r="F8" t="s">
        <v>11</v>
      </c>
      <c r="G8">
        <v>3</v>
      </c>
      <c r="H8">
        <v>230</v>
      </c>
      <c r="I8">
        <v>1</v>
      </c>
      <c r="J8">
        <v>1.5</v>
      </c>
      <c r="K8" t="s">
        <v>564</v>
      </c>
      <c r="L8" t="s">
        <v>570</v>
      </c>
      <c r="M8" t="s">
        <v>493</v>
      </c>
      <c r="S8" t="s">
        <v>565</v>
      </c>
      <c r="T8" t="s">
        <v>493</v>
      </c>
      <c r="U8">
        <v>10</v>
      </c>
      <c r="AD8" t="s">
        <v>134</v>
      </c>
      <c r="AE8" t="s">
        <v>135</v>
      </c>
      <c r="AF8">
        <v>1</v>
      </c>
    </row>
    <row r="9" spans="1:36" x14ac:dyDescent="0.3">
      <c r="A9" t="s">
        <v>215</v>
      </c>
      <c r="B9" t="s">
        <v>216</v>
      </c>
      <c r="C9">
        <v>1</v>
      </c>
      <c r="D9">
        <v>1</v>
      </c>
      <c r="E9">
        <v>1</v>
      </c>
      <c r="F9" t="s">
        <v>11</v>
      </c>
      <c r="K9" t="s">
        <v>564</v>
      </c>
      <c r="L9" t="s">
        <v>570</v>
      </c>
      <c r="M9" t="s">
        <v>493</v>
      </c>
      <c r="S9" t="s">
        <v>565</v>
      </c>
      <c r="T9" t="s">
        <v>493</v>
      </c>
      <c r="U9">
        <v>10</v>
      </c>
      <c r="AD9" t="s">
        <v>139</v>
      </c>
      <c r="AE9" t="s">
        <v>137</v>
      </c>
      <c r="AF9">
        <v>1</v>
      </c>
    </row>
    <row r="10" spans="1:36" x14ac:dyDescent="0.3">
      <c r="A10" t="s">
        <v>217</v>
      </c>
      <c r="B10" t="s">
        <v>218</v>
      </c>
      <c r="C10">
        <v>2</v>
      </c>
      <c r="D10">
        <v>1</v>
      </c>
      <c r="E10">
        <v>1</v>
      </c>
      <c r="F10" t="s">
        <v>11</v>
      </c>
      <c r="K10" t="s">
        <v>580</v>
      </c>
      <c r="L10" t="s">
        <v>581</v>
      </c>
      <c r="M10" t="s">
        <v>493</v>
      </c>
      <c r="S10" t="s">
        <v>557</v>
      </c>
      <c r="T10" t="s">
        <v>493</v>
      </c>
      <c r="U10">
        <v>16</v>
      </c>
      <c r="AD10" t="s">
        <v>138</v>
      </c>
      <c r="AE10" t="s">
        <v>140</v>
      </c>
      <c r="AF10">
        <v>2</v>
      </c>
    </row>
    <row r="11" spans="1:36" x14ac:dyDescent="0.3">
      <c r="A11" t="s">
        <v>219</v>
      </c>
      <c r="B11" t="s">
        <v>220</v>
      </c>
      <c r="C11">
        <v>2</v>
      </c>
      <c r="D11">
        <v>1</v>
      </c>
      <c r="E11">
        <v>1</v>
      </c>
      <c r="F11" t="s">
        <v>11</v>
      </c>
      <c r="K11" t="s">
        <v>585</v>
      </c>
      <c r="L11" t="s">
        <v>581</v>
      </c>
      <c r="M11" t="s">
        <v>493</v>
      </c>
      <c r="S11" t="s">
        <v>557</v>
      </c>
      <c r="T11" t="s">
        <v>493</v>
      </c>
      <c r="U11">
        <v>16</v>
      </c>
      <c r="AD11" t="s">
        <v>142</v>
      </c>
      <c r="AE11" t="s">
        <v>143</v>
      </c>
      <c r="AF11">
        <v>1</v>
      </c>
    </row>
    <row r="12" spans="1:36" x14ac:dyDescent="0.3">
      <c r="A12" t="s">
        <v>204</v>
      </c>
      <c r="B12" t="s">
        <v>221</v>
      </c>
      <c r="C12">
        <v>1</v>
      </c>
      <c r="D12">
        <v>1</v>
      </c>
      <c r="E12">
        <v>1</v>
      </c>
      <c r="F12" t="s">
        <v>11</v>
      </c>
      <c r="K12" t="s">
        <v>580</v>
      </c>
      <c r="L12" t="s">
        <v>581</v>
      </c>
      <c r="M12" t="s">
        <v>493</v>
      </c>
      <c r="S12" t="s">
        <v>582</v>
      </c>
      <c r="T12" t="s">
        <v>493</v>
      </c>
      <c r="AD12" t="s">
        <v>205</v>
      </c>
      <c r="AE12" t="s">
        <v>207</v>
      </c>
      <c r="AF12">
        <v>2</v>
      </c>
    </row>
    <row r="13" spans="1:36" x14ac:dyDescent="0.3">
      <c r="A13" t="s">
        <v>222</v>
      </c>
      <c r="B13" t="s">
        <v>223</v>
      </c>
      <c r="C13">
        <v>1</v>
      </c>
      <c r="D13">
        <v>1</v>
      </c>
      <c r="E13">
        <v>1</v>
      </c>
      <c r="F13" t="s">
        <v>11</v>
      </c>
      <c r="K13" t="s">
        <v>580</v>
      </c>
      <c r="L13" t="s">
        <v>581</v>
      </c>
      <c r="M13" t="s">
        <v>493</v>
      </c>
      <c r="AD13" t="s">
        <v>208</v>
      </c>
      <c r="AE13" t="s">
        <v>209</v>
      </c>
      <c r="AF13">
        <v>2</v>
      </c>
    </row>
    <row r="14" spans="1:36" x14ac:dyDescent="0.3">
      <c r="A14" t="s">
        <v>154</v>
      </c>
      <c r="B14" t="s">
        <v>55</v>
      </c>
      <c r="C14">
        <v>1</v>
      </c>
      <c r="D14">
        <v>1</v>
      </c>
      <c r="E14">
        <v>1</v>
      </c>
      <c r="F14" t="s">
        <v>11</v>
      </c>
      <c r="K14" t="s">
        <v>588</v>
      </c>
      <c r="L14" t="s">
        <v>570</v>
      </c>
      <c r="M14" t="s">
        <v>493</v>
      </c>
      <c r="S14" t="s">
        <v>574</v>
      </c>
      <c r="T14" t="s">
        <v>493</v>
      </c>
      <c r="AD14" t="s">
        <v>210</v>
      </c>
      <c r="AE14" t="s">
        <v>195</v>
      </c>
      <c r="AF14">
        <v>2</v>
      </c>
    </row>
    <row r="15" spans="1:36" x14ac:dyDescent="0.3">
      <c r="A15" t="s">
        <v>150</v>
      </c>
      <c r="B15" t="s">
        <v>250</v>
      </c>
      <c r="C15">
        <v>2</v>
      </c>
      <c r="D15">
        <v>1</v>
      </c>
      <c r="E15">
        <v>1</v>
      </c>
      <c r="F15" t="s">
        <v>11</v>
      </c>
      <c r="K15" t="s">
        <v>576</v>
      </c>
      <c r="L15" t="s">
        <v>570</v>
      </c>
      <c r="M15" t="s">
        <v>493</v>
      </c>
      <c r="S15" t="s">
        <v>577</v>
      </c>
      <c r="T15" t="s">
        <v>497</v>
      </c>
      <c r="AD15" t="s">
        <v>229</v>
      </c>
      <c r="AE15" t="s">
        <v>228</v>
      </c>
    </row>
    <row r="16" spans="1:36" x14ac:dyDescent="0.3">
      <c r="A16" t="s">
        <v>254</v>
      </c>
      <c r="B16" t="s">
        <v>224</v>
      </c>
      <c r="C16">
        <v>1</v>
      </c>
      <c r="D16">
        <v>1</v>
      </c>
      <c r="E16">
        <v>1</v>
      </c>
      <c r="F16" t="s">
        <v>11</v>
      </c>
      <c r="K16" t="s">
        <v>592</v>
      </c>
      <c r="L16" t="s">
        <v>581</v>
      </c>
      <c r="M16" t="s">
        <v>493</v>
      </c>
      <c r="Q16" t="s">
        <v>852</v>
      </c>
      <c r="S16" t="s">
        <v>571</v>
      </c>
      <c r="T16" t="s">
        <v>493</v>
      </c>
    </row>
    <row r="17" spans="1:22" x14ac:dyDescent="0.3">
      <c r="A17" t="s">
        <v>253</v>
      </c>
      <c r="B17" t="s">
        <v>225</v>
      </c>
      <c r="C17">
        <v>1</v>
      </c>
      <c r="D17">
        <v>1</v>
      </c>
      <c r="E17">
        <v>1</v>
      </c>
      <c r="K17" t="s">
        <v>580</v>
      </c>
      <c r="L17" t="s">
        <v>581</v>
      </c>
      <c r="M17" t="s">
        <v>493</v>
      </c>
    </row>
    <row r="18" spans="1:22" x14ac:dyDescent="0.3">
      <c r="A18" t="s">
        <v>206</v>
      </c>
      <c r="B18" t="s">
        <v>226</v>
      </c>
      <c r="C18">
        <v>1</v>
      </c>
      <c r="D18">
        <v>1</v>
      </c>
      <c r="E18">
        <v>1</v>
      </c>
      <c r="F18" t="s">
        <v>11</v>
      </c>
      <c r="K18" t="s">
        <v>592</v>
      </c>
      <c r="L18" t="s">
        <v>570</v>
      </c>
      <c r="M18" t="s">
        <v>493</v>
      </c>
      <c r="Q18" t="s">
        <v>851</v>
      </c>
      <c r="S18" t="s">
        <v>574</v>
      </c>
      <c r="T18" t="s">
        <v>493</v>
      </c>
      <c r="V18">
        <v>2</v>
      </c>
    </row>
    <row r="19" spans="1:22" x14ac:dyDescent="0.3">
      <c r="A19" t="s">
        <v>230</v>
      </c>
      <c r="B19" t="s">
        <v>231</v>
      </c>
      <c r="C19">
        <v>1</v>
      </c>
      <c r="D19">
        <v>2</v>
      </c>
      <c r="E19">
        <v>1</v>
      </c>
      <c r="F19" t="s">
        <v>11</v>
      </c>
      <c r="K19" t="s">
        <v>564</v>
      </c>
      <c r="L19" t="s">
        <v>570</v>
      </c>
      <c r="M19" t="s">
        <v>493</v>
      </c>
      <c r="Q19" t="s">
        <v>230</v>
      </c>
      <c r="S19" t="s">
        <v>565</v>
      </c>
      <c r="T19" t="s">
        <v>493</v>
      </c>
      <c r="U19">
        <v>10</v>
      </c>
    </row>
    <row r="20" spans="1:22" x14ac:dyDescent="0.3">
      <c r="A20" t="s">
        <v>232</v>
      </c>
      <c r="B20" t="s">
        <v>233</v>
      </c>
      <c r="C20">
        <v>1</v>
      </c>
      <c r="D20">
        <v>1</v>
      </c>
      <c r="E20">
        <v>1</v>
      </c>
      <c r="F20" t="s">
        <v>11</v>
      </c>
      <c r="K20" t="s">
        <v>585</v>
      </c>
      <c r="L20" t="s">
        <v>581</v>
      </c>
      <c r="M20" t="s">
        <v>493</v>
      </c>
    </row>
    <row r="21" spans="1:22" x14ac:dyDescent="0.3">
      <c r="A21" t="s">
        <v>255</v>
      </c>
      <c r="B21" t="s">
        <v>234</v>
      </c>
      <c r="C21">
        <v>1</v>
      </c>
      <c r="D21">
        <v>1</v>
      </c>
      <c r="E21">
        <v>1</v>
      </c>
      <c r="F21" t="s">
        <v>11</v>
      </c>
      <c r="K21" t="s">
        <v>584</v>
      </c>
      <c r="L21" t="s">
        <v>570</v>
      </c>
      <c r="M21" t="s">
        <v>493</v>
      </c>
      <c r="S21" t="s">
        <v>574</v>
      </c>
      <c r="T21" t="s">
        <v>493</v>
      </c>
    </row>
    <row r="22" spans="1:22" x14ac:dyDescent="0.3">
      <c r="A22" t="s">
        <v>235</v>
      </c>
      <c r="B22" t="s">
        <v>236</v>
      </c>
      <c r="C22">
        <v>1</v>
      </c>
      <c r="D22">
        <v>1</v>
      </c>
      <c r="E22">
        <v>1</v>
      </c>
      <c r="F22" t="s">
        <v>11</v>
      </c>
      <c r="K22" t="s">
        <v>588</v>
      </c>
      <c r="L22" t="s">
        <v>601</v>
      </c>
      <c r="M22" t="s">
        <v>493</v>
      </c>
    </row>
    <row r="23" spans="1:22" x14ac:dyDescent="0.3">
      <c r="A23" t="s">
        <v>237</v>
      </c>
      <c r="B23" t="s">
        <v>238</v>
      </c>
      <c r="C23">
        <v>1</v>
      </c>
      <c r="D23">
        <v>1</v>
      </c>
      <c r="E23">
        <v>1</v>
      </c>
      <c r="F23" t="s">
        <v>11</v>
      </c>
      <c r="K23" t="s">
        <v>584</v>
      </c>
      <c r="L23" t="s">
        <v>570</v>
      </c>
      <c r="M23" t="s">
        <v>493</v>
      </c>
      <c r="S23" t="s">
        <v>574</v>
      </c>
      <c r="T23" t="s">
        <v>493</v>
      </c>
    </row>
    <row r="24" spans="1:22" x14ac:dyDescent="0.3">
      <c r="A24" t="s">
        <v>239</v>
      </c>
      <c r="B24" t="s">
        <v>240</v>
      </c>
      <c r="C24">
        <v>1</v>
      </c>
      <c r="D24">
        <v>1</v>
      </c>
      <c r="E24">
        <v>1</v>
      </c>
      <c r="F24" t="s">
        <v>11</v>
      </c>
      <c r="K24" t="s">
        <v>590</v>
      </c>
      <c r="L24" t="s">
        <v>570</v>
      </c>
      <c r="M24" t="s">
        <v>493</v>
      </c>
      <c r="S24" t="s">
        <v>577</v>
      </c>
      <c r="T24" t="s">
        <v>497</v>
      </c>
    </row>
    <row r="25" spans="1:22" x14ac:dyDescent="0.3">
      <c r="A25" t="s">
        <v>241</v>
      </c>
      <c r="B25" t="s">
        <v>242</v>
      </c>
      <c r="C25">
        <v>0</v>
      </c>
      <c r="D25">
        <v>1</v>
      </c>
      <c r="E25">
        <v>1</v>
      </c>
      <c r="K25" t="s">
        <v>580</v>
      </c>
      <c r="L25" t="s">
        <v>581</v>
      </c>
      <c r="M25" t="s">
        <v>493</v>
      </c>
    </row>
    <row r="26" spans="1:22" x14ac:dyDescent="0.3">
      <c r="A26" t="s">
        <v>243</v>
      </c>
      <c r="B26" t="s">
        <v>244</v>
      </c>
      <c r="C26">
        <v>0</v>
      </c>
      <c r="D26">
        <v>1</v>
      </c>
      <c r="E26">
        <v>1</v>
      </c>
      <c r="K26" t="s">
        <v>580</v>
      </c>
      <c r="L26" t="s">
        <v>581</v>
      </c>
      <c r="M26" t="s">
        <v>493</v>
      </c>
    </row>
    <row r="27" spans="1:22" x14ac:dyDescent="0.3">
      <c r="A27" t="s">
        <v>245</v>
      </c>
      <c r="B27" t="s">
        <v>246</v>
      </c>
      <c r="C27">
        <v>1</v>
      </c>
      <c r="D27">
        <v>1</v>
      </c>
      <c r="E27">
        <v>1</v>
      </c>
      <c r="F27" t="s">
        <v>56</v>
      </c>
      <c r="L27" t="s">
        <v>556</v>
      </c>
      <c r="M27" t="s">
        <v>493</v>
      </c>
    </row>
    <row r="28" spans="1:22" x14ac:dyDescent="0.3">
      <c r="A28" t="s">
        <v>258</v>
      </c>
      <c r="B28" t="s">
        <v>247</v>
      </c>
      <c r="C28">
        <v>1</v>
      </c>
      <c r="D28">
        <v>1</v>
      </c>
      <c r="E28">
        <v>1</v>
      </c>
      <c r="F28" t="s">
        <v>56</v>
      </c>
      <c r="L28" t="s">
        <v>556</v>
      </c>
      <c r="M28" t="s">
        <v>493</v>
      </c>
    </row>
    <row r="29" spans="1:22" x14ac:dyDescent="0.3">
      <c r="A29" t="s">
        <v>248</v>
      </c>
      <c r="B29" t="s">
        <v>249</v>
      </c>
      <c r="C29">
        <v>1</v>
      </c>
      <c r="D29">
        <v>1</v>
      </c>
      <c r="E29">
        <v>1</v>
      </c>
      <c r="F29" t="s">
        <v>11</v>
      </c>
      <c r="K29" t="s">
        <v>585</v>
      </c>
      <c r="L29" t="s">
        <v>581</v>
      </c>
      <c r="M29" t="s">
        <v>493</v>
      </c>
      <c r="S29" t="s">
        <v>557</v>
      </c>
      <c r="T29" t="s">
        <v>493</v>
      </c>
      <c r="U29">
        <v>16</v>
      </c>
    </row>
    <row r="30" spans="1:22" x14ac:dyDescent="0.3">
      <c r="A30" t="s">
        <v>252</v>
      </c>
      <c r="B30" t="s">
        <v>251</v>
      </c>
      <c r="C30">
        <v>1</v>
      </c>
      <c r="D30">
        <v>1</v>
      </c>
      <c r="E30">
        <v>1</v>
      </c>
      <c r="K30" t="s">
        <v>580</v>
      </c>
      <c r="L30" t="s">
        <v>581</v>
      </c>
      <c r="M30" t="s">
        <v>493</v>
      </c>
    </row>
    <row r="31" spans="1:22" x14ac:dyDescent="0.3">
      <c r="A31" t="s">
        <v>256</v>
      </c>
      <c r="B31" t="s">
        <v>257</v>
      </c>
      <c r="C31">
        <v>1</v>
      </c>
      <c r="D31">
        <v>1</v>
      </c>
      <c r="E31">
        <v>1</v>
      </c>
      <c r="F31" t="s">
        <v>11</v>
      </c>
      <c r="K31" t="s">
        <v>588</v>
      </c>
      <c r="L31" t="s">
        <v>601</v>
      </c>
      <c r="M31" t="s">
        <v>493</v>
      </c>
      <c r="S31" t="s">
        <v>574</v>
      </c>
      <c r="T31" t="s">
        <v>493</v>
      </c>
    </row>
    <row r="32" spans="1:22" x14ac:dyDescent="0.3">
      <c r="A32" t="s">
        <v>372</v>
      </c>
      <c r="B32" t="s">
        <v>373</v>
      </c>
      <c r="C32">
        <v>3</v>
      </c>
      <c r="D32">
        <v>1</v>
      </c>
      <c r="E32">
        <v>1</v>
      </c>
      <c r="F32" t="s">
        <v>11</v>
      </c>
      <c r="K32" t="s">
        <v>564</v>
      </c>
      <c r="L32" t="s">
        <v>570</v>
      </c>
      <c r="M32" t="s">
        <v>493</v>
      </c>
      <c r="S32" t="s">
        <v>565</v>
      </c>
      <c r="T32" t="s">
        <v>493</v>
      </c>
      <c r="U32">
        <v>10</v>
      </c>
    </row>
    <row r="33" spans="1:20" x14ac:dyDescent="0.3">
      <c r="A33" t="s">
        <v>418</v>
      </c>
      <c r="B33" t="s">
        <v>419</v>
      </c>
      <c r="C33">
        <v>1</v>
      </c>
      <c r="D33">
        <v>1</v>
      </c>
      <c r="E33">
        <v>1</v>
      </c>
      <c r="F33" t="s">
        <v>11</v>
      </c>
      <c r="K33" t="s">
        <v>579</v>
      </c>
      <c r="L33" t="s">
        <v>570</v>
      </c>
      <c r="M33" t="s">
        <v>493</v>
      </c>
      <c r="S33" t="s">
        <v>577</v>
      </c>
      <c r="T33" t="s">
        <v>493</v>
      </c>
    </row>
    <row r="34" spans="1:20" x14ac:dyDescent="0.3">
      <c r="A34" t="s">
        <v>868</v>
      </c>
      <c r="B34" t="s">
        <v>869</v>
      </c>
      <c r="C34">
        <v>1</v>
      </c>
      <c r="D34">
        <v>1</v>
      </c>
      <c r="E34">
        <v>2</v>
      </c>
      <c r="F34" t="s">
        <v>11</v>
      </c>
      <c r="G34">
        <v>3</v>
      </c>
      <c r="H34">
        <v>230</v>
      </c>
      <c r="I34">
        <v>1</v>
      </c>
      <c r="K34" t="s">
        <v>604</v>
      </c>
      <c r="L34" t="s">
        <v>601</v>
      </c>
      <c r="M34" t="s">
        <v>493</v>
      </c>
      <c r="S34" t="s">
        <v>574</v>
      </c>
      <c r="T34" t="s">
        <v>493</v>
      </c>
    </row>
    <row r="35" spans="1:20" x14ac:dyDescent="0.3">
      <c r="A35" t="s">
        <v>870</v>
      </c>
      <c r="B35" t="s">
        <v>871</v>
      </c>
      <c r="C35">
        <v>0</v>
      </c>
      <c r="E35">
        <v>1</v>
      </c>
      <c r="H35">
        <v>230</v>
      </c>
      <c r="I35">
        <v>1</v>
      </c>
      <c r="L35" t="s">
        <v>556</v>
      </c>
      <c r="M35" t="s">
        <v>493</v>
      </c>
      <c r="R35" t="s">
        <v>872</v>
      </c>
    </row>
    <row r="36" spans="1:20" x14ac:dyDescent="0.3">
      <c r="A36" t="s">
        <v>628</v>
      </c>
    </row>
    <row r="37" spans="1:20" x14ac:dyDescent="0.3">
      <c r="A37" t="s">
        <v>509</v>
      </c>
      <c r="S37" t="s">
        <v>574</v>
      </c>
      <c r="T37" t="s">
        <v>493</v>
      </c>
    </row>
    <row r="38" spans="1:20" x14ac:dyDescent="0.3">
      <c r="A38" t="s">
        <v>513</v>
      </c>
      <c r="S38" t="s">
        <v>571</v>
      </c>
      <c r="T38" t="s">
        <v>493</v>
      </c>
    </row>
    <row r="39" spans="1:20" x14ac:dyDescent="0.3">
      <c r="A39" t="s">
        <v>514</v>
      </c>
      <c r="S39" t="s">
        <v>567</v>
      </c>
      <c r="T39" t="s">
        <v>493</v>
      </c>
    </row>
    <row r="40" spans="1:20" x14ac:dyDescent="0.3">
      <c r="A40" t="s">
        <v>516</v>
      </c>
      <c r="S40" t="s">
        <v>567</v>
      </c>
      <c r="T40" t="s">
        <v>493</v>
      </c>
    </row>
  </sheetData>
  <dataValidations count="3">
    <dataValidation type="list" allowBlank="1" showInputMessage="1" sqref="O4:O40" xr:uid="{1C8877BE-1862-4AE2-BAED-CBA59AFD6226}">
      <formula1>"B,C,D"</formula1>
    </dataValidation>
    <dataValidation type="list" allowBlank="1" showInputMessage="1" sqref="P4:P40" xr:uid="{CD9C3627-C992-4FEF-9077-77A3770BFFB1}">
      <formula1>"дифавтомат,УЗО на группу,нет"</formula1>
    </dataValidation>
    <dataValidation type="list" allowBlank="1" showInputMessage="1" sqref="Q4:Q40" xr:uid="{9151EECE-C815-4F5D-919E-E1975BDE85D8}">
      <formula1>"Relay,DIM,DALI,шторы,клапан"</formula1>
    </dataValidation>
  </dataValidations>
  <pageMargins left="0.7" right="0.7" top="0.75" bottom="0.75" header="0.3" footer="0.3"/>
  <legacyDrawing r:id="rId1"/>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FF903-BECF-4C9A-8706-898264015DCB}">
  <sheetPr codeName="Лист7">
    <tabColor rgb="FF4F81BD"/>
  </sheetPr>
  <dimension ref="B1:AC400"/>
  <sheetViews>
    <sheetView workbookViewId="0"/>
  </sheetViews>
  <sheetFormatPr defaultRowHeight="14.4" x14ac:dyDescent="0.3"/>
  <cols>
    <col min="1" max="1" width="2.77734375" customWidth="1"/>
    <col min="2" max="2" width="7.77734375" customWidth="1"/>
    <col min="3" max="3" width="5.77734375" customWidth="1"/>
    <col min="4" max="4" width="15.77734375" customWidth="1"/>
    <col min="5" max="5" width="10.77734375" customWidth="1"/>
    <col min="6" max="7" width="8.77734375" customWidth="1"/>
    <col min="8" max="8" width="44.77734375" customWidth="1"/>
    <col min="9" max="9" width="34.77734375" customWidth="1"/>
    <col min="10" max="10" width="18.77734375" customWidth="1"/>
    <col min="11" max="11" width="3.77734375" customWidth="1"/>
    <col min="12" max="12" width="14.77734375" customWidth="1"/>
    <col min="13" max="20" width="15.77734375" customWidth="1"/>
    <col min="27" max="29" width="0" hidden="1" customWidth="1"/>
  </cols>
  <sheetData>
    <row r="1" spans="2:29" ht="18" x14ac:dyDescent="0.35">
      <c r="B1" s="112" t="s">
        <v>1365</v>
      </c>
    </row>
    <row r="2" spans="2:29" x14ac:dyDescent="0.3">
      <c r="AA2" t="s">
        <v>1272</v>
      </c>
      <c r="AB2" t="s">
        <v>1273</v>
      </c>
      <c r="AC2" t="s">
        <v>1366</v>
      </c>
    </row>
    <row r="3" spans="2:29" x14ac:dyDescent="0.3">
      <c r="B3" s="36" t="s">
        <v>1271</v>
      </c>
      <c r="C3" s="128" t="s">
        <v>151</v>
      </c>
      <c r="E3" s="120" t="str" cm="1">
        <f t="array" ref="E3">_xlfn.LET(_xlpm.щ,$C$3,_xlpm.X,_xlfn.LAMBDA(_xlpm.h,_xlfn.XLOOKUP(_xlpm.щ,Щиты[Щит],_xlpm.h,"")),"Питается от: "&amp;IF(_xlpm.X(Щиты[Питается от (итог)])="","—",_xlpm.X(Щиты[Питается от (итог)]))&amp;"   ·   вводов: "&amp;_xlpm.X(Щиты[Вводов])&amp;"   ·   АВР: "&amp;_xlpm.X(Щиты[АВР])&amp;"   ·   мест под вводной узел: "&amp;IF(_xlpm.X(Щиты[Мест под вводной узел])="",Столбцов_на_лист,_xlpm.X(Щиты[Мест под вводной узел]))&amp;"   ·   замечаний: "&amp;COUNTIFS(Линии[Щит],_xlpm.щ,Линии[Замечания],"?*"))</f>
        <v>Питается от: —   ·   вводов: 2   ·   АВР: да   ·   мест под вводной узел: 4   ·   замечаний: 1</v>
      </c>
      <c r="AA3" cm="1">
        <f t="array" ref="AA3:AA57">--(ISNUMBER(SEARCH("|"&amp;$C$3&amp;"|",Линии[_путь щита]))*(Линии[Номер линии]&lt;&gt;""))</f>
        <v>1</v>
      </c>
      <c r="AB3" t="str" cm="1">
        <f t="array" ref="AB3:AB57">IFERROR(_xlfn.TEXTBEFORE(_xlfn.TEXTAFTER(Линии[_путь щита],"|"&amp;$C$3&amp;"|"),"|"),"")</f>
        <v/>
      </c>
      <c r="AC3" t="str" cm="1">
        <f t="array" ref="AC3:AC57">IF(_xlfn.ANCHORARRAY(AB3)="",Линии[Источник для режимов],_xlfn.XLOOKUP(_xlfn.ANCHORARRAY(AB3),Щиты[Щит],Щиты[Источник фидера],"Ввод 1"))</f>
        <v>Ввод 1</v>
      </c>
    </row>
    <row r="4" spans="2:29" x14ac:dyDescent="0.3">
      <c r="AA4">
        <v>1</v>
      </c>
      <c r="AB4" t="str">
        <v/>
      </c>
      <c r="AC4" t="str">
        <v>Ввод 2</v>
      </c>
    </row>
    <row r="5" spans="2:29" x14ac:dyDescent="0.3">
      <c r="B5" s="36" t="s">
        <v>1367</v>
      </c>
      <c r="L5" s="36" t="s">
        <v>1372</v>
      </c>
      <c r="AA5">
        <v>1</v>
      </c>
      <c r="AB5" t="str">
        <v/>
      </c>
      <c r="AC5" t="str">
        <v>Ввод 1</v>
      </c>
    </row>
    <row r="6" spans="2:29" ht="72" x14ac:dyDescent="0.3">
      <c r="B6" s="123" t="s">
        <v>807</v>
      </c>
      <c r="C6" s="123" t="s">
        <v>819</v>
      </c>
      <c r="D6" s="123" t="s">
        <v>1368</v>
      </c>
      <c r="E6" s="123" t="s">
        <v>448</v>
      </c>
      <c r="F6" s="123" t="s">
        <v>1369</v>
      </c>
      <c r="G6" s="123" t="s">
        <v>1370</v>
      </c>
      <c r="H6" s="123" t="s">
        <v>1371</v>
      </c>
      <c r="I6" s="123" t="s">
        <v>9</v>
      </c>
      <c r="J6" s="123" t="s">
        <v>7</v>
      </c>
      <c r="L6" s="121" t="s">
        <v>53</v>
      </c>
      <c r="M6" s="36" t="str" cm="1">
        <f t="array" ref="M6:N1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щ,$C$3,_xlpm.inp,(Линии[Щит]=_xlpm.щ)*(Линии[_ввод щита]=1),_xlpm.k_,SUM(_xlpm.inp),_xlpm.nm,IF(_xlpm.k_=0,"Щит "&amp;_xlpm.щ,_xlfn._xlws.FILTER(Линии[Номер линии],_xlpm.inp,"")),_xlpm.srcs,IF(_xlpm.k_=0,"*",_xlfn._xlws.FILTER(Линии[Источник для режимов],_xlpm.inp,"")),_xlpm.cats,IF(_xlpm.k_=0,_xlfn.XLOOKUP(_xlpm.щ,Щиты[Щит],Щиты[Категория шины «Ввод»],""),_xlfn._xlws.FILTER(Линии[Категория ввода (итог)],_xlpm.inp,"")),_xlpm.own,(Линии[Щит]=_xlpm.щ)*(Линии[Группа Кс (итог)]&lt;&gt;"Нет")*(Линии[Номер линии]&lt;&gt;""),_xlpm.ph,Линии[_фаза итог],_xlpm.pw,IFERROR(--Линии[_Р линии, кВт],0),_xlpm.ибп,IF(SUM(_xlpm.inp*(Линии[Источник для режимов]="ИБП"))&gt;0,"",_xlfn.LET(_xlpm.u_,_xlfn.XLOOKUP(_xlpm.щ,Щиты[Щит],Щиты[ИБП от],"")&amp;"",IF(_xlpm.u_="","Ввод 1",_xlpm.u_))),_xlpm.col,_xlfn.LAMBDA(_xlpm.j,_xlfn.LET(_xlpm.s,INDEX(_xlpm.srcs,_xlpm.j),_xlpm.m,_xlfn.ANCHORARRAY(AA3)*IF(_xlpm.s="*",1,((_xlfn.ANCHORARRAY(AC3)=_xlpm.s)+(_xlfn.ANCHORARRAY(AC3)="ИБП")*(_xlpm.ибп=_xlpm.s))&gt;0),_xlpm.x,_xlpm.РАСЧЁТ(_xlpm.m,0,0),_xlpm.o,_xlpm.own*IF(_xlpm.s="*",1,((Линии[Источник для режимов]=_xlpm.s)+(Линии[Источник для режимов]="ИБП")*(_xlpm.ибп=_xlpm.s))&gt;0),_xlpm.ф1,SUM(_xlpm.o*_xlpm.pw*((_xlpm.ph="L1,L2,L3")/3+(_xlpm.ph="L1"))),_xlpm.ф2,SUM(_xlpm.o*_xlpm.pw*((_xlpm.ph="L1,L2,L3")/3+(_xlpm.ph="L2"))),_xlpm.ф3,SUM(_xlpm.o*_xlpm.pw*((_xlpm.ph="L1,L2,L3")/3+(_xlpm.ph="L3"))),_xlpm.фс,_xlpm.ф1+_xlpm.ф2+_xlpm.ф3,_xlpm.рр,INDEX(_xlpm.x,5),_xlpm.кт,INDEX(_xlpm.cats,_xlpm.j),_xlfn.VSTACK(INDEX(_xlpm.nm,_xlpm.j),IF(_xlpm.кт="I особая","I особой категории",IF(_xlpm.кт="","",_xlpm.кт&amp;" категории")),INDEX(_xlpm.x,1),_xlpm.рр,INDEX(_xlpm.x,8),INDEX(_xlpm.x,3),INDEX(_xlpm.x,2),IF(_xlpm.фс=0,0,_xlpm.рр*_xlpm.ф1/_xlpm.фс),IF(_xlpm.фс=0,0,_xlpm.рр*_xlpm.ф2/_xlpm.фс),IF(_xlpm.фс=0,0,_xlpm.рр*_xlpm.ф3/_xlpm.фс)))),IF(ROWS(_xlpm.srcs)=1,_xlpm.col(1),_xlfn.REDUCE(_xlpm.col(1),_xlfn.SEQUENCE(ROWS(_xlpm.srcs)-1,1,2),_xlfn.LAMBDA(_xlpm.acc,_xlpm.j,_xlfn.HSTACK(_xlpm.acc,_xlpm.col(_xlpm.j))))))</f>
        <v>Ввод.1</v>
      </c>
      <c r="N6" s="36" t="str">
        <v>Ввод.2</v>
      </c>
      <c r="O6" s="36"/>
      <c r="P6" s="36"/>
      <c r="Q6" s="36"/>
      <c r="R6" s="36"/>
      <c r="S6" s="36"/>
      <c r="T6" s="36"/>
      <c r="AA6">
        <v>1</v>
      </c>
      <c r="AB6" t="str">
        <v/>
      </c>
      <c r="AC6" t="str">
        <v>Ввод 1</v>
      </c>
    </row>
    <row r="7" spans="2:29" x14ac:dyDescent="0.3">
      <c r="B7" cm="1">
        <f t="array" ref="B7:J33">_xlfn.LET(_xlpm.щ,$C$3,_xlpm.m,(Линии[Щит]=_xlpm.щ)*ISNUMBER(Линии[_№ места (итог)]),IF(SUM(_xlpm.m)=0,"в щите нет строк на схеме",_xlfn.LET(_xlpm.pos,_xlfn._xlws.FILTER(Линии[_№ места (итог)],_xlpm.m),_xlpm.n,MAX(_xlpm.pos),_xlpm.k,_xlfn.SEQUENCE(_xlpm.n),_xlpm.f,_xlfn.LAMBDA(_xlpm.c_,_xlfn.LET(_xlpm.v,_xlfn.XLOOKUP(_xlpm.k,_xlpm.pos,_xlfn._xlws.FILTER(_xlpm.c_,_xlpm.m),""),IF(_xlpm.v="","",_xlpm.v))),_xlfn.HSTACK(_xlpm.k,INT((_xlpm.k-1)/Столбцов_на_лист)+1,_xlpm.f(Линии[Номер линии]),_xlpm.f(Линии[_фаза итог]),_xlpm.f(Линии[_Р схемы]),_xlpm.f(Линии[_Ток схемы]),_xlpm.f(Линии[Наименование (итог)]),_xlpm.f(Линии[Кабель (строкой)]),_xlpm.f(Линии[_автомат гр.])))))</f>
        <v>1</v>
      </c>
      <c r="C7">
        <v>1</v>
      </c>
      <c r="D7" t="str">
        <v>Ввод.1</v>
      </c>
      <c r="E7" t="str">
        <v>L1,L2,L3</v>
      </c>
      <c r="F7" s="6">
        <v>43.93</v>
      </c>
      <c r="G7" s="6">
        <v>56.9</v>
      </c>
      <c r="H7" t="str">
        <v>Ввод 1 от ТП</v>
      </c>
      <c r="I7" t="str">
        <v>ВВГнг(А)-LS (5х95)</v>
      </c>
      <c r="J7" t="str">
        <v>3P С80А</v>
      </c>
      <c r="L7" s="121" t="s">
        <v>763</v>
      </c>
      <c r="M7" s="36" t="str">
        <v>I категории</v>
      </c>
      <c r="N7" s="36" t="str">
        <v>I категории</v>
      </c>
      <c r="O7" s="36"/>
      <c r="P7" s="36"/>
      <c r="Q7" s="36"/>
      <c r="R7" s="36"/>
      <c r="S7" s="36"/>
      <c r="T7" s="36"/>
      <c r="AA7">
        <v>1</v>
      </c>
      <c r="AB7" t="str">
        <v/>
      </c>
      <c r="AC7" t="str">
        <v>Ввод 1</v>
      </c>
    </row>
    <row r="8" spans="2:29" x14ac:dyDescent="0.3">
      <c r="B8">
        <v>2</v>
      </c>
      <c r="C8">
        <v>1</v>
      </c>
      <c r="D8" t="str">
        <v/>
      </c>
      <c r="E8" t="str">
        <v/>
      </c>
      <c r="F8" s="6" t="str">
        <v/>
      </c>
      <c r="G8" s="6" t="str">
        <v/>
      </c>
      <c r="H8" t="str">
        <v/>
      </c>
      <c r="I8" t="str">
        <v/>
      </c>
      <c r="J8" t="str">
        <v/>
      </c>
      <c r="L8" s="121" t="s">
        <v>752</v>
      </c>
      <c r="M8" s="6">
        <v>41.929999999999993</v>
      </c>
      <c r="N8" s="6">
        <v>2</v>
      </c>
      <c r="O8" s="6"/>
      <c r="P8" s="6"/>
      <c r="Q8" s="6"/>
      <c r="R8" s="6"/>
      <c r="S8" s="6"/>
      <c r="T8" s="6"/>
      <c r="AA8">
        <v>1</v>
      </c>
      <c r="AB8" t="str">
        <v/>
      </c>
      <c r="AC8" t="str">
        <v>Ввод 1</v>
      </c>
    </row>
    <row r="9" spans="2:29" x14ac:dyDescent="0.3">
      <c r="B9">
        <v>3</v>
      </c>
      <c r="C9">
        <v>1</v>
      </c>
      <c r="D9" t="str">
        <v>Ввод.2</v>
      </c>
      <c r="E9" t="str">
        <v>L1,L2,L3</v>
      </c>
      <c r="F9" s="6">
        <v>43.93</v>
      </c>
      <c r="G9" s="6">
        <v>56.9</v>
      </c>
      <c r="H9" t="str">
        <v>Ввод 2 от ТП</v>
      </c>
      <c r="I9" t="str">
        <v>ВВГнг(А)-LS (5х95)</v>
      </c>
      <c r="J9" t="str">
        <v>3P С80А</v>
      </c>
      <c r="L9" s="121" t="s">
        <v>791</v>
      </c>
      <c r="M9" s="6">
        <v>31.622140000000002</v>
      </c>
      <c r="N9" s="6">
        <v>2</v>
      </c>
      <c r="O9" s="6"/>
      <c r="P9" s="6"/>
      <c r="Q9" s="6"/>
      <c r="R9" s="6"/>
      <c r="S9" s="6"/>
      <c r="T9" s="6"/>
      <c r="AA9">
        <v>1</v>
      </c>
      <c r="AB9" t="str">
        <v/>
      </c>
      <c r="AC9" t="str">
        <v>Ввод 1</v>
      </c>
    </row>
    <row r="10" spans="2:29" x14ac:dyDescent="0.3">
      <c r="B10">
        <v>4</v>
      </c>
      <c r="C10">
        <v>1</v>
      </c>
      <c r="D10" t="str">
        <v>АСУ.0.001.1</v>
      </c>
      <c r="E10" t="str">
        <v>L3</v>
      </c>
      <c r="F10" s="6">
        <v>0.1</v>
      </c>
      <c r="G10" s="6">
        <v>0.46</v>
      </c>
      <c r="H10" t="str">
        <v>Питание автоматики АВР</v>
      </c>
      <c r="I10" t="str">
        <v>ВВГнг(А)-LS (3х1,5) L=3-0,02%</v>
      </c>
      <c r="J10" t="str">
        <v>1P С6А</v>
      </c>
      <c r="L10" s="121" t="s">
        <v>754</v>
      </c>
      <c r="M10" s="6">
        <v>51.176472762052789</v>
      </c>
      <c r="N10" s="6">
        <v>3.0386856273138196</v>
      </c>
      <c r="O10" s="6"/>
      <c r="P10" s="6"/>
      <c r="Q10" s="6"/>
      <c r="R10" s="6"/>
      <c r="S10" s="6"/>
      <c r="T10" s="6"/>
      <c r="AA10">
        <v>1</v>
      </c>
      <c r="AB10" t="str">
        <v/>
      </c>
      <c r="AC10" t="str">
        <v>Ввод 1</v>
      </c>
    </row>
    <row r="11" spans="2:29" x14ac:dyDescent="0.3">
      <c r="B11">
        <v>5</v>
      </c>
      <c r="C11">
        <v>1</v>
      </c>
      <c r="D11" t="str">
        <v>ЩБП</v>
      </c>
      <c r="E11" t="str">
        <v>L2</v>
      </c>
      <c r="F11" s="6">
        <v>0.56000000000000005</v>
      </c>
      <c r="G11" s="6">
        <v>1.72</v>
      </c>
      <c r="H11" t="str">
        <v>Щит блоков питания LED</v>
      </c>
      <c r="I11" t="str">
        <v>ВВГнг(А)-LS (3х1,5) L=10-0,22%</v>
      </c>
      <c r="J11" t="str">
        <v>1P С6А</v>
      </c>
      <c r="L11" s="121" t="s">
        <v>750</v>
      </c>
      <c r="M11" s="6">
        <v>0.89186739804435999</v>
      </c>
      <c r="N11" s="6">
        <v>0.95000000000000007</v>
      </c>
      <c r="O11" s="6"/>
      <c r="P11" s="6"/>
      <c r="Q11" s="6"/>
      <c r="R11" s="6"/>
      <c r="S11" s="6"/>
      <c r="T11" s="6"/>
      <c r="AA11">
        <v>1</v>
      </c>
      <c r="AB11" t="str">
        <v/>
      </c>
      <c r="AC11" t="str">
        <v>Ввод 1</v>
      </c>
    </row>
    <row r="12" spans="2:29" x14ac:dyDescent="0.3">
      <c r="B12">
        <v>6</v>
      </c>
      <c r="C12">
        <v>1</v>
      </c>
      <c r="D12" t="str">
        <v/>
      </c>
      <c r="E12" t="str">
        <v/>
      </c>
      <c r="F12" s="6" t="str">
        <v/>
      </c>
      <c r="G12" s="6" t="str">
        <v/>
      </c>
      <c r="H12" t="str">
        <v/>
      </c>
      <c r="I12" t="str">
        <v/>
      </c>
      <c r="J12" t="str">
        <v/>
      </c>
      <c r="L12" s="121" t="s">
        <v>538</v>
      </c>
      <c r="M12" s="6">
        <v>0.75416503696637271</v>
      </c>
      <c r="N12" s="6">
        <v>1</v>
      </c>
      <c r="O12" s="6"/>
      <c r="P12" s="6"/>
      <c r="Q12" s="6"/>
      <c r="R12" s="6"/>
      <c r="S12" s="6"/>
      <c r="T12" s="6"/>
      <c r="AA12">
        <v>1</v>
      </c>
      <c r="AB12" t="str">
        <v/>
      </c>
      <c r="AC12" t="str">
        <v>Ввод 2</v>
      </c>
    </row>
    <row r="13" spans="2:29" x14ac:dyDescent="0.3">
      <c r="B13">
        <v>7</v>
      </c>
      <c r="C13">
        <v>1</v>
      </c>
      <c r="D13" t="str">
        <v/>
      </c>
      <c r="E13" t="str">
        <v/>
      </c>
      <c r="F13" s="6" t="str">
        <v/>
      </c>
      <c r="G13" s="6" t="str">
        <v/>
      </c>
      <c r="H13" t="str">
        <v/>
      </c>
      <c r="I13" t="str">
        <v/>
      </c>
      <c r="J13" t="str">
        <v/>
      </c>
      <c r="L13" s="121" t="s">
        <v>1373</v>
      </c>
      <c r="M13" s="6">
        <v>11.581461084346929</v>
      </c>
      <c r="N13" s="6">
        <v>0</v>
      </c>
      <c r="O13" s="6"/>
      <c r="P13" s="6"/>
      <c r="Q13" s="6"/>
      <c r="R13" s="6"/>
      <c r="S13" s="6"/>
      <c r="T13" s="6"/>
      <c r="AA13">
        <v>1</v>
      </c>
      <c r="AB13" t="str">
        <v/>
      </c>
      <c r="AC13" t="str">
        <v>Ввод 1</v>
      </c>
    </row>
    <row r="14" spans="2:29" x14ac:dyDescent="0.3">
      <c r="B14">
        <v>8</v>
      </c>
      <c r="C14">
        <v>1</v>
      </c>
      <c r="D14" t="str">
        <v/>
      </c>
      <c r="E14" t="str">
        <v/>
      </c>
      <c r="F14" s="6" t="str">
        <v/>
      </c>
      <c r="G14" s="6" t="str">
        <v/>
      </c>
      <c r="H14" t="str">
        <v/>
      </c>
      <c r="I14" t="str">
        <v/>
      </c>
      <c r="J14" t="str">
        <v/>
      </c>
      <c r="L14" s="121" t="s">
        <v>1374</v>
      </c>
      <c r="M14" s="6">
        <v>10.7971294459019</v>
      </c>
      <c r="N14" s="6">
        <v>0</v>
      </c>
      <c r="O14" s="6"/>
      <c r="P14" s="6"/>
      <c r="Q14" s="6"/>
      <c r="R14" s="6"/>
      <c r="S14" s="6"/>
      <c r="T14" s="6"/>
      <c r="AA14">
        <v>1</v>
      </c>
      <c r="AB14" t="str">
        <v/>
      </c>
      <c r="AC14" t="str">
        <v>Ввод 1</v>
      </c>
    </row>
    <row r="15" spans="2:29" x14ac:dyDescent="0.3">
      <c r="B15">
        <v>9</v>
      </c>
      <c r="C15">
        <v>1</v>
      </c>
      <c r="D15" t="str">
        <v/>
      </c>
      <c r="E15" t="str">
        <v/>
      </c>
      <c r="F15" s="6" t="str">
        <v/>
      </c>
      <c r="G15" s="6" t="str">
        <v/>
      </c>
      <c r="H15" t="str">
        <v/>
      </c>
      <c r="I15" t="str">
        <v/>
      </c>
      <c r="J15" t="str">
        <v/>
      </c>
      <c r="L15" s="121" t="s">
        <v>1375</v>
      </c>
      <c r="M15" s="6">
        <v>9.2435494697511729</v>
      </c>
      <c r="N15" s="6">
        <v>2</v>
      </c>
      <c r="O15" s="6"/>
      <c r="P15" s="6"/>
      <c r="Q15" s="6"/>
      <c r="R15" s="6"/>
      <c r="S15" s="6"/>
      <c r="T15" s="6"/>
      <c r="AA15">
        <v>1</v>
      </c>
      <c r="AB15" t="str">
        <v/>
      </c>
      <c r="AC15" t="str">
        <v>Ввод 1</v>
      </c>
    </row>
    <row r="16" spans="2:29" x14ac:dyDescent="0.3">
      <c r="B16">
        <v>10</v>
      </c>
      <c r="C16">
        <v>1</v>
      </c>
      <c r="D16" t="str">
        <v/>
      </c>
      <c r="E16" t="str">
        <v/>
      </c>
      <c r="F16" s="6" t="str">
        <v/>
      </c>
      <c r="G16" s="6" t="str">
        <v/>
      </c>
      <c r="H16" t="str">
        <v/>
      </c>
      <c r="I16" t="str">
        <v/>
      </c>
      <c r="J16" t="str">
        <v/>
      </c>
      <c r="AA16">
        <v>1</v>
      </c>
      <c r="AB16" t="str">
        <v>ЩБП</v>
      </c>
      <c r="AC16" t="str">
        <v>Ввод 1</v>
      </c>
    </row>
    <row r="17" spans="2:29" x14ac:dyDescent="0.3">
      <c r="B17">
        <v>11</v>
      </c>
      <c r="C17">
        <v>1</v>
      </c>
      <c r="D17" t="str">
        <v/>
      </c>
      <c r="E17" t="str">
        <v/>
      </c>
      <c r="F17" s="6" t="str">
        <v/>
      </c>
      <c r="G17" s="6" t="str">
        <v/>
      </c>
      <c r="H17" t="str">
        <v/>
      </c>
      <c r="I17" t="str">
        <v/>
      </c>
      <c r="J17" t="str">
        <v/>
      </c>
      <c r="L17" s="139" t="s">
        <v>1376</v>
      </c>
      <c r="M17" s="138"/>
      <c r="N17" s="138"/>
      <c r="O17" s="138"/>
      <c r="P17" s="138"/>
      <c r="AA17">
        <v>1</v>
      </c>
      <c r="AB17" t="str">
        <v>ЩБП</v>
      </c>
      <c r="AC17" t="str">
        <v>Ввод 1</v>
      </c>
    </row>
    <row r="18" spans="2:29" x14ac:dyDescent="0.3">
      <c r="B18">
        <v>12</v>
      </c>
      <c r="C18">
        <v>1</v>
      </c>
      <c r="D18" t="str">
        <v/>
      </c>
      <c r="E18" t="str">
        <v/>
      </c>
      <c r="F18" s="6" t="str">
        <v/>
      </c>
      <c r="G18" s="6" t="str">
        <v/>
      </c>
      <c r="H18" t="str">
        <v/>
      </c>
      <c r="I18" t="str">
        <v/>
      </c>
      <c r="J18" t="str">
        <v/>
      </c>
      <c r="L18" s="138"/>
      <c r="M18" s="138"/>
      <c r="N18" s="138"/>
      <c r="O18" s="138"/>
      <c r="P18" s="138"/>
      <c r="AA18">
        <v>1</v>
      </c>
      <c r="AB18" t="str">
        <v>ЩБП</v>
      </c>
      <c r="AC18" t="str">
        <v>Ввод 1</v>
      </c>
    </row>
    <row r="19" spans="2:29" x14ac:dyDescent="0.3">
      <c r="B19">
        <v>13</v>
      </c>
      <c r="C19">
        <v>1</v>
      </c>
      <c r="D19" t="str">
        <v/>
      </c>
      <c r="E19" t="str">
        <v/>
      </c>
      <c r="F19" s="6" t="str">
        <v/>
      </c>
      <c r="G19" s="6" t="str">
        <v/>
      </c>
      <c r="H19" t="str">
        <v/>
      </c>
      <c r="I19" t="str">
        <v/>
      </c>
      <c r="J19" t="str">
        <v/>
      </c>
      <c r="L19" s="138"/>
      <c r="M19" s="138"/>
      <c r="N19" s="138"/>
      <c r="O19" s="138"/>
      <c r="P19" s="138"/>
      <c r="AA19">
        <v>1</v>
      </c>
      <c r="AB19" t="str">
        <v>ЩБП</v>
      </c>
      <c r="AC19" t="str">
        <v>Ввод 1</v>
      </c>
    </row>
    <row r="20" spans="2:29" x14ac:dyDescent="0.3">
      <c r="B20">
        <v>14</v>
      </c>
      <c r="C20">
        <v>1</v>
      </c>
      <c r="D20" t="str">
        <v/>
      </c>
      <c r="E20" t="str">
        <v/>
      </c>
      <c r="F20" s="6" t="str">
        <v/>
      </c>
      <c r="G20" s="6" t="str">
        <v/>
      </c>
      <c r="H20" t="str">
        <v/>
      </c>
      <c r="I20" t="str">
        <v/>
      </c>
      <c r="J20" t="str">
        <v/>
      </c>
      <c r="L20" s="138"/>
      <c r="M20" s="138"/>
      <c r="N20" s="138"/>
      <c r="O20" s="138"/>
      <c r="P20" s="138"/>
      <c r="AA20">
        <v>1</v>
      </c>
      <c r="AB20" t="str">
        <v>ЩБП</v>
      </c>
      <c r="AC20" t="str">
        <v>Ввод 1</v>
      </c>
    </row>
    <row r="21" spans="2:29" x14ac:dyDescent="0.3">
      <c r="B21">
        <v>15</v>
      </c>
      <c r="C21">
        <v>1</v>
      </c>
      <c r="D21" t="str">
        <v/>
      </c>
      <c r="E21" t="str">
        <v/>
      </c>
      <c r="F21" s="6" t="str">
        <v/>
      </c>
      <c r="G21" s="6" t="str">
        <v/>
      </c>
      <c r="H21" t="str">
        <v/>
      </c>
      <c r="I21" t="str">
        <v/>
      </c>
      <c r="J21" t="str">
        <v/>
      </c>
      <c r="L21" s="138"/>
      <c r="M21" s="138"/>
      <c r="N21" s="138"/>
      <c r="O21" s="138"/>
      <c r="P21" s="138"/>
      <c r="AA21">
        <v>1</v>
      </c>
      <c r="AB21" t="str">
        <v>ЩБП</v>
      </c>
      <c r="AC21" t="str">
        <v>Ввод 1</v>
      </c>
    </row>
    <row r="22" spans="2:29" x14ac:dyDescent="0.3">
      <c r="B22">
        <v>16</v>
      </c>
      <c r="C22">
        <v>1</v>
      </c>
      <c r="D22" t="str">
        <v/>
      </c>
      <c r="E22" t="str">
        <v/>
      </c>
      <c r="F22" s="6" t="str">
        <v/>
      </c>
      <c r="G22" s="6" t="str">
        <v/>
      </c>
      <c r="H22" t="str">
        <v/>
      </c>
      <c r="I22" t="str">
        <v/>
      </c>
      <c r="J22" t="str">
        <v/>
      </c>
      <c r="L22" s="138"/>
      <c r="M22" s="138"/>
      <c r="N22" s="138"/>
      <c r="O22" s="138"/>
      <c r="P22" s="138"/>
      <c r="AA22">
        <v>1</v>
      </c>
      <c r="AB22" t="str">
        <v>ЩБП</v>
      </c>
      <c r="AC22" t="str">
        <v>Ввод 1</v>
      </c>
    </row>
    <row r="23" spans="2:29" x14ac:dyDescent="0.3">
      <c r="B23">
        <v>17</v>
      </c>
      <c r="C23">
        <v>1</v>
      </c>
      <c r="D23" t="str">
        <v/>
      </c>
      <c r="E23" t="str">
        <v/>
      </c>
      <c r="F23" s="6" t="str">
        <v/>
      </c>
      <c r="G23" s="6" t="str">
        <v/>
      </c>
      <c r="H23" t="str">
        <v/>
      </c>
      <c r="I23" t="str">
        <v/>
      </c>
      <c r="J23" t="str">
        <v/>
      </c>
      <c r="AA23">
        <v>1</v>
      </c>
      <c r="AB23" t="str">
        <v>ЩГП</v>
      </c>
      <c r="AC23" t="str">
        <v>Ввод 1</v>
      </c>
    </row>
    <row r="24" spans="2:29" x14ac:dyDescent="0.3">
      <c r="B24">
        <v>18</v>
      </c>
      <c r="C24">
        <v>2</v>
      </c>
      <c r="D24" t="str">
        <v/>
      </c>
      <c r="E24" t="str">
        <v/>
      </c>
      <c r="F24" s="6" t="str">
        <v/>
      </c>
      <c r="G24" s="6" t="str">
        <v/>
      </c>
      <c r="H24" t="str">
        <v/>
      </c>
      <c r="I24" t="str">
        <v/>
      </c>
      <c r="J24" t="str">
        <v/>
      </c>
      <c r="AA24">
        <v>1</v>
      </c>
      <c r="AB24" t="str">
        <v>ЩГП</v>
      </c>
      <c r="AC24" t="str">
        <v>Ввод 1</v>
      </c>
    </row>
    <row r="25" spans="2:29" x14ac:dyDescent="0.3">
      <c r="B25">
        <v>19</v>
      </c>
      <c r="C25">
        <v>2</v>
      </c>
      <c r="D25" t="str">
        <v/>
      </c>
      <c r="E25" t="str">
        <v/>
      </c>
      <c r="F25" s="6" t="str">
        <v/>
      </c>
      <c r="G25" s="6" t="str">
        <v/>
      </c>
      <c r="H25" t="str">
        <v/>
      </c>
      <c r="I25" t="str">
        <v/>
      </c>
      <c r="J25" t="str">
        <v/>
      </c>
      <c r="AA25">
        <v>1</v>
      </c>
      <c r="AB25" t="str">
        <v>ЩГП</v>
      </c>
      <c r="AC25" t="str">
        <v>Ввод 1</v>
      </c>
    </row>
    <row r="26" spans="2:29" x14ac:dyDescent="0.3">
      <c r="B26">
        <v>20</v>
      </c>
      <c r="C26">
        <v>2</v>
      </c>
      <c r="D26" t="str">
        <v>R.0.004.1</v>
      </c>
      <c r="E26" t="str">
        <v>L3</v>
      </c>
      <c r="F26" s="6">
        <v>1.5</v>
      </c>
      <c r="G26" s="6">
        <v>6.84</v>
      </c>
      <c r="H26" t="str">
        <v>Розетки техпомещения</v>
      </c>
      <c r="I26" t="str">
        <v>ВВГнг(А)-LS (3х2,5) L=18-0,92%</v>
      </c>
      <c r="J26" t="str">
        <v>2P С16А 30мА</v>
      </c>
      <c r="AA26">
        <v>1</v>
      </c>
      <c r="AB26" t="str">
        <v>ЩР-1</v>
      </c>
      <c r="AC26" t="str">
        <v>Ввод 1</v>
      </c>
    </row>
    <row r="27" spans="2:29" x14ac:dyDescent="0.3">
      <c r="B27">
        <v>21</v>
      </c>
      <c r="C27">
        <v>2</v>
      </c>
      <c r="D27" t="str">
        <v>ЩР-1</v>
      </c>
      <c r="E27" t="str">
        <v>L1,L2,L3</v>
      </c>
      <c r="F27" s="6">
        <v>19.22</v>
      </c>
      <c r="G27" s="6">
        <v>29.94</v>
      </c>
      <c r="H27" t="str">
        <v>Щит ЩР-1</v>
      </c>
      <c r="I27" t="str">
        <v>ВВГнг(А)-LS (5х10) L=25-0,69%</v>
      </c>
      <c r="J27" t="str">
        <v>3P С40А</v>
      </c>
      <c r="AA27">
        <v>1</v>
      </c>
      <c r="AB27" t="str">
        <v>ЩР-1</v>
      </c>
      <c r="AC27" t="str">
        <v>Ввод 1</v>
      </c>
    </row>
    <row r="28" spans="2:29" x14ac:dyDescent="0.3">
      <c r="B28">
        <v>22</v>
      </c>
      <c r="C28">
        <v>2</v>
      </c>
      <c r="D28" t="str">
        <v>ЩС</v>
      </c>
      <c r="E28" t="str">
        <v>L1,L2,L3</v>
      </c>
      <c r="F28" s="6">
        <v>11.35</v>
      </c>
      <c r="G28" s="6">
        <v>19.28</v>
      </c>
      <c r="H28" t="str">
        <v>Щит ЩС</v>
      </c>
      <c r="I28" t="str">
        <v>ВВГнг(А)-LS (5х4) L=40-1,55%</v>
      </c>
      <c r="J28" t="str">
        <v>3P С25А</v>
      </c>
      <c r="AA28">
        <v>1</v>
      </c>
      <c r="AB28" t="str">
        <v>ЩР-1</v>
      </c>
      <c r="AC28" t="str">
        <v>Ввод 1</v>
      </c>
    </row>
    <row r="29" spans="2:29" x14ac:dyDescent="0.3">
      <c r="B29">
        <v>23</v>
      </c>
      <c r="C29">
        <v>2</v>
      </c>
      <c r="D29" t="str">
        <v>ЩГП</v>
      </c>
      <c r="E29" t="str">
        <v>L1,L2,L3</v>
      </c>
      <c r="F29" s="6">
        <v>0.5</v>
      </c>
      <c r="G29" s="6">
        <v>1.21</v>
      </c>
      <c r="H29" t="str">
        <v>Щит ЩГП</v>
      </c>
      <c r="I29" t="str">
        <v>ВВГнг(А)-LS (5х1,5) L=15-0,12%</v>
      </c>
      <c r="J29" t="str">
        <v>3P С6А</v>
      </c>
      <c r="AA29">
        <v>1</v>
      </c>
      <c r="AB29" t="str">
        <v>ЩР-1</v>
      </c>
      <c r="AC29" t="str">
        <v>Ввод 1</v>
      </c>
    </row>
    <row r="30" spans="2:29" x14ac:dyDescent="0.3">
      <c r="B30">
        <v>24</v>
      </c>
      <c r="C30">
        <v>2</v>
      </c>
      <c r="D30" t="str">
        <v>ЩСПЗ.1</v>
      </c>
      <c r="E30" t="str">
        <v>L2</v>
      </c>
      <c r="F30" s="6">
        <v>3.4</v>
      </c>
      <c r="G30" s="6">
        <v>7.42</v>
      </c>
      <c r="H30" t="str">
        <v>Щит СПЗ, ввод 1</v>
      </c>
      <c r="I30" t="str">
        <v>ВВГнг(А)-FRLS (3х1,5) L=12-0,95%</v>
      </c>
      <c r="J30" t="str">
        <v>1P С10А</v>
      </c>
      <c r="AA30">
        <v>1</v>
      </c>
      <c r="AB30" t="str">
        <v>ЩР-1</v>
      </c>
      <c r="AC30" t="str">
        <v>Ввод 1</v>
      </c>
    </row>
    <row r="31" spans="2:29" x14ac:dyDescent="0.3">
      <c r="B31">
        <v>25</v>
      </c>
      <c r="C31">
        <v>2</v>
      </c>
      <c r="D31" t="str">
        <v>ЩСПЗ.2</v>
      </c>
      <c r="E31" t="str">
        <v>L3</v>
      </c>
      <c r="F31" s="6">
        <v>0</v>
      </c>
      <c r="G31" s="6">
        <v>0</v>
      </c>
      <c r="H31" t="str">
        <v>Щит СПЗ, ввод 2 (резерв)</v>
      </c>
      <c r="I31" t="str">
        <v>ВВГнг(А)-FRLS (3х1,5) L=12-0%</v>
      </c>
      <c r="J31" t="str">
        <v>1P С6А</v>
      </c>
      <c r="AA31">
        <v>1</v>
      </c>
      <c r="AB31" t="str">
        <v>ЩР-1</v>
      </c>
      <c r="AC31" t="str">
        <v>Ввод 1</v>
      </c>
    </row>
    <row r="32" spans="2:29" x14ac:dyDescent="0.3">
      <c r="B32">
        <v>26</v>
      </c>
      <c r="C32">
        <v>2</v>
      </c>
      <c r="D32" t="str">
        <v>КМН.0.001.1</v>
      </c>
      <c r="E32" t="str">
        <v>L3</v>
      </c>
      <c r="F32" s="6">
        <v>2</v>
      </c>
      <c r="G32" s="6">
        <v>9.1199999999999992</v>
      </c>
      <c r="H32" t="str">
        <v>Электрокамин, пом. 001</v>
      </c>
      <c r="I32" t="str">
        <v>ВВГнг(А)-LS (3х1,5) L=19-2,15%</v>
      </c>
      <c r="J32" t="str">
        <v>1P С16А</v>
      </c>
      <c r="AA32">
        <v>1</v>
      </c>
      <c r="AB32" t="str">
        <v>ЩР-1</v>
      </c>
      <c r="AC32" t="str">
        <v>Ввод 1</v>
      </c>
    </row>
    <row r="33" spans="2:29" x14ac:dyDescent="0.3">
      <c r="B33">
        <v>27</v>
      </c>
      <c r="C33">
        <v>2</v>
      </c>
      <c r="D33" t="str">
        <v>ПН.0.002.1</v>
      </c>
      <c r="E33" t="str">
        <v>L1</v>
      </c>
      <c r="F33" s="6">
        <v>5</v>
      </c>
      <c r="G33" s="6">
        <v>22.8</v>
      </c>
      <c r="H33" t="str">
        <v>Проточный водонагреватель, пом. 002</v>
      </c>
      <c r="I33" t="str">
        <v>ВВГнг(А)-LS (3х6) L=11-0,78%</v>
      </c>
      <c r="J33" t="str">
        <v>2P С32А 30мА</v>
      </c>
      <c r="AA33">
        <v>1</v>
      </c>
      <c r="AB33" t="str">
        <v>ЩР-1</v>
      </c>
      <c r="AC33" t="str">
        <v>Ввод 1</v>
      </c>
    </row>
    <row r="34" spans="2:29" x14ac:dyDescent="0.3">
      <c r="F34" s="6"/>
      <c r="G34" s="6"/>
      <c r="AA34">
        <v>0</v>
      </c>
      <c r="AB34" t="str">
        <v>ЩР-1</v>
      </c>
      <c r="AC34" t="str">
        <v>Ввод 1</v>
      </c>
    </row>
    <row r="35" spans="2:29" x14ac:dyDescent="0.3">
      <c r="F35" s="6"/>
      <c r="G35" s="6"/>
      <c r="AA35">
        <v>1</v>
      </c>
      <c r="AB35" t="str">
        <v>ЩР-1</v>
      </c>
      <c r="AC35" t="str">
        <v>Ввод 1</v>
      </c>
    </row>
    <row r="36" spans="2:29" x14ac:dyDescent="0.3">
      <c r="F36" s="6"/>
      <c r="G36" s="6"/>
      <c r="AA36">
        <v>1</v>
      </c>
      <c r="AB36" t="str">
        <v>ЩР-1</v>
      </c>
      <c r="AC36" t="str">
        <v>Ввод 1</v>
      </c>
    </row>
    <row r="37" spans="2:29" x14ac:dyDescent="0.3">
      <c r="F37" s="6"/>
      <c r="G37" s="6"/>
      <c r="AA37">
        <v>1</v>
      </c>
      <c r="AB37" t="str">
        <v>ЩР-1</v>
      </c>
      <c r="AC37" t="str">
        <v>Ввод 1</v>
      </c>
    </row>
    <row r="38" spans="2:29" x14ac:dyDescent="0.3">
      <c r="F38" s="6"/>
      <c r="G38" s="6"/>
      <c r="AA38">
        <v>0</v>
      </c>
      <c r="AB38" t="str">
        <v>ЩР-1</v>
      </c>
      <c r="AC38" t="str">
        <v>Ввод 1</v>
      </c>
    </row>
    <row r="39" spans="2:29" x14ac:dyDescent="0.3">
      <c r="F39" s="6"/>
      <c r="G39" s="6"/>
      <c r="AA39">
        <v>1</v>
      </c>
      <c r="AB39" t="str">
        <v>ЩР-1</v>
      </c>
      <c r="AC39" t="str">
        <v>Ввод 1</v>
      </c>
    </row>
    <row r="40" spans="2:29" x14ac:dyDescent="0.3">
      <c r="F40" s="6"/>
      <c r="G40" s="6"/>
      <c r="AA40">
        <v>1</v>
      </c>
      <c r="AB40" t="str">
        <v>ЩР-1</v>
      </c>
      <c r="AC40" t="str">
        <v>Ввод 1</v>
      </c>
    </row>
    <row r="41" spans="2:29" x14ac:dyDescent="0.3">
      <c r="F41" s="6"/>
      <c r="G41" s="6"/>
      <c r="AA41">
        <v>1</v>
      </c>
      <c r="AB41" t="str">
        <v>ЩР-1</v>
      </c>
      <c r="AC41" t="str">
        <v>Ввод 1</v>
      </c>
    </row>
    <row r="42" spans="2:29" x14ac:dyDescent="0.3">
      <c r="F42" s="6"/>
      <c r="G42" s="6"/>
      <c r="AA42">
        <v>1</v>
      </c>
      <c r="AB42" t="str">
        <v>ЩР-1</v>
      </c>
      <c r="AC42" t="str">
        <v>Ввод 1</v>
      </c>
    </row>
    <row r="43" spans="2:29" x14ac:dyDescent="0.3">
      <c r="F43" s="6"/>
      <c r="G43" s="6"/>
      <c r="AA43">
        <v>1</v>
      </c>
      <c r="AB43" t="str">
        <v>ЩР-1</v>
      </c>
      <c r="AC43" t="str">
        <v>Ввод 1</v>
      </c>
    </row>
    <row r="44" spans="2:29" x14ac:dyDescent="0.3">
      <c r="F44" s="6"/>
      <c r="G44" s="6"/>
      <c r="AA44">
        <v>1</v>
      </c>
      <c r="AB44" t="str">
        <v>ЩР-1</v>
      </c>
      <c r="AC44" t="str">
        <v>Ввод 1</v>
      </c>
    </row>
    <row r="45" spans="2:29" x14ac:dyDescent="0.3">
      <c r="F45" s="6"/>
      <c r="G45" s="6"/>
      <c r="AA45">
        <v>1</v>
      </c>
      <c r="AB45" t="str">
        <v>ЩР-1</v>
      </c>
      <c r="AC45" t="str">
        <v>Ввод 1</v>
      </c>
    </row>
    <row r="46" spans="2:29" x14ac:dyDescent="0.3">
      <c r="F46" s="6"/>
      <c r="G46" s="6"/>
      <c r="AA46">
        <v>1</v>
      </c>
      <c r="AB46" t="str">
        <v>ЩР-1</v>
      </c>
      <c r="AC46" t="str">
        <v>Ввод 1</v>
      </c>
    </row>
    <row r="47" spans="2:29" x14ac:dyDescent="0.3">
      <c r="F47" s="6"/>
      <c r="G47" s="6"/>
      <c r="AA47">
        <v>1</v>
      </c>
      <c r="AB47" t="str">
        <v>ЩР-1</v>
      </c>
      <c r="AC47" t="str">
        <v>Ввод 1</v>
      </c>
    </row>
    <row r="48" spans="2:29" x14ac:dyDescent="0.3">
      <c r="F48" s="6"/>
      <c r="G48" s="6"/>
      <c r="AA48">
        <v>1</v>
      </c>
      <c r="AB48" t="str">
        <v>ЩС</v>
      </c>
      <c r="AC48" t="str">
        <v>Ввод 1</v>
      </c>
    </row>
    <row r="49" spans="6:29" x14ac:dyDescent="0.3">
      <c r="F49" s="6"/>
      <c r="G49" s="6"/>
      <c r="AA49">
        <v>1</v>
      </c>
      <c r="AB49" t="str">
        <v>ЩС</v>
      </c>
      <c r="AC49" t="str">
        <v>Ввод 1</v>
      </c>
    </row>
    <row r="50" spans="6:29" x14ac:dyDescent="0.3">
      <c r="F50" s="6"/>
      <c r="G50" s="6"/>
      <c r="AA50">
        <v>1</v>
      </c>
      <c r="AB50" t="str">
        <v>ЩС</v>
      </c>
      <c r="AC50" t="str">
        <v>Ввод 1</v>
      </c>
    </row>
    <row r="51" spans="6:29" x14ac:dyDescent="0.3">
      <c r="F51" s="6"/>
      <c r="G51" s="6"/>
      <c r="AA51">
        <v>1</v>
      </c>
      <c r="AB51" t="str">
        <v>ЩС</v>
      </c>
      <c r="AC51" t="str">
        <v>Ввод 1</v>
      </c>
    </row>
    <row r="52" spans="6:29" x14ac:dyDescent="0.3">
      <c r="F52" s="6"/>
      <c r="G52" s="6"/>
      <c r="AA52">
        <v>1</v>
      </c>
      <c r="AB52" t="str">
        <v>ЩС</v>
      </c>
      <c r="AC52" t="str">
        <v>Ввод 1</v>
      </c>
    </row>
    <row r="53" spans="6:29" x14ac:dyDescent="0.3">
      <c r="F53" s="6"/>
      <c r="G53" s="6"/>
      <c r="AA53">
        <v>1</v>
      </c>
      <c r="AB53" t="str">
        <v>ЩС</v>
      </c>
      <c r="AC53" t="str">
        <v>Ввод 1</v>
      </c>
    </row>
    <row r="54" spans="6:29" x14ac:dyDescent="0.3">
      <c r="F54" s="6"/>
      <c r="G54" s="6"/>
      <c r="AA54">
        <v>1</v>
      </c>
      <c r="AB54" t="str">
        <v>ЩСПЗ</v>
      </c>
      <c r="AC54" t="str">
        <v>Ввод 1</v>
      </c>
    </row>
    <row r="55" spans="6:29" x14ac:dyDescent="0.3">
      <c r="F55" s="6"/>
      <c r="G55" s="6"/>
      <c r="AA55">
        <v>1</v>
      </c>
      <c r="AB55" t="str">
        <v>ЩСПЗ</v>
      </c>
      <c r="AC55" t="str">
        <v>Ввод 1</v>
      </c>
    </row>
    <row r="56" spans="6:29" x14ac:dyDescent="0.3">
      <c r="F56" s="6"/>
      <c r="G56" s="6"/>
      <c r="AA56">
        <v>1</v>
      </c>
      <c r="AB56" t="str">
        <v>ЩСПЗ</v>
      </c>
      <c r="AC56" t="str">
        <v>Ввод 1</v>
      </c>
    </row>
    <row r="57" spans="6:29" x14ac:dyDescent="0.3">
      <c r="F57" s="6"/>
      <c r="G57" s="6"/>
      <c r="AA57">
        <v>1</v>
      </c>
      <c r="AB57" t="str">
        <v>ЩСПЗ</v>
      </c>
      <c r="AC57" t="str">
        <v>Ввод 1</v>
      </c>
    </row>
    <row r="58" spans="6:29" x14ac:dyDescent="0.3">
      <c r="F58" s="6"/>
      <c r="G58" s="6"/>
    </row>
    <row r="59" spans="6:29" x14ac:dyDescent="0.3">
      <c r="F59" s="6"/>
      <c r="G59" s="6"/>
    </row>
    <row r="60" spans="6:29" x14ac:dyDescent="0.3">
      <c r="F60" s="6"/>
      <c r="G60" s="6"/>
    </row>
    <row r="61" spans="6:29" x14ac:dyDescent="0.3">
      <c r="F61" s="6"/>
      <c r="G61" s="6"/>
    </row>
    <row r="62" spans="6:29" x14ac:dyDescent="0.3">
      <c r="F62" s="6"/>
      <c r="G62" s="6"/>
    </row>
    <row r="63" spans="6:29" x14ac:dyDescent="0.3">
      <c r="F63" s="6"/>
      <c r="G63" s="6"/>
    </row>
    <row r="64" spans="6:29" x14ac:dyDescent="0.3">
      <c r="F64" s="6"/>
      <c r="G64" s="6"/>
    </row>
    <row r="65" spans="6:7" x14ac:dyDescent="0.3">
      <c r="F65" s="6"/>
      <c r="G65" s="6"/>
    </row>
    <row r="66" spans="6:7" x14ac:dyDescent="0.3">
      <c r="F66" s="6"/>
      <c r="G66" s="6"/>
    </row>
    <row r="67" spans="6:7" x14ac:dyDescent="0.3">
      <c r="F67" s="6"/>
      <c r="G67" s="6"/>
    </row>
    <row r="68" spans="6:7" x14ac:dyDescent="0.3">
      <c r="F68" s="6"/>
      <c r="G68" s="6"/>
    </row>
    <row r="69" spans="6:7" x14ac:dyDescent="0.3">
      <c r="F69" s="6"/>
      <c r="G69" s="6"/>
    </row>
    <row r="70" spans="6:7" x14ac:dyDescent="0.3">
      <c r="F70" s="6"/>
      <c r="G70" s="6"/>
    </row>
    <row r="71" spans="6:7" x14ac:dyDescent="0.3">
      <c r="F71" s="6"/>
      <c r="G71" s="6"/>
    </row>
    <row r="72" spans="6:7" x14ac:dyDescent="0.3">
      <c r="F72" s="6"/>
      <c r="G72" s="6"/>
    </row>
    <row r="73" spans="6:7" x14ac:dyDescent="0.3">
      <c r="F73" s="6"/>
      <c r="G73" s="6"/>
    </row>
    <row r="74" spans="6:7" x14ac:dyDescent="0.3">
      <c r="F74" s="6"/>
      <c r="G74" s="6"/>
    </row>
    <row r="75" spans="6:7" x14ac:dyDescent="0.3">
      <c r="F75" s="6"/>
      <c r="G75" s="6"/>
    </row>
    <row r="76" spans="6:7" x14ac:dyDescent="0.3">
      <c r="F76" s="6"/>
      <c r="G76" s="6"/>
    </row>
    <row r="77" spans="6:7" x14ac:dyDescent="0.3">
      <c r="F77" s="6"/>
      <c r="G77" s="6"/>
    </row>
    <row r="78" spans="6:7" x14ac:dyDescent="0.3">
      <c r="F78" s="6"/>
      <c r="G78" s="6"/>
    </row>
    <row r="79" spans="6:7" x14ac:dyDescent="0.3">
      <c r="F79" s="6"/>
      <c r="G79" s="6"/>
    </row>
    <row r="80" spans="6:7" x14ac:dyDescent="0.3">
      <c r="F80" s="6"/>
      <c r="G80" s="6"/>
    </row>
    <row r="81" spans="6:7" x14ac:dyDescent="0.3">
      <c r="F81" s="6"/>
      <c r="G81" s="6"/>
    </row>
    <row r="82" spans="6:7" x14ac:dyDescent="0.3">
      <c r="F82" s="6"/>
      <c r="G82" s="6"/>
    </row>
    <row r="83" spans="6:7" x14ac:dyDescent="0.3">
      <c r="F83" s="6"/>
      <c r="G83" s="6"/>
    </row>
    <row r="84" spans="6:7" x14ac:dyDescent="0.3">
      <c r="F84" s="6"/>
      <c r="G84" s="6"/>
    </row>
    <row r="85" spans="6:7" x14ac:dyDescent="0.3">
      <c r="F85" s="6"/>
      <c r="G85" s="6"/>
    </row>
    <row r="86" spans="6:7" x14ac:dyDescent="0.3">
      <c r="F86" s="6"/>
      <c r="G86" s="6"/>
    </row>
    <row r="87" spans="6:7" x14ac:dyDescent="0.3">
      <c r="F87" s="6"/>
      <c r="G87" s="6"/>
    </row>
    <row r="88" spans="6:7" x14ac:dyDescent="0.3">
      <c r="F88" s="6"/>
      <c r="G88" s="6"/>
    </row>
    <row r="89" spans="6:7" x14ac:dyDescent="0.3">
      <c r="F89" s="6"/>
      <c r="G89" s="6"/>
    </row>
    <row r="90" spans="6:7" x14ac:dyDescent="0.3">
      <c r="F90" s="6"/>
      <c r="G90" s="6"/>
    </row>
    <row r="91" spans="6:7" x14ac:dyDescent="0.3">
      <c r="F91" s="6"/>
      <c r="G91" s="6"/>
    </row>
    <row r="92" spans="6:7" x14ac:dyDescent="0.3">
      <c r="F92" s="6"/>
      <c r="G92" s="6"/>
    </row>
    <row r="93" spans="6:7" x14ac:dyDescent="0.3">
      <c r="F93" s="6"/>
      <c r="G93" s="6"/>
    </row>
    <row r="94" spans="6:7" x14ac:dyDescent="0.3">
      <c r="F94" s="6"/>
      <c r="G94" s="6"/>
    </row>
    <row r="95" spans="6:7" x14ac:dyDescent="0.3">
      <c r="F95" s="6"/>
      <c r="G95" s="6"/>
    </row>
    <row r="96" spans="6:7" x14ac:dyDescent="0.3">
      <c r="F96" s="6"/>
      <c r="G96" s="6"/>
    </row>
    <row r="97" spans="6:7" x14ac:dyDescent="0.3">
      <c r="F97" s="6"/>
      <c r="G97" s="6"/>
    </row>
    <row r="98" spans="6:7" x14ac:dyDescent="0.3">
      <c r="F98" s="6"/>
      <c r="G98" s="6"/>
    </row>
    <row r="99" spans="6:7" x14ac:dyDescent="0.3">
      <c r="F99" s="6"/>
      <c r="G99" s="6"/>
    </row>
    <row r="100" spans="6:7" x14ac:dyDescent="0.3">
      <c r="F100" s="6"/>
      <c r="G100" s="6"/>
    </row>
    <row r="101" spans="6:7" x14ac:dyDescent="0.3">
      <c r="F101" s="6"/>
      <c r="G101" s="6"/>
    </row>
    <row r="102" spans="6:7" x14ac:dyDescent="0.3">
      <c r="F102" s="6"/>
      <c r="G102" s="6"/>
    </row>
    <row r="103" spans="6:7" x14ac:dyDescent="0.3">
      <c r="F103" s="6"/>
      <c r="G103" s="6"/>
    </row>
    <row r="104" spans="6:7" x14ac:dyDescent="0.3">
      <c r="F104" s="6"/>
      <c r="G104" s="6"/>
    </row>
    <row r="105" spans="6:7" x14ac:dyDescent="0.3">
      <c r="F105" s="6"/>
      <c r="G105" s="6"/>
    </row>
    <row r="106" spans="6:7" x14ac:dyDescent="0.3">
      <c r="F106" s="6"/>
      <c r="G106" s="6"/>
    </row>
    <row r="107" spans="6:7" x14ac:dyDescent="0.3">
      <c r="F107" s="6"/>
      <c r="G107" s="6"/>
    </row>
    <row r="108" spans="6:7" x14ac:dyDescent="0.3">
      <c r="F108" s="6"/>
      <c r="G108" s="6"/>
    </row>
    <row r="109" spans="6:7" x14ac:dyDescent="0.3">
      <c r="F109" s="6"/>
      <c r="G109" s="6"/>
    </row>
    <row r="110" spans="6:7" x14ac:dyDescent="0.3">
      <c r="F110" s="6"/>
      <c r="G110" s="6"/>
    </row>
    <row r="111" spans="6:7" x14ac:dyDescent="0.3">
      <c r="F111" s="6"/>
      <c r="G111" s="6"/>
    </row>
    <row r="112" spans="6:7" x14ac:dyDescent="0.3">
      <c r="F112" s="6"/>
      <c r="G112" s="6"/>
    </row>
    <row r="113" spans="6:7" x14ac:dyDescent="0.3">
      <c r="F113" s="6"/>
      <c r="G113" s="6"/>
    </row>
    <row r="114" spans="6:7" x14ac:dyDescent="0.3">
      <c r="F114" s="6"/>
      <c r="G114" s="6"/>
    </row>
    <row r="115" spans="6:7" x14ac:dyDescent="0.3">
      <c r="F115" s="6"/>
      <c r="G115" s="6"/>
    </row>
    <row r="116" spans="6:7" x14ac:dyDescent="0.3">
      <c r="F116" s="6"/>
      <c r="G116" s="6"/>
    </row>
    <row r="117" spans="6:7" x14ac:dyDescent="0.3">
      <c r="F117" s="6"/>
      <c r="G117" s="6"/>
    </row>
    <row r="118" spans="6:7" x14ac:dyDescent="0.3">
      <c r="F118" s="6"/>
      <c r="G118" s="6"/>
    </row>
    <row r="119" spans="6:7" x14ac:dyDescent="0.3">
      <c r="F119" s="6"/>
      <c r="G119" s="6"/>
    </row>
    <row r="120" spans="6:7" x14ac:dyDescent="0.3">
      <c r="F120" s="6"/>
      <c r="G120" s="6"/>
    </row>
    <row r="121" spans="6:7" x14ac:dyDescent="0.3">
      <c r="F121" s="6"/>
      <c r="G121" s="6"/>
    </row>
    <row r="122" spans="6:7" x14ac:dyDescent="0.3">
      <c r="F122" s="6"/>
      <c r="G122" s="6"/>
    </row>
    <row r="123" spans="6:7" x14ac:dyDescent="0.3">
      <c r="F123" s="6"/>
      <c r="G123" s="6"/>
    </row>
    <row r="124" spans="6:7" x14ac:dyDescent="0.3">
      <c r="F124" s="6"/>
      <c r="G124" s="6"/>
    </row>
    <row r="125" spans="6:7" x14ac:dyDescent="0.3">
      <c r="F125" s="6"/>
      <c r="G125" s="6"/>
    </row>
    <row r="126" spans="6:7" x14ac:dyDescent="0.3">
      <c r="F126" s="6"/>
      <c r="G126" s="6"/>
    </row>
    <row r="127" spans="6:7" x14ac:dyDescent="0.3">
      <c r="F127" s="6"/>
      <c r="G127" s="6"/>
    </row>
    <row r="128" spans="6:7" x14ac:dyDescent="0.3">
      <c r="F128" s="6"/>
      <c r="G128" s="6"/>
    </row>
    <row r="129" spans="6:7" x14ac:dyDescent="0.3">
      <c r="F129" s="6"/>
      <c r="G129" s="6"/>
    </row>
    <row r="130" spans="6:7" x14ac:dyDescent="0.3">
      <c r="F130" s="6"/>
      <c r="G130" s="6"/>
    </row>
    <row r="131" spans="6:7" x14ac:dyDescent="0.3">
      <c r="F131" s="6"/>
      <c r="G131" s="6"/>
    </row>
    <row r="132" spans="6:7" x14ac:dyDescent="0.3">
      <c r="F132" s="6"/>
      <c r="G132" s="6"/>
    </row>
    <row r="133" spans="6:7" x14ac:dyDescent="0.3">
      <c r="F133" s="6"/>
      <c r="G133" s="6"/>
    </row>
    <row r="134" spans="6:7" x14ac:dyDescent="0.3">
      <c r="F134" s="6"/>
      <c r="G134" s="6"/>
    </row>
    <row r="135" spans="6:7" x14ac:dyDescent="0.3">
      <c r="F135" s="6"/>
      <c r="G135" s="6"/>
    </row>
    <row r="136" spans="6:7" x14ac:dyDescent="0.3">
      <c r="F136" s="6"/>
      <c r="G136" s="6"/>
    </row>
    <row r="137" spans="6:7" x14ac:dyDescent="0.3">
      <c r="F137" s="6"/>
      <c r="G137" s="6"/>
    </row>
    <row r="138" spans="6:7" x14ac:dyDescent="0.3">
      <c r="F138" s="6"/>
      <c r="G138" s="6"/>
    </row>
    <row r="139" spans="6:7" x14ac:dyDescent="0.3">
      <c r="F139" s="6"/>
      <c r="G139" s="6"/>
    </row>
    <row r="140" spans="6:7" x14ac:dyDescent="0.3">
      <c r="F140" s="6"/>
      <c r="G140" s="6"/>
    </row>
    <row r="141" spans="6:7" x14ac:dyDescent="0.3">
      <c r="F141" s="6"/>
      <c r="G141" s="6"/>
    </row>
    <row r="142" spans="6:7" x14ac:dyDescent="0.3">
      <c r="F142" s="6"/>
      <c r="G142" s="6"/>
    </row>
    <row r="143" spans="6:7" x14ac:dyDescent="0.3">
      <c r="F143" s="6"/>
      <c r="G143" s="6"/>
    </row>
    <row r="144" spans="6:7" x14ac:dyDescent="0.3">
      <c r="F144" s="6"/>
      <c r="G144" s="6"/>
    </row>
    <row r="145" spans="6:7" x14ac:dyDescent="0.3">
      <c r="F145" s="6"/>
      <c r="G145" s="6"/>
    </row>
    <row r="146" spans="6:7" x14ac:dyDescent="0.3">
      <c r="F146" s="6"/>
      <c r="G146" s="6"/>
    </row>
    <row r="147" spans="6:7" x14ac:dyDescent="0.3">
      <c r="F147" s="6"/>
      <c r="G147" s="6"/>
    </row>
    <row r="148" spans="6:7" x14ac:dyDescent="0.3">
      <c r="F148" s="6"/>
      <c r="G148" s="6"/>
    </row>
    <row r="149" spans="6:7" x14ac:dyDescent="0.3">
      <c r="F149" s="6"/>
      <c r="G149" s="6"/>
    </row>
    <row r="150" spans="6:7" x14ac:dyDescent="0.3">
      <c r="F150" s="6"/>
      <c r="G150" s="6"/>
    </row>
    <row r="151" spans="6:7" x14ac:dyDescent="0.3">
      <c r="F151" s="6"/>
      <c r="G151" s="6"/>
    </row>
    <row r="152" spans="6:7" x14ac:dyDescent="0.3">
      <c r="F152" s="6"/>
      <c r="G152" s="6"/>
    </row>
    <row r="153" spans="6:7" x14ac:dyDescent="0.3">
      <c r="F153" s="6"/>
      <c r="G153" s="6"/>
    </row>
    <row r="154" spans="6:7" x14ac:dyDescent="0.3">
      <c r="F154" s="6"/>
      <c r="G154" s="6"/>
    </row>
    <row r="155" spans="6:7" x14ac:dyDescent="0.3">
      <c r="F155" s="6"/>
      <c r="G155" s="6"/>
    </row>
    <row r="156" spans="6:7" x14ac:dyDescent="0.3">
      <c r="F156" s="6"/>
      <c r="G156" s="6"/>
    </row>
    <row r="157" spans="6:7" x14ac:dyDescent="0.3">
      <c r="F157" s="6"/>
      <c r="G157" s="6"/>
    </row>
    <row r="158" spans="6:7" x14ac:dyDescent="0.3">
      <c r="F158" s="6"/>
      <c r="G158" s="6"/>
    </row>
    <row r="159" spans="6:7" x14ac:dyDescent="0.3">
      <c r="F159" s="6"/>
      <c r="G159" s="6"/>
    </row>
    <row r="160" spans="6:7" x14ac:dyDescent="0.3">
      <c r="F160" s="6"/>
      <c r="G160" s="6"/>
    </row>
    <row r="161" spans="6:7" x14ac:dyDescent="0.3">
      <c r="F161" s="6"/>
      <c r="G161" s="6"/>
    </row>
    <row r="162" spans="6:7" x14ac:dyDescent="0.3">
      <c r="F162" s="6"/>
      <c r="G162" s="6"/>
    </row>
    <row r="163" spans="6:7" x14ac:dyDescent="0.3">
      <c r="F163" s="6"/>
      <c r="G163" s="6"/>
    </row>
    <row r="164" spans="6:7" x14ac:dyDescent="0.3">
      <c r="F164" s="6"/>
      <c r="G164" s="6"/>
    </row>
    <row r="165" spans="6:7" x14ac:dyDescent="0.3">
      <c r="F165" s="6"/>
      <c r="G165" s="6"/>
    </row>
    <row r="166" spans="6:7" x14ac:dyDescent="0.3">
      <c r="F166" s="6"/>
      <c r="G166" s="6"/>
    </row>
    <row r="167" spans="6:7" x14ac:dyDescent="0.3">
      <c r="F167" s="6"/>
      <c r="G167" s="6"/>
    </row>
    <row r="168" spans="6:7" x14ac:dyDescent="0.3">
      <c r="F168" s="6"/>
      <c r="G168" s="6"/>
    </row>
    <row r="169" spans="6:7" x14ac:dyDescent="0.3">
      <c r="F169" s="6"/>
      <c r="G169" s="6"/>
    </row>
    <row r="170" spans="6:7" x14ac:dyDescent="0.3">
      <c r="F170" s="6"/>
      <c r="G170" s="6"/>
    </row>
    <row r="171" spans="6:7" x14ac:dyDescent="0.3">
      <c r="F171" s="6"/>
      <c r="G171" s="6"/>
    </row>
    <row r="172" spans="6:7" x14ac:dyDescent="0.3">
      <c r="F172" s="6"/>
      <c r="G172" s="6"/>
    </row>
    <row r="173" spans="6:7" x14ac:dyDescent="0.3">
      <c r="F173" s="6"/>
      <c r="G173" s="6"/>
    </row>
    <row r="174" spans="6:7" x14ac:dyDescent="0.3">
      <c r="F174" s="6"/>
      <c r="G174" s="6"/>
    </row>
    <row r="175" spans="6:7" x14ac:dyDescent="0.3">
      <c r="F175" s="6"/>
      <c r="G175" s="6"/>
    </row>
    <row r="176" spans="6:7" x14ac:dyDescent="0.3">
      <c r="F176" s="6"/>
      <c r="G176" s="6"/>
    </row>
    <row r="177" spans="6:7" x14ac:dyDescent="0.3">
      <c r="F177" s="6"/>
      <c r="G177" s="6"/>
    </row>
    <row r="178" spans="6:7" x14ac:dyDescent="0.3">
      <c r="F178" s="6"/>
      <c r="G178" s="6"/>
    </row>
    <row r="179" spans="6:7" x14ac:dyDescent="0.3">
      <c r="F179" s="6"/>
      <c r="G179" s="6"/>
    </row>
    <row r="180" spans="6:7" x14ac:dyDescent="0.3">
      <c r="F180" s="6"/>
      <c r="G180" s="6"/>
    </row>
    <row r="181" spans="6:7" x14ac:dyDescent="0.3">
      <c r="F181" s="6"/>
      <c r="G181" s="6"/>
    </row>
    <row r="182" spans="6:7" x14ac:dyDescent="0.3">
      <c r="F182" s="6"/>
      <c r="G182" s="6"/>
    </row>
    <row r="183" spans="6:7" x14ac:dyDescent="0.3">
      <c r="F183" s="6"/>
      <c r="G183" s="6"/>
    </row>
    <row r="184" spans="6:7" x14ac:dyDescent="0.3">
      <c r="F184" s="6"/>
      <c r="G184" s="6"/>
    </row>
    <row r="185" spans="6:7" x14ac:dyDescent="0.3">
      <c r="F185" s="6"/>
      <c r="G185" s="6"/>
    </row>
    <row r="186" spans="6:7" x14ac:dyDescent="0.3">
      <c r="F186" s="6"/>
      <c r="G186" s="6"/>
    </row>
    <row r="187" spans="6:7" x14ac:dyDescent="0.3">
      <c r="F187" s="6"/>
      <c r="G187" s="6"/>
    </row>
    <row r="188" spans="6:7" x14ac:dyDescent="0.3">
      <c r="F188" s="6"/>
      <c r="G188" s="6"/>
    </row>
    <row r="189" spans="6:7" x14ac:dyDescent="0.3">
      <c r="F189" s="6"/>
      <c r="G189" s="6"/>
    </row>
    <row r="190" spans="6:7" x14ac:dyDescent="0.3">
      <c r="F190" s="6"/>
      <c r="G190" s="6"/>
    </row>
    <row r="191" spans="6:7" x14ac:dyDescent="0.3">
      <c r="F191" s="6"/>
      <c r="G191" s="6"/>
    </row>
    <row r="192" spans="6:7" x14ac:dyDescent="0.3">
      <c r="F192" s="6"/>
      <c r="G192" s="6"/>
    </row>
    <row r="193" spans="6:7" x14ac:dyDescent="0.3">
      <c r="F193" s="6"/>
      <c r="G193" s="6"/>
    </row>
    <row r="194" spans="6:7" x14ac:dyDescent="0.3">
      <c r="F194" s="6"/>
      <c r="G194" s="6"/>
    </row>
    <row r="195" spans="6:7" x14ac:dyDescent="0.3">
      <c r="F195" s="6"/>
      <c r="G195" s="6"/>
    </row>
    <row r="196" spans="6:7" x14ac:dyDescent="0.3">
      <c r="F196" s="6"/>
      <c r="G196" s="6"/>
    </row>
    <row r="197" spans="6:7" x14ac:dyDescent="0.3">
      <c r="F197" s="6"/>
      <c r="G197" s="6"/>
    </row>
    <row r="198" spans="6:7" x14ac:dyDescent="0.3">
      <c r="F198" s="6"/>
      <c r="G198" s="6"/>
    </row>
    <row r="199" spans="6:7" x14ac:dyDescent="0.3">
      <c r="F199" s="6"/>
      <c r="G199" s="6"/>
    </row>
    <row r="200" spans="6:7" x14ac:dyDescent="0.3">
      <c r="F200" s="6"/>
      <c r="G200" s="6"/>
    </row>
    <row r="201" spans="6:7" x14ac:dyDescent="0.3">
      <c r="F201" s="6"/>
      <c r="G201" s="6"/>
    </row>
    <row r="202" spans="6:7" x14ac:dyDescent="0.3">
      <c r="F202" s="6"/>
      <c r="G202" s="6"/>
    </row>
    <row r="203" spans="6:7" x14ac:dyDescent="0.3">
      <c r="F203" s="6"/>
      <c r="G203" s="6"/>
    </row>
    <row r="204" spans="6:7" x14ac:dyDescent="0.3">
      <c r="F204" s="6"/>
      <c r="G204" s="6"/>
    </row>
    <row r="205" spans="6:7" x14ac:dyDescent="0.3">
      <c r="F205" s="6"/>
      <c r="G205" s="6"/>
    </row>
    <row r="206" spans="6:7" x14ac:dyDescent="0.3">
      <c r="F206" s="6"/>
      <c r="G206" s="6"/>
    </row>
    <row r="207" spans="6:7" x14ac:dyDescent="0.3">
      <c r="F207" s="6"/>
      <c r="G207" s="6"/>
    </row>
    <row r="208" spans="6:7" x14ac:dyDescent="0.3">
      <c r="F208" s="6"/>
      <c r="G208" s="6"/>
    </row>
    <row r="209" spans="6:7" x14ac:dyDescent="0.3">
      <c r="F209" s="6"/>
      <c r="G209" s="6"/>
    </row>
    <row r="210" spans="6:7" x14ac:dyDescent="0.3">
      <c r="F210" s="6"/>
      <c r="G210" s="6"/>
    </row>
    <row r="211" spans="6:7" x14ac:dyDescent="0.3">
      <c r="F211" s="6"/>
      <c r="G211" s="6"/>
    </row>
    <row r="212" spans="6:7" x14ac:dyDescent="0.3">
      <c r="F212" s="6"/>
      <c r="G212" s="6"/>
    </row>
    <row r="213" spans="6:7" x14ac:dyDescent="0.3">
      <c r="F213" s="6"/>
      <c r="G213" s="6"/>
    </row>
    <row r="214" spans="6:7" x14ac:dyDescent="0.3">
      <c r="F214" s="6"/>
      <c r="G214" s="6"/>
    </row>
    <row r="215" spans="6:7" x14ac:dyDescent="0.3">
      <c r="F215" s="6"/>
      <c r="G215" s="6"/>
    </row>
    <row r="216" spans="6:7" x14ac:dyDescent="0.3">
      <c r="F216" s="6"/>
      <c r="G216" s="6"/>
    </row>
    <row r="217" spans="6:7" x14ac:dyDescent="0.3">
      <c r="F217" s="6"/>
      <c r="G217" s="6"/>
    </row>
    <row r="218" spans="6:7" x14ac:dyDescent="0.3">
      <c r="F218" s="6"/>
      <c r="G218" s="6"/>
    </row>
    <row r="219" spans="6:7" x14ac:dyDescent="0.3">
      <c r="F219" s="6"/>
      <c r="G219" s="6"/>
    </row>
    <row r="220" spans="6:7" x14ac:dyDescent="0.3">
      <c r="F220" s="6"/>
      <c r="G220" s="6"/>
    </row>
    <row r="221" spans="6:7" x14ac:dyDescent="0.3">
      <c r="F221" s="6"/>
      <c r="G221" s="6"/>
    </row>
    <row r="222" spans="6:7" x14ac:dyDescent="0.3">
      <c r="F222" s="6"/>
      <c r="G222" s="6"/>
    </row>
    <row r="223" spans="6:7" x14ac:dyDescent="0.3">
      <c r="F223" s="6"/>
      <c r="G223" s="6"/>
    </row>
    <row r="224" spans="6:7" x14ac:dyDescent="0.3">
      <c r="F224" s="6"/>
      <c r="G224" s="6"/>
    </row>
    <row r="225" spans="6:7" x14ac:dyDescent="0.3">
      <c r="F225" s="6"/>
      <c r="G225" s="6"/>
    </row>
    <row r="226" spans="6:7" x14ac:dyDescent="0.3">
      <c r="F226" s="6"/>
      <c r="G226" s="6"/>
    </row>
    <row r="227" spans="6:7" x14ac:dyDescent="0.3">
      <c r="F227" s="6"/>
      <c r="G227" s="6"/>
    </row>
    <row r="228" spans="6:7" x14ac:dyDescent="0.3">
      <c r="F228" s="6"/>
      <c r="G228" s="6"/>
    </row>
    <row r="229" spans="6:7" x14ac:dyDescent="0.3">
      <c r="F229" s="6"/>
      <c r="G229" s="6"/>
    </row>
    <row r="230" spans="6:7" x14ac:dyDescent="0.3">
      <c r="F230" s="6"/>
      <c r="G230" s="6"/>
    </row>
    <row r="231" spans="6:7" x14ac:dyDescent="0.3">
      <c r="F231" s="6"/>
      <c r="G231" s="6"/>
    </row>
    <row r="232" spans="6:7" x14ac:dyDescent="0.3">
      <c r="F232" s="6"/>
      <c r="G232" s="6"/>
    </row>
    <row r="233" spans="6:7" x14ac:dyDescent="0.3">
      <c r="F233" s="6"/>
      <c r="G233" s="6"/>
    </row>
    <row r="234" spans="6:7" x14ac:dyDescent="0.3">
      <c r="F234" s="6"/>
      <c r="G234" s="6"/>
    </row>
    <row r="235" spans="6:7" x14ac:dyDescent="0.3">
      <c r="F235" s="6"/>
      <c r="G235" s="6"/>
    </row>
    <row r="236" spans="6:7" x14ac:dyDescent="0.3">
      <c r="F236" s="6"/>
      <c r="G236" s="6"/>
    </row>
    <row r="237" spans="6:7" x14ac:dyDescent="0.3">
      <c r="F237" s="6"/>
      <c r="G237" s="6"/>
    </row>
    <row r="238" spans="6:7" x14ac:dyDescent="0.3">
      <c r="F238" s="6"/>
      <c r="G238" s="6"/>
    </row>
    <row r="239" spans="6:7" x14ac:dyDescent="0.3">
      <c r="F239" s="6"/>
      <c r="G239" s="6"/>
    </row>
    <row r="240" spans="6:7" x14ac:dyDescent="0.3">
      <c r="F240" s="6"/>
      <c r="G240" s="6"/>
    </row>
    <row r="241" spans="6:7" x14ac:dyDescent="0.3">
      <c r="F241" s="6"/>
      <c r="G241" s="6"/>
    </row>
    <row r="242" spans="6:7" x14ac:dyDescent="0.3">
      <c r="F242" s="6"/>
      <c r="G242" s="6"/>
    </row>
    <row r="243" spans="6:7" x14ac:dyDescent="0.3">
      <c r="F243" s="6"/>
      <c r="G243" s="6"/>
    </row>
    <row r="244" spans="6:7" x14ac:dyDescent="0.3">
      <c r="F244" s="6"/>
      <c r="G244" s="6"/>
    </row>
    <row r="245" spans="6:7" x14ac:dyDescent="0.3">
      <c r="F245" s="6"/>
      <c r="G245" s="6"/>
    </row>
    <row r="246" spans="6:7" x14ac:dyDescent="0.3">
      <c r="F246" s="6"/>
      <c r="G246" s="6"/>
    </row>
    <row r="247" spans="6:7" x14ac:dyDescent="0.3">
      <c r="F247" s="6"/>
      <c r="G247" s="6"/>
    </row>
    <row r="248" spans="6:7" x14ac:dyDescent="0.3">
      <c r="F248" s="6"/>
      <c r="G248" s="6"/>
    </row>
    <row r="249" spans="6:7" x14ac:dyDescent="0.3">
      <c r="F249" s="6"/>
      <c r="G249" s="6"/>
    </row>
    <row r="250" spans="6:7" x14ac:dyDescent="0.3">
      <c r="F250" s="6"/>
      <c r="G250" s="6"/>
    </row>
    <row r="251" spans="6:7" x14ac:dyDescent="0.3">
      <c r="F251" s="6"/>
      <c r="G251" s="6"/>
    </row>
    <row r="252" spans="6:7" x14ac:dyDescent="0.3">
      <c r="F252" s="6"/>
      <c r="G252" s="6"/>
    </row>
    <row r="253" spans="6:7" x14ac:dyDescent="0.3">
      <c r="F253" s="6"/>
      <c r="G253" s="6"/>
    </row>
    <row r="254" spans="6:7" x14ac:dyDescent="0.3">
      <c r="F254" s="6"/>
      <c r="G254" s="6"/>
    </row>
    <row r="255" spans="6:7" x14ac:dyDescent="0.3">
      <c r="F255" s="6"/>
      <c r="G255" s="6"/>
    </row>
    <row r="256" spans="6:7" x14ac:dyDescent="0.3">
      <c r="F256" s="6"/>
      <c r="G256" s="6"/>
    </row>
    <row r="257" spans="6:7" x14ac:dyDescent="0.3">
      <c r="F257" s="6"/>
      <c r="G257" s="6"/>
    </row>
    <row r="258" spans="6:7" x14ac:dyDescent="0.3">
      <c r="F258" s="6"/>
      <c r="G258" s="6"/>
    </row>
    <row r="259" spans="6:7" x14ac:dyDescent="0.3">
      <c r="F259" s="6"/>
      <c r="G259" s="6"/>
    </row>
    <row r="260" spans="6:7" x14ac:dyDescent="0.3">
      <c r="F260" s="6"/>
      <c r="G260" s="6"/>
    </row>
    <row r="261" spans="6:7" x14ac:dyDescent="0.3">
      <c r="F261" s="6"/>
      <c r="G261" s="6"/>
    </row>
    <row r="262" spans="6:7" x14ac:dyDescent="0.3">
      <c r="F262" s="6"/>
      <c r="G262" s="6"/>
    </row>
    <row r="263" spans="6:7" x14ac:dyDescent="0.3">
      <c r="F263" s="6"/>
      <c r="G263" s="6"/>
    </row>
    <row r="264" spans="6:7" x14ac:dyDescent="0.3">
      <c r="F264" s="6"/>
      <c r="G264" s="6"/>
    </row>
    <row r="265" spans="6:7" x14ac:dyDescent="0.3">
      <c r="F265" s="6"/>
      <c r="G265" s="6"/>
    </row>
    <row r="266" spans="6:7" x14ac:dyDescent="0.3">
      <c r="F266" s="6"/>
      <c r="G266" s="6"/>
    </row>
    <row r="267" spans="6:7" x14ac:dyDescent="0.3">
      <c r="F267" s="6"/>
      <c r="G267" s="6"/>
    </row>
    <row r="268" spans="6:7" x14ac:dyDescent="0.3">
      <c r="F268" s="6"/>
      <c r="G268" s="6"/>
    </row>
    <row r="269" spans="6:7" x14ac:dyDescent="0.3">
      <c r="F269" s="6"/>
      <c r="G269" s="6"/>
    </row>
    <row r="270" spans="6:7" x14ac:dyDescent="0.3">
      <c r="F270" s="6"/>
      <c r="G270" s="6"/>
    </row>
    <row r="271" spans="6:7" x14ac:dyDescent="0.3">
      <c r="F271" s="6"/>
      <c r="G271" s="6"/>
    </row>
    <row r="272" spans="6:7" x14ac:dyDescent="0.3">
      <c r="F272" s="6"/>
      <c r="G272" s="6"/>
    </row>
    <row r="273" spans="6:7" x14ac:dyDescent="0.3">
      <c r="F273" s="6"/>
      <c r="G273" s="6"/>
    </row>
    <row r="274" spans="6:7" x14ac:dyDescent="0.3">
      <c r="F274" s="6"/>
      <c r="G274" s="6"/>
    </row>
    <row r="275" spans="6:7" x14ac:dyDescent="0.3">
      <c r="F275" s="6"/>
      <c r="G275" s="6"/>
    </row>
    <row r="276" spans="6:7" x14ac:dyDescent="0.3">
      <c r="F276" s="6"/>
      <c r="G276" s="6"/>
    </row>
    <row r="277" spans="6:7" x14ac:dyDescent="0.3">
      <c r="F277" s="6"/>
      <c r="G277" s="6"/>
    </row>
    <row r="278" spans="6:7" x14ac:dyDescent="0.3">
      <c r="F278" s="6"/>
      <c r="G278" s="6"/>
    </row>
    <row r="279" spans="6:7" x14ac:dyDescent="0.3">
      <c r="F279" s="6"/>
      <c r="G279" s="6"/>
    </row>
    <row r="280" spans="6:7" x14ac:dyDescent="0.3">
      <c r="F280" s="6"/>
      <c r="G280" s="6"/>
    </row>
    <row r="281" spans="6:7" x14ac:dyDescent="0.3">
      <c r="F281" s="6"/>
      <c r="G281" s="6"/>
    </row>
    <row r="282" spans="6:7" x14ac:dyDescent="0.3">
      <c r="F282" s="6"/>
      <c r="G282" s="6"/>
    </row>
    <row r="283" spans="6:7" x14ac:dyDescent="0.3">
      <c r="F283" s="6"/>
      <c r="G283" s="6"/>
    </row>
    <row r="284" spans="6:7" x14ac:dyDescent="0.3">
      <c r="F284" s="6"/>
      <c r="G284" s="6"/>
    </row>
    <row r="285" spans="6:7" x14ac:dyDescent="0.3">
      <c r="F285" s="6"/>
      <c r="G285" s="6"/>
    </row>
    <row r="286" spans="6:7" x14ac:dyDescent="0.3">
      <c r="F286" s="6"/>
      <c r="G286" s="6"/>
    </row>
    <row r="287" spans="6:7" x14ac:dyDescent="0.3">
      <c r="F287" s="6"/>
      <c r="G287" s="6"/>
    </row>
    <row r="288" spans="6:7" x14ac:dyDescent="0.3">
      <c r="F288" s="6"/>
      <c r="G288" s="6"/>
    </row>
    <row r="289" spans="6:7" x14ac:dyDescent="0.3">
      <c r="F289" s="6"/>
      <c r="G289" s="6"/>
    </row>
    <row r="290" spans="6:7" x14ac:dyDescent="0.3">
      <c r="F290" s="6"/>
      <c r="G290" s="6"/>
    </row>
    <row r="291" spans="6:7" x14ac:dyDescent="0.3">
      <c r="F291" s="6"/>
      <c r="G291" s="6"/>
    </row>
    <row r="292" spans="6:7" x14ac:dyDescent="0.3">
      <c r="F292" s="6"/>
      <c r="G292" s="6"/>
    </row>
    <row r="293" spans="6:7" x14ac:dyDescent="0.3">
      <c r="F293" s="6"/>
      <c r="G293" s="6"/>
    </row>
    <row r="294" spans="6:7" x14ac:dyDescent="0.3">
      <c r="F294" s="6"/>
      <c r="G294" s="6"/>
    </row>
    <row r="295" spans="6:7" x14ac:dyDescent="0.3">
      <c r="F295" s="6"/>
      <c r="G295" s="6"/>
    </row>
    <row r="296" spans="6:7" x14ac:dyDescent="0.3">
      <c r="F296" s="6"/>
      <c r="G296" s="6"/>
    </row>
    <row r="297" spans="6:7" x14ac:dyDescent="0.3">
      <c r="F297" s="6"/>
      <c r="G297" s="6"/>
    </row>
    <row r="298" spans="6:7" x14ac:dyDescent="0.3">
      <c r="F298" s="6"/>
      <c r="G298" s="6"/>
    </row>
    <row r="299" spans="6:7" x14ac:dyDescent="0.3">
      <c r="F299" s="6"/>
      <c r="G299" s="6"/>
    </row>
    <row r="300" spans="6:7" x14ac:dyDescent="0.3">
      <c r="F300" s="6"/>
      <c r="G300" s="6"/>
    </row>
    <row r="301" spans="6:7" x14ac:dyDescent="0.3">
      <c r="F301" s="6"/>
      <c r="G301" s="6"/>
    </row>
    <row r="302" spans="6:7" x14ac:dyDescent="0.3">
      <c r="F302" s="6"/>
      <c r="G302" s="6"/>
    </row>
    <row r="303" spans="6:7" x14ac:dyDescent="0.3">
      <c r="F303" s="6"/>
      <c r="G303" s="6"/>
    </row>
    <row r="304" spans="6:7" x14ac:dyDescent="0.3">
      <c r="F304" s="6"/>
      <c r="G304" s="6"/>
    </row>
    <row r="305" spans="6:7" x14ac:dyDescent="0.3">
      <c r="F305" s="6"/>
      <c r="G305" s="6"/>
    </row>
    <row r="306" spans="6:7" x14ac:dyDescent="0.3">
      <c r="F306" s="6"/>
      <c r="G306" s="6"/>
    </row>
    <row r="307" spans="6:7" x14ac:dyDescent="0.3">
      <c r="F307" s="6"/>
      <c r="G307" s="6"/>
    </row>
    <row r="308" spans="6:7" x14ac:dyDescent="0.3">
      <c r="F308" s="6"/>
      <c r="G308" s="6"/>
    </row>
    <row r="309" spans="6:7" x14ac:dyDescent="0.3">
      <c r="F309" s="6"/>
      <c r="G309" s="6"/>
    </row>
    <row r="310" spans="6:7" x14ac:dyDescent="0.3">
      <c r="F310" s="6"/>
      <c r="G310" s="6"/>
    </row>
    <row r="311" spans="6:7" x14ac:dyDescent="0.3">
      <c r="F311" s="6"/>
      <c r="G311" s="6"/>
    </row>
    <row r="312" spans="6:7" x14ac:dyDescent="0.3">
      <c r="F312" s="6"/>
      <c r="G312" s="6"/>
    </row>
    <row r="313" spans="6:7" x14ac:dyDescent="0.3">
      <c r="F313" s="6"/>
      <c r="G313" s="6"/>
    </row>
    <row r="314" spans="6:7" x14ac:dyDescent="0.3">
      <c r="F314" s="6"/>
      <c r="G314" s="6"/>
    </row>
    <row r="315" spans="6:7" x14ac:dyDescent="0.3">
      <c r="F315" s="6"/>
      <c r="G315" s="6"/>
    </row>
    <row r="316" spans="6:7" x14ac:dyDescent="0.3">
      <c r="F316" s="6"/>
      <c r="G316" s="6"/>
    </row>
    <row r="317" spans="6:7" x14ac:dyDescent="0.3">
      <c r="F317" s="6"/>
      <c r="G317" s="6"/>
    </row>
    <row r="318" spans="6:7" x14ac:dyDescent="0.3">
      <c r="F318" s="6"/>
      <c r="G318" s="6"/>
    </row>
    <row r="319" spans="6:7" x14ac:dyDescent="0.3">
      <c r="F319" s="6"/>
      <c r="G319" s="6"/>
    </row>
    <row r="320" spans="6:7" x14ac:dyDescent="0.3">
      <c r="F320" s="6"/>
      <c r="G320" s="6"/>
    </row>
    <row r="321" spans="6:7" x14ac:dyDescent="0.3">
      <c r="F321" s="6"/>
      <c r="G321" s="6"/>
    </row>
    <row r="322" spans="6:7" x14ac:dyDescent="0.3">
      <c r="F322" s="6"/>
      <c r="G322" s="6"/>
    </row>
    <row r="323" spans="6:7" x14ac:dyDescent="0.3">
      <c r="F323" s="6"/>
      <c r="G323" s="6"/>
    </row>
    <row r="324" spans="6:7" x14ac:dyDescent="0.3">
      <c r="F324" s="6"/>
      <c r="G324" s="6"/>
    </row>
    <row r="325" spans="6:7" x14ac:dyDescent="0.3">
      <c r="F325" s="6"/>
      <c r="G325" s="6"/>
    </row>
    <row r="326" spans="6:7" x14ac:dyDescent="0.3">
      <c r="F326" s="6"/>
      <c r="G326" s="6"/>
    </row>
    <row r="327" spans="6:7" x14ac:dyDescent="0.3">
      <c r="F327" s="6"/>
      <c r="G327" s="6"/>
    </row>
    <row r="328" spans="6:7" x14ac:dyDescent="0.3">
      <c r="F328" s="6"/>
      <c r="G328" s="6"/>
    </row>
    <row r="329" spans="6:7" x14ac:dyDescent="0.3">
      <c r="F329" s="6"/>
      <c r="G329" s="6"/>
    </row>
    <row r="330" spans="6:7" x14ac:dyDescent="0.3">
      <c r="F330" s="6"/>
      <c r="G330" s="6"/>
    </row>
    <row r="331" spans="6:7" x14ac:dyDescent="0.3">
      <c r="F331" s="6"/>
      <c r="G331" s="6"/>
    </row>
    <row r="332" spans="6:7" x14ac:dyDescent="0.3">
      <c r="F332" s="6"/>
      <c r="G332" s="6"/>
    </row>
    <row r="333" spans="6:7" x14ac:dyDescent="0.3">
      <c r="F333" s="6"/>
      <c r="G333" s="6"/>
    </row>
    <row r="334" spans="6:7" x14ac:dyDescent="0.3">
      <c r="F334" s="6"/>
      <c r="G334" s="6"/>
    </row>
    <row r="335" spans="6:7" x14ac:dyDescent="0.3">
      <c r="F335" s="6"/>
      <c r="G335" s="6"/>
    </row>
    <row r="336" spans="6:7" x14ac:dyDescent="0.3">
      <c r="F336" s="6"/>
      <c r="G336" s="6"/>
    </row>
    <row r="337" spans="6:7" x14ac:dyDescent="0.3">
      <c r="F337" s="6"/>
      <c r="G337" s="6"/>
    </row>
    <row r="338" spans="6:7" x14ac:dyDescent="0.3">
      <c r="F338" s="6"/>
      <c r="G338" s="6"/>
    </row>
    <row r="339" spans="6:7" x14ac:dyDescent="0.3">
      <c r="F339" s="6"/>
      <c r="G339" s="6"/>
    </row>
    <row r="340" spans="6:7" x14ac:dyDescent="0.3">
      <c r="F340" s="6"/>
      <c r="G340" s="6"/>
    </row>
    <row r="341" spans="6:7" x14ac:dyDescent="0.3">
      <c r="F341" s="6"/>
      <c r="G341" s="6"/>
    </row>
    <row r="342" spans="6:7" x14ac:dyDescent="0.3">
      <c r="F342" s="6"/>
      <c r="G342" s="6"/>
    </row>
    <row r="343" spans="6:7" x14ac:dyDescent="0.3">
      <c r="F343" s="6"/>
      <c r="G343" s="6"/>
    </row>
    <row r="344" spans="6:7" x14ac:dyDescent="0.3">
      <c r="F344" s="6"/>
      <c r="G344" s="6"/>
    </row>
    <row r="345" spans="6:7" x14ac:dyDescent="0.3">
      <c r="F345" s="6"/>
      <c r="G345" s="6"/>
    </row>
    <row r="346" spans="6:7" x14ac:dyDescent="0.3">
      <c r="F346" s="6"/>
      <c r="G346" s="6"/>
    </row>
    <row r="347" spans="6:7" x14ac:dyDescent="0.3">
      <c r="F347" s="6"/>
      <c r="G347" s="6"/>
    </row>
    <row r="348" spans="6:7" x14ac:dyDescent="0.3">
      <c r="F348" s="6"/>
      <c r="G348" s="6"/>
    </row>
    <row r="349" spans="6:7" x14ac:dyDescent="0.3">
      <c r="F349" s="6"/>
      <c r="G349" s="6"/>
    </row>
    <row r="350" spans="6:7" x14ac:dyDescent="0.3">
      <c r="F350" s="6"/>
      <c r="G350" s="6"/>
    </row>
    <row r="351" spans="6:7" x14ac:dyDescent="0.3">
      <c r="F351" s="6"/>
      <c r="G351" s="6"/>
    </row>
    <row r="352" spans="6:7" x14ac:dyDescent="0.3">
      <c r="F352" s="6"/>
      <c r="G352" s="6"/>
    </row>
    <row r="353" spans="6:7" x14ac:dyDescent="0.3">
      <c r="F353" s="6"/>
      <c r="G353" s="6"/>
    </row>
    <row r="354" spans="6:7" x14ac:dyDescent="0.3">
      <c r="F354" s="6"/>
      <c r="G354" s="6"/>
    </row>
    <row r="355" spans="6:7" x14ac:dyDescent="0.3">
      <c r="F355" s="6"/>
      <c r="G355" s="6"/>
    </row>
    <row r="356" spans="6:7" x14ac:dyDescent="0.3">
      <c r="F356" s="6"/>
      <c r="G356" s="6"/>
    </row>
    <row r="357" spans="6:7" x14ac:dyDescent="0.3">
      <c r="F357" s="6"/>
      <c r="G357" s="6"/>
    </row>
    <row r="358" spans="6:7" x14ac:dyDescent="0.3">
      <c r="F358" s="6"/>
      <c r="G358" s="6"/>
    </row>
    <row r="359" spans="6:7" x14ac:dyDescent="0.3">
      <c r="F359" s="6"/>
      <c r="G359" s="6"/>
    </row>
    <row r="360" spans="6:7" x14ac:dyDescent="0.3">
      <c r="F360" s="6"/>
      <c r="G360" s="6"/>
    </row>
    <row r="361" spans="6:7" x14ac:dyDescent="0.3">
      <c r="F361" s="6"/>
      <c r="G361" s="6"/>
    </row>
    <row r="362" spans="6:7" x14ac:dyDescent="0.3">
      <c r="F362" s="6"/>
      <c r="G362" s="6"/>
    </row>
    <row r="363" spans="6:7" x14ac:dyDescent="0.3">
      <c r="F363" s="6"/>
      <c r="G363" s="6"/>
    </row>
    <row r="364" spans="6:7" x14ac:dyDescent="0.3">
      <c r="F364" s="6"/>
      <c r="G364" s="6"/>
    </row>
    <row r="365" spans="6:7" x14ac:dyDescent="0.3">
      <c r="F365" s="6"/>
      <c r="G365" s="6"/>
    </row>
    <row r="366" spans="6:7" x14ac:dyDescent="0.3">
      <c r="F366" s="6"/>
      <c r="G366" s="6"/>
    </row>
    <row r="367" spans="6:7" x14ac:dyDescent="0.3">
      <c r="F367" s="6"/>
      <c r="G367" s="6"/>
    </row>
    <row r="368" spans="6:7" x14ac:dyDescent="0.3">
      <c r="F368" s="6"/>
      <c r="G368" s="6"/>
    </row>
    <row r="369" spans="6:7" x14ac:dyDescent="0.3">
      <c r="F369" s="6"/>
      <c r="G369" s="6"/>
    </row>
    <row r="370" spans="6:7" x14ac:dyDescent="0.3">
      <c r="F370" s="6"/>
      <c r="G370" s="6"/>
    </row>
    <row r="371" spans="6:7" x14ac:dyDescent="0.3">
      <c r="F371" s="6"/>
      <c r="G371" s="6"/>
    </row>
    <row r="372" spans="6:7" x14ac:dyDescent="0.3">
      <c r="F372" s="6"/>
      <c r="G372" s="6"/>
    </row>
    <row r="373" spans="6:7" x14ac:dyDescent="0.3">
      <c r="F373" s="6"/>
      <c r="G373" s="6"/>
    </row>
    <row r="374" spans="6:7" x14ac:dyDescent="0.3">
      <c r="F374" s="6"/>
      <c r="G374" s="6"/>
    </row>
    <row r="375" spans="6:7" x14ac:dyDescent="0.3">
      <c r="F375" s="6"/>
      <c r="G375" s="6"/>
    </row>
    <row r="376" spans="6:7" x14ac:dyDescent="0.3">
      <c r="F376" s="6"/>
      <c r="G376" s="6"/>
    </row>
    <row r="377" spans="6:7" x14ac:dyDescent="0.3">
      <c r="F377" s="6"/>
      <c r="G377" s="6"/>
    </row>
    <row r="378" spans="6:7" x14ac:dyDescent="0.3">
      <c r="F378" s="6"/>
      <c r="G378" s="6"/>
    </row>
    <row r="379" spans="6:7" x14ac:dyDescent="0.3">
      <c r="F379" s="6"/>
      <c r="G379" s="6"/>
    </row>
    <row r="380" spans="6:7" x14ac:dyDescent="0.3">
      <c r="F380" s="6"/>
      <c r="G380" s="6"/>
    </row>
    <row r="381" spans="6:7" x14ac:dyDescent="0.3">
      <c r="F381" s="6"/>
      <c r="G381" s="6"/>
    </row>
    <row r="382" spans="6:7" x14ac:dyDescent="0.3">
      <c r="F382" s="6"/>
      <c r="G382" s="6"/>
    </row>
    <row r="383" spans="6:7" x14ac:dyDescent="0.3">
      <c r="F383" s="6"/>
      <c r="G383" s="6"/>
    </row>
    <row r="384" spans="6:7" x14ac:dyDescent="0.3">
      <c r="F384" s="6"/>
      <c r="G384" s="6"/>
    </row>
    <row r="385" spans="6:7" x14ac:dyDescent="0.3">
      <c r="F385" s="6"/>
      <c r="G385" s="6"/>
    </row>
    <row r="386" spans="6:7" x14ac:dyDescent="0.3">
      <c r="F386" s="6"/>
      <c r="G386" s="6"/>
    </row>
    <row r="387" spans="6:7" x14ac:dyDescent="0.3">
      <c r="F387" s="6"/>
      <c r="G387" s="6"/>
    </row>
    <row r="388" spans="6:7" x14ac:dyDescent="0.3">
      <c r="F388" s="6"/>
      <c r="G388" s="6"/>
    </row>
    <row r="389" spans="6:7" x14ac:dyDescent="0.3">
      <c r="F389" s="6"/>
      <c r="G389" s="6"/>
    </row>
    <row r="390" spans="6:7" x14ac:dyDescent="0.3">
      <c r="F390" s="6"/>
      <c r="G390" s="6"/>
    </row>
    <row r="391" spans="6:7" x14ac:dyDescent="0.3">
      <c r="F391" s="6"/>
      <c r="G391" s="6"/>
    </row>
    <row r="392" spans="6:7" x14ac:dyDescent="0.3">
      <c r="F392" s="6"/>
      <c r="G392" s="6"/>
    </row>
    <row r="393" spans="6:7" x14ac:dyDescent="0.3">
      <c r="F393" s="6"/>
      <c r="G393" s="6"/>
    </row>
    <row r="394" spans="6:7" x14ac:dyDescent="0.3">
      <c r="F394" s="6"/>
      <c r="G394" s="6"/>
    </row>
    <row r="395" spans="6:7" x14ac:dyDescent="0.3">
      <c r="F395" s="6"/>
      <c r="G395" s="6"/>
    </row>
    <row r="396" spans="6:7" x14ac:dyDescent="0.3">
      <c r="F396" s="6"/>
      <c r="G396" s="6"/>
    </row>
    <row r="397" spans="6:7" x14ac:dyDescent="0.3">
      <c r="F397" s="6"/>
      <c r="G397" s="6"/>
    </row>
    <row r="398" spans="6:7" x14ac:dyDescent="0.3">
      <c r="F398" s="6"/>
      <c r="G398" s="6"/>
    </row>
    <row r="399" spans="6:7" x14ac:dyDescent="0.3">
      <c r="F399" s="6"/>
      <c r="G399" s="6"/>
    </row>
    <row r="400" spans="6:7" x14ac:dyDescent="0.3">
      <c r="F400" s="6"/>
      <c r="G400" s="6"/>
    </row>
  </sheetData>
  <mergeCells count="1">
    <mergeCell ref="L17:P22"/>
  </mergeCells>
  <dataValidations count="1">
    <dataValidation type="list" allowBlank="1" showInputMessage="1" sqref="C3" xr:uid="{2034DB1E-50AE-4354-843B-3616E479386D}">
      <formula1>Список_щитов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SX_ExportAutoCAD">
                <anchor>
                  <from>
                    <xdr:col>10</xdr:col>
                    <xdr:colOff>243840</xdr:colOff>
                    <xdr:row>0</xdr:row>
                    <xdr:rowOff>45720</xdr:rowOff>
                  </from>
                  <to>
                    <xdr:col>13</xdr:col>
                    <xdr:colOff>304800</xdr:colOff>
                    <xdr:row>1</xdr:row>
                    <xdr:rowOff>121920</xdr:rowOff>
                  </to>
                </anchor>
              </controlPr>
            </control>
          </mc:Choice>
        </mc:AlternateContent>
        <mc:AlternateContent xmlns:mc="http://schemas.openxmlformats.org/markup-compatibility/2006">
          <mc:Choice Requires="x14">
            <control shapeId="9218" r:id="rId4" name="Button 2">
              <controlPr defaultSize="0" print="0" autoFill="0" autoPict="0" macro="SX_Labels">
                <anchor>
                  <from>
                    <xdr:col>13</xdr:col>
                    <xdr:colOff>434340</xdr:colOff>
                    <xdr:row>0</xdr:row>
                    <xdr:rowOff>45720</xdr:rowOff>
                  </from>
                  <to>
                    <xdr:col>14</xdr:col>
                    <xdr:colOff>876300</xdr:colOff>
                    <xdr:row>1</xdr:row>
                    <xdr:rowOff>121920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3AC34-878C-4683-ACFD-415B4BB18C28}">
  <sheetPr codeName="Лист8">
    <tabColor rgb="FF4F81BD"/>
  </sheetPr>
  <dimension ref="A1:AN50"/>
  <sheetViews>
    <sheetView workbookViewId="0">
      <selection activeCell="A5" sqref="A5"/>
    </sheetView>
  </sheetViews>
  <sheetFormatPr defaultRowHeight="14.4" x14ac:dyDescent="0.3"/>
  <cols>
    <col min="1" max="1" width="16.77734375" customWidth="1"/>
    <col min="2" max="2" width="12.77734375" customWidth="1"/>
    <col min="3" max="3" width="40.77734375" customWidth="1"/>
    <col min="4" max="4" width="26.77734375" customWidth="1"/>
    <col min="5" max="5" width="9.77734375" customWidth="1"/>
    <col min="6" max="7" width="14.77734375" customWidth="1"/>
    <col min="8" max="8" width="9.77734375" customWidth="1"/>
    <col min="9" max="9" width="12.77734375" customWidth="1"/>
    <col min="10" max="10" width="14.77734375" customWidth="1"/>
    <col min="11" max="11" width="9.77734375" customWidth="1"/>
    <col min="12" max="13" width="11.77734375" customWidth="1"/>
    <col min="14" max="14" width="2.77734375" customWidth="1"/>
    <col min="15" max="15" width="8.77734375" customWidth="1"/>
    <col min="16" max="20" width="7.77734375" customWidth="1"/>
    <col min="21" max="21" width="2.77734375" customWidth="1"/>
    <col min="22" max="22" width="30.77734375" customWidth="1"/>
    <col min="23" max="24" width="11.77734375" customWidth="1"/>
    <col min="25" max="25" width="14.77734375" customWidth="1"/>
    <col min="26" max="26" width="2.77734375" customWidth="1"/>
    <col min="27" max="27" width="8.77734375" customWidth="1"/>
    <col min="28" max="28" width="7.77734375" customWidth="1"/>
    <col min="29" max="30" width="10.77734375" customWidth="1"/>
    <col min="31" max="31" width="14.77734375" customWidth="1"/>
    <col min="32" max="32" width="2.77734375" customWidth="1"/>
    <col min="33" max="33" width="9.77734375" customWidth="1"/>
    <col min="34" max="34" width="10.77734375" customWidth="1"/>
    <col min="35" max="35" width="2.77734375" customWidth="1"/>
    <col min="36" max="36" width="30.77734375" customWidth="1"/>
    <col min="37" max="37" width="10.77734375" customWidth="1"/>
    <col min="38" max="38" width="14.77734375" customWidth="1"/>
    <col min="39" max="40" width="10.77734375" customWidth="1"/>
  </cols>
  <sheetData>
    <row r="1" spans="1:40" ht="18" x14ac:dyDescent="0.35">
      <c r="A1" s="112" t="s">
        <v>1305</v>
      </c>
      <c r="D1" s="127" t="s">
        <v>1271</v>
      </c>
      <c r="E1" s="128" t="s">
        <v>1306</v>
      </c>
      <c r="F1" s="120" t="s">
        <v>1307</v>
      </c>
      <c r="K1" s="129" t="s">
        <v>1308</v>
      </c>
      <c r="L1" s="130">
        <v>0.2</v>
      </c>
    </row>
    <row r="2" spans="1:40" x14ac:dyDescent="0.3">
      <c r="A2" s="132" t="s">
        <v>16</v>
      </c>
      <c r="B2" s="132" t="s">
        <v>17</v>
      </c>
      <c r="C2" s="132"/>
      <c r="D2" s="132" t="s">
        <v>9</v>
      </c>
      <c r="E2" s="132"/>
      <c r="F2" s="132"/>
      <c r="G2" s="132"/>
      <c r="H2" s="132"/>
      <c r="I2" s="132" t="s">
        <v>9</v>
      </c>
      <c r="J2" s="132"/>
      <c r="K2" s="132"/>
      <c r="L2" s="132" t="s">
        <v>18</v>
      </c>
      <c r="M2" s="132" t="s">
        <v>26</v>
      </c>
      <c r="N2" s="131"/>
      <c r="O2" s="134" t="s">
        <v>1309</v>
      </c>
      <c r="P2" s="134"/>
      <c r="Q2" s="134"/>
      <c r="R2" s="134"/>
      <c r="S2" s="134"/>
      <c r="T2" s="134"/>
      <c r="V2" s="36" t="s">
        <v>1314</v>
      </c>
    </row>
    <row r="3" spans="1:40" ht="28.8" x14ac:dyDescent="0.3">
      <c r="A3" s="132"/>
      <c r="B3" s="132" t="s">
        <v>19</v>
      </c>
      <c r="C3" s="132" t="s">
        <v>20</v>
      </c>
      <c r="D3" s="132" t="s">
        <v>21</v>
      </c>
      <c r="E3" s="132"/>
      <c r="F3" s="132"/>
      <c r="G3" s="132"/>
      <c r="H3" s="132"/>
      <c r="I3" s="132" t="s">
        <v>22</v>
      </c>
      <c r="J3" s="132"/>
      <c r="K3" s="132"/>
      <c r="L3" s="132"/>
      <c r="M3" s="132"/>
      <c r="N3" s="131"/>
      <c r="O3" s="135" t="s">
        <v>1311</v>
      </c>
      <c r="P3" s="135" t="s">
        <v>200</v>
      </c>
      <c r="Q3" s="135"/>
      <c r="R3" s="135" t="s">
        <v>199</v>
      </c>
      <c r="S3" s="135"/>
      <c r="T3" s="135" t="s">
        <v>192</v>
      </c>
      <c r="AA3" s="36" t="s">
        <v>1321</v>
      </c>
      <c r="AJ3" s="36" t="s">
        <v>1322</v>
      </c>
    </row>
    <row r="4" spans="1:40" ht="45" customHeight="1" x14ac:dyDescent="0.3">
      <c r="A4" s="132"/>
      <c r="B4" s="132"/>
      <c r="C4" s="132"/>
      <c r="D4" s="133" t="s">
        <v>1310</v>
      </c>
      <c r="E4" s="133" t="s">
        <v>192</v>
      </c>
      <c r="F4" s="133" t="s">
        <v>187</v>
      </c>
      <c r="G4" s="133" t="s">
        <v>189</v>
      </c>
      <c r="H4" s="133" t="s">
        <v>23</v>
      </c>
      <c r="I4" s="133" t="s">
        <v>24</v>
      </c>
      <c r="J4" s="133" t="s">
        <v>1310</v>
      </c>
      <c r="K4" s="133" t="s">
        <v>25</v>
      </c>
      <c r="L4" s="132"/>
      <c r="M4" s="132"/>
      <c r="N4" s="131"/>
      <c r="O4" s="136" t="s">
        <v>1312</v>
      </c>
      <c r="P4" s="135" t="s">
        <v>1313</v>
      </c>
      <c r="Q4" s="135" t="s">
        <v>748</v>
      </c>
      <c r="R4" s="135" t="s">
        <v>1313</v>
      </c>
      <c r="S4" s="135" t="s">
        <v>748</v>
      </c>
      <c r="T4" s="135" t="s">
        <v>748</v>
      </c>
      <c r="V4" s="123" t="s">
        <v>1315</v>
      </c>
      <c r="W4" s="123" t="s">
        <v>23</v>
      </c>
      <c r="X4" s="123" t="s">
        <v>1316</v>
      </c>
      <c r="Y4" s="123" t="s">
        <v>1317</v>
      </c>
      <c r="AA4" s="123" t="s">
        <v>1318</v>
      </c>
      <c r="AB4" s="123" t="s">
        <v>1313</v>
      </c>
      <c r="AC4" s="123" t="s">
        <v>25</v>
      </c>
      <c r="AD4" s="123" t="s">
        <v>1316</v>
      </c>
      <c r="AE4" s="123" t="s">
        <v>1319</v>
      </c>
      <c r="AG4" s="123" t="s">
        <v>1320</v>
      </c>
      <c r="AH4" s="123" t="s">
        <v>1316</v>
      </c>
      <c r="AJ4" s="123" t="s">
        <v>9</v>
      </c>
      <c r="AK4" s="123" t="s">
        <v>1311</v>
      </c>
      <c r="AL4" s="123" t="s">
        <v>144</v>
      </c>
      <c r="AM4" s="123" t="s">
        <v>25</v>
      </c>
      <c r="AN4" s="123" t="s">
        <v>1316</v>
      </c>
    </row>
    <row r="5" spans="1:40" x14ac:dyDescent="0.3">
      <c r="A5" t="str" cm="1">
        <f t="array" ref="A5:T50">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фидера]),"")&lt;&gt;""))*IF(_xlpm.all,1,Линии[Щит]=_xlpm.sel),_xlpm.n,SUM(_xlpm.m),IF(_xlpm.n=0,"нет линий с кабелем",_xlfn.LET(_xlpm.cs,_xlfn._xlws.FILTER(Линии[_кабель с сечением],_xlpm.m),_xlpm.tr,_xlfn._xlws.FILTER(IFERROR(--Линии[Лоток],0),_xlpm.m),_xlpm.pv,_xlfn._xlws.FILTER(IFERROR(--Линии[_гофра ПВХ],0),_xlpm.m),_xlpm.pn,_xlfn._xlws.FILTER(IFERROR(--Линии[_гофра ПНД],0),_xlpm.m),_xlpm.fl,_xlfn._xlws.FILTER(Линии[Потолок - 1/Пол - 2]&amp;"",_xlpm.m),_xlpm.dpv,IFERROR(VLOOKUP(_xlpm.cs,Кабель_диаметр,4,FALSE),"Ø?"),_xlpm.dpn,IFERROR(VLOOKUP(_xlpm.cs,Кабель_диаметр,5,FALSE),"Ø?"),_xlfn.HSTACK(_xlfn._xlws.FILTER(Линии[Номер линии],_xlpm.m),_xlfn._xlws.FILTER(Линии[Щит],_xlpm.m),_xlfn._xlws.FILTER(Линии[Наименование (итог)],_xlpm.m),_xlpm.cs,IF(_xlpm.tr=0,"","L="&amp;_xlpm.tr),IF(_xlpm.pv=0,"",_xlpm.dpv&amp;" L="&amp;_xlpm.pv),IF(_xlpm.pn=0,"",_xlpm.dpn&amp;" L="&amp;_xlpm.pn),_xlfn._xlws.FILTER(Линии[Длина, м],_xlpm.m),_xlfn.EXPAND({""},_xlpm.n,6,""),_xlpm.fl,IF(_xlpm.pv=0,"",_xlpm.dpv),IF(_xlpm.pv=0,"",_xlpm.pv),IF(_xlpm.pn=0,"",_xlpm.dpn),IF(_xlpm.pn=0,"",_xlpm.pn),IF(_xlpm.tr=0,"",_xlpm.tr)))))</f>
        <v>Ввод.1</v>
      </c>
      <c r="B5" t="str">
        <v>ВРУ</v>
      </c>
      <c r="C5" t="str">
        <v>Ввод 1 от ТП</v>
      </c>
      <c r="D5" t="str">
        <v>ВВГнг(А)-LS (5х95)</v>
      </c>
      <c r="E5" t="str">
        <v/>
      </c>
      <c r="F5" t="str">
        <v/>
      </c>
      <c r="G5" t="str">
        <v/>
      </c>
      <c r="H5" t="str">
        <v/>
      </c>
      <c r="I5" t="str">
        <v/>
      </c>
      <c r="J5" t="str">
        <v/>
      </c>
      <c r="K5" t="str">
        <v/>
      </c>
      <c r="L5" t="str">
        <v/>
      </c>
      <c r="M5" t="str">
        <v/>
      </c>
      <c r="N5" t="str">
        <v/>
      </c>
      <c r="O5" t="str">
        <v/>
      </c>
      <c r="P5" t="str">
        <v/>
      </c>
      <c r="Q5" t="str">
        <v/>
      </c>
      <c r="R5" t="str">
        <v/>
      </c>
      <c r="S5" t="str">
        <v/>
      </c>
      <c r="T5" t="str">
        <v/>
      </c>
      <c r="V5" t="str" cm="1">
        <f t="array" ref="V5:Y20">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фидера]),"")&lt;&gt;""))*IF(_xlpm.all,1,Линии[Щит]=_xlpm.sel),_xlpm.k,Линии[_кабель с сечением],_xlpm.ln,IFERROR(--Линии[Длина, м],0),_xlpm.uu,_xlfn.UNIQUE(_xlfn._xlws.FILTER(_xlpm.k,_xlpm.m,"")),IF(INDEX(_xlpm.uu,1)="","—",_xlfn.LET(_xlpm.lsum,_xlfn.MAP(_xlpm.uu,_xlfn.LAMBDA(_xlpm.x,SUM(_xlpm.m*(_xlpm.k=_xlpm.x)*_xlpm.ln))),_xlpm.u,_xlfn._xlws.FILTER(_xlpm.uu,_xlpm.lsum&gt;0,""),IF(INDEX(_xlpm.u,1)="","— (длины не заданы)",_xlfn.LET(_xlpm.l,_xlfn._xlws.FILTER(_xlpm.lsum,_xlpm.lsum&gt;0),_xlpm.br,IFERROR(_xlfn.TEXTBEFORE(_xlpm.u," ("),_xlpm.u),_xlpm.co,IFERROR(--_xlfn.TEXTBEFORE(_xlfn.TEXTAFTER(_xlpm.u,"(",-1),"х"),0),_xlpm.se,IFERROR(--_xlfn.TEXTBEFORE(_xlfn.TEXTAFTER(_xlpm.u,"х",-1),")"),0),_xlfn.SORTBY(_xlfn.HSTACK(_xlpm.u,_xlpm.l,ROUNDUP(_xlpm.l*(1+Запас_кабеля),0),_xlfn.CEILING.MATH(_xlpm.l*(1+Запас_кабеля),10)),_xlpm.br,1,_xlpm.co,-1,_xlpm.se,-1))))))</f>
        <v>ВВГнг(А)-FRLS (5х1,5)</v>
      </c>
      <c r="W5">
        <v>36</v>
      </c>
      <c r="X5">
        <v>44</v>
      </c>
      <c r="Y5">
        <v>50</v>
      </c>
      <c r="AA5" t="str" cm="1">
        <f t="array" ref="AA5:AE6">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IF(INDEX(_xlpm.u,1)="","—",_xlfn.LET(_xlpm.t,_xlfn.TEXTBEFORE(_xlpm.u,"|"),_xlpm.d,_xlfn.TEXTAFTER(_xlpm.u,"|"),_xlpm.dn,IFERROR(--SUBSTITUTE(_xlpm.d,"Ø",""),999),_xlpm.s,_xlfn.MAP(_xlpm.u,_xlfn.LAMBDA(_xlpm.x,SUM((_xlpm.tp=_xlpm.x)*_xlpm.ln))),_xlpm.bh,IFERROR(_xlfn.XLOOKUP(_xlpm.t&amp;"|"&amp;_xlpm.dn,Гофра_изделия[Тип]&amp;"|"&amp;Гофра_изделия[Ø],Гофра_изделия[Бухта, м]),10),_xlfn.SORTBY(_xlfn.HSTACK(_xlpm.t,_xlpm.d,_xlpm.s,ROUNDUP(_xlpm.s*(1+Запас_кабеля),0),_xlfn.CEILING.MATH(_xlpm.s*(1+Запас_кабеля),_xlpm.bh)),_xlpm.t,1,_xlpm.dn,1))))</f>
        <v>ПВХ</v>
      </c>
      <c r="AB5" t="str">
        <v>Ø20</v>
      </c>
      <c r="AC5">
        <v>42</v>
      </c>
      <c r="AD5">
        <v>51</v>
      </c>
      <c r="AE5">
        <v>100</v>
      </c>
      <c r="AG5" cm="1">
        <f t="array" ref="AG5:AH5">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фидера]),"")&lt;&gt;""))*IF(_xlpm.all,1,Линии[Щит]=_xlpm.sel),_xlpm.l,SUM(_xlpm.m*IFERROR(--Линии[Лоток],0)),_xlfn.HSTACK(_xlpm.l,ROUNDUP(_xlpm.l*(1+Запас_кабеля),0)))</f>
        <v>0</v>
      </c>
      <c r="AH5">
        <v>0</v>
      </c>
      <c r="AJ5" t="str" cm="1">
        <f t="array" ref="AJ5:AN6">_xlfn.LET(_xlpm.sel,TRIM($E$1&amp;""),_xlpm.all,OR(_xlpm.sel="",_xlpm.sel="все"),_xlpm.m,(Линии[Номер линии]&lt;&gt;"")*(Линии[_кабель]&lt;&gt;"")*(1-(Линии[_ввод щита]=1)*(IFERROR(_xlfn.XLOOKUP(Линии[Щит],Щиты[Щит],Щиты[_строка фидера]),"")&lt;&gt;""))*IF(_xlpm.all,1,Линии[Щит]=_xlpm.sel),_xlpm.cs,Линии[_кабель с сечением],_xlpm.fl,Линии[Потолок - 1/Пол - 2]&amp;"",_xlpm.ln,IFERROR(--Линии[Длина, м],0),_xlpm.key,_xlpm.cs&amp;" "&amp;_xlpm.fl,_xlpm.u,_xlfn.UNIQUE(_xlfn._xlws.FILTER(_xlpm.key,_xlpm.m*(_xlpm.fl&lt;&gt;""),"")),IF(INDEX(_xlpm.u,1)="","— (нет линий с «Потолок / пол»)",_xlfn.LET(_xlpm.c,_xlfn.TEXTBEFORE(_xlpm.u," ",-1),_xlpm.f,_xlfn.TEXTAFTER(_xlpm.u," ",-1),_xlpm.l,_xlfn.MAP(_xlpm.u,_xlfn.LAMBDA(_xlpm.x,SUM(_xlpm.m*(_xlpm.key=_xlpm.x)*_xlpm.ln))),_xlpm.a,IFERROR(_xlfn.XLOOKUP(_xlpm.u,INDEX(Справочная_ПТО,0,1),INDEX(Справочная_ПТО,0,2)),"нет в справочнике"),_xlfn.HSTACK(_xlpm.c,IF(_xlpm.f="1","потолок",IF(_xlpm.f="2","пол",_xlpm.f)),_xlpm.a,_xlpm.l,ROUNDUP(_xlpm.l*(1+Запас_кабеля),0)))))</f>
        <v>ВВГнг(А)-LS (3х2,5)</v>
      </c>
      <c r="AK5" t="str">
        <v>пол</v>
      </c>
      <c r="AL5" t="str">
        <v>МСК008</v>
      </c>
      <c r="AM5">
        <v>127</v>
      </c>
      <c r="AN5">
        <v>153</v>
      </c>
    </row>
    <row r="6" spans="1:40" x14ac:dyDescent="0.3">
      <c r="A6" t="str">
        <v>Ввод.2</v>
      </c>
      <c r="B6" t="str">
        <v>ВРУ</v>
      </c>
      <c r="C6" t="str">
        <v>Ввод 2 от ТП</v>
      </c>
      <c r="D6" t="str">
        <v>ВВГнг(А)-LS (5х95)</v>
      </c>
      <c r="E6" t="str">
        <v/>
      </c>
      <c r="F6" t="str">
        <v/>
      </c>
      <c r="G6" t="str">
        <v/>
      </c>
      <c r="H6" t="str">
        <v/>
      </c>
      <c r="I6" t="str">
        <v/>
      </c>
      <c r="J6" t="str">
        <v/>
      </c>
      <c r="K6" t="str">
        <v/>
      </c>
      <c r="L6" t="str">
        <v/>
      </c>
      <c r="M6" t="str">
        <v/>
      </c>
      <c r="N6" t="str">
        <v/>
      </c>
      <c r="O6" t="str">
        <v/>
      </c>
      <c r="P6" t="str">
        <v/>
      </c>
      <c r="Q6" t="str">
        <v/>
      </c>
      <c r="R6" t="str">
        <v/>
      </c>
      <c r="S6" t="str">
        <v/>
      </c>
      <c r="T6" t="str">
        <v/>
      </c>
      <c r="V6" t="str">
        <v>ВВГнг(А)-FRLS (3х1,5)</v>
      </c>
      <c r="W6">
        <v>35</v>
      </c>
      <c r="X6">
        <v>42</v>
      </c>
      <c r="Y6">
        <v>50</v>
      </c>
      <c r="AA6" t="str">
        <v>ПНД</v>
      </c>
      <c r="AB6" t="str">
        <v>Ø20</v>
      </c>
      <c r="AC6">
        <v>107</v>
      </c>
      <c r="AD6">
        <v>129</v>
      </c>
      <c r="AE6">
        <v>200</v>
      </c>
      <c r="AJ6" t="str">
        <v>ВВГнг(А)-LS (3х1,5)</v>
      </c>
      <c r="AK6" t="str">
        <v>потолок</v>
      </c>
      <c r="AL6" t="str">
        <v>МСК005</v>
      </c>
      <c r="AM6">
        <v>62</v>
      </c>
      <c r="AN6">
        <v>75</v>
      </c>
    </row>
    <row r="7" spans="1:40" x14ac:dyDescent="0.3">
      <c r="A7" t="str">
        <v>АСУ.0.001.1</v>
      </c>
      <c r="B7" t="str">
        <v>ВРУ</v>
      </c>
      <c r="C7" t="str">
        <v>Питание автоматики АВР</v>
      </c>
      <c r="D7" t="str">
        <v>ВВГнг(А)-LS (3х1,5)</v>
      </c>
      <c r="E7" t="str">
        <v/>
      </c>
      <c r="F7" t="str">
        <v/>
      </c>
      <c r="G7" t="str">
        <v/>
      </c>
      <c r="H7">
        <v>3</v>
      </c>
      <c r="I7" t="str">
        <v/>
      </c>
      <c r="J7" t="str">
        <v/>
      </c>
      <c r="K7" t="str">
        <v/>
      </c>
      <c r="L7" t="str">
        <v/>
      </c>
      <c r="M7" t="str">
        <v/>
      </c>
      <c r="N7" t="str">
        <v/>
      </c>
      <c r="O7" t="str">
        <v/>
      </c>
      <c r="P7" t="str">
        <v/>
      </c>
      <c r="Q7" t="str">
        <v/>
      </c>
      <c r="R7" t="str">
        <v/>
      </c>
      <c r="S7" t="str">
        <v/>
      </c>
      <c r="T7" t="str">
        <v/>
      </c>
      <c r="V7" t="str">
        <v>ВВГнг(А)-LS (5х10)</v>
      </c>
      <c r="W7">
        <v>25</v>
      </c>
      <c r="X7">
        <v>30</v>
      </c>
      <c r="Y7">
        <v>30</v>
      </c>
    </row>
    <row r="8" spans="1:40" x14ac:dyDescent="0.3">
      <c r="A8" t="str">
        <v>R.0.004.1</v>
      </c>
      <c r="B8" t="str">
        <v>ВРУ</v>
      </c>
      <c r="C8" t="str">
        <v>Розетки техпомещения</v>
      </c>
      <c r="D8" t="str">
        <v>ВВГнг(А)-LS (3х2,5)</v>
      </c>
      <c r="E8" t="str">
        <v/>
      </c>
      <c r="F8" t="str">
        <v/>
      </c>
      <c r="G8" t="str">
        <v/>
      </c>
      <c r="H8">
        <v>18</v>
      </c>
      <c r="I8" t="str">
        <v/>
      </c>
      <c r="J8" t="str">
        <v/>
      </c>
      <c r="K8" t="str">
        <v/>
      </c>
      <c r="L8" t="str">
        <v/>
      </c>
      <c r="M8" t="str">
        <v/>
      </c>
      <c r="N8" t="str">
        <v/>
      </c>
      <c r="O8" t="str">
        <v/>
      </c>
      <c r="P8" t="str">
        <v/>
      </c>
      <c r="Q8" t="str">
        <v/>
      </c>
      <c r="R8" t="str">
        <v/>
      </c>
      <c r="S8" t="str">
        <v/>
      </c>
      <c r="T8" t="str">
        <v/>
      </c>
      <c r="V8" t="str">
        <v>ВВГнг(А)-LS (5х4)</v>
      </c>
      <c r="W8">
        <v>40</v>
      </c>
      <c r="X8">
        <v>48</v>
      </c>
      <c r="Y8">
        <v>50</v>
      </c>
    </row>
    <row r="9" spans="1:40" x14ac:dyDescent="0.3">
      <c r="A9" t="str">
        <v>ЩР-1</v>
      </c>
      <c r="B9" t="str">
        <v>ВРУ</v>
      </c>
      <c r="C9" t="str">
        <v>Щит ЩР-1</v>
      </c>
      <c r="D9" t="str">
        <v>ВВГнг(А)-LS (5х10)</v>
      </c>
      <c r="E9" t="str">
        <v/>
      </c>
      <c r="F9" t="str">
        <v/>
      </c>
      <c r="G9" t="str">
        <v/>
      </c>
      <c r="H9">
        <v>25</v>
      </c>
      <c r="I9" t="str">
        <v/>
      </c>
      <c r="J9" t="str">
        <v/>
      </c>
      <c r="K9" t="str">
        <v/>
      </c>
      <c r="L9" t="str">
        <v/>
      </c>
      <c r="M9" t="str">
        <v/>
      </c>
      <c r="N9" t="str">
        <v/>
      </c>
      <c r="O9" t="str">
        <v/>
      </c>
      <c r="P9" t="str">
        <v/>
      </c>
      <c r="Q9" t="str">
        <v/>
      </c>
      <c r="R9" t="str">
        <v/>
      </c>
      <c r="S9" t="str">
        <v/>
      </c>
      <c r="T9" t="str">
        <v/>
      </c>
      <c r="V9" t="str">
        <v>ВВГнг(А)-LS (5х2,5)</v>
      </c>
      <c r="W9">
        <v>31</v>
      </c>
      <c r="X9">
        <v>38</v>
      </c>
      <c r="Y9">
        <v>40</v>
      </c>
    </row>
    <row r="10" spans="1:40" x14ac:dyDescent="0.3">
      <c r="A10" t="str">
        <v>ЩС</v>
      </c>
      <c r="B10" t="str">
        <v>ВРУ</v>
      </c>
      <c r="C10" t="str">
        <v>Щит ЩС</v>
      </c>
      <c r="D10" t="str">
        <v>ВВГнг(А)-LS (5х4)</v>
      </c>
      <c r="E10" t="str">
        <v/>
      </c>
      <c r="F10" t="str">
        <v/>
      </c>
      <c r="G10" t="str">
        <v/>
      </c>
      <c r="H10">
        <v>40</v>
      </c>
      <c r="I10" t="str">
        <v/>
      </c>
      <c r="J10" t="str">
        <v/>
      </c>
      <c r="K10" t="str">
        <v/>
      </c>
      <c r="L10" t="str">
        <v/>
      </c>
      <c r="M10" t="str">
        <v/>
      </c>
      <c r="N10" t="str">
        <v/>
      </c>
      <c r="O10" t="str">
        <v/>
      </c>
      <c r="P10" t="str">
        <v/>
      </c>
      <c r="Q10" t="str">
        <v/>
      </c>
      <c r="R10" t="str">
        <v/>
      </c>
      <c r="S10" t="str">
        <v/>
      </c>
      <c r="T10" t="str">
        <v/>
      </c>
      <c r="V10" t="str">
        <v>ВВГнг(А)-LS (5х1,5)</v>
      </c>
      <c r="W10">
        <v>62</v>
      </c>
      <c r="X10">
        <v>75</v>
      </c>
      <c r="Y10">
        <v>80</v>
      </c>
    </row>
    <row r="11" spans="1:40" x14ac:dyDescent="0.3">
      <c r="A11" t="str">
        <v>ЩГП</v>
      </c>
      <c r="B11" t="str">
        <v>ВРУ</v>
      </c>
      <c r="C11" t="str">
        <v>Щит ЩГП</v>
      </c>
      <c r="D11" t="str">
        <v>ВВГнг(А)-LS (5х1,5)</v>
      </c>
      <c r="E11" t="str">
        <v/>
      </c>
      <c r="F11" t="str">
        <v/>
      </c>
      <c r="G11" t="str">
        <v/>
      </c>
      <c r="H11">
        <v>15</v>
      </c>
      <c r="I11" t="str">
        <v/>
      </c>
      <c r="J11" t="str">
        <v/>
      </c>
      <c r="K11" t="str">
        <v/>
      </c>
      <c r="L11" t="str">
        <v/>
      </c>
      <c r="M11" t="str">
        <v/>
      </c>
      <c r="N11" t="str">
        <v/>
      </c>
      <c r="O11" t="str">
        <v/>
      </c>
      <c r="P11" t="str">
        <v/>
      </c>
      <c r="Q11" t="str">
        <v/>
      </c>
      <c r="R11" t="str">
        <v/>
      </c>
      <c r="S11" t="str">
        <v/>
      </c>
      <c r="T11" t="str">
        <v/>
      </c>
      <c r="V11" t="str">
        <v>ВВГнг(А)-LS (3х10)</v>
      </c>
      <c r="W11">
        <v>142</v>
      </c>
      <c r="X11">
        <v>171</v>
      </c>
      <c r="Y11">
        <v>180</v>
      </c>
    </row>
    <row r="12" spans="1:40" x14ac:dyDescent="0.3">
      <c r="A12" t="str">
        <v>ЩСПЗ.1</v>
      </c>
      <c r="B12" t="str">
        <v>ВРУ</v>
      </c>
      <c r="C12" t="str">
        <v>Щит СПЗ, ввод 1</v>
      </c>
      <c r="D12" t="str">
        <v>ВВГнг(А)-FRLS (3х1,5)</v>
      </c>
      <c r="E12" t="str">
        <v/>
      </c>
      <c r="F12" t="str">
        <v/>
      </c>
      <c r="G12" t="str">
        <v/>
      </c>
      <c r="H12">
        <v>12</v>
      </c>
      <c r="I12" t="str">
        <v/>
      </c>
      <c r="J12" t="str">
        <v/>
      </c>
      <c r="K12" t="str">
        <v/>
      </c>
      <c r="L12" t="str">
        <v/>
      </c>
      <c r="M12" t="str">
        <v/>
      </c>
      <c r="N12" t="str">
        <v/>
      </c>
      <c r="O12" t="str">
        <v/>
      </c>
      <c r="P12" t="str">
        <v/>
      </c>
      <c r="Q12" t="str">
        <v/>
      </c>
      <c r="R12" t="str">
        <v/>
      </c>
      <c r="S12" t="str">
        <v/>
      </c>
      <c r="T12" t="str">
        <v/>
      </c>
      <c r="V12" t="str">
        <v>ВВГнг(А)-LS (3х6)</v>
      </c>
      <c r="W12">
        <v>11</v>
      </c>
      <c r="X12">
        <v>14</v>
      </c>
      <c r="Y12">
        <v>20</v>
      </c>
    </row>
    <row r="13" spans="1:40" x14ac:dyDescent="0.3">
      <c r="A13" t="str">
        <v>ЩСПЗ.2</v>
      </c>
      <c r="B13" t="str">
        <v>ВРУ</v>
      </c>
      <c r="C13" t="str">
        <v>Щит СПЗ, ввод 2 (резерв)</v>
      </c>
      <c r="D13" t="str">
        <v>ВВГнг(А)-FRLS (3х1,5)</v>
      </c>
      <c r="E13" t="str">
        <v/>
      </c>
      <c r="F13" t="str">
        <v/>
      </c>
      <c r="G13" t="str">
        <v/>
      </c>
      <c r="H13">
        <v>12</v>
      </c>
      <c r="I13" t="str">
        <v/>
      </c>
      <c r="J13" t="str">
        <v/>
      </c>
      <c r="K13" t="str">
        <v/>
      </c>
      <c r="L13" t="str">
        <v/>
      </c>
      <c r="M13" t="str">
        <v/>
      </c>
      <c r="N13" t="str">
        <v/>
      </c>
      <c r="O13" t="str">
        <v/>
      </c>
      <c r="P13" t="str">
        <v/>
      </c>
      <c r="Q13" t="str">
        <v/>
      </c>
      <c r="R13" t="str">
        <v/>
      </c>
      <c r="S13" t="str">
        <v/>
      </c>
      <c r="T13" t="str">
        <v/>
      </c>
      <c r="V13" t="str">
        <v>ВВГнг(А)-LS (3х4)</v>
      </c>
      <c r="W13">
        <v>7</v>
      </c>
      <c r="X13">
        <v>9</v>
      </c>
      <c r="Y13">
        <v>10</v>
      </c>
    </row>
    <row r="14" spans="1:40" x14ac:dyDescent="0.3">
      <c r="A14" t="str">
        <v>КМН.0.001.1</v>
      </c>
      <c r="B14" t="str">
        <v>ВРУ</v>
      </c>
      <c r="C14" t="str">
        <v>Электрокамин, пом. 001</v>
      </c>
      <c r="D14" t="str">
        <v>ВВГнг(А)-LS (3х1,5)</v>
      </c>
      <c r="E14" t="str">
        <v/>
      </c>
      <c r="F14" t="str">
        <v/>
      </c>
      <c r="G14" t="str">
        <v/>
      </c>
      <c r="H14">
        <v>19</v>
      </c>
      <c r="I14" t="str">
        <v/>
      </c>
      <c r="J14" t="str">
        <v/>
      </c>
      <c r="K14" t="str">
        <v/>
      </c>
      <c r="L14" t="str">
        <v/>
      </c>
      <c r="M14" t="str">
        <v/>
      </c>
      <c r="N14" t="str">
        <v/>
      </c>
      <c r="O14" t="str">
        <v/>
      </c>
      <c r="P14" t="str">
        <v/>
      </c>
      <c r="Q14" t="str">
        <v/>
      </c>
      <c r="R14" t="str">
        <v/>
      </c>
      <c r="S14" t="str">
        <v/>
      </c>
      <c r="T14" t="str">
        <v/>
      </c>
      <c r="V14" t="str">
        <v>ВВГнг(А)-LS (3х2,5)</v>
      </c>
      <c r="W14">
        <v>156</v>
      </c>
      <c r="X14">
        <v>188</v>
      </c>
      <c r="Y14">
        <v>190</v>
      </c>
    </row>
    <row r="15" spans="1:40" x14ac:dyDescent="0.3">
      <c r="A15" t="str">
        <v>ПН.0.002.1</v>
      </c>
      <c r="B15" t="str">
        <v>ВРУ</v>
      </c>
      <c r="C15" t="str">
        <v>Проточный водонагреватель, пом. 002</v>
      </c>
      <c r="D15" t="str">
        <v>ВВГнг(А)-LS (3х6)</v>
      </c>
      <c r="E15" t="str">
        <v/>
      </c>
      <c r="F15" t="str">
        <v/>
      </c>
      <c r="G15" t="str">
        <v/>
      </c>
      <c r="H15">
        <v>11</v>
      </c>
      <c r="I15" t="str">
        <v/>
      </c>
      <c r="J15" t="str">
        <v/>
      </c>
      <c r="K15" t="str">
        <v/>
      </c>
      <c r="L15" t="str">
        <v/>
      </c>
      <c r="M15" t="str">
        <v/>
      </c>
      <c r="N15" t="str">
        <v/>
      </c>
      <c r="O15" t="str">
        <v/>
      </c>
      <c r="P15" t="str">
        <v/>
      </c>
      <c r="Q15" t="str">
        <v/>
      </c>
      <c r="R15" t="str">
        <v/>
      </c>
      <c r="S15" t="str">
        <v/>
      </c>
      <c r="T15" t="str">
        <v/>
      </c>
      <c r="V15" t="str">
        <v>ВВГнг(А)-LS (3х1,5)</v>
      </c>
      <c r="W15">
        <v>232</v>
      </c>
      <c r="X15">
        <v>279</v>
      </c>
      <c r="Y15">
        <v>280</v>
      </c>
    </row>
    <row r="16" spans="1:40" x14ac:dyDescent="0.3">
      <c r="A16" t="str">
        <v>LD.0.003.1</v>
      </c>
      <c r="B16" t="str">
        <v>ВРУ</v>
      </c>
      <c r="C16" t="str">
        <v>Питание подсветок, пом. 003</v>
      </c>
      <c r="D16" t="str">
        <v>ВВГнг(А)-LS (3х1,5)</v>
      </c>
      <c r="E16" t="str">
        <v/>
      </c>
      <c r="F16" t="str">
        <v/>
      </c>
      <c r="G16" t="str">
        <v/>
      </c>
      <c r="H16">
        <v>8</v>
      </c>
      <c r="I16" t="str">
        <v/>
      </c>
      <c r="J16" t="str">
        <v/>
      </c>
      <c r="K16" t="str">
        <v/>
      </c>
      <c r="L16" t="str">
        <v/>
      </c>
      <c r="M16" t="str">
        <v/>
      </c>
      <c r="N16" t="str">
        <v/>
      </c>
      <c r="O16" t="str">
        <v/>
      </c>
      <c r="P16" t="str">
        <v/>
      </c>
      <c r="Q16" t="str">
        <v/>
      </c>
      <c r="R16" t="str">
        <v/>
      </c>
      <c r="S16" t="str">
        <v/>
      </c>
      <c r="T16" t="str">
        <v/>
      </c>
      <c r="V16" t="str">
        <v>ВВГнг(А)-LS (2х16)</v>
      </c>
      <c r="W16">
        <v>43</v>
      </c>
      <c r="X16">
        <v>52</v>
      </c>
      <c r="Y16">
        <v>60</v>
      </c>
    </row>
    <row r="17" spans="1:25" x14ac:dyDescent="0.3">
      <c r="A17" t="str">
        <v>ЩБП</v>
      </c>
      <c r="B17" t="str">
        <v>ВРУ</v>
      </c>
      <c r="C17" t="str">
        <v>Щит блоков питания LED</v>
      </c>
      <c r="D17" t="str">
        <v>ВВГнг(А)-LS (3х1,5)</v>
      </c>
      <c r="E17" t="str">
        <v/>
      </c>
      <c r="F17" t="str">
        <v/>
      </c>
      <c r="G17" t="str">
        <v/>
      </c>
      <c r="H17">
        <v>10</v>
      </c>
      <c r="I17" t="str">
        <v/>
      </c>
      <c r="J17" t="str">
        <v/>
      </c>
      <c r="K17" t="str">
        <v/>
      </c>
      <c r="L17" t="str">
        <v/>
      </c>
      <c r="M17" t="str">
        <v/>
      </c>
      <c r="N17" t="str">
        <v/>
      </c>
      <c r="O17" t="str">
        <v/>
      </c>
      <c r="P17" t="str">
        <v/>
      </c>
      <c r="Q17" t="str">
        <v/>
      </c>
      <c r="R17" t="str">
        <v/>
      </c>
      <c r="S17" t="str">
        <v/>
      </c>
      <c r="T17" t="str">
        <v/>
      </c>
      <c r="V17" t="str">
        <v>ВВГнг(А)-LS (2х10)</v>
      </c>
      <c r="W17">
        <v>36</v>
      </c>
      <c r="X17">
        <v>44</v>
      </c>
      <c r="Y17">
        <v>50</v>
      </c>
    </row>
    <row r="18" spans="1:25" x14ac:dyDescent="0.3">
      <c r="A18" t="str">
        <v>LD.1.01.1</v>
      </c>
      <c r="B18" t="str">
        <v>ЩБП</v>
      </c>
      <c r="C18" t="str">
        <v>LED-лента 24 В, пом. 01</v>
      </c>
      <c r="D18" t="str">
        <v>ВВГнг(А)-LS (2х4)</v>
      </c>
      <c r="E18" t="str">
        <v/>
      </c>
      <c r="F18" t="str">
        <v/>
      </c>
      <c r="G18" t="str">
        <v/>
      </c>
      <c r="H18">
        <v>21</v>
      </c>
      <c r="I18" t="str">
        <v/>
      </c>
      <c r="J18" t="str">
        <v/>
      </c>
      <c r="K18" t="str">
        <v/>
      </c>
      <c r="L18" t="str">
        <v/>
      </c>
      <c r="M18" t="str">
        <v/>
      </c>
      <c r="N18" t="str">
        <v/>
      </c>
      <c r="O18" t="str">
        <v/>
      </c>
      <c r="P18" t="str">
        <v/>
      </c>
      <c r="Q18" t="str">
        <v/>
      </c>
      <c r="R18" t="str">
        <v/>
      </c>
      <c r="S18" t="str">
        <v/>
      </c>
      <c r="T18" t="str">
        <v/>
      </c>
      <c r="V18" t="str">
        <v>ВВГнг(А)-LS (2х6)</v>
      </c>
      <c r="W18">
        <v>27</v>
      </c>
      <c r="X18">
        <v>33</v>
      </c>
      <c r="Y18">
        <v>40</v>
      </c>
    </row>
    <row r="19" spans="1:25" x14ac:dyDescent="0.3">
      <c r="A19" t="str">
        <v>LD.1.01.2</v>
      </c>
      <c r="B19" t="str">
        <v>ЩБП</v>
      </c>
      <c r="C19" t="str">
        <v>LED-лента 24 В, пом. 01</v>
      </c>
      <c r="D19" t="str">
        <v>ВВГнг(А)-LS (2х6)</v>
      </c>
      <c r="E19" t="str">
        <v/>
      </c>
      <c r="F19" t="str">
        <v/>
      </c>
      <c r="G19" t="str">
        <v/>
      </c>
      <c r="H19">
        <v>27</v>
      </c>
      <c r="I19" t="str">
        <v/>
      </c>
      <c r="J19" t="str">
        <v/>
      </c>
      <c r="K19" t="str">
        <v/>
      </c>
      <c r="L19" t="str">
        <v/>
      </c>
      <c r="M19" t="str">
        <v/>
      </c>
      <c r="N19" t="str">
        <v/>
      </c>
      <c r="O19" t="str">
        <v/>
      </c>
      <c r="P19" t="str">
        <v/>
      </c>
      <c r="Q19" t="str">
        <v/>
      </c>
      <c r="R19" t="str">
        <v/>
      </c>
      <c r="S19" t="str">
        <v/>
      </c>
      <c r="T19" t="str">
        <v/>
      </c>
      <c r="V19" t="str">
        <v>ВВГнг(А)-LS (2х4)</v>
      </c>
      <c r="W19">
        <v>21</v>
      </c>
      <c r="X19">
        <v>26</v>
      </c>
      <c r="Y19">
        <v>30</v>
      </c>
    </row>
    <row r="20" spans="1:25" x14ac:dyDescent="0.3">
      <c r="A20" t="str">
        <v>LD.1.02.1</v>
      </c>
      <c r="B20" t="str">
        <v>ЩБП</v>
      </c>
      <c r="C20" t="str">
        <v>LED-лента 24 В, пом. 02</v>
      </c>
      <c r="D20" t="str">
        <v>ВВГнг(А)-LS (2х10)</v>
      </c>
      <c r="E20" t="str">
        <v/>
      </c>
      <c r="F20" t="str">
        <v/>
      </c>
      <c r="G20" t="str">
        <v/>
      </c>
      <c r="H20">
        <v>36</v>
      </c>
      <c r="I20" t="str">
        <v/>
      </c>
      <c r="J20" t="str">
        <v/>
      </c>
      <c r="K20" t="str">
        <v/>
      </c>
      <c r="L20" t="str">
        <v/>
      </c>
      <c r="M20" t="str">
        <v/>
      </c>
      <c r="N20" t="str">
        <v/>
      </c>
      <c r="O20" t="str">
        <v/>
      </c>
      <c r="P20" t="str">
        <v/>
      </c>
      <c r="Q20" t="str">
        <v/>
      </c>
      <c r="R20" t="str">
        <v/>
      </c>
      <c r="S20" t="str">
        <v/>
      </c>
      <c r="T20" t="str">
        <v/>
      </c>
      <c r="V20" t="str">
        <v>ВВГнг(А)-LS (2х1,5)</v>
      </c>
      <c r="W20">
        <v>28</v>
      </c>
      <c r="X20">
        <v>34</v>
      </c>
      <c r="Y20">
        <v>40</v>
      </c>
    </row>
    <row r="21" spans="1:25" x14ac:dyDescent="0.3">
      <c r="A21" t="str">
        <v>LD.1.03.1</v>
      </c>
      <c r="B21" t="str">
        <v>ЩБП</v>
      </c>
      <c r="C21" t="str">
        <v>LED-лента 24 В, пом. 03</v>
      </c>
      <c r="D21" t="str">
        <v>ВВГнг(А)-LS (2х16)</v>
      </c>
      <c r="E21" t="str">
        <v/>
      </c>
      <c r="F21" t="str">
        <v/>
      </c>
      <c r="G21" t="str">
        <v/>
      </c>
      <c r="H21">
        <v>43</v>
      </c>
      <c r="I21" t="str">
        <v/>
      </c>
      <c r="J21" t="str">
        <v/>
      </c>
      <c r="K21" t="str">
        <v/>
      </c>
      <c r="L21" t="str">
        <v/>
      </c>
      <c r="M21" t="str">
        <v/>
      </c>
      <c r="N21" t="str">
        <v/>
      </c>
      <c r="O21" t="str">
        <v/>
      </c>
      <c r="P21" t="str">
        <v/>
      </c>
      <c r="Q21" t="str">
        <v/>
      </c>
      <c r="R21" t="str">
        <v/>
      </c>
      <c r="S21" t="str">
        <v/>
      </c>
      <c r="T21" t="str">
        <v/>
      </c>
    </row>
    <row r="22" spans="1:25" x14ac:dyDescent="0.3">
      <c r="A22" t="str">
        <v>LD.1.04.1</v>
      </c>
      <c r="B22" t="str">
        <v>ЩБП</v>
      </c>
      <c r="C22" t="str">
        <v>LED-подсветка ниши, пом. 04</v>
      </c>
      <c r="D22" t="str">
        <v>ВВГнг(А)-LS (2х1,5)</v>
      </c>
      <c r="E22" t="str">
        <v/>
      </c>
      <c r="F22" t="str">
        <v/>
      </c>
      <c r="G22" t="str">
        <v/>
      </c>
      <c r="H22">
        <v>15</v>
      </c>
      <c r="I22" t="str">
        <v/>
      </c>
      <c r="J22" t="str">
        <v/>
      </c>
      <c r="K22" t="str">
        <v/>
      </c>
      <c r="L22" t="str">
        <v/>
      </c>
      <c r="M22" t="str">
        <v/>
      </c>
      <c r="N22" t="str">
        <v/>
      </c>
      <c r="O22" t="str">
        <v/>
      </c>
      <c r="P22" t="str">
        <v/>
      </c>
      <c r="Q22" t="str">
        <v/>
      </c>
      <c r="R22" t="str">
        <v/>
      </c>
      <c r="S22" t="str">
        <v/>
      </c>
      <c r="T22" t="str">
        <v/>
      </c>
    </row>
    <row r="23" spans="1:25" x14ac:dyDescent="0.3">
      <c r="A23" t="str">
        <v>LD.1.04.2</v>
      </c>
      <c r="B23" t="str">
        <v>ЩБП</v>
      </c>
      <c r="C23" t="str">
        <v>LED-подсветка ниши, пом. 04</v>
      </c>
      <c r="D23" t="str">
        <v>ВВГнг(А)-LS (2х1,5)</v>
      </c>
      <c r="E23" t="str">
        <v/>
      </c>
      <c r="F23" t="str">
        <v/>
      </c>
      <c r="G23" t="str">
        <v/>
      </c>
      <c r="H23">
        <v>13</v>
      </c>
      <c r="I23" t="str">
        <v/>
      </c>
      <c r="J23" t="str">
        <v/>
      </c>
      <c r="K23" t="str">
        <v/>
      </c>
      <c r="L23" t="str">
        <v/>
      </c>
      <c r="M23" t="str">
        <v/>
      </c>
      <c r="N23" t="str">
        <v/>
      </c>
      <c r="O23" t="str">
        <v/>
      </c>
      <c r="P23" t="str">
        <v/>
      </c>
      <c r="Q23" t="str">
        <v/>
      </c>
      <c r="R23" t="str">
        <v/>
      </c>
      <c r="S23" t="str">
        <v/>
      </c>
      <c r="T23" t="str">
        <v/>
      </c>
    </row>
    <row r="24" spans="1:25" x14ac:dyDescent="0.3">
      <c r="A24" t="str">
        <v>АПС.0.01.1</v>
      </c>
      <c r="B24" t="str">
        <v>ЩГП</v>
      </c>
      <c r="C24" t="str">
        <v>Реле АПС, пом. 01</v>
      </c>
      <c r="D24" t="str">
        <v>ВВГнг(А)-LS (3х1,5)</v>
      </c>
      <c r="E24" t="str">
        <v/>
      </c>
      <c r="F24" t="str">
        <v/>
      </c>
      <c r="G24" t="str">
        <v/>
      </c>
      <c r="H24">
        <v>9</v>
      </c>
      <c r="I24" t="str">
        <v/>
      </c>
      <c r="J24" t="str">
        <v/>
      </c>
      <c r="K24" t="str">
        <v/>
      </c>
      <c r="L24" t="str">
        <v/>
      </c>
      <c r="M24" t="str">
        <v/>
      </c>
      <c r="N24" t="str">
        <v/>
      </c>
      <c r="O24" t="str">
        <v/>
      </c>
      <c r="P24" t="str">
        <v/>
      </c>
      <c r="Q24" t="str">
        <v/>
      </c>
      <c r="R24" t="str">
        <v/>
      </c>
      <c r="S24" t="str">
        <v/>
      </c>
      <c r="T24" t="str">
        <v/>
      </c>
    </row>
    <row r="25" spans="1:25" x14ac:dyDescent="0.3">
      <c r="A25" t="str">
        <v>L.0.02.1</v>
      </c>
      <c r="B25" t="str">
        <v>ЩГП</v>
      </c>
      <c r="C25" t="str">
        <v>Аварийное освещение (шина ИБП)</v>
      </c>
      <c r="D25" t="str">
        <v>ВВГнг(А)-LS (3х1,5)</v>
      </c>
      <c r="E25" t="str">
        <v/>
      </c>
      <c r="F25" t="str">
        <v/>
      </c>
      <c r="G25" t="str">
        <v/>
      </c>
      <c r="H25">
        <v>21</v>
      </c>
      <c r="I25" t="str">
        <v/>
      </c>
      <c r="J25" t="str">
        <v/>
      </c>
      <c r="K25" t="str">
        <v/>
      </c>
      <c r="L25" t="str">
        <v/>
      </c>
      <c r="M25" t="str">
        <v/>
      </c>
      <c r="N25" t="str">
        <v/>
      </c>
      <c r="O25" t="str">
        <v/>
      </c>
      <c r="P25" t="str">
        <v/>
      </c>
      <c r="Q25" t="str">
        <v/>
      </c>
      <c r="R25" t="str">
        <v/>
      </c>
      <c r="S25" t="str">
        <v/>
      </c>
      <c r="T25" t="str">
        <v/>
      </c>
    </row>
    <row r="26" spans="1:25" x14ac:dyDescent="0.3">
      <c r="A26" t="str">
        <v>R.1.01.1</v>
      </c>
      <c r="B26" t="str">
        <v>ЩР-1</v>
      </c>
      <c r="C26" t="str">
        <v>Розеточная группа, пом. 01</v>
      </c>
      <c r="D26" t="str">
        <v>ВВГнг(А)-LS (3х2,5)</v>
      </c>
      <c r="E26" t="str">
        <v/>
      </c>
      <c r="F26" t="str">
        <v/>
      </c>
      <c r="G26" t="str">
        <v>Ø20 L=32</v>
      </c>
      <c r="H26">
        <v>36</v>
      </c>
      <c r="I26" t="str">
        <v/>
      </c>
      <c r="J26" t="str">
        <v/>
      </c>
      <c r="K26" t="str">
        <v/>
      </c>
      <c r="L26" t="str">
        <v/>
      </c>
      <c r="M26" t="str">
        <v/>
      </c>
      <c r="N26" t="str">
        <v/>
      </c>
      <c r="O26" t="str">
        <v>2</v>
      </c>
      <c r="P26" t="str">
        <v/>
      </c>
      <c r="Q26" t="str">
        <v/>
      </c>
      <c r="R26" t="str">
        <v>Ø20</v>
      </c>
      <c r="S26">
        <v>32</v>
      </c>
      <c r="T26" t="str">
        <v/>
      </c>
    </row>
    <row r="27" spans="1:25" x14ac:dyDescent="0.3">
      <c r="A27" t="str">
        <v>R.1.02.1</v>
      </c>
      <c r="B27" t="str">
        <v>ЩР-1</v>
      </c>
      <c r="C27" t="str">
        <v>Розеточная группа, пом. 02</v>
      </c>
      <c r="D27" t="str">
        <v>ВВГнг(А)-LS (3х2,5)</v>
      </c>
      <c r="E27" t="str">
        <v/>
      </c>
      <c r="F27" t="str">
        <v/>
      </c>
      <c r="G27" t="str">
        <v>Ø20 L=21</v>
      </c>
      <c r="H27">
        <v>25</v>
      </c>
      <c r="I27" t="str">
        <v/>
      </c>
      <c r="J27" t="str">
        <v/>
      </c>
      <c r="K27" t="str">
        <v/>
      </c>
      <c r="L27" t="str">
        <v/>
      </c>
      <c r="M27" t="str">
        <v/>
      </c>
      <c r="N27" t="str">
        <v/>
      </c>
      <c r="O27" t="str">
        <v>2</v>
      </c>
      <c r="P27" t="str">
        <v/>
      </c>
      <c r="Q27" t="str">
        <v/>
      </c>
      <c r="R27" t="str">
        <v>Ø20</v>
      </c>
      <c r="S27">
        <v>21</v>
      </c>
      <c r="T27" t="str">
        <v/>
      </c>
    </row>
    <row r="28" spans="1:25" x14ac:dyDescent="0.3">
      <c r="A28" t="str">
        <v>R.1.02.2</v>
      </c>
      <c r="B28" t="str">
        <v>ЩР-1</v>
      </c>
      <c r="C28" t="str">
        <v>Розеточная группа, пом. 02</v>
      </c>
      <c r="D28" t="str">
        <v>ВВГнг(А)-LS (3х2,5)</v>
      </c>
      <c r="E28" t="str">
        <v/>
      </c>
      <c r="F28" t="str">
        <v/>
      </c>
      <c r="G28" t="str">
        <v>Ø20 L=14</v>
      </c>
      <c r="H28">
        <v>18</v>
      </c>
      <c r="I28" t="str">
        <v/>
      </c>
      <c r="J28" t="str">
        <v/>
      </c>
      <c r="K28" t="str">
        <v/>
      </c>
      <c r="L28" t="str">
        <v/>
      </c>
      <c r="M28" t="str">
        <v/>
      </c>
      <c r="N28" t="str">
        <v/>
      </c>
      <c r="O28" t="str">
        <v>2</v>
      </c>
      <c r="P28" t="str">
        <v/>
      </c>
      <c r="Q28" t="str">
        <v/>
      </c>
      <c r="R28" t="str">
        <v>Ø20</v>
      </c>
      <c r="S28">
        <v>14</v>
      </c>
      <c r="T28" t="str">
        <v/>
      </c>
    </row>
    <row r="29" spans="1:25" x14ac:dyDescent="0.3">
      <c r="A29" t="str">
        <v>R.1.03.1</v>
      </c>
      <c r="B29" t="str">
        <v>ЩР-1</v>
      </c>
      <c r="C29" t="str">
        <v>Розетки ванной (дифзащита 10 мА)</v>
      </c>
      <c r="D29" t="str">
        <v>ВВГнг(А)-LS (3х2,5)</v>
      </c>
      <c r="E29" t="str">
        <v/>
      </c>
      <c r="F29" t="str">
        <v/>
      </c>
      <c r="G29" t="str">
        <v/>
      </c>
      <c r="H29">
        <v>11</v>
      </c>
      <c r="I29" t="str">
        <v/>
      </c>
      <c r="J29" t="str">
        <v/>
      </c>
      <c r="K29" t="str">
        <v/>
      </c>
      <c r="L29" t="str">
        <v/>
      </c>
      <c r="M29" t="str">
        <v/>
      </c>
      <c r="N29" t="str">
        <v/>
      </c>
      <c r="O29" t="str">
        <v/>
      </c>
      <c r="P29" t="str">
        <v/>
      </c>
      <c r="Q29" t="str">
        <v/>
      </c>
      <c r="R29" t="str">
        <v/>
      </c>
      <c r="S29" t="str">
        <v/>
      </c>
      <c r="T29" t="str">
        <v/>
      </c>
    </row>
    <row r="30" spans="1:25" x14ac:dyDescent="0.3">
      <c r="A30" t="str">
        <v>L.1.01.1</v>
      </c>
      <c r="B30" t="str">
        <v>ЩР-1</v>
      </c>
      <c r="C30" t="str">
        <v>Группа освещения, пом. 01</v>
      </c>
      <c r="D30" t="str">
        <v>ВВГнг(А)-LS (3х1,5)</v>
      </c>
      <c r="E30" t="str">
        <v/>
      </c>
      <c r="F30" t="str">
        <v>Ø20 L=11</v>
      </c>
      <c r="G30" t="str">
        <v/>
      </c>
      <c r="H30">
        <v>15</v>
      </c>
      <c r="I30" t="str">
        <v/>
      </c>
      <c r="J30" t="str">
        <v/>
      </c>
      <c r="K30" t="str">
        <v/>
      </c>
      <c r="L30" t="str">
        <v/>
      </c>
      <c r="M30" t="str">
        <v/>
      </c>
      <c r="N30" t="str">
        <v/>
      </c>
      <c r="O30" t="str">
        <v>1</v>
      </c>
      <c r="P30" t="str">
        <v>Ø20</v>
      </c>
      <c r="Q30">
        <v>11</v>
      </c>
      <c r="R30" t="str">
        <v/>
      </c>
      <c r="S30" t="str">
        <v/>
      </c>
      <c r="T30" t="str">
        <v/>
      </c>
    </row>
    <row r="31" spans="1:25" x14ac:dyDescent="0.3">
      <c r="A31" t="str">
        <v>L.1.02.1</v>
      </c>
      <c r="B31" t="str">
        <v>ЩР-1</v>
      </c>
      <c r="C31" t="str">
        <v>Группа освещения, пом. 02</v>
      </c>
      <c r="D31" t="str">
        <v>ВВГнг(А)-LS (3х1,5)</v>
      </c>
      <c r="E31" t="str">
        <v/>
      </c>
      <c r="F31" t="str">
        <v>Ø20 L=13</v>
      </c>
      <c r="G31" t="str">
        <v/>
      </c>
      <c r="H31">
        <v>17</v>
      </c>
      <c r="I31" t="str">
        <v/>
      </c>
      <c r="J31" t="str">
        <v/>
      </c>
      <c r="K31" t="str">
        <v/>
      </c>
      <c r="L31" t="str">
        <v/>
      </c>
      <c r="M31" t="str">
        <v/>
      </c>
      <c r="N31" t="str">
        <v/>
      </c>
      <c r="O31" t="str">
        <v>1</v>
      </c>
      <c r="P31" t="str">
        <v>Ø20</v>
      </c>
      <c r="Q31">
        <v>13</v>
      </c>
      <c r="R31" t="str">
        <v/>
      </c>
      <c r="S31" t="str">
        <v/>
      </c>
      <c r="T31" t="str">
        <v/>
      </c>
    </row>
    <row r="32" spans="1:25" x14ac:dyDescent="0.3">
      <c r="A32" t="str">
        <v>L.1.02.2</v>
      </c>
      <c r="B32" t="str">
        <v>ЩР-1</v>
      </c>
      <c r="C32" t="str">
        <v>Группа освещения, пом. 02</v>
      </c>
      <c r="D32" t="str">
        <v>ВВГнг(А)-LS (3х1,5)</v>
      </c>
      <c r="E32" t="str">
        <v/>
      </c>
      <c r="F32" t="str">
        <v>Ø20 L=3</v>
      </c>
      <c r="G32" t="str">
        <v/>
      </c>
      <c r="H32">
        <v>7</v>
      </c>
      <c r="I32" t="str">
        <v/>
      </c>
      <c r="J32" t="str">
        <v/>
      </c>
      <c r="K32" t="str">
        <v/>
      </c>
      <c r="L32" t="str">
        <v/>
      </c>
      <c r="M32" t="str">
        <v/>
      </c>
      <c r="N32" t="str">
        <v/>
      </c>
      <c r="O32" t="str">
        <v>1</v>
      </c>
      <c r="P32" t="str">
        <v>Ø20</v>
      </c>
      <c r="Q32">
        <v>3</v>
      </c>
      <c r="R32" t="str">
        <v/>
      </c>
      <c r="S32" t="str">
        <v/>
      </c>
      <c r="T32" t="str">
        <v/>
      </c>
    </row>
    <row r="33" spans="1:20" x14ac:dyDescent="0.3">
      <c r="A33" t="str">
        <v>L.1.03.1</v>
      </c>
      <c r="B33" t="str">
        <v>ЩР-1</v>
      </c>
      <c r="C33" t="str">
        <v>Группа освещения, пом. 03</v>
      </c>
      <c r="D33" t="str">
        <v>ВВГнг(А)-LS (3х1,5)</v>
      </c>
      <c r="E33" t="str">
        <v/>
      </c>
      <c r="F33" t="str">
        <v>Ø20 L=8</v>
      </c>
      <c r="G33" t="str">
        <v/>
      </c>
      <c r="H33">
        <v>12</v>
      </c>
      <c r="I33" t="str">
        <v/>
      </c>
      <c r="J33" t="str">
        <v/>
      </c>
      <c r="K33" t="str">
        <v/>
      </c>
      <c r="L33" t="str">
        <v/>
      </c>
      <c r="M33" t="str">
        <v/>
      </c>
      <c r="N33" t="str">
        <v/>
      </c>
      <c r="O33" t="str">
        <v>1</v>
      </c>
      <c r="P33" t="str">
        <v>Ø20</v>
      </c>
      <c r="Q33">
        <v>8</v>
      </c>
      <c r="R33" t="str">
        <v/>
      </c>
      <c r="S33" t="str">
        <v/>
      </c>
      <c r="T33" t="str">
        <v/>
      </c>
    </row>
    <row r="34" spans="1:20" x14ac:dyDescent="0.3">
      <c r="A34" t="str">
        <v>LED.1.01.1</v>
      </c>
      <c r="B34" t="str">
        <v>ЩР-1</v>
      </c>
      <c r="C34" t="str">
        <v>Светодиодное освещение, пом. 01</v>
      </c>
      <c r="D34" t="str">
        <v>ВВГнг(А)-LS (3х1,5)</v>
      </c>
      <c r="E34" t="str">
        <v/>
      </c>
      <c r="F34" t="str">
        <v/>
      </c>
      <c r="G34" t="str">
        <v/>
      </c>
      <c r="H34">
        <v>9</v>
      </c>
      <c r="I34" t="str">
        <v/>
      </c>
      <c r="J34" t="str">
        <v/>
      </c>
      <c r="K34" t="str">
        <v/>
      </c>
      <c r="L34" t="str">
        <v/>
      </c>
      <c r="M34" t="str">
        <v/>
      </c>
      <c r="N34" t="str">
        <v/>
      </c>
      <c r="O34" t="str">
        <v/>
      </c>
      <c r="P34" t="str">
        <v/>
      </c>
      <c r="Q34" t="str">
        <v/>
      </c>
      <c r="R34" t="str">
        <v/>
      </c>
      <c r="S34" t="str">
        <v/>
      </c>
      <c r="T34" t="str">
        <v/>
      </c>
    </row>
    <row r="35" spans="1:20" x14ac:dyDescent="0.3">
      <c r="A35" t="str">
        <v>ТП.1.01.1</v>
      </c>
      <c r="B35" t="str">
        <v>ЩР-1</v>
      </c>
      <c r="C35" t="str">
        <v>Теплый пол, пом. 01</v>
      </c>
      <c r="D35" t="str">
        <v>ВВГнг(А)-LS (3х1,5)</v>
      </c>
      <c r="E35" t="str">
        <v/>
      </c>
      <c r="F35" t="str">
        <v/>
      </c>
      <c r="G35" t="str">
        <v/>
      </c>
      <c r="H35">
        <v>16</v>
      </c>
      <c r="I35" t="str">
        <v/>
      </c>
      <c r="J35" t="str">
        <v/>
      </c>
      <c r="K35" t="str">
        <v/>
      </c>
      <c r="L35" t="str">
        <v/>
      </c>
      <c r="M35" t="str">
        <v/>
      </c>
      <c r="N35" t="str">
        <v/>
      </c>
      <c r="O35" t="str">
        <v/>
      </c>
      <c r="P35" t="str">
        <v/>
      </c>
      <c r="Q35" t="str">
        <v/>
      </c>
      <c r="R35" t="str">
        <v/>
      </c>
      <c r="S35" t="str">
        <v/>
      </c>
      <c r="T35" t="str">
        <v/>
      </c>
    </row>
    <row r="36" spans="1:20" x14ac:dyDescent="0.3">
      <c r="A36" t="str">
        <v>ПВ.1.01.1</v>
      </c>
      <c r="B36" t="str">
        <v>ЩР-1</v>
      </c>
      <c r="C36" t="str">
        <v>Приточно-вытяжная установка, пом. 01</v>
      </c>
      <c r="D36" t="str">
        <v>ВВГнг(А)-LS (5х1,5)</v>
      </c>
      <c r="E36" t="str">
        <v/>
      </c>
      <c r="F36" t="str">
        <v/>
      </c>
      <c r="G36" t="str">
        <v/>
      </c>
      <c r="H36">
        <v>21</v>
      </c>
      <c r="I36" t="str">
        <v/>
      </c>
      <c r="J36" t="str">
        <v/>
      </c>
      <c r="K36" t="str">
        <v/>
      </c>
      <c r="L36" t="str">
        <v/>
      </c>
      <c r="M36" t="str">
        <v/>
      </c>
      <c r="N36" t="str">
        <v/>
      </c>
      <c r="O36" t="str">
        <v/>
      </c>
      <c r="P36" t="str">
        <v/>
      </c>
      <c r="Q36" t="str">
        <v/>
      </c>
      <c r="R36" t="str">
        <v/>
      </c>
      <c r="S36" t="str">
        <v/>
      </c>
      <c r="T36" t="str">
        <v/>
      </c>
    </row>
    <row r="37" spans="1:20" x14ac:dyDescent="0.3">
      <c r="A37" t="str">
        <v>K.1.01.1</v>
      </c>
      <c r="B37" t="str">
        <v>ЩР-1</v>
      </c>
      <c r="C37" t="str">
        <v>Кондиционер (cos φ вручную)</v>
      </c>
      <c r="D37" t="str">
        <v>ВВГнг(А)-LS (3х1,5)</v>
      </c>
      <c r="E37" t="str">
        <v/>
      </c>
      <c r="F37" t="str">
        <v/>
      </c>
      <c r="G37" t="str">
        <v/>
      </c>
      <c r="H37">
        <v>19</v>
      </c>
      <c r="I37" t="str">
        <v/>
      </c>
      <c r="J37" t="str">
        <v/>
      </c>
      <c r="K37" t="str">
        <v/>
      </c>
      <c r="L37" t="str">
        <v/>
      </c>
      <c r="M37" t="str">
        <v/>
      </c>
      <c r="N37" t="str">
        <v/>
      </c>
      <c r="O37" t="str">
        <v/>
      </c>
      <c r="P37" t="str">
        <v/>
      </c>
      <c r="Q37" t="str">
        <v/>
      </c>
      <c r="R37" t="str">
        <v/>
      </c>
      <c r="S37" t="str">
        <v/>
      </c>
      <c r="T37" t="str">
        <v/>
      </c>
    </row>
    <row r="38" spans="1:20" x14ac:dyDescent="0.3">
      <c r="A38" t="str">
        <v>КУП.1.01.1</v>
      </c>
      <c r="B38" t="str">
        <v>ЩР-1</v>
      </c>
      <c r="C38" t="str">
        <v>Коробка уравнивания потенциалов, пом. 01</v>
      </c>
      <c r="D38" t="str">
        <v>ВВГнг(А)-LS (3х4)</v>
      </c>
      <c r="E38" t="str">
        <v/>
      </c>
      <c r="F38" t="str">
        <v/>
      </c>
      <c r="G38" t="str">
        <v/>
      </c>
      <c r="H38">
        <v>7</v>
      </c>
      <c r="I38" t="str">
        <v/>
      </c>
      <c r="J38" t="str">
        <v/>
      </c>
      <c r="K38" t="str">
        <v/>
      </c>
      <c r="L38" t="str">
        <v/>
      </c>
      <c r="M38" t="str">
        <v/>
      </c>
      <c r="N38" t="str">
        <v/>
      </c>
      <c r="O38" t="str">
        <v/>
      </c>
      <c r="P38" t="str">
        <v/>
      </c>
      <c r="Q38" t="str">
        <v/>
      </c>
      <c r="R38" t="str">
        <v/>
      </c>
      <c r="S38" t="str">
        <v/>
      </c>
      <c r="T38" t="str">
        <v/>
      </c>
    </row>
    <row r="39" spans="1:20" x14ac:dyDescent="0.3">
      <c r="A39" t="str">
        <v>УВ.1.01.1</v>
      </c>
      <c r="B39" t="str">
        <v>ЩР-1</v>
      </c>
      <c r="C39" t="str">
        <v>Увлажнитель, пом. 01</v>
      </c>
      <c r="D39" t="str">
        <v>ВВГнг(А)-LS (3х1,5)</v>
      </c>
      <c r="E39" t="str">
        <v/>
      </c>
      <c r="F39" t="str">
        <v/>
      </c>
      <c r="G39" t="str">
        <v/>
      </c>
      <c r="H39">
        <v>11</v>
      </c>
      <c r="I39" t="str">
        <v/>
      </c>
      <c r="J39" t="str">
        <v/>
      </c>
      <c r="K39" t="str">
        <v/>
      </c>
      <c r="L39" t="str">
        <v/>
      </c>
      <c r="M39" t="str">
        <v/>
      </c>
      <c r="N39" t="str">
        <v/>
      </c>
      <c r="O39" t="str">
        <v/>
      </c>
      <c r="P39" t="str">
        <v/>
      </c>
      <c r="Q39" t="str">
        <v/>
      </c>
      <c r="R39" t="str">
        <v/>
      </c>
      <c r="S39" t="str">
        <v/>
      </c>
      <c r="T39" t="str">
        <v/>
      </c>
    </row>
    <row r="40" spans="1:20" x14ac:dyDescent="0.3">
      <c r="A40" t="str">
        <v>R.1.04.1</v>
      </c>
      <c r="B40" t="str">
        <v>ЩР-1</v>
      </c>
      <c r="C40" t="str">
        <v>Розетки гаража (длинная линия)</v>
      </c>
      <c r="D40" t="str">
        <v>ВВГнг(А)-LS (3х10)</v>
      </c>
      <c r="E40" t="str">
        <v/>
      </c>
      <c r="F40" t="str">
        <v/>
      </c>
      <c r="G40" t="str">
        <v/>
      </c>
      <c r="H40">
        <v>142</v>
      </c>
      <c r="I40" t="str">
        <v/>
      </c>
      <c r="J40" t="str">
        <v/>
      </c>
      <c r="K40" t="str">
        <v/>
      </c>
      <c r="L40" t="str">
        <v/>
      </c>
      <c r="M40" t="str">
        <v/>
      </c>
      <c r="N40" t="str">
        <v/>
      </c>
      <c r="O40" t="str">
        <v/>
      </c>
      <c r="P40" t="str">
        <v/>
      </c>
      <c r="Q40" t="str">
        <v/>
      </c>
      <c r="R40" t="str">
        <v/>
      </c>
      <c r="S40" t="str">
        <v/>
      </c>
      <c r="T40" t="str">
        <v/>
      </c>
    </row>
    <row r="41" spans="1:20" x14ac:dyDescent="0.3">
      <c r="A41" t="str">
        <v>R.1.05.1</v>
      </c>
      <c r="B41" t="str">
        <v>ЩР-1</v>
      </c>
      <c r="C41" t="str">
        <v>Розеточная группа, пом. 05</v>
      </c>
      <c r="D41" t="str">
        <v>ВВГнг(А)-LS (3х2,5)</v>
      </c>
      <c r="E41" t="str">
        <v/>
      </c>
      <c r="F41" t="str">
        <v/>
      </c>
      <c r="G41" t="str">
        <v>Ø20 L=24</v>
      </c>
      <c r="H41">
        <v>28</v>
      </c>
      <c r="I41" t="str">
        <v/>
      </c>
      <c r="J41" t="str">
        <v/>
      </c>
      <c r="K41" t="str">
        <v/>
      </c>
      <c r="L41" t="str">
        <v/>
      </c>
      <c r="M41" t="str">
        <v/>
      </c>
      <c r="N41" t="str">
        <v/>
      </c>
      <c r="O41" t="str">
        <v>2</v>
      </c>
      <c r="P41" t="str">
        <v/>
      </c>
      <c r="Q41" t="str">
        <v/>
      </c>
      <c r="R41" t="str">
        <v>Ø20</v>
      </c>
      <c r="S41">
        <v>24</v>
      </c>
      <c r="T41" t="str">
        <v/>
      </c>
    </row>
    <row r="42" spans="1:20" x14ac:dyDescent="0.3">
      <c r="A42" t="str">
        <v>R.1.05.2</v>
      </c>
      <c r="B42" t="str">
        <v>ЩР-1</v>
      </c>
      <c r="C42" t="str">
        <v>Розеточная группа, пом. 05</v>
      </c>
      <c r="D42" t="str">
        <v>ВВГнг(А)-LS (3х2,5)</v>
      </c>
      <c r="E42" t="str">
        <v/>
      </c>
      <c r="F42" t="str">
        <v/>
      </c>
      <c r="G42" t="str">
        <v>Ø20 L=16</v>
      </c>
      <c r="H42">
        <v>20</v>
      </c>
      <c r="I42" t="str">
        <v/>
      </c>
      <c r="J42" t="str">
        <v/>
      </c>
      <c r="K42" t="str">
        <v/>
      </c>
      <c r="L42" t="str">
        <v/>
      </c>
      <c r="M42" t="str">
        <v/>
      </c>
      <c r="N42" t="str">
        <v/>
      </c>
      <c r="O42" t="str">
        <v>2</v>
      </c>
      <c r="P42" t="str">
        <v/>
      </c>
      <c r="Q42" t="str">
        <v/>
      </c>
      <c r="R42" t="str">
        <v>Ø20</v>
      </c>
      <c r="S42">
        <v>16</v>
      </c>
      <c r="T42" t="str">
        <v/>
      </c>
    </row>
    <row r="43" spans="1:20" x14ac:dyDescent="0.3">
      <c r="A43" t="str">
        <v>L.1.04.1</v>
      </c>
      <c r="B43" t="str">
        <v>ЩР-1</v>
      </c>
      <c r="C43" t="str">
        <v>Группа освещения, пом. 04</v>
      </c>
      <c r="D43" t="str">
        <v>ВВГнг(А)-LS (3х1,5)</v>
      </c>
      <c r="E43" t="str">
        <v/>
      </c>
      <c r="F43" t="str">
        <v>Ø20 L=7</v>
      </c>
      <c r="G43" t="str">
        <v/>
      </c>
      <c r="H43">
        <v>11</v>
      </c>
      <c r="I43" t="str">
        <v/>
      </c>
      <c r="J43" t="str">
        <v/>
      </c>
      <c r="K43" t="str">
        <v/>
      </c>
      <c r="L43" t="str">
        <v/>
      </c>
      <c r="M43" t="str">
        <v/>
      </c>
      <c r="N43" t="str">
        <v/>
      </c>
      <c r="O43" t="str">
        <v>1</v>
      </c>
      <c r="P43" t="str">
        <v>Ø20</v>
      </c>
      <c r="Q43">
        <v>7</v>
      </c>
      <c r="R43" t="str">
        <v/>
      </c>
      <c r="S43" t="str">
        <v/>
      </c>
      <c r="T43" t="str">
        <v/>
      </c>
    </row>
    <row r="44" spans="1:20" x14ac:dyDescent="0.3">
      <c r="A44" t="str">
        <v>ПУ.0.01.1</v>
      </c>
      <c r="B44" t="str">
        <v>ЩС</v>
      </c>
      <c r="C44" t="str">
        <v>Приточная установка, пом. 01</v>
      </c>
      <c r="D44" t="str">
        <v>ВВГнг(А)-LS (5х2,5)</v>
      </c>
      <c r="E44" t="str">
        <v/>
      </c>
      <c r="F44" t="str">
        <v/>
      </c>
      <c r="G44" t="str">
        <v/>
      </c>
      <c r="H44">
        <v>31</v>
      </c>
      <c r="I44" t="str">
        <v/>
      </c>
      <c r="J44" t="str">
        <v/>
      </c>
      <c r="K44" t="str">
        <v/>
      </c>
      <c r="L44" t="str">
        <v/>
      </c>
      <c r="M44" t="str">
        <v/>
      </c>
      <c r="N44" t="str">
        <v/>
      </c>
      <c r="O44" t="str">
        <v/>
      </c>
      <c r="P44" t="str">
        <v/>
      </c>
      <c r="Q44" t="str">
        <v/>
      </c>
      <c r="R44" t="str">
        <v/>
      </c>
      <c r="S44" t="str">
        <v/>
      </c>
      <c r="T44" t="str">
        <v/>
      </c>
    </row>
    <row r="45" spans="1:20" x14ac:dyDescent="0.3">
      <c r="A45" t="str">
        <v>ПВ.0.02.1</v>
      </c>
      <c r="B45" t="str">
        <v>ЩС</v>
      </c>
      <c r="C45" t="str">
        <v>Приточно-вытяжная установка, пом. 02</v>
      </c>
      <c r="D45" t="str">
        <v>ВВГнг(А)-LS (5х1,5)</v>
      </c>
      <c r="E45" t="str">
        <v/>
      </c>
      <c r="F45" t="str">
        <v/>
      </c>
      <c r="G45" t="str">
        <v/>
      </c>
      <c r="H45">
        <v>26</v>
      </c>
      <c r="I45" t="str">
        <v/>
      </c>
      <c r="J45" t="str">
        <v/>
      </c>
      <c r="K45" t="str">
        <v/>
      </c>
      <c r="L45" t="str">
        <v/>
      </c>
      <c r="M45" t="str">
        <v/>
      </c>
      <c r="N45" t="str">
        <v/>
      </c>
      <c r="O45" t="str">
        <v/>
      </c>
      <c r="P45" t="str">
        <v/>
      </c>
      <c r="Q45" t="str">
        <v/>
      </c>
      <c r="R45" t="str">
        <v/>
      </c>
      <c r="S45" t="str">
        <v/>
      </c>
      <c r="T45" t="str">
        <v/>
      </c>
    </row>
    <row r="46" spans="1:20" x14ac:dyDescent="0.3">
      <c r="A46" t="str">
        <v>НВК.0.03.1</v>
      </c>
      <c r="B46" t="str">
        <v>ЩС</v>
      </c>
      <c r="C46" t="str">
        <v>Дренажный насос (шина ДГУ)</v>
      </c>
      <c r="D46" t="str">
        <v>ВВГнг(А)-LS (3х1,5)</v>
      </c>
      <c r="E46" t="str">
        <v/>
      </c>
      <c r="F46" t="str">
        <v/>
      </c>
      <c r="G46" t="str">
        <v/>
      </c>
      <c r="H46">
        <v>16</v>
      </c>
      <c r="I46" t="str">
        <v/>
      </c>
      <c r="J46" t="str">
        <v/>
      </c>
      <c r="K46" t="str">
        <v/>
      </c>
      <c r="L46" t="str">
        <v/>
      </c>
      <c r="M46" t="str">
        <v/>
      </c>
      <c r="N46" t="str">
        <v/>
      </c>
      <c r="O46" t="str">
        <v/>
      </c>
      <c r="P46" t="str">
        <v/>
      </c>
      <c r="Q46" t="str">
        <v/>
      </c>
      <c r="R46" t="str">
        <v/>
      </c>
      <c r="S46" t="str">
        <v/>
      </c>
      <c r="T46" t="str">
        <v/>
      </c>
    </row>
    <row r="47" spans="1:20" x14ac:dyDescent="0.3">
      <c r="A47" t="str">
        <v>НВК.0.04.1</v>
      </c>
      <c r="B47" t="str">
        <v>ЩС</v>
      </c>
      <c r="C47" t="str">
        <v>Дренажный насос резервный</v>
      </c>
      <c r="D47" t="str">
        <v>ВВГнг(А)-LS (3х1,5)</v>
      </c>
      <c r="E47" t="str">
        <v/>
      </c>
      <c r="F47" t="str">
        <v/>
      </c>
      <c r="G47" t="str">
        <v/>
      </c>
      <c r="H47">
        <v>16</v>
      </c>
      <c r="I47" t="str">
        <v/>
      </c>
      <c r="J47" t="str">
        <v/>
      </c>
      <c r="K47" t="str">
        <v/>
      </c>
      <c r="L47" t="str">
        <v/>
      </c>
      <c r="M47" t="str">
        <v/>
      </c>
      <c r="N47" t="str">
        <v/>
      </c>
      <c r="O47" t="str">
        <v/>
      </c>
      <c r="P47" t="str">
        <v/>
      </c>
      <c r="Q47" t="str">
        <v/>
      </c>
      <c r="R47" t="str">
        <v/>
      </c>
      <c r="S47" t="str">
        <v/>
      </c>
      <c r="T47" t="str">
        <v/>
      </c>
    </row>
    <row r="48" spans="1:20" x14ac:dyDescent="0.3">
      <c r="A48" t="str">
        <v>ПУ.0.05.1</v>
      </c>
      <c r="B48" t="str">
        <v>ЩС</v>
      </c>
      <c r="C48" t="str">
        <v>Вентилятор насосной (шина «Насосная» — Одиночная)</v>
      </c>
      <c r="D48" t="str">
        <v>ВВГнг(А)-LS (3х1,5)</v>
      </c>
      <c r="E48" t="str">
        <v/>
      </c>
      <c r="F48" t="str">
        <v/>
      </c>
      <c r="G48" t="str">
        <v/>
      </c>
      <c r="H48">
        <v>13</v>
      </c>
      <c r="I48" t="str">
        <v/>
      </c>
      <c r="J48" t="str">
        <v/>
      </c>
      <c r="K48" t="str">
        <v/>
      </c>
      <c r="L48" t="str">
        <v/>
      </c>
      <c r="M48" t="str">
        <v/>
      </c>
      <c r="N48" t="str">
        <v/>
      </c>
      <c r="O48" t="str">
        <v/>
      </c>
      <c r="P48" t="str">
        <v/>
      </c>
      <c r="Q48" t="str">
        <v/>
      </c>
      <c r="R48" t="str">
        <v/>
      </c>
      <c r="S48" t="str">
        <v/>
      </c>
      <c r="T48" t="str">
        <v/>
      </c>
    </row>
    <row r="49" spans="1:20" x14ac:dyDescent="0.3">
      <c r="A49" t="str">
        <v>АПС.0.02.1</v>
      </c>
      <c r="B49" t="str">
        <v>ЩСПЗ</v>
      </c>
      <c r="C49" t="str">
        <v>Прибор пожарной сигнализации</v>
      </c>
      <c r="D49" t="str">
        <v>ВВГнг(А)-FRLS (3х1,5)</v>
      </c>
      <c r="E49" t="str">
        <v/>
      </c>
      <c r="F49" t="str">
        <v/>
      </c>
      <c r="G49" t="str">
        <v/>
      </c>
      <c r="H49">
        <v>11</v>
      </c>
      <c r="I49" t="str">
        <v/>
      </c>
      <c r="J49" t="str">
        <v/>
      </c>
      <c r="K49" t="str">
        <v/>
      </c>
      <c r="L49" t="str">
        <v/>
      </c>
      <c r="M49" t="str">
        <v/>
      </c>
      <c r="N49" t="str">
        <v/>
      </c>
      <c r="O49" t="str">
        <v/>
      </c>
      <c r="P49" t="str">
        <v/>
      </c>
      <c r="Q49" t="str">
        <v/>
      </c>
      <c r="R49" t="str">
        <v/>
      </c>
      <c r="S49" t="str">
        <v/>
      </c>
      <c r="T49" t="str">
        <v/>
      </c>
    </row>
    <row r="50" spans="1:20" x14ac:dyDescent="0.3">
      <c r="A50" t="str">
        <v>ПУ.0.03.1</v>
      </c>
      <c r="B50" t="str">
        <v>ЩСПЗ</v>
      </c>
      <c r="C50" t="str">
        <v>Вентилятор подпора воздуха</v>
      </c>
      <c r="D50" t="str">
        <v>ВВГнг(А)-FRLS (5х1,5)</v>
      </c>
      <c r="E50" t="str">
        <v/>
      </c>
      <c r="F50" t="str">
        <v/>
      </c>
      <c r="G50" t="str">
        <v/>
      </c>
      <c r="H50">
        <v>36</v>
      </c>
      <c r="I50" t="str">
        <v/>
      </c>
      <c r="J50" t="str">
        <v/>
      </c>
      <c r="K50" t="str">
        <v/>
      </c>
      <c r="L50" t="str">
        <v/>
      </c>
      <c r="M50" t="str">
        <v/>
      </c>
      <c r="N50" t="str">
        <v/>
      </c>
      <c r="O50" t="str">
        <v/>
      </c>
      <c r="P50" t="str">
        <v/>
      </c>
      <c r="Q50" t="str">
        <v/>
      </c>
      <c r="R50" t="str">
        <v/>
      </c>
      <c r="S50" t="str">
        <v/>
      </c>
      <c r="T50" t="str">
        <v/>
      </c>
    </row>
  </sheetData>
  <mergeCells count="11">
    <mergeCell ref="I3:K3"/>
    <mergeCell ref="I2:K2"/>
    <mergeCell ref="L2:L4"/>
    <mergeCell ref="M2:M4"/>
    <mergeCell ref="O2:T2"/>
    <mergeCell ref="A2:A4"/>
    <mergeCell ref="B2:C2"/>
    <mergeCell ref="B3:B4"/>
    <mergeCell ref="C3:C4"/>
    <mergeCell ref="D2:H2"/>
    <mergeCell ref="D3:H3"/>
  </mergeCells>
  <dataValidations count="1">
    <dataValidation type="list" allowBlank="1" showInputMessage="1" sqref="E1" xr:uid="{46CA3560-C4D4-4AFE-BD21-8FF3DB625139}">
      <formula1>Список_щитов</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9">
    <tabColor rgb="FF4F81BD"/>
  </sheetPr>
  <dimension ref="B1:AK47"/>
  <sheetViews>
    <sheetView topLeftCell="A52" workbookViewId="0">
      <selection activeCell="C11" sqref="C11"/>
    </sheetView>
  </sheetViews>
  <sheetFormatPr defaultRowHeight="14.4" x14ac:dyDescent="0.3"/>
  <cols>
    <col min="1" max="1" width="2.77734375" customWidth="1"/>
    <col min="2" max="2" width="7.77734375" customWidth="1"/>
    <col min="3" max="3" width="60.77734375" customWidth="1"/>
    <col min="4" max="4" width="22.77734375" customWidth="1"/>
    <col min="5" max="5" width="14.77734375" customWidth="1"/>
    <col min="6" max="6" width="12.77734375" customWidth="1"/>
    <col min="7" max="7" width="7.77734375" customWidth="1"/>
    <col min="8" max="8" width="8.77734375" customWidth="1"/>
    <col min="9" max="9" width="7.77734375" customWidth="1"/>
    <col min="10" max="10" width="26.77734375" customWidth="1"/>
    <col min="11" max="12" width="2.77734375" customWidth="1"/>
    <col min="13" max="13" width="10.77734375" customWidth="1"/>
    <col min="14" max="14" width="8.77734375" customWidth="1"/>
    <col min="15" max="15" width="48.77734375" customWidth="1"/>
    <col min="16" max="16" width="14.77734375" customWidth="1"/>
    <col min="17" max="17" width="12.77734375" customWidth="1"/>
    <col min="18" max="18" width="10.77734375" customWidth="1"/>
    <col min="19" max="19" width="7.77734375" customWidth="1"/>
    <col min="20" max="20" width="8.77734375" customWidth="1"/>
    <col min="21" max="21" width="18.77734375" customWidth="1"/>
    <col min="23" max="23" width="44.77734375" customWidth="1"/>
    <col min="24" max="25" width="12.77734375" customWidth="1"/>
    <col min="26" max="26" width="10.77734375" customWidth="1"/>
    <col min="27" max="27" width="7.77734375" customWidth="1"/>
    <col min="28" max="28" width="12.77734375" customWidth="1"/>
    <col min="29" max="29" width="8.77734375" customWidth="1"/>
    <col min="30" max="30" width="9.77734375" customWidth="1"/>
    <col min="32" max="32" width="6.77734375" customWidth="1"/>
    <col min="33" max="33" width="5.77734375" customWidth="1"/>
    <col min="34" max="34" width="52.77734375" customWidth="1"/>
    <col min="35" max="35" width="10.77734375" customWidth="1"/>
    <col min="36" max="37" width="8.77734375" customWidth="1"/>
  </cols>
  <sheetData>
    <row r="1" spans="2:37" ht="15" thickBot="1" x14ac:dyDescent="0.35">
      <c r="C1" s="127" t="s">
        <v>1323</v>
      </c>
      <c r="D1" s="128" t="s">
        <v>1306</v>
      </c>
      <c r="E1" s="120" t="s">
        <v>1325</v>
      </c>
      <c r="L1" s="137" t="str">
        <f>IF(D1="все","*",D1)</f>
        <v>*</v>
      </c>
      <c r="M1" s="36" t="s">
        <v>1326</v>
      </c>
      <c r="W1" s="36" t="s">
        <v>1330</v>
      </c>
      <c r="AF1" s="36" t="s">
        <v>1350</v>
      </c>
    </row>
    <row r="2" spans="2:37" ht="43.8" thickBot="1" x14ac:dyDescent="0.35">
      <c r="B2" s="9" t="s">
        <v>41</v>
      </c>
      <c r="C2" s="1" t="s">
        <v>42</v>
      </c>
      <c r="D2" s="1" t="s">
        <v>43</v>
      </c>
      <c r="E2" s="1" t="s">
        <v>44</v>
      </c>
      <c r="F2" s="1" t="s">
        <v>45</v>
      </c>
      <c r="G2" s="1" t="s">
        <v>49</v>
      </c>
      <c r="H2" s="1" t="s">
        <v>46</v>
      </c>
      <c r="I2" s="1" t="s">
        <v>47</v>
      </c>
      <c r="J2" s="10" t="s">
        <v>48</v>
      </c>
      <c r="M2" s="4" t="s">
        <v>4</v>
      </c>
      <c r="N2" s="4" t="s">
        <v>1327</v>
      </c>
      <c r="O2" s="4" t="s">
        <v>42</v>
      </c>
      <c r="P2" s="4" t="s">
        <v>1328</v>
      </c>
      <c r="Q2" s="4" t="s">
        <v>856</v>
      </c>
      <c r="R2" s="4" t="s">
        <v>1329</v>
      </c>
      <c r="S2" s="4" t="s">
        <v>643</v>
      </c>
      <c r="T2" s="4" t="s">
        <v>46</v>
      </c>
      <c r="U2" s="4" t="s">
        <v>48</v>
      </c>
      <c r="W2" s="4" t="s">
        <v>42</v>
      </c>
      <c r="X2" s="4" t="s">
        <v>1328</v>
      </c>
      <c r="Y2" s="4" t="s">
        <v>856</v>
      </c>
      <c r="Z2" s="4" t="s">
        <v>1329</v>
      </c>
      <c r="AA2" s="4" t="s">
        <v>643</v>
      </c>
      <c r="AB2" s="4" t="s">
        <v>1331</v>
      </c>
      <c r="AC2" s="4" t="s">
        <v>1332</v>
      </c>
      <c r="AD2" s="4" t="s">
        <v>1333</v>
      </c>
      <c r="AF2" s="4" t="s">
        <v>951</v>
      </c>
      <c r="AG2" s="4" t="s">
        <v>1313</v>
      </c>
      <c r="AH2" s="4" t="s">
        <v>6</v>
      </c>
      <c r="AI2" s="4" t="s">
        <v>856</v>
      </c>
      <c r="AJ2" s="4" t="s">
        <v>1329</v>
      </c>
      <c r="AK2" s="4" t="s">
        <v>1351</v>
      </c>
    </row>
    <row r="3" spans="2:37" x14ac:dyDescent="0.3">
      <c r="B3" t="str" cm="1">
        <f t="array" ref="B3:J47">_xlfn.LET(_xlpm.sel,Щит_спец,_xlpm.all,_xlpm.sel="*",_xlpm.bn,IF(_xlpm.all,"(весь объект)",_xlpm.sel),_xlpm.TX,_xlfn.LAMBDA(_xlpm.x,IF(_xlpm.x="","",_xlpm.x)),_xlpm.mt,Спец_вручную[Наименование и техническая характеристика],_xlpm.mr,IF(Спец_вручную[Раздел (1/2)]&amp;""="2",2,1),_xlpm.mok,(_xlpm.mt&lt;&gt;"")*IF(_xlpm.all,1,Спец_вручную[Щит]=_xlpm.sel),_xlpm.mv,_xlfn.HSTACK(_xlpm.TX(_xlpm.mt),_xlpm.TX(Спец_вручную[Тип, марка]),_xlpm.TX(Спец_вручную[Код]),_xlpm.TX(Спец_вручную[Завод]),_xlpm.TX(Спец_вручную[Ед.]),_xlpm.TX(Спец_вручную[Кол-во]),_xlfn.EXPAND({""},ROWS(_xlpm.mt),1,""),_xlpm.TX(Спец_вручную[Примечание])),_xlpm.mv_a,_xlfn._xlws.FILTER(_xlpm.mv,_xlpm.mok*(_xlpm.mr=1),""),_xlpm.mv_b,_xlfn._xlws.FILTER(_xlpm.mv,_xlpm.mok*(_xlpm.mr=2),""),_xlpm.sa,Спецификация_авто!$C$4:$J$160,_xlpm.ap,_xlfn._xlws.FILTER(_xlpm.TX(_xlpm.sa),INDEX(_xlpm.sa,0,1)&lt;&gt;"",""),_xlpm.mask,IF(_xlpm.all,1,--(Однолинейка!$A$3:$A$3000=_xlpm.sel)),_xlpm.hb,_xlfn.TOCOL(IF(_xlpm.mask,Однолинейка!$H$3:$H$3000,"")),_xlpm.hx,_xlfn._xlws.FILTER(_xlpm.hb,(_xlpm.hb&lt;&gt;"")*(COUNTIF(Каталог!$X$4:$X$500,_xlpm.hb)=0),""),_xlpm.hu,_xlfn.UNIQUE(_xlpm.hx),_xlpm.hn,_xlfn.MAP(_xlpm.hu,_xlfn.LAMBDA(_xlpm.x,SUM(--(_xlpm.hb=_xlpm.x)))),_xlpm.nb,IF(INDEX(_xlpm.hu,1)="","",_xlfn.HSTACK(IF(ISNUMBER(SEARCH("мА",_xlpm.hu)),"Автоматический выключатель дифференциального тока ","Автоматический выключатель ")&amp;_xlpm.hu,_xlpm.hu,_xlfn.EXPAND({""},ROWS(_xlpm.hu),2,""),_xlfn.EXPAND({"шт."},ROWS(_xlpm.hu),1,"шт."),_xlpm.hn,_xlfn.EXPAND({""},ROWS(_xlpm.hu),1,""),_xlfn.EXPAND({"нет в «Каталоге» — впишите артикул"},ROWS(_xlpm.hu),1,"нет в «Каталоге» — впишите артикул"))),_xlpm.ha,_xlfn.TOCOL(IF(_xlpm.mask,Однолинейка!$I$3:$K$3000,"")),_xlpm.ax,_xlfn._xlws.FILTER(_xlpm.ha,(_xlpm.ha&lt;&gt;"")*(COUNTIF(Каталог!$Z$4:$Z$500,_xlpm.ha)=0),""),_xlpm.au,_xlfn.UNIQUE(_xlpm.ax),_xlpm.an,_xlfn.MAP(_xlpm.au,_xlfn.LAMBDA(_xlpm.x,SUM(--(_xlpm.ha=_xlpm.x)))),_xlpm.na,IF(INDEX(_xlpm.au,1)="","",_xlfn.HSTACK(_xlpm.au,_xlpm.au,_xlfn.EXPAND({""},ROWS(_xlpm.au),2,""),_xlfn.EXPAND({"шт."},ROWS(_xlpm.au),1,"шт."),_xlpm.an,_xlfn.EXPAND({""},ROWS(_xlpm.au),1,""),_xlfn.EXPAND({"нет в «Каталоге» — впишите артикул"},ROWS(_xlpm.au),1,"нет в «Каталоге» — впишите артикул"))),_xlpm.m,(Линии[Номер линии]&lt;&gt;"")*(Линии[_кабель]&lt;&gt;"")*(1-(Линии[_ввод щита]=1)*(IFERROR(_xlfn.XLOOKUP(Линии[Щит],Щиты[Щит],Щиты[_строка фидера]),"")&lt;&gt;""))*IF(_xlpm.all,1,Линии[Щит]=_xlpm.sel),_xlpm.k,Линии[_кабель с сечением],_xlpm.dg_,ISNUMBER(--LEFT(_xlpm.k,1)),_xlpm.nl_,IFERROR(--_xlfn.TEXTBEFORE(_xlpm.k,"х"),""),_xlpm.nn,IF(_xlpm.dg_,IF(ISNUMBER(_xlpm.nl_),_xlpm.nl_,IFERROR(--LEFT(_xlpm.k,1),1)),1),_xlpm.bk,IF(_xlpm.dg_,IF(ISNUMBER(_xlpm.nl_),TRIM(_xlfn.TEXTAFTER(_xlpm.k,"х")),TRIM(MID(_xlpm.k,2,999))),_xlpm.k),_xlpm.lc,IFERROR(--Линии[Длина, м],0)*_xlpm.nn,_xlpm.cuu,_xlfn.UNIQUE(_xlfn._xlws.FILTER(_xlpm.bk,_xlpm.m,"")),_xlpm.lsum,IF(INDEX(_xlpm.cuu,1)="",0,_xlfn.MAP(_xlpm.cuu,_xlfn.LAMBDA(_xlpm.x,SUM(_xlpm.m*(_xlpm.bk=_xlpm.x)*_xlpm.lc)))),_xlpm.cu,_xlfn._xlws.FILTER(_xlpm.cuu,_xlpm.lsum&gt;0,""),_xlpm.cq,IF(INDEX(_xlpm.cu,1)="",0,_xlfn.CEILING.MATH(_xlfn._xlws.FILTER(_xlpm.lsum,_xlpm.lsum&gt;0,0)*(1+Запас_кабеля),10)),_xlpm.cbr,IFERROR(_xlfn.TEXTBEFORE(_xlpm.cu," ("),_xlpm.cu),_xlpm.cco,IFERROR(--_xlfn.TEXTBEFORE(_xlfn.TEXTAFTER(_xlpm.cu,"(",-1),"х"),0),_xlpm.cse,IFERROR(--_xlfn.TEXTBEFORE(_xlfn.TEXTAFTER(_xlpm.cu,"х",-1),")"),0),_xlpm.cb,IF(INDEX(_xlpm.cu,1)="","",_xlfn.SORTBY(_xlfn.HSTACK(IF(LEFT(_xlpm.cu,4)="ПуГВ","Провод ","Кабель ")&amp;_xlpm.cu,_xlpm.cu,_xlfn.EXPAND({""},ROWS(_xlpm.cu),2,""),_xlfn.EXPAND({"м"},ROWS(_xlpm.cu),1,"м"),_xlpm.cq,_xlfn.EXPAND({""},ROWS(_xlpm.cu),2,"")),_xlpm.cbr,1,_xlpm.cco,-1,_xlpm.cse,-1)),_xlpm.cs,Линии[_кабель с сечением],_xlpm.pv,IFERROR(--Линии[_гофра ПВХ],0)*_xlpm.m,_xlpm.pn,IFERROR(--Линии[_гофра ПНД],0)*_xlpm.m,_xlpm.dpv,IFERROR(VLOOKUP(_xlpm.cs,Кабель_диаметр,4,FALSE),"Ø?"),_xlpm.dpn,IFERROR(VLOOKUP(_xlpm.cs,Кабель_диаметр,5,FALSE),"Ø?"),_xlpm.tp,_xlfn.VSTACK(IF(_xlpm.pv&gt;0,"ПВХ|"&amp;_xlpm.dpv,""),IF(_xlpm.pn&gt;0,"ПНД|"&amp;_xlpm.dpn,"")),_xlpm.ln,_xlfn.VSTACK(_xlpm.pv,_xlpm.pn),_xlpm.u,_xlfn.UNIQUE(_xlfn._xlws.FILTER(_xlpm.tp,_xlpm.tp&lt;&gt;"","")),_xlpm.gt,IF(INDEX(_xlpm.u,1)="","",_xlfn.TEXTBEFORE(_xlpm.u,"|")),_xlpm.gd,IF(INDEX(_xlpm.u,1)="","",_xlfn.TEXTAFTER(_xlpm.u,"|")),_xlpm.gdn,IFERROR(--SUBSTITUTE(_xlpm.gd,"Ø",""),999),_xlpm.gs,IF(INDEX(_xlpm.u,1)="",0,_xlfn.MAP(_xlpm.u,_xlfn.LAMBDA(_xlpm.x,SUM((_xlpm.tp=_xlpm.x)*_xlpm.ln)))),_xlpm.gk,_xlpm.gt&amp;"|"&amp;_xlpm.gdn,_xlpm.tk,Гофра_изделия[Тип]&amp;"|"&amp;Гофра_изделия[Ø],_xlpm.gq,IF(INDEX(_xlpm.u,1)="",0,_xlfn.CEILING.MATH(_xlpm.gs*(1+Запас_кабеля),IFERROR(_xlfn.XLOOKUP(_xlpm.gk,_xlpm.tk,Гофра_изделия[Бухта, м]),10))),_xlpm.gn,IFERROR(_xlfn.XLOOKUP(_xlpm.gk,_xlpm.tk,Гофра_изделия[Наименование]),"Труба гофрированная "&amp;_xlpm.gt&amp;" "&amp;_xlpm.gd),_xlpm.gf,IF(INDEX(_xlpm.u,1)="","",_xlfn.SORTBY(_xlfn.HSTACK(_xlpm.gn,_xlpm.gt&amp;" "&amp;_xlpm.gd,IFERROR(_xlfn.XLOOKUP(_xlpm.gk,_xlpm.tk,Гофра_изделия[Код])&amp;"",""),IFERROR(_xlfn.XLOOKUP(_xlpm.gk,_xlpm.tk,Гофра_изделия[Завод])&amp;"",""),_xlfn.EXPAND({"м"},ROWS(_xlpm.u),1,"м"),_xlpm.gq,_xlfn.EXPAND({""},ROWS(_xlpm.u),2,"")),_xlpm.gt,1,_xlpm.gdn,1)),_xlpm.nq,_xlfn.MAP(Нормы_расхода[База],Нормы_расхода[На 1 м],Нормы_расхода[Кратность],_xlfn.LAMBDA(_xlpm.b,_xlpm.kk,_xlpm.rr,_xlfn.LET(_xlpm.v,IF(_xlpm.b="ПВХ все",SUM(_xlpm.gq*(_xlpm.gt="ПВХ")),IF(_xlpm.b="ПНД все",SUM(_xlpm.gq*(_xlpm.gt="ПНД")),IF(_xlpm.b="Кабель все",SUM(_xlpm.cq),SUM(_xlpm.gq*(_xlpm.gt&amp;" "&amp;_xlpm.gd=_xlpm.b))))),IF(OR(N(_xlpm.v)=0,N(_xlpm.kk)=0),0,_xlfn.CEILING.MATH(_xlpm.v*_xlpm.kk,IF(N(_xlpm.rr)&gt;0,_xlpm.rr,1)))))),_xlpm.nf,_xlfn._xlws.FILTER(_xlfn.HSTACK(_xlpm.TX(Нормы_расхода[Наименование и техническая характеристика]),_xlpm.TX(Нормы_расхода[Тип, марка]),_xlpm.TX(Нормы_расхода[Код]),_xlpm.TX(Нормы_расхода[Завод]),_xlpm.TX(Нормы_расхода[Ед.]),_xlpm.nq,_xlfn.EXPAND({""},ROWS(_xlpm.nq),2,"")),(_xlpm.nq&gt;0)*(Нормы_расхода[Наименование и техническая характеристика]&lt;&gt;""),""),_xlpm.CL,_xlfn.LAMBDA(_xlpm.a,_xlfn.LET(_xlpm.v,IFERROR(_xlpm.a,""),_xlfn._xlws.FILTER(_xlpm.v,INDEX(_xlpm.v,0,1)&lt;&gt;"",""))),_xlpm.sec_a,_xlpm.CL(_xlfn.VSTACK(_xlpm.mv_a,_xlpm.ap,_xlpm.nb,_xlpm.na)),_xlpm.sec_b,_xlpm.CL(_xlfn.VSTACK(_xlpm.cb,_xlpm.gf,_xlpm.nf,_xlpm.mv_b)),_xlpm.n_1,IF(INDEX(_xlpm.sec_a,1,1)="",0,ROWS(_xlpm.sec_a)),_xlpm.n_2,IF(INDEX(_xlpm.sec_b,1,1)="",0,ROWS(_xlpm.sec_b)),_xlpm.hd_a,_xlfn.HSTACK("1","Вводно-распределительное оборудование "&amp;_xlpm.bn,_xlfn.EXPAND({""},1,7,"")),_xlpm.hd_b,_xlfn.HSTACK("2","Кабельные изделия (кабель, провод, гофра, крепёж)",_xlfn.EXPAND({""},1,7,"")),_xlpm.rw_a,IF(_xlpm.n_1=0,_xlpm.hd_a,_xlfn.VSTACK(_xlpm.hd_a,_xlfn.HSTACK("1."&amp;_xlfn.SEQUENCE(_xlpm.n_1),_xlpm.sec_a))),_xlpm.rw_b,IF(_xlpm.n_2=0,_xlpm.hd_b,_xlfn.VSTACK(_xlpm.hd_b,_xlfn.HSTACK("2."&amp;_xlfn.SEQUENCE(_xlpm.n_2),_xlpm.sec_b))),IFERROR(_xlfn.VSTACK(_xlpm.rw_a,_xlpm.rw_b),""))</f>
        <v>1</v>
      </c>
      <c r="C3" t="str">
        <v>Вводно-распределительное оборудование (весь объект)</v>
      </c>
      <c r="D3" t="str">
        <v/>
      </c>
      <c r="E3" t="str">
        <v/>
      </c>
      <c r="F3" t="str">
        <v/>
      </c>
      <c r="G3" t="str">
        <v/>
      </c>
      <c r="H3" t="str">
        <v/>
      </c>
      <c r="I3" t="str">
        <v/>
      </c>
      <c r="J3" t="str">
        <v/>
      </c>
      <c r="W3" t="s">
        <v>1334</v>
      </c>
      <c r="Y3" t="s">
        <v>1335</v>
      </c>
      <c r="Z3" t="s">
        <v>285</v>
      </c>
      <c r="AA3" t="s">
        <v>288</v>
      </c>
      <c r="AB3" t="s">
        <v>1336</v>
      </c>
      <c r="AC3">
        <v>2</v>
      </c>
      <c r="AD3">
        <v>1</v>
      </c>
      <c r="AF3" t="s">
        <v>201</v>
      </c>
      <c r="AG3">
        <v>16</v>
      </c>
      <c r="AH3" t="s">
        <v>1352</v>
      </c>
      <c r="AJ3" t="s">
        <v>285</v>
      </c>
      <c r="AK3">
        <v>100</v>
      </c>
    </row>
    <row r="4" spans="2:37" x14ac:dyDescent="0.3">
      <c r="B4" t="str">
        <v>1.1</v>
      </c>
      <c r="C4" t="str">
        <v>Автоматический выключатель NB1-63 1P 10А 6кА х-ка C (DB)</v>
      </c>
      <c r="D4" t="str">
        <v/>
      </c>
      <c r="E4" t="str">
        <v>179614</v>
      </c>
      <c r="F4" t="str">
        <v>Chint</v>
      </c>
      <c r="G4" t="str">
        <v>шт.</v>
      </c>
      <c r="H4">
        <v>8</v>
      </c>
      <c r="I4" t="str">
        <v/>
      </c>
      <c r="J4" t="str">
        <v/>
      </c>
      <c r="W4" t="s">
        <v>1337</v>
      </c>
      <c r="Y4">
        <v>51025</v>
      </c>
      <c r="Z4" t="s">
        <v>285</v>
      </c>
      <c r="AA4" t="s">
        <v>288</v>
      </c>
      <c r="AB4" t="s">
        <v>1338</v>
      </c>
      <c r="AC4">
        <v>2</v>
      </c>
      <c r="AD4">
        <v>1</v>
      </c>
      <c r="AF4" t="s">
        <v>201</v>
      </c>
      <c r="AG4">
        <v>20</v>
      </c>
      <c r="AH4" t="s">
        <v>1353</v>
      </c>
      <c r="AI4">
        <v>91520</v>
      </c>
      <c r="AJ4" t="s">
        <v>285</v>
      </c>
      <c r="AK4">
        <v>100</v>
      </c>
    </row>
    <row r="5" spans="2:37" x14ac:dyDescent="0.3">
      <c r="B5" t="str">
        <v>1.2</v>
      </c>
      <c r="C5" t="str">
        <v>Автоматический выключатель NB1-63 1P 16А 6кА х-ка C (DB)</v>
      </c>
      <c r="D5" t="str">
        <v/>
      </c>
      <c r="E5" t="str">
        <v>179616</v>
      </c>
      <c r="F5" t="str">
        <v>Chint</v>
      </c>
      <c r="G5" t="str">
        <v>шт.</v>
      </c>
      <c r="H5">
        <v>4</v>
      </c>
      <c r="I5" t="str">
        <v/>
      </c>
      <c r="J5" t="str">
        <v/>
      </c>
      <c r="W5" t="s">
        <v>1339</v>
      </c>
      <c r="Z5" t="s">
        <v>285</v>
      </c>
      <c r="AA5" t="s">
        <v>288</v>
      </c>
      <c r="AB5" t="s">
        <v>1340</v>
      </c>
      <c r="AC5">
        <v>2</v>
      </c>
      <c r="AD5">
        <v>1</v>
      </c>
      <c r="AF5" t="s">
        <v>201</v>
      </c>
      <c r="AG5">
        <v>25</v>
      </c>
      <c r="AH5" t="s">
        <v>1354</v>
      </c>
      <c r="AI5">
        <v>91525</v>
      </c>
      <c r="AJ5" t="s">
        <v>285</v>
      </c>
      <c r="AK5">
        <v>50</v>
      </c>
    </row>
    <row r="6" spans="2:37" x14ac:dyDescent="0.3">
      <c r="B6" t="str">
        <v>1.3</v>
      </c>
      <c r="C6" t="str">
        <v>Автоматический выключатель NXB-125 3P C80 10кА х-ка C</v>
      </c>
      <c r="D6" t="str">
        <v/>
      </c>
      <c r="E6" t="str">
        <v>816139</v>
      </c>
      <c r="F6" t="str">
        <v>Chint</v>
      </c>
      <c r="G6" t="str">
        <v>шт.</v>
      </c>
      <c r="H6">
        <v>2</v>
      </c>
      <c r="I6" t="str">
        <v/>
      </c>
      <c r="J6" t="str">
        <v/>
      </c>
      <c r="W6" t="s">
        <v>1341</v>
      </c>
      <c r="Y6" t="s">
        <v>1342</v>
      </c>
      <c r="Z6" t="s">
        <v>1343</v>
      </c>
      <c r="AA6" t="s">
        <v>350</v>
      </c>
      <c r="AB6" t="s">
        <v>1344</v>
      </c>
      <c r="AC6">
        <v>2E-3</v>
      </c>
      <c r="AD6">
        <v>1</v>
      </c>
      <c r="AF6" t="s">
        <v>201</v>
      </c>
      <c r="AG6">
        <v>32</v>
      </c>
      <c r="AH6" t="s">
        <v>1355</v>
      </c>
      <c r="AJ6" t="s">
        <v>285</v>
      </c>
      <c r="AK6">
        <v>25</v>
      </c>
    </row>
    <row r="7" spans="2:37" x14ac:dyDescent="0.3">
      <c r="B7" t="str">
        <v>1.4</v>
      </c>
      <c r="C7" t="str">
        <v>Дифавтомат (АВДТ) NB1L 1P+N C16 30мА тип A 6кА</v>
      </c>
      <c r="D7" t="str">
        <v/>
      </c>
      <c r="E7" t="str">
        <v>203019</v>
      </c>
      <c r="F7" t="str">
        <v>Chint</v>
      </c>
      <c r="G7" t="str">
        <v>шт.</v>
      </c>
      <c r="H7">
        <v>5</v>
      </c>
      <c r="I7" t="str">
        <v/>
      </c>
      <c r="J7" t="str">
        <v/>
      </c>
      <c r="W7" t="s">
        <v>1345</v>
      </c>
      <c r="Y7" t="s">
        <v>1346</v>
      </c>
      <c r="Z7" t="s">
        <v>1343</v>
      </c>
      <c r="AA7" t="s">
        <v>288</v>
      </c>
      <c r="AB7" t="s">
        <v>1344</v>
      </c>
      <c r="AC7">
        <v>2E-3</v>
      </c>
      <c r="AD7">
        <v>1</v>
      </c>
      <c r="AF7" t="s">
        <v>201</v>
      </c>
      <c r="AG7">
        <v>40</v>
      </c>
      <c r="AH7" t="s">
        <v>1356</v>
      </c>
      <c r="AJ7" t="s">
        <v>285</v>
      </c>
      <c r="AK7">
        <v>15</v>
      </c>
    </row>
    <row r="8" spans="2:37" x14ac:dyDescent="0.3">
      <c r="B8" t="str">
        <v>1.5</v>
      </c>
      <c r="C8" t="str">
        <v>Дифавтомат (АВДТ) NB1L 1P+N C32 30мА тип A 6кА</v>
      </c>
      <c r="D8" t="str">
        <v/>
      </c>
      <c r="E8" t="str">
        <v>982114</v>
      </c>
      <c r="F8" t="str">
        <v>Chint</v>
      </c>
      <c r="G8" t="str">
        <v>шт.</v>
      </c>
      <c r="H8">
        <v>1</v>
      </c>
      <c r="I8" t="str">
        <v/>
      </c>
      <c r="J8" t="str">
        <v/>
      </c>
      <c r="W8" t="s">
        <v>1347</v>
      </c>
      <c r="Y8" t="s">
        <v>1348</v>
      </c>
      <c r="Z8" t="s">
        <v>285</v>
      </c>
      <c r="AA8" t="s">
        <v>288</v>
      </c>
      <c r="AB8" t="s">
        <v>1349</v>
      </c>
      <c r="AC8">
        <v>3.0000000000000001E-3</v>
      </c>
      <c r="AD8">
        <v>1</v>
      </c>
      <c r="AF8" t="s">
        <v>201</v>
      </c>
      <c r="AG8">
        <v>50</v>
      </c>
      <c r="AH8" t="s">
        <v>1357</v>
      </c>
      <c r="AJ8" t="s">
        <v>285</v>
      </c>
      <c r="AK8">
        <v>15</v>
      </c>
    </row>
    <row r="9" spans="2:37" x14ac:dyDescent="0.3">
      <c r="B9" t="str">
        <v>1.6</v>
      </c>
      <c r="C9" t="str">
        <v>Модуль защиты контактов MK-5-1</v>
      </c>
      <c r="D9" t="str">
        <v/>
      </c>
      <c r="E9" t="str">
        <v>EA06.002.001</v>
      </c>
      <c r="F9" t="str">
        <v>Россия</v>
      </c>
      <c r="G9" t="str">
        <v>шт.</v>
      </c>
      <c r="H9">
        <v>2</v>
      </c>
      <c r="I9" t="str">
        <v/>
      </c>
      <c r="J9" t="str">
        <v/>
      </c>
      <c r="AF9" t="s">
        <v>202</v>
      </c>
      <c r="AG9">
        <v>16</v>
      </c>
      <c r="AH9" t="s">
        <v>1358</v>
      </c>
      <c r="AJ9" t="s">
        <v>285</v>
      </c>
      <c r="AK9">
        <v>100</v>
      </c>
    </row>
    <row r="10" spans="2:37" x14ac:dyDescent="0.3">
      <c r="B10" t="str">
        <v>1.7</v>
      </c>
      <c r="C10" t="str">
        <v>Контактор модульный NCH8-40/40 40А 4НО AC220/230В</v>
      </c>
      <c r="D10" t="str">
        <v/>
      </c>
      <c r="E10" t="str">
        <v>256099</v>
      </c>
      <c r="F10" t="str">
        <v>Chint</v>
      </c>
      <c r="G10" t="str">
        <v>шт.</v>
      </c>
      <c r="H10">
        <v>1</v>
      </c>
      <c r="I10" t="str">
        <v/>
      </c>
      <c r="J10" t="str">
        <v/>
      </c>
      <c r="AF10" t="s">
        <v>202</v>
      </c>
      <c r="AG10">
        <v>20</v>
      </c>
      <c r="AH10" t="s">
        <v>1359</v>
      </c>
      <c r="AI10">
        <v>71520</v>
      </c>
      <c r="AJ10" t="s">
        <v>285</v>
      </c>
      <c r="AK10">
        <v>100</v>
      </c>
    </row>
    <row r="11" spans="2:37" x14ac:dyDescent="0.3">
      <c r="B11" t="str">
        <v>1.8</v>
      </c>
      <c r="C11" t="str">
        <v>Блок питания ARV-DRP480-PFC-24 (24V, 20A, 480W)</v>
      </c>
      <c r="D11" t="str">
        <v/>
      </c>
      <c r="E11" t="str">
        <v>040231</v>
      </c>
      <c r="F11" t="str">
        <v>Arlight</v>
      </c>
      <c r="G11" t="str">
        <v>шт.</v>
      </c>
      <c r="H11">
        <v>1</v>
      </c>
      <c r="I11" t="str">
        <v/>
      </c>
      <c r="J11" t="str">
        <v/>
      </c>
      <c r="AF11" t="s">
        <v>202</v>
      </c>
      <c r="AG11">
        <v>25</v>
      </c>
      <c r="AH11" t="s">
        <v>1360</v>
      </c>
      <c r="AI11">
        <v>71525</v>
      </c>
      <c r="AJ11" t="s">
        <v>285</v>
      </c>
      <c r="AK11">
        <v>50</v>
      </c>
    </row>
    <row r="12" spans="2:37" x14ac:dyDescent="0.3">
      <c r="B12" t="str">
        <v>1.9</v>
      </c>
      <c r="C12" t="str">
        <v>Блок питания ARV-DRP75-24 (24V, 3.15A, 75W)</v>
      </c>
      <c r="D12" t="str">
        <v/>
      </c>
      <c r="E12" t="str">
        <v>040232</v>
      </c>
      <c r="F12" t="str">
        <v>Arlight</v>
      </c>
      <c r="G12" t="str">
        <v>шт.</v>
      </c>
      <c r="H12">
        <v>2</v>
      </c>
      <c r="I12" t="str">
        <v/>
      </c>
      <c r="J12" t="str">
        <v/>
      </c>
      <c r="AF12" t="s">
        <v>202</v>
      </c>
      <c r="AG12">
        <v>32</v>
      </c>
      <c r="AH12" t="s">
        <v>1361</v>
      </c>
      <c r="AI12">
        <v>71532</v>
      </c>
      <c r="AJ12" t="s">
        <v>285</v>
      </c>
      <c r="AK12">
        <v>25</v>
      </c>
    </row>
    <row r="13" spans="2:37" x14ac:dyDescent="0.3">
      <c r="B13" t="str">
        <v>1.10</v>
      </c>
      <c r="C13" t="str">
        <v>Многофункциональный актуатор KNX</v>
      </c>
      <c r="D13" t="str">
        <v/>
      </c>
      <c r="E13" t="str">
        <v>ZIOMB16V3</v>
      </c>
      <c r="F13" t="str">
        <v>Zennio</v>
      </c>
      <c r="G13" t="str">
        <v>шт.</v>
      </c>
      <c r="H13">
        <v>1</v>
      </c>
      <c r="I13" t="str">
        <v/>
      </c>
      <c r="J13" t="str">
        <v/>
      </c>
      <c r="AF13" t="s">
        <v>202</v>
      </c>
      <c r="AG13">
        <v>40</v>
      </c>
      <c r="AH13" t="s">
        <v>1362</v>
      </c>
      <c r="AJ13" t="s">
        <v>285</v>
      </c>
      <c r="AK13">
        <v>15</v>
      </c>
    </row>
    <row r="14" spans="2:37" x14ac:dyDescent="0.3">
      <c r="B14" t="str">
        <v>1.11</v>
      </c>
      <c r="C14" t="str">
        <v>Диммер SMART-DALI-104-62-ADDR-DIM-DT6-DIN White (12-24V, 4x5A)</v>
      </c>
      <c r="D14" t="str">
        <v/>
      </c>
      <c r="E14" t="str">
        <v>028422</v>
      </c>
      <c r="F14" t="str">
        <v>Arlight</v>
      </c>
      <c r="G14" t="str">
        <v>шт.</v>
      </c>
      <c r="H14">
        <v>1</v>
      </c>
      <c r="I14" t="str">
        <v/>
      </c>
      <c r="J14" t="str">
        <v/>
      </c>
      <c r="AF14" t="s">
        <v>202</v>
      </c>
      <c r="AG14">
        <v>50</v>
      </c>
      <c r="AH14" t="s">
        <v>1363</v>
      </c>
      <c r="AJ14" t="s">
        <v>285</v>
      </c>
      <c r="AK14">
        <v>15</v>
      </c>
    </row>
    <row r="15" spans="2:37" x14ac:dyDescent="0.3">
      <c r="B15" t="str">
        <v>1.12</v>
      </c>
      <c r="C15" t="str">
        <v>Клемма трёхуровневая push-in, 6 точек, 2.5 кв.мм</v>
      </c>
      <c r="D15" t="str">
        <v/>
      </c>
      <c r="E15" t="str">
        <v>VPR-2.5-3L-GY</v>
      </c>
      <c r="F15" t="str">
        <v>DKC</v>
      </c>
      <c r="G15" t="str">
        <v>шт.</v>
      </c>
      <c r="H15">
        <v>43</v>
      </c>
      <c r="I15" t="str">
        <v/>
      </c>
      <c r="J15" t="str">
        <v/>
      </c>
    </row>
    <row r="16" spans="2:37" ht="18" customHeight="1" x14ac:dyDescent="0.3">
      <c r="B16" t="str">
        <v>1.13</v>
      </c>
      <c r="C16" t="str">
        <v>Клемма проходная push-in, 4 точки, 2.5 кв.мм, серая</v>
      </c>
      <c r="D16" t="str">
        <v/>
      </c>
      <c r="E16" t="str">
        <v>VPR-2.5-QUATTRO-GY</v>
      </c>
      <c r="F16" t="str">
        <v>DKC</v>
      </c>
      <c r="G16" t="str">
        <v>шт.</v>
      </c>
      <c r="H16">
        <v>14</v>
      </c>
      <c r="I16" t="str">
        <v/>
      </c>
      <c r="J16" t="str">
        <v/>
      </c>
    </row>
    <row r="17" spans="2:10" x14ac:dyDescent="0.3">
      <c r="B17" t="str">
        <v>1.14</v>
      </c>
      <c r="C17" t="str">
        <v>Автоматический выключатель 1P С6А</v>
      </c>
      <c r="D17" t="str">
        <v>1P С6А</v>
      </c>
      <c r="E17" t="str">
        <v/>
      </c>
      <c r="F17" t="str">
        <v/>
      </c>
      <c r="G17" t="str">
        <v>шт.</v>
      </c>
      <c r="H17">
        <v>11</v>
      </c>
      <c r="I17" t="str">
        <v/>
      </c>
      <c r="J17" t="str">
        <v>нет в «Каталоге» — впишите артикул</v>
      </c>
    </row>
    <row r="18" spans="2:10" x14ac:dyDescent="0.3">
      <c r="B18" t="str">
        <v>1.15</v>
      </c>
      <c r="C18" t="str">
        <v>Автоматический выключатель 3P С40А</v>
      </c>
      <c r="D18" t="str">
        <v>3P С40А</v>
      </c>
      <c r="E18" t="str">
        <v/>
      </c>
      <c r="F18" t="str">
        <v/>
      </c>
      <c r="G18" t="str">
        <v>шт.</v>
      </c>
      <c r="H18">
        <v>2</v>
      </c>
      <c r="I18" t="str">
        <v/>
      </c>
      <c r="J18" t="str">
        <v>нет в «Каталоге» — впишите артикул</v>
      </c>
    </row>
    <row r="19" spans="2:10" x14ac:dyDescent="0.3">
      <c r="B19" t="str">
        <v>1.16</v>
      </c>
      <c r="C19" t="str">
        <v>Автоматический выключатель 3P С25А</v>
      </c>
      <c r="D19" t="str">
        <v>3P С25А</v>
      </c>
      <c r="E19" t="str">
        <v/>
      </c>
      <c r="F19" t="str">
        <v/>
      </c>
      <c r="G19" t="str">
        <v>шт.</v>
      </c>
      <c r="H19">
        <v>2</v>
      </c>
      <c r="I19" t="str">
        <v/>
      </c>
      <c r="J19" t="str">
        <v>нет в «Каталоге» — впишите артикул</v>
      </c>
    </row>
    <row r="20" spans="2:10" x14ac:dyDescent="0.3">
      <c r="B20" t="str">
        <v>1.17</v>
      </c>
      <c r="C20" t="str">
        <v>Автоматический выключатель 3P С6А</v>
      </c>
      <c r="D20" t="str">
        <v>3P С6А</v>
      </c>
      <c r="E20" t="str">
        <v/>
      </c>
      <c r="F20" t="str">
        <v/>
      </c>
      <c r="G20" t="str">
        <v>шт.</v>
      </c>
      <c r="H20">
        <v>2</v>
      </c>
      <c r="I20" t="str">
        <v/>
      </c>
      <c r="J20" t="str">
        <v>нет в «Каталоге» — впишите артикул</v>
      </c>
    </row>
    <row r="21" spans="2:10" x14ac:dyDescent="0.3">
      <c r="B21" t="str">
        <v>1.18</v>
      </c>
      <c r="C21" t="str">
        <v>Автоматический выключатель дифференциального тока 2P С16А 10мА</v>
      </c>
      <c r="D21" t="str">
        <v>2P С16А 10мА</v>
      </c>
      <c r="E21" t="str">
        <v/>
      </c>
      <c r="F21" t="str">
        <v/>
      </c>
      <c r="G21" t="str">
        <v>шт.</v>
      </c>
      <c r="H21">
        <v>1</v>
      </c>
      <c r="I21" t="str">
        <v/>
      </c>
      <c r="J21" t="str">
        <v>нет в «Каталоге» — впишите артикул</v>
      </c>
    </row>
    <row r="22" spans="2:10" x14ac:dyDescent="0.3">
      <c r="B22" t="str">
        <v>1.19</v>
      </c>
      <c r="C22" t="str">
        <v>Автоматический выключатель 3P С10А</v>
      </c>
      <c r="D22" t="str">
        <v>3P С10А</v>
      </c>
      <c r="E22" t="str">
        <v/>
      </c>
      <c r="F22" t="str">
        <v/>
      </c>
      <c r="G22" t="str">
        <v>шт.</v>
      </c>
      <c r="H22">
        <v>5</v>
      </c>
      <c r="I22" t="str">
        <v/>
      </c>
      <c r="J22" t="str">
        <v>нет в «Каталоге» — впишите артикул</v>
      </c>
    </row>
    <row r="23" spans="2:10" x14ac:dyDescent="0.3">
      <c r="B23" t="str">
        <v>1.20</v>
      </c>
      <c r="C23" t="str">
        <v>Автоматический выключатель 3P С16А</v>
      </c>
      <c r="D23" t="str">
        <v>3P С16А</v>
      </c>
      <c r="E23" t="str">
        <v/>
      </c>
      <c r="F23" t="str">
        <v/>
      </c>
      <c r="G23" t="str">
        <v>шт.</v>
      </c>
      <c r="H23">
        <v>1</v>
      </c>
      <c r="I23" t="str">
        <v/>
      </c>
      <c r="J23" t="str">
        <v>нет в «Каталоге» — впишите артикул</v>
      </c>
    </row>
    <row r="24" spans="2:10" x14ac:dyDescent="0.3">
      <c r="B24" t="str">
        <v>1.21</v>
      </c>
      <c r="C24" t="str">
        <v>УЗО 2P 40А 30мА</v>
      </c>
      <c r="D24" t="str">
        <v>УЗО 2P 40А 30мА</v>
      </c>
      <c r="E24" t="str">
        <v/>
      </c>
      <c r="F24" t="str">
        <v/>
      </c>
      <c r="G24" t="str">
        <v>шт.</v>
      </c>
      <c r="H24">
        <v>1</v>
      </c>
      <c r="I24" t="str">
        <v/>
      </c>
      <c r="J24" t="str">
        <v>нет в «Каталоге» — впишите артикул</v>
      </c>
    </row>
    <row r="25" spans="2:10" x14ac:dyDescent="0.3">
      <c r="B25" t="str">
        <v>2</v>
      </c>
      <c r="C25" t="str">
        <v>Кабельные изделия (кабель, провод, гофра, крепёж)</v>
      </c>
      <c r="D25" t="str">
        <v/>
      </c>
      <c r="E25" t="str">
        <v/>
      </c>
      <c r="F25" t="str">
        <v/>
      </c>
      <c r="G25" t="str">
        <v/>
      </c>
      <c r="H25" t="str">
        <v/>
      </c>
      <c r="I25" t="str">
        <v/>
      </c>
      <c r="J25" t="str">
        <v/>
      </c>
    </row>
    <row r="26" spans="2:10" x14ac:dyDescent="0.3">
      <c r="B26" t="str">
        <v>2.1</v>
      </c>
      <c r="C26" t="str">
        <v>Кабель ВВГнг(А)-FRLS (5х1,5)</v>
      </c>
      <c r="D26" t="str">
        <v>ВВГнг(А)-FRLS (5х1,5)</v>
      </c>
      <c r="E26" t="str">
        <v/>
      </c>
      <c r="F26" t="str">
        <v/>
      </c>
      <c r="G26" t="str">
        <v>м</v>
      </c>
      <c r="H26">
        <v>50</v>
      </c>
      <c r="I26" t="str">
        <v/>
      </c>
      <c r="J26" t="str">
        <v/>
      </c>
    </row>
    <row r="27" spans="2:10" x14ac:dyDescent="0.3">
      <c r="B27" t="str">
        <v>2.2</v>
      </c>
      <c r="C27" t="str">
        <v>Кабель ВВГнг(А)-FRLS (3х1,5)</v>
      </c>
      <c r="D27" t="str">
        <v>ВВГнг(А)-FRLS (3х1,5)</v>
      </c>
      <c r="E27" t="str">
        <v/>
      </c>
      <c r="F27" t="str">
        <v/>
      </c>
      <c r="G27" t="str">
        <v>м</v>
      </c>
      <c r="H27">
        <v>50</v>
      </c>
      <c r="I27" t="str">
        <v/>
      </c>
      <c r="J27" t="str">
        <v/>
      </c>
    </row>
    <row r="28" spans="2:10" x14ac:dyDescent="0.3">
      <c r="B28" t="str">
        <v>2.3</v>
      </c>
      <c r="C28" t="str">
        <v>Кабель ВВГнг(А)-LS (5х10)</v>
      </c>
      <c r="D28" t="str">
        <v>ВВГнг(А)-LS (5х10)</v>
      </c>
      <c r="E28" t="str">
        <v/>
      </c>
      <c r="F28" t="str">
        <v/>
      </c>
      <c r="G28" t="str">
        <v>м</v>
      </c>
      <c r="H28">
        <v>30</v>
      </c>
      <c r="I28" t="str">
        <v/>
      </c>
      <c r="J28" t="str">
        <v/>
      </c>
    </row>
    <row r="29" spans="2:10" x14ac:dyDescent="0.3">
      <c r="B29" t="str">
        <v>2.4</v>
      </c>
      <c r="C29" t="str">
        <v>Кабель ВВГнг(А)-LS (5х4)</v>
      </c>
      <c r="D29" t="str">
        <v>ВВГнг(А)-LS (5х4)</v>
      </c>
      <c r="E29" t="str">
        <v/>
      </c>
      <c r="F29" t="str">
        <v/>
      </c>
      <c r="G29" t="str">
        <v>м</v>
      </c>
      <c r="H29">
        <v>50</v>
      </c>
      <c r="I29" t="str">
        <v/>
      </c>
      <c r="J29" t="str">
        <v/>
      </c>
    </row>
    <row r="30" spans="2:10" x14ac:dyDescent="0.3">
      <c r="B30" t="str">
        <v>2.5</v>
      </c>
      <c r="C30" t="str">
        <v>Кабель ВВГнг(А)-LS (5х2,5)</v>
      </c>
      <c r="D30" t="str">
        <v>ВВГнг(А)-LS (5х2,5)</v>
      </c>
      <c r="E30" t="str">
        <v/>
      </c>
      <c r="F30" t="str">
        <v/>
      </c>
      <c r="G30" t="str">
        <v>м</v>
      </c>
      <c r="H30">
        <v>40</v>
      </c>
      <c r="I30" t="str">
        <v/>
      </c>
      <c r="J30" t="str">
        <v/>
      </c>
    </row>
    <row r="31" spans="2:10" x14ac:dyDescent="0.3">
      <c r="B31" t="str">
        <v>2.6</v>
      </c>
      <c r="C31" t="str">
        <v>Кабель ВВГнг(А)-LS (5х1,5)</v>
      </c>
      <c r="D31" t="str">
        <v>ВВГнг(А)-LS (5х1,5)</v>
      </c>
      <c r="E31" t="str">
        <v/>
      </c>
      <c r="F31" t="str">
        <v/>
      </c>
      <c r="G31" t="str">
        <v>м</v>
      </c>
      <c r="H31">
        <v>80</v>
      </c>
      <c r="I31" t="str">
        <v/>
      </c>
      <c r="J31" t="str">
        <v/>
      </c>
    </row>
    <row r="32" spans="2:10" x14ac:dyDescent="0.3">
      <c r="B32" t="str">
        <v>2.7</v>
      </c>
      <c r="C32" t="str">
        <v>Кабель ВВГнг(А)-LS (3х10)</v>
      </c>
      <c r="D32" t="str">
        <v>ВВГнг(А)-LS (3х10)</v>
      </c>
      <c r="E32" t="str">
        <v/>
      </c>
      <c r="F32" t="str">
        <v/>
      </c>
      <c r="G32" t="str">
        <v>м</v>
      </c>
      <c r="H32">
        <v>180</v>
      </c>
      <c r="I32" t="str">
        <v/>
      </c>
      <c r="J32" t="str">
        <v/>
      </c>
    </row>
    <row r="33" spans="2:10" x14ac:dyDescent="0.3">
      <c r="B33" t="str">
        <v>2.8</v>
      </c>
      <c r="C33" t="str">
        <v>Кабель ВВГнг(А)-LS (3х6)</v>
      </c>
      <c r="D33" t="str">
        <v>ВВГнг(А)-LS (3х6)</v>
      </c>
      <c r="E33" t="str">
        <v/>
      </c>
      <c r="F33" t="str">
        <v/>
      </c>
      <c r="G33" t="str">
        <v>м</v>
      </c>
      <c r="H33">
        <v>20</v>
      </c>
      <c r="I33" t="str">
        <v/>
      </c>
      <c r="J33" t="str">
        <v/>
      </c>
    </row>
    <row r="34" spans="2:10" x14ac:dyDescent="0.3">
      <c r="B34" t="str">
        <v>2.9</v>
      </c>
      <c r="C34" t="str">
        <v>Кабель ВВГнг(А)-LS (3х4)</v>
      </c>
      <c r="D34" t="str">
        <v>ВВГнг(А)-LS (3х4)</v>
      </c>
      <c r="E34" t="str">
        <v/>
      </c>
      <c r="F34" t="str">
        <v/>
      </c>
      <c r="G34" t="str">
        <v>м</v>
      </c>
      <c r="H34">
        <v>10</v>
      </c>
      <c r="I34" t="str">
        <v/>
      </c>
      <c r="J34" t="str">
        <v/>
      </c>
    </row>
    <row r="35" spans="2:10" x14ac:dyDescent="0.3">
      <c r="B35" t="str">
        <v>2.10</v>
      </c>
      <c r="C35" t="str">
        <v>Кабель ВВГнг(А)-LS (3х2,5)</v>
      </c>
      <c r="D35" t="str">
        <v>ВВГнг(А)-LS (3х2,5)</v>
      </c>
      <c r="E35" t="str">
        <v/>
      </c>
      <c r="F35" t="str">
        <v/>
      </c>
      <c r="G35" t="str">
        <v>м</v>
      </c>
      <c r="H35">
        <v>190</v>
      </c>
      <c r="I35" t="str">
        <v/>
      </c>
      <c r="J35" t="str">
        <v/>
      </c>
    </row>
    <row r="36" spans="2:10" x14ac:dyDescent="0.3">
      <c r="B36" t="str">
        <v>2.11</v>
      </c>
      <c r="C36" t="str">
        <v>Кабель ВВГнг(А)-LS (3х1,5)</v>
      </c>
      <c r="D36" t="str">
        <v>ВВГнг(А)-LS (3х1,5)</v>
      </c>
      <c r="E36" t="str">
        <v/>
      </c>
      <c r="F36" t="str">
        <v/>
      </c>
      <c r="G36" t="str">
        <v>м</v>
      </c>
      <c r="H36">
        <v>280</v>
      </c>
      <c r="I36" t="str">
        <v/>
      </c>
      <c r="J36" t="str">
        <v/>
      </c>
    </row>
    <row r="37" spans="2:10" x14ac:dyDescent="0.3">
      <c r="B37" t="str">
        <v>2.12</v>
      </c>
      <c r="C37" t="str">
        <v>Кабель ВВГнг(А)-LS (2х16)</v>
      </c>
      <c r="D37" t="str">
        <v>ВВГнг(А)-LS (2х16)</v>
      </c>
      <c r="E37" t="str">
        <v/>
      </c>
      <c r="F37" t="str">
        <v/>
      </c>
      <c r="G37" t="str">
        <v>м</v>
      </c>
      <c r="H37">
        <v>60</v>
      </c>
      <c r="I37" t="str">
        <v/>
      </c>
      <c r="J37" t="str">
        <v/>
      </c>
    </row>
    <row r="38" spans="2:10" x14ac:dyDescent="0.3">
      <c r="B38" t="str">
        <v>2.13</v>
      </c>
      <c r="C38" t="str">
        <v>Кабель ВВГнг(А)-LS (2х10)</v>
      </c>
      <c r="D38" t="str">
        <v>ВВГнг(А)-LS (2х10)</v>
      </c>
      <c r="E38" t="str">
        <v/>
      </c>
      <c r="F38" t="str">
        <v/>
      </c>
      <c r="G38" t="str">
        <v>м</v>
      </c>
      <c r="H38">
        <v>50</v>
      </c>
      <c r="I38" t="str">
        <v/>
      </c>
      <c r="J38" t="str">
        <v/>
      </c>
    </row>
    <row r="39" spans="2:10" x14ac:dyDescent="0.3">
      <c r="B39" t="str">
        <v>2.14</v>
      </c>
      <c r="C39" t="str">
        <v>Кабель ВВГнг(А)-LS (2х6)</v>
      </c>
      <c r="D39" t="str">
        <v>ВВГнг(А)-LS (2х6)</v>
      </c>
      <c r="E39" t="str">
        <v/>
      </c>
      <c r="F39" t="str">
        <v/>
      </c>
      <c r="G39" t="str">
        <v>м</v>
      </c>
      <c r="H39">
        <v>40</v>
      </c>
      <c r="I39" t="str">
        <v/>
      </c>
      <c r="J39" t="str">
        <v/>
      </c>
    </row>
    <row r="40" spans="2:10" x14ac:dyDescent="0.3">
      <c r="B40" t="str">
        <v>2.15</v>
      </c>
      <c r="C40" t="str">
        <v>Кабель ВВГнг(А)-LS (2х4)</v>
      </c>
      <c r="D40" t="str">
        <v>ВВГнг(А)-LS (2х4)</v>
      </c>
      <c r="E40" t="str">
        <v/>
      </c>
      <c r="F40" t="str">
        <v/>
      </c>
      <c r="G40" t="str">
        <v>м</v>
      </c>
      <c r="H40">
        <v>30</v>
      </c>
      <c r="I40" t="str">
        <v/>
      </c>
      <c r="J40" t="str">
        <v/>
      </c>
    </row>
    <row r="41" spans="2:10" x14ac:dyDescent="0.3">
      <c r="B41" t="str">
        <v>2.16</v>
      </c>
      <c r="C41" t="str">
        <v>Кабель ВВГнг(А)-LS (2х1,5)</v>
      </c>
      <c r="D41" t="str">
        <v>ВВГнг(А)-LS (2х1,5)</v>
      </c>
      <c r="E41" t="str">
        <v/>
      </c>
      <c r="F41" t="str">
        <v/>
      </c>
      <c r="G41" t="str">
        <v>м</v>
      </c>
      <c r="H41">
        <v>40</v>
      </c>
      <c r="I41" t="str">
        <v/>
      </c>
      <c r="J41" t="str">
        <v/>
      </c>
    </row>
    <row r="42" spans="2:10" x14ac:dyDescent="0.3">
      <c r="B42" t="str">
        <v>2.17</v>
      </c>
      <c r="C42" t="str">
        <v>Труба ПВХ гибкая гофр. д.20мм, тяжёлая с протяжкой, 100м, цвет серый</v>
      </c>
      <c r="D42" t="str">
        <v>ПВХ Ø20</v>
      </c>
      <c r="E42" t="str">
        <v>91520</v>
      </c>
      <c r="F42" t="str">
        <v>DKC</v>
      </c>
      <c r="G42" t="str">
        <v>м</v>
      </c>
      <c r="H42">
        <v>100</v>
      </c>
      <c r="I42" t="str">
        <v/>
      </c>
      <c r="J42" t="str">
        <v/>
      </c>
    </row>
    <row r="43" spans="2:10" x14ac:dyDescent="0.3">
      <c r="B43" t="str">
        <v>2.18</v>
      </c>
      <c r="C43" t="str">
        <v>Труба ПНД гибкая гофр. д.20мм, тяжёлая с протяжкой, 100м, цвет оранжевый</v>
      </c>
      <c r="D43" t="str">
        <v>ПНД Ø20</v>
      </c>
      <c r="E43" t="str">
        <v>71520</v>
      </c>
      <c r="F43" t="str">
        <v>DKC</v>
      </c>
      <c r="G43" t="str">
        <v>м</v>
      </c>
      <c r="H43">
        <v>200</v>
      </c>
      <c r="I43" t="str">
        <v/>
      </c>
      <c r="J43" t="str">
        <v/>
      </c>
    </row>
    <row r="44" spans="2:10" x14ac:dyDescent="0.3">
      <c r="B44" t="str">
        <v>2.19</v>
      </c>
      <c r="C44" t="str">
        <v>Держатель-клипса для монтажного пистолета, д.20мм, серый</v>
      </c>
      <c r="D44" t="str">
        <v/>
      </c>
      <c r="E44" t="str">
        <v>51020M</v>
      </c>
      <c r="F44" t="str">
        <v>DKC</v>
      </c>
      <c r="G44" t="str">
        <v>шт.</v>
      </c>
      <c r="H44">
        <v>200</v>
      </c>
      <c r="I44" t="str">
        <v/>
      </c>
      <c r="J44" t="str">
        <v/>
      </c>
    </row>
    <row r="45" spans="2:10" x14ac:dyDescent="0.3">
      <c r="B45" t="str">
        <v>2.20</v>
      </c>
      <c r="C45" t="str">
        <v>Гвозди кассетные для гвоздезабивного пистолета 3,05х32 мм, упак. 1000 шт.</v>
      </c>
      <c r="D45" t="str">
        <v/>
      </c>
      <c r="E45" t="str">
        <v>30532stepEG</v>
      </c>
      <c r="F45" t="str">
        <v>TOUA</v>
      </c>
      <c r="G45" t="str">
        <v>упак.</v>
      </c>
      <c r="H45">
        <v>1</v>
      </c>
      <c r="I45" t="str">
        <v/>
      </c>
      <c r="J45" t="str">
        <v/>
      </c>
    </row>
    <row r="46" spans="2:10" x14ac:dyDescent="0.3">
      <c r="B46" t="str">
        <v>2.21</v>
      </c>
      <c r="C46" t="str">
        <v>Баллон газовый на 1000 гвоздей</v>
      </c>
      <c r="D46" t="str">
        <v/>
      </c>
      <c r="E46" t="str">
        <v>toua-fcg</v>
      </c>
      <c r="F46" t="str">
        <v>TOUA</v>
      </c>
      <c r="G46" t="str">
        <v>шт.</v>
      </c>
      <c r="H46">
        <v>1</v>
      </c>
      <c r="I46" t="str">
        <v/>
      </c>
      <c r="J46" t="str">
        <v/>
      </c>
    </row>
    <row r="47" spans="2:10" x14ac:dyDescent="0.3">
      <c r="B47" t="str">
        <v>2.22</v>
      </c>
      <c r="C47" t="str">
        <v>Лента монтажная перфорированная, 25х0,8</v>
      </c>
      <c r="D47" t="str">
        <v/>
      </c>
      <c r="E47" t="str">
        <v>CM610050</v>
      </c>
      <c r="F47" t="str">
        <v>DKC</v>
      </c>
      <c r="G47" t="str">
        <v>шт.</v>
      </c>
      <c r="H47">
        <v>1</v>
      </c>
      <c r="I47" t="str">
        <v/>
      </c>
      <c r="J47" t="str">
        <v/>
      </c>
    </row>
  </sheetData>
  <phoneticPr fontId="3" type="noConversion"/>
  <dataValidations count="4">
    <dataValidation type="list" allowBlank="1" showInputMessage="1" sqref="D1" xr:uid="{33307250-0CE2-41B3-A0E4-EFBDF84CE183}">
      <formula1>Список_щитов</formula1>
    </dataValidation>
    <dataValidation type="list" allowBlank="1" showInputMessage="1" sqref="M3" xr:uid="{E468A687-CC9E-47E2-9937-86F6E27BF984}">
      <formula1>Список_щитов</formula1>
    </dataValidation>
    <dataValidation type="list" allowBlank="1" showInputMessage="1" sqref="N3" xr:uid="{6E5DD18D-6787-4184-ACAA-164CD8C0982F}">
      <formula1>"1,2"</formula1>
    </dataValidation>
    <dataValidation type="list" allowBlank="1" showInputMessage="1" sqref="AB3:AB8" xr:uid="{ED6EC33A-9DFD-4C5A-A8BE-2EEC5FAB0067}">
      <formula1>"ПВХ все,ПНД все,Кабель все,ПВХ Ø16,ПВХ Ø20,ПВХ Ø25,ПВХ Ø32,ПВХ Ø40,ПВХ Ø50,ПНД Ø16,ПНД Ø20,ПНД Ø25,ПНД Ø32,ПНД Ø40,ПНД Ø50"</formula1>
    </dataValidation>
  </dataValidations>
  <pageMargins left="0.7" right="0.7" top="0.75" bottom="0.75" header="0.3" footer="0.3"/>
  <pageSetup paperSize="9" orientation="portrait"/>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0">
    <tabColor rgb="FF4F81BD"/>
  </sheetPr>
  <dimension ref="A1:F104"/>
  <sheetViews>
    <sheetView workbookViewId="0">
      <pane ySplit="2" topLeftCell="A3" activePane="bottomLeft" state="frozen"/>
      <selection pane="bottomLeft"/>
    </sheetView>
  </sheetViews>
  <sheetFormatPr defaultRowHeight="14.4" x14ac:dyDescent="0.3"/>
  <cols>
    <col min="1" max="1" width="5.77734375" customWidth="1"/>
    <col min="2" max="2" width="12.77734375" customWidth="1"/>
    <col min="3" max="3" width="16.77734375" customWidth="1"/>
    <col min="4" max="4" width="46.77734375" customWidth="1"/>
    <col min="5" max="5" width="16.77734375" customWidth="1"/>
    <col min="6" max="6" width="50.77734375" customWidth="1"/>
  </cols>
  <sheetData>
    <row r="1" spans="1:6" x14ac:dyDescent="0.3">
      <c r="A1" s="36" t="s">
        <v>1377</v>
      </c>
    </row>
    <row r="3" spans="1:6" x14ac:dyDescent="0.3">
      <c r="A3" s="121" t="s">
        <v>657</v>
      </c>
      <c r="B3" s="121" t="s">
        <v>4</v>
      </c>
      <c r="C3" s="121" t="s">
        <v>1378</v>
      </c>
      <c r="D3" s="121" t="s">
        <v>1379</v>
      </c>
      <c r="E3" s="121" t="s">
        <v>445</v>
      </c>
      <c r="F3" s="121" t="s">
        <v>6</v>
      </c>
    </row>
    <row r="4" spans="1:6" x14ac:dyDescent="0.3">
      <c r="A4" cm="1">
        <f t="array" ref="A4:F104">_xlfn.LET(_xlpm.kk,_xlfn.TOCOL(_xlfn.HSTACK(Линии[_бирка 1],Линии[_бирка 2],Линии[_бирка 3],Линии[_бирка 4],Линии[_бирка 5],Линии[_бирка 6]),1),_xlpm.ii,_xlfn.TOCOL(_xlfn.HSTACK(Линии[_бирка 1 линия],Линии[_бирка 2 линия],Линии[_бирка 3 линия],Линии[_бирка 4 линия],Линии[_бирка 5 линия],Линии[_бирка 6 линия]),1),IF(ROWS(_xlpm.kk)=0,"нет",_xlfn.LET(_xlpm.u,_xlfn.UNIQUE(_xlpm.kk),_xlpm.inf,_xlfn.XLOOKUP(_xlpm.u,_xlpm.kk,_xlpm.ii),_xlfn.HSTACK(_xlfn.SEQUENCE(ROWS(_xlpm.u)),_xlfn.TEXTBEFORE(_xlpm.u,"¦"),_xlfn.TEXTBEFORE(_xlfn.TEXTAFTER(_xlpm.u,"¦"),"¦"),_xlfn.TEXTAFTER(_xlpm.u,"¦",2),_xlfn.TEXTBEFORE(_xlpm.inf,"¦"),_xlfn.TEXTAFTER(_xlpm.inf,"¦")))))</f>
        <v>1</v>
      </c>
      <c r="B4" t="e">
        <v>#N/A</v>
      </c>
      <c r="C4" t="e">
        <v>#N/A</v>
      </c>
      <c r="D4" t="e">
        <v>#VALUE!</v>
      </c>
      <c r="E4" t="e">
        <v>#N/A</v>
      </c>
      <c r="F4" t="e">
        <v>#N/A</v>
      </c>
    </row>
    <row r="5" spans="1:6" x14ac:dyDescent="0.3">
      <c r="A5">
        <v>2</v>
      </c>
      <c r="B5" t="str">
        <v>ВРУ</v>
      </c>
      <c r="C5" t="str">
        <v>QF1</v>
      </c>
      <c r="D5" t="str">
        <v>XT1</v>
      </c>
      <c r="E5" t="str">
        <v>АСУ.0.001.1</v>
      </c>
      <c r="F5" t="str">
        <v>Питание автоматики АВР</v>
      </c>
    </row>
    <row r="6" spans="1:6" x14ac:dyDescent="0.3">
      <c r="A6">
        <v>3</v>
      </c>
      <c r="B6" t="str">
        <v>ВРУ</v>
      </c>
      <c r="C6" t="str">
        <v>XT1</v>
      </c>
      <c r="D6" t="str">
        <v>кабель ВВГнг(А)-LS (3х1,5) → Питание автоматики АВР</v>
      </c>
      <c r="E6" t="str">
        <v>АСУ.0.001.1</v>
      </c>
      <c r="F6" t="str">
        <v>Питание автоматики АВР</v>
      </c>
    </row>
    <row r="7" spans="1:6" x14ac:dyDescent="0.3">
      <c r="A7">
        <v>4</v>
      </c>
      <c r="B7" t="str">
        <v>ВРУ</v>
      </c>
      <c r="C7" t="str">
        <v>QFD2</v>
      </c>
      <c r="D7" t="str">
        <v>XT2</v>
      </c>
      <c r="E7" t="str">
        <v>R.0.004.1</v>
      </c>
      <c r="F7" t="str">
        <v>Розетки техпомещения</v>
      </c>
    </row>
    <row r="8" spans="1:6" x14ac:dyDescent="0.3">
      <c r="A8">
        <v>5</v>
      </c>
      <c r="B8" t="str">
        <v>ВРУ</v>
      </c>
      <c r="C8" t="str">
        <v>XT2</v>
      </c>
      <c r="D8" t="str">
        <v>кабель ВВГнг(А)-LS (3х2,5) → Розетки техпомещения</v>
      </c>
      <c r="E8" t="str">
        <v>R.0.004.1</v>
      </c>
      <c r="F8" t="str">
        <v>Розетки техпомещения</v>
      </c>
    </row>
    <row r="9" spans="1:6" x14ac:dyDescent="0.3">
      <c r="A9">
        <v>6</v>
      </c>
      <c r="B9" t="str">
        <v>ВРУ</v>
      </c>
      <c r="C9" t="str">
        <v>QF3</v>
      </c>
      <c r="D9" t="str">
        <v>XT3</v>
      </c>
      <c r="E9" t="str">
        <v>ЩР-1</v>
      </c>
      <c r="F9" t="str">
        <v>Щит ЩР-1</v>
      </c>
    </row>
    <row r="10" spans="1:6" x14ac:dyDescent="0.3">
      <c r="A10">
        <v>7</v>
      </c>
      <c r="B10" t="str">
        <v>ВРУ</v>
      </c>
      <c r="C10" t="str">
        <v>XT3</v>
      </c>
      <c r="D10" t="str">
        <v>кабель ВВГнг(А)-LS (5х10) → Щит ЩР-1</v>
      </c>
      <c r="E10" t="str">
        <v>ЩР-1</v>
      </c>
      <c r="F10" t="str">
        <v>Щит ЩР-1</v>
      </c>
    </row>
    <row r="11" spans="1:6" x14ac:dyDescent="0.3">
      <c r="A11">
        <v>8</v>
      </c>
      <c r="B11" t="str">
        <v>ВРУ</v>
      </c>
      <c r="C11" t="str">
        <v>QF4</v>
      </c>
      <c r="D11" t="str">
        <v>XT4</v>
      </c>
      <c r="E11" t="str">
        <v>ЩС</v>
      </c>
      <c r="F11" t="str">
        <v>Щит ЩС</v>
      </c>
    </row>
    <row r="12" spans="1:6" x14ac:dyDescent="0.3">
      <c r="A12">
        <v>9</v>
      </c>
      <c r="B12" t="str">
        <v>ВРУ</v>
      </c>
      <c r="C12" t="str">
        <v>XT4</v>
      </c>
      <c r="D12" t="str">
        <v>кабель ВВГнг(А)-LS (5х4) → Щит ЩС</v>
      </c>
      <c r="E12" t="str">
        <v>ЩС</v>
      </c>
      <c r="F12" t="str">
        <v>Щит ЩС</v>
      </c>
    </row>
    <row r="13" spans="1:6" x14ac:dyDescent="0.3">
      <c r="A13">
        <v>10</v>
      </c>
      <c r="B13" t="str">
        <v>ВРУ</v>
      </c>
      <c r="C13" t="str">
        <v>QF5</v>
      </c>
      <c r="D13" t="str">
        <v>XT5</v>
      </c>
      <c r="E13" t="str">
        <v>ЩГП</v>
      </c>
      <c r="F13" t="str">
        <v>Щит ЩГП</v>
      </c>
    </row>
    <row r="14" spans="1:6" x14ac:dyDescent="0.3">
      <c r="A14">
        <v>11</v>
      </c>
      <c r="B14" t="str">
        <v>ВРУ</v>
      </c>
      <c r="C14" t="str">
        <v>XT5</v>
      </c>
      <c r="D14" t="str">
        <v>кабель ВВГнг(А)-LS (5х1,5) → Щит ЩГП</v>
      </c>
      <c r="E14" t="str">
        <v>ЩГП</v>
      </c>
      <c r="F14" t="str">
        <v>Щит ЩГП</v>
      </c>
    </row>
    <row r="15" spans="1:6" x14ac:dyDescent="0.3">
      <c r="A15">
        <v>12</v>
      </c>
      <c r="B15" t="str">
        <v>ВРУ</v>
      </c>
      <c r="C15" t="str">
        <v>QF6</v>
      </c>
      <c r="D15" t="str">
        <v>XT6</v>
      </c>
      <c r="E15" t="str">
        <v>ЩСПЗ.1</v>
      </c>
      <c r="F15" t="str">
        <v>Щит СПЗ, ввод 1</v>
      </c>
    </row>
    <row r="16" spans="1:6" x14ac:dyDescent="0.3">
      <c r="A16">
        <v>13</v>
      </c>
      <c r="B16" t="str">
        <v>ВРУ</v>
      </c>
      <c r="C16" t="str">
        <v>XT6</v>
      </c>
      <c r="D16" t="str">
        <v>кабель ВВГнг(А)-FRLS (3х1,5) → Щит СПЗ, ввод 1</v>
      </c>
      <c r="E16" t="str">
        <v>ЩСПЗ.1</v>
      </c>
      <c r="F16" t="str">
        <v>Щит СПЗ, ввод 1</v>
      </c>
    </row>
    <row r="17" spans="1:6" x14ac:dyDescent="0.3">
      <c r="A17">
        <v>14</v>
      </c>
      <c r="B17" t="str">
        <v>ВРУ</v>
      </c>
      <c r="C17" t="str">
        <v>QF7</v>
      </c>
      <c r="D17" t="str">
        <v>XT7</v>
      </c>
      <c r="E17" t="str">
        <v>ЩСПЗ.2</v>
      </c>
      <c r="F17" t="str">
        <v>Щит СПЗ, ввод 2 (резерв)</v>
      </c>
    </row>
    <row r="18" spans="1:6" x14ac:dyDescent="0.3">
      <c r="A18">
        <v>15</v>
      </c>
      <c r="B18" t="str">
        <v>ВРУ</v>
      </c>
      <c r="C18" t="str">
        <v>XT7</v>
      </c>
      <c r="D18" t="str">
        <v>кабель ВВГнг(А)-FRLS (3х1,5) → Щит СПЗ, ввод 2 (резерв)</v>
      </c>
      <c r="E18" t="str">
        <v>ЩСПЗ.2</v>
      </c>
      <c r="F18" t="str">
        <v>Щит СПЗ, ввод 2 (резерв)</v>
      </c>
    </row>
    <row r="19" spans="1:6" x14ac:dyDescent="0.3">
      <c r="A19">
        <v>16</v>
      </c>
      <c r="B19" t="str">
        <v>ВРУ</v>
      </c>
      <c r="C19" t="str">
        <v>QF8</v>
      </c>
      <c r="D19" t="str">
        <v>XT8</v>
      </c>
      <c r="E19" t="str">
        <v>КМН.0.001.1</v>
      </c>
      <c r="F19" t="str">
        <v>Электрокамин, пом. 001</v>
      </c>
    </row>
    <row r="20" spans="1:6" x14ac:dyDescent="0.3">
      <c r="A20">
        <v>17</v>
      </c>
      <c r="B20" t="str">
        <v>ВРУ</v>
      </c>
      <c r="C20" t="str">
        <v>XT8</v>
      </c>
      <c r="D20" t="str">
        <v>кабель ВВГнг(А)-LS (3х1,5) → Электрокамин, пом. 001</v>
      </c>
      <c r="E20" t="str">
        <v>КМН.0.001.1</v>
      </c>
      <c r="F20" t="str">
        <v>Электрокамин, пом. 001</v>
      </c>
    </row>
    <row r="21" spans="1:6" x14ac:dyDescent="0.3">
      <c r="A21">
        <v>18</v>
      </c>
      <c r="B21" t="str">
        <v>ВРУ</v>
      </c>
      <c r="C21" t="str">
        <v>QFD9</v>
      </c>
      <c r="D21" t="str">
        <v>XT9</v>
      </c>
      <c r="E21" t="str">
        <v>ПН.0.002.1</v>
      </c>
      <c r="F21" t="str">
        <v>Проточный водонагреватель, пом. 002</v>
      </c>
    </row>
    <row r="22" spans="1:6" x14ac:dyDescent="0.3">
      <c r="A22">
        <v>19</v>
      </c>
      <c r="B22" t="str">
        <v>ВРУ</v>
      </c>
      <c r="C22" t="str">
        <v>XT9</v>
      </c>
      <c r="D22" t="str">
        <v>кабель ВВГнг(А)-LS (3х6) → Проточный водонагреватель, пом. 002</v>
      </c>
      <c r="E22" t="str">
        <v>ПН.0.002.1</v>
      </c>
      <c r="F22" t="str">
        <v>Проточный водонагреватель, пом. 002</v>
      </c>
    </row>
    <row r="23" spans="1:6" x14ac:dyDescent="0.3">
      <c r="A23">
        <v>20</v>
      </c>
      <c r="B23" t="str">
        <v>ВРУ</v>
      </c>
      <c r="C23" t="str">
        <v>QF10</v>
      </c>
      <c r="D23" t="str">
        <v>XT11</v>
      </c>
      <c r="E23" t="str">
        <v>ЩБП</v>
      </c>
      <c r="F23" t="str">
        <v>Щит блоков питания LED</v>
      </c>
    </row>
    <row r="24" spans="1:6" x14ac:dyDescent="0.3">
      <c r="A24">
        <v>21</v>
      </c>
      <c r="B24" t="str">
        <v>ВРУ</v>
      </c>
      <c r="C24" t="str">
        <v>XT11</v>
      </c>
      <c r="D24" t="str">
        <v>кабель ВВГнг(А)-LS (3х1,5) → Щит блоков питания LED</v>
      </c>
      <c r="E24" t="str">
        <v>ЩБП</v>
      </c>
      <c r="F24" t="str">
        <v>Щит блоков питания LED</v>
      </c>
    </row>
    <row r="25" spans="1:6" x14ac:dyDescent="0.3">
      <c r="A25">
        <v>22</v>
      </c>
      <c r="B25" t="str">
        <v>ЩБП</v>
      </c>
      <c r="C25" t="str">
        <v>QF1</v>
      </c>
      <c r="D25" t="str">
        <v>МК-5-1</v>
      </c>
      <c r="E25" t="str">
        <v>LD.1.01.1</v>
      </c>
      <c r="F25" t="str">
        <v>LED-лента 24 В, пом. 01</v>
      </c>
    </row>
    <row r="26" spans="1:6" x14ac:dyDescent="0.3">
      <c r="A26">
        <v>23</v>
      </c>
      <c r="B26" t="str">
        <v>ЩБП</v>
      </c>
      <c r="C26" t="str">
        <v>МК-5-1</v>
      </c>
      <c r="D26" t="str">
        <v>БП 24V 480W</v>
      </c>
      <c r="E26" t="str">
        <v>LD.1.01.1</v>
      </c>
      <c r="F26" t="str">
        <v>LED-лента 24 В, пом. 01</v>
      </c>
    </row>
    <row r="27" spans="1:6" x14ac:dyDescent="0.3">
      <c r="A27">
        <v>24</v>
      </c>
      <c r="B27" t="str">
        <v>ЩБП</v>
      </c>
      <c r="C27" t="str">
        <v>БП 24V 480W</v>
      </c>
      <c r="D27" t="str">
        <v>Di.1 к.1</v>
      </c>
      <c r="E27" t="str">
        <v>LD.1.01.1</v>
      </c>
      <c r="F27" t="str">
        <v>LED-лента 24 В, пом. 01</v>
      </c>
    </row>
    <row r="28" spans="1:6" x14ac:dyDescent="0.3">
      <c r="A28">
        <v>25</v>
      </c>
      <c r="B28" t="str">
        <v>ЩБП</v>
      </c>
      <c r="C28" t="str">
        <v>Di.1 к.1</v>
      </c>
      <c r="D28" t="str">
        <v>XT1</v>
      </c>
      <c r="E28" t="str">
        <v>LD.1.01.1</v>
      </c>
      <c r="F28" t="str">
        <v>LED-лента 24 В, пом. 01</v>
      </c>
    </row>
    <row r="29" spans="1:6" x14ac:dyDescent="0.3">
      <c r="A29">
        <v>26</v>
      </c>
      <c r="B29" t="str">
        <v>ЩБП</v>
      </c>
      <c r="C29" t="str">
        <v>XT1</v>
      </c>
      <c r="D29" t="str">
        <v>кабель ВВГнг(А)-LS (2х4) → LED-лента 24 В, пом. 01</v>
      </c>
      <c r="E29" t="str">
        <v>LD.1.01.1</v>
      </c>
      <c r="F29" t="str">
        <v>LED-лента 24 В, пом. 01</v>
      </c>
    </row>
    <row r="30" spans="1:6" x14ac:dyDescent="0.3">
      <c r="A30">
        <v>27</v>
      </c>
      <c r="B30" t="str">
        <v>ЩБП</v>
      </c>
      <c r="C30" t="str">
        <v>БП 24V 480W</v>
      </c>
      <c r="D30" t="str">
        <v>Di.1 к.2</v>
      </c>
      <c r="E30" t="str">
        <v>LD.1.01.2</v>
      </c>
      <c r="F30" t="str">
        <v>LED-лента 24 В, пом. 01</v>
      </c>
    </row>
    <row r="31" spans="1:6" x14ac:dyDescent="0.3">
      <c r="A31">
        <v>28</v>
      </c>
      <c r="B31" t="str">
        <v>ЩБП</v>
      </c>
      <c r="C31" t="str">
        <v>Di.1 к.2</v>
      </c>
      <c r="D31" t="str">
        <v>XT2</v>
      </c>
      <c r="E31" t="str">
        <v>LD.1.01.2</v>
      </c>
      <c r="F31" t="str">
        <v>LED-лента 24 В, пом. 01</v>
      </c>
    </row>
    <row r="32" spans="1:6" x14ac:dyDescent="0.3">
      <c r="A32">
        <v>29</v>
      </c>
      <c r="B32" t="str">
        <v>ЩБП</v>
      </c>
      <c r="C32" t="str">
        <v>XT2</v>
      </c>
      <c r="D32" t="str">
        <v>кабель ВВГнг(А)-LS (2х6) → LED-лента 24 В, пом. 01</v>
      </c>
      <c r="E32" t="str">
        <v>LD.1.01.2</v>
      </c>
      <c r="F32" t="str">
        <v>LED-лента 24 В, пом. 01</v>
      </c>
    </row>
    <row r="33" spans="1:6" x14ac:dyDescent="0.3">
      <c r="A33">
        <v>30</v>
      </c>
      <c r="B33" t="str">
        <v>ЩБП</v>
      </c>
      <c r="C33" t="str">
        <v>БП 24V 480W</v>
      </c>
      <c r="D33" t="str">
        <v>Di.1 к.3</v>
      </c>
      <c r="E33" t="str">
        <v>LD.1.02.1</v>
      </c>
      <c r="F33" t="str">
        <v>LED-лента 24 В, пом. 02</v>
      </c>
    </row>
    <row r="34" spans="1:6" x14ac:dyDescent="0.3">
      <c r="A34">
        <v>31</v>
      </c>
      <c r="B34" t="str">
        <v>ЩБП</v>
      </c>
      <c r="C34" t="str">
        <v>Di.1 к.3</v>
      </c>
      <c r="D34" t="str">
        <v>XT3</v>
      </c>
      <c r="E34" t="str">
        <v>LD.1.02.1</v>
      </c>
      <c r="F34" t="str">
        <v>LED-лента 24 В, пом. 02</v>
      </c>
    </row>
    <row r="35" spans="1:6" x14ac:dyDescent="0.3">
      <c r="A35">
        <v>32</v>
      </c>
      <c r="B35" t="str">
        <v>ЩБП</v>
      </c>
      <c r="C35" t="str">
        <v>XT3</v>
      </c>
      <c r="D35" t="str">
        <v>кабель ВВГнг(А)-LS (2х10) → LED-лента 24 В, пом. 02</v>
      </c>
      <c r="E35" t="str">
        <v>LD.1.02.1</v>
      </c>
      <c r="F35" t="str">
        <v>LED-лента 24 В, пом. 02</v>
      </c>
    </row>
    <row r="36" spans="1:6" x14ac:dyDescent="0.3">
      <c r="A36">
        <v>33</v>
      </c>
      <c r="B36" t="str">
        <v>ЩБП</v>
      </c>
      <c r="C36" t="str">
        <v>БП 24V 480W</v>
      </c>
      <c r="D36" t="str">
        <v>Di.1 к.4</v>
      </c>
      <c r="E36" t="str">
        <v>LD.1.03.1</v>
      </c>
      <c r="F36" t="str">
        <v>LED-лента 24 В, пом. 03</v>
      </c>
    </row>
    <row r="37" spans="1:6" x14ac:dyDescent="0.3">
      <c r="A37">
        <v>34</v>
      </c>
      <c r="B37" t="str">
        <v>ЩБП</v>
      </c>
      <c r="C37" t="str">
        <v>Di.1 к.4</v>
      </c>
      <c r="D37" t="str">
        <v>XT4</v>
      </c>
      <c r="E37" t="str">
        <v>LD.1.03.1</v>
      </c>
      <c r="F37" t="str">
        <v>LED-лента 24 В, пом. 03</v>
      </c>
    </row>
    <row r="38" spans="1:6" x14ac:dyDescent="0.3">
      <c r="A38">
        <v>35</v>
      </c>
      <c r="B38" t="str">
        <v>ЩБП</v>
      </c>
      <c r="C38" t="str">
        <v>XT4</v>
      </c>
      <c r="D38" t="str">
        <v>кабель ВВГнг(А)-LS (2х16) → LED-лента 24 В, пом. 03</v>
      </c>
      <c r="E38" t="str">
        <v>LD.1.03.1</v>
      </c>
      <c r="F38" t="str">
        <v>LED-лента 24 В, пом. 03</v>
      </c>
    </row>
    <row r="39" spans="1:6" x14ac:dyDescent="0.3">
      <c r="A39">
        <v>36</v>
      </c>
      <c r="B39" t="str">
        <v>ЩБП</v>
      </c>
      <c r="C39" t="str">
        <v>QF2</v>
      </c>
      <c r="D39" t="str">
        <v>МК-5-1</v>
      </c>
      <c r="E39" t="str">
        <v>LD.1.04.1</v>
      </c>
      <c r="F39" t="str">
        <v>LED-подсветка ниши, пом. 04</v>
      </c>
    </row>
    <row r="40" spans="1:6" x14ac:dyDescent="0.3">
      <c r="A40">
        <v>37</v>
      </c>
      <c r="B40" t="str">
        <v>ЩБП</v>
      </c>
      <c r="C40" t="str">
        <v>МК-5-1</v>
      </c>
      <c r="D40" t="str">
        <v>БП 24V 75W</v>
      </c>
      <c r="E40" t="str">
        <v>LD.1.04.1</v>
      </c>
      <c r="F40" t="str">
        <v>LED-подсветка ниши, пом. 04</v>
      </c>
    </row>
    <row r="41" spans="1:6" x14ac:dyDescent="0.3">
      <c r="A41">
        <v>38</v>
      </c>
      <c r="B41" t="str">
        <v>ЩБП</v>
      </c>
      <c r="C41" t="str">
        <v>БП 24V 75W</v>
      </c>
      <c r="D41" t="str">
        <v>XT5</v>
      </c>
      <c r="E41" t="str">
        <v>LD.1.04.1</v>
      </c>
      <c r="F41" t="str">
        <v>LED-подсветка ниши, пом. 04</v>
      </c>
    </row>
    <row r="42" spans="1:6" x14ac:dyDescent="0.3">
      <c r="A42">
        <v>39</v>
      </c>
      <c r="B42" t="str">
        <v>ЩБП</v>
      </c>
      <c r="C42" t="str">
        <v>XT5</v>
      </c>
      <c r="D42" t="str">
        <v>кабель ВВГнг(А)-LS (2х1,5) → LED-подсветка ниши, пом. 04</v>
      </c>
      <c r="E42" t="str">
        <v>LD.1.04.1</v>
      </c>
      <c r="F42" t="str">
        <v>LED-подсветка ниши, пом. 04</v>
      </c>
    </row>
    <row r="43" spans="1:6" x14ac:dyDescent="0.3">
      <c r="A43">
        <v>40</v>
      </c>
      <c r="B43" t="str">
        <v>ЩБП</v>
      </c>
      <c r="C43" t="str">
        <v>БП 24V 75W</v>
      </c>
      <c r="D43" t="str">
        <v>XT6</v>
      </c>
      <c r="E43" t="str">
        <v>LD.1.04.2</v>
      </c>
      <c r="F43" t="str">
        <v>LED-подсветка ниши, пом. 04</v>
      </c>
    </row>
    <row r="44" spans="1:6" x14ac:dyDescent="0.3">
      <c r="A44">
        <v>41</v>
      </c>
      <c r="B44" t="str">
        <v>ЩБП</v>
      </c>
      <c r="C44" t="str">
        <v>XT6</v>
      </c>
      <c r="D44" t="str">
        <v>кабель ВВГнг(А)-LS (2х1,5) → LED-подсветка ниши, пом. 04</v>
      </c>
      <c r="E44" t="str">
        <v>LD.1.04.2</v>
      </c>
      <c r="F44" t="str">
        <v>LED-подсветка ниши, пом. 04</v>
      </c>
    </row>
    <row r="45" spans="1:6" x14ac:dyDescent="0.3">
      <c r="A45">
        <v>42</v>
      </c>
      <c r="B45" t="str">
        <v>ЩГП</v>
      </c>
      <c r="C45" t="str">
        <v>QF1</v>
      </c>
      <c r="D45" t="str">
        <v>XT1</v>
      </c>
      <c r="E45" t="str">
        <v>АПС.0.01.1</v>
      </c>
      <c r="F45" t="str">
        <v>Реле АПС, пом. 01</v>
      </c>
    </row>
    <row r="46" spans="1:6" x14ac:dyDescent="0.3">
      <c r="A46">
        <v>43</v>
      </c>
      <c r="B46" t="str">
        <v>ЩГП</v>
      </c>
      <c r="C46" t="str">
        <v>XT1</v>
      </c>
      <c r="D46" t="str">
        <v>кабель ВВГнг(А)-LS (3х1,5) → Реле АПС, пом. 01</v>
      </c>
      <c r="E46" t="str">
        <v>АПС.0.01.1</v>
      </c>
      <c r="F46" t="str">
        <v>Реле АПС, пом. 01</v>
      </c>
    </row>
    <row r="47" spans="1:6" x14ac:dyDescent="0.3">
      <c r="A47">
        <v>44</v>
      </c>
      <c r="B47" t="str">
        <v>ЩГП</v>
      </c>
      <c r="C47" t="str">
        <v>QF2</v>
      </c>
      <c r="D47" t="str">
        <v>XT2</v>
      </c>
      <c r="E47" t="str">
        <v>L.0.02.1</v>
      </c>
      <c r="F47" t="str">
        <v>Аварийное освещение (шина ИБП)</v>
      </c>
    </row>
    <row r="48" spans="1:6" x14ac:dyDescent="0.3">
      <c r="A48">
        <v>45</v>
      </c>
      <c r="B48" t="str">
        <v>ЩГП</v>
      </c>
      <c r="C48" t="str">
        <v>XT2</v>
      </c>
      <c r="D48" t="str">
        <v>кабель ВВГнг(А)-LS (3х1,5) → Аварийное освещение (шина ИБП)</v>
      </c>
      <c r="E48" t="str">
        <v>L.0.02.1</v>
      </c>
      <c r="F48" t="str">
        <v>Аварийное освещение (шина ИБП)</v>
      </c>
    </row>
    <row r="49" spans="1:6" x14ac:dyDescent="0.3">
      <c r="A49">
        <v>46</v>
      </c>
      <c r="B49" t="str">
        <v>ЩР-1</v>
      </c>
      <c r="C49" t="str">
        <v>QFD1</v>
      </c>
      <c r="D49" t="str">
        <v>XT1</v>
      </c>
      <c r="E49" t="str">
        <v>R.1.01.1</v>
      </c>
      <c r="F49" t="str">
        <v>Розеточная группа, пом. 01</v>
      </c>
    </row>
    <row r="50" spans="1:6" x14ac:dyDescent="0.3">
      <c r="A50">
        <v>47</v>
      </c>
      <c r="B50" t="str">
        <v>ЩР-1</v>
      </c>
      <c r="C50" t="str">
        <v>XT1</v>
      </c>
      <c r="D50" t="str">
        <v>кабель ВВГнг(А)-LS (3х2,5) → Розеточная группа, пом. 01</v>
      </c>
      <c r="E50" t="str">
        <v>R.1.01.1</v>
      </c>
      <c r="F50" t="str">
        <v>Розеточная группа, пом. 01</v>
      </c>
    </row>
    <row r="51" spans="1:6" x14ac:dyDescent="0.3">
      <c r="A51">
        <v>48</v>
      </c>
      <c r="B51" t="str">
        <v>ЩР-1</v>
      </c>
      <c r="C51" t="str">
        <v>QFD2</v>
      </c>
      <c r="D51" t="str">
        <v>XT2</v>
      </c>
      <c r="E51" t="str">
        <v>R.1.02.1</v>
      </c>
      <c r="F51" t="str">
        <v>Розеточная группа, пом. 02</v>
      </c>
    </row>
    <row r="52" spans="1:6" x14ac:dyDescent="0.3">
      <c r="A52">
        <v>49</v>
      </c>
      <c r="B52" t="str">
        <v>ЩР-1</v>
      </c>
      <c r="C52" t="str">
        <v>XT2</v>
      </c>
      <c r="D52" t="str">
        <v>кабель ВВГнг(А)-LS (3х2,5) → Розеточная группа, пом. 02</v>
      </c>
      <c r="E52" t="str">
        <v>R.1.02.1</v>
      </c>
      <c r="F52" t="str">
        <v>Розеточная группа, пом. 02</v>
      </c>
    </row>
    <row r="53" spans="1:6" x14ac:dyDescent="0.3">
      <c r="A53">
        <v>50</v>
      </c>
      <c r="B53" t="str">
        <v>ЩР-1</v>
      </c>
      <c r="C53" t="str">
        <v>QFD2</v>
      </c>
      <c r="D53" t="str">
        <v>XT3</v>
      </c>
      <c r="E53" t="str">
        <v>R.1.02.2</v>
      </c>
      <c r="F53" t="str">
        <v>Розеточная группа, пом. 02</v>
      </c>
    </row>
    <row r="54" spans="1:6" x14ac:dyDescent="0.3">
      <c r="A54">
        <v>51</v>
      </c>
      <c r="B54" t="str">
        <v>ЩР-1</v>
      </c>
      <c r="C54" t="str">
        <v>XT3</v>
      </c>
      <c r="D54" t="str">
        <v>кабель ВВГнг(А)-LS (3х2,5) → Розеточная группа, пом. 02</v>
      </c>
      <c r="E54" t="str">
        <v>R.1.02.2</v>
      </c>
      <c r="F54" t="str">
        <v>Розеточная группа, пом. 02</v>
      </c>
    </row>
    <row r="55" spans="1:6" x14ac:dyDescent="0.3">
      <c r="A55">
        <v>52</v>
      </c>
      <c r="B55" t="str">
        <v>ЩР-1</v>
      </c>
      <c r="C55" t="str">
        <v>QFD3</v>
      </c>
      <c r="D55" t="str">
        <v>XT4</v>
      </c>
      <c r="E55" t="str">
        <v>R.1.03.1</v>
      </c>
      <c r="F55" t="str">
        <v>Розетки ванной (дифзащита 10 мА)</v>
      </c>
    </row>
    <row r="56" spans="1:6" x14ac:dyDescent="0.3">
      <c r="A56">
        <v>53</v>
      </c>
      <c r="B56" t="str">
        <v>ЩР-1</v>
      </c>
      <c r="C56" t="str">
        <v>XT4</v>
      </c>
      <c r="D56" t="str">
        <v>кабель ВВГнг(А)-LS (3х2,5) → Розетки ванной (дифзащита 10 мА)</v>
      </c>
      <c r="E56" t="str">
        <v>R.1.03.1</v>
      </c>
      <c r="F56" t="str">
        <v>Розетки ванной (дифзащита 10 мА)</v>
      </c>
    </row>
    <row r="57" spans="1:6" x14ac:dyDescent="0.3">
      <c r="A57">
        <v>54</v>
      </c>
      <c r="B57" t="str">
        <v>ЩР-1</v>
      </c>
      <c r="C57" t="str">
        <v>QF4</v>
      </c>
      <c r="D57" t="str">
        <v>R.1 к.1</v>
      </c>
      <c r="E57" t="str">
        <v>L.1.01.1</v>
      </c>
      <c r="F57" t="str">
        <v>Группа освещения, пом. 01</v>
      </c>
    </row>
    <row r="58" spans="1:6" x14ac:dyDescent="0.3">
      <c r="A58">
        <v>55</v>
      </c>
      <c r="B58" t="str">
        <v>ЩР-1</v>
      </c>
      <c r="C58" t="str">
        <v>R.1 к.1</v>
      </c>
      <c r="D58" t="str">
        <v>XT5</v>
      </c>
      <c r="E58" t="str">
        <v>L.1.01.1</v>
      </c>
      <c r="F58" t="str">
        <v>Группа освещения, пом. 01</v>
      </c>
    </row>
    <row r="59" spans="1:6" x14ac:dyDescent="0.3">
      <c r="A59">
        <v>56</v>
      </c>
      <c r="B59" t="str">
        <v>ЩР-1</v>
      </c>
      <c r="C59" t="str">
        <v>XT5</v>
      </c>
      <c r="D59" t="str">
        <v>кабель ВВГнг(А)-LS (3х1,5) → Группа освещения, пом. 01</v>
      </c>
      <c r="E59" t="str">
        <v>L.1.01.1</v>
      </c>
      <c r="F59" t="str">
        <v>Группа освещения, пом. 01</v>
      </c>
    </row>
    <row r="60" spans="1:6" x14ac:dyDescent="0.3">
      <c r="A60">
        <v>57</v>
      </c>
      <c r="B60" t="str">
        <v>ЩР-1</v>
      </c>
      <c r="C60" t="str">
        <v>QF4</v>
      </c>
      <c r="D60" t="str">
        <v>R.1 к.2</v>
      </c>
      <c r="E60" t="str">
        <v>L.1.02.1</v>
      </c>
      <c r="F60" t="str">
        <v>Группа освещения, пом. 02</v>
      </c>
    </row>
    <row r="61" spans="1:6" x14ac:dyDescent="0.3">
      <c r="A61">
        <v>58</v>
      </c>
      <c r="B61" t="str">
        <v>ЩР-1</v>
      </c>
      <c r="C61" t="str">
        <v>R.1 к.2</v>
      </c>
      <c r="D61" t="str">
        <v>XT6</v>
      </c>
      <c r="E61" t="str">
        <v>L.1.02.1</v>
      </c>
      <c r="F61" t="str">
        <v>Группа освещения, пом. 02</v>
      </c>
    </row>
    <row r="62" spans="1:6" x14ac:dyDescent="0.3">
      <c r="A62">
        <v>59</v>
      </c>
      <c r="B62" t="str">
        <v>ЩР-1</v>
      </c>
      <c r="C62" t="str">
        <v>XT6</v>
      </c>
      <c r="D62" t="str">
        <v>кабель ВВГнг(А)-LS (3х1,5) → Группа освещения, пом. 02</v>
      </c>
      <c r="E62" t="str">
        <v>L.1.02.1</v>
      </c>
      <c r="F62" t="str">
        <v>Группа освещения, пом. 02</v>
      </c>
    </row>
    <row r="63" spans="1:6" x14ac:dyDescent="0.3">
      <c r="A63">
        <v>60</v>
      </c>
      <c r="B63" t="str">
        <v>ЩР-1</v>
      </c>
      <c r="C63" t="str">
        <v>R.1 к.2</v>
      </c>
      <c r="D63" t="str">
        <v>XT7</v>
      </c>
      <c r="E63" t="str">
        <v>L.1.02.2</v>
      </c>
      <c r="F63" t="str">
        <v>Группа освещения, пом. 02</v>
      </c>
    </row>
    <row r="64" spans="1:6" x14ac:dyDescent="0.3">
      <c r="A64">
        <v>61</v>
      </c>
      <c r="B64" t="str">
        <v>ЩР-1</v>
      </c>
      <c r="C64" t="str">
        <v>XT7</v>
      </c>
      <c r="D64" t="str">
        <v>кабель ВВГнг(А)-LS (3х1,5) → Группа освещения, пом. 02</v>
      </c>
      <c r="E64" t="str">
        <v>L.1.02.2</v>
      </c>
      <c r="F64" t="str">
        <v>Группа освещения, пом. 02</v>
      </c>
    </row>
    <row r="65" spans="1:6" x14ac:dyDescent="0.3">
      <c r="A65">
        <v>62</v>
      </c>
      <c r="B65" t="str">
        <v>ЩР-1</v>
      </c>
      <c r="C65" t="str">
        <v>QF4</v>
      </c>
      <c r="D65" t="str">
        <v>R.1 к.4</v>
      </c>
      <c r="E65" t="str">
        <v>L.1.03.1</v>
      </c>
      <c r="F65" t="str">
        <v>Группа освещения, пом. 03</v>
      </c>
    </row>
    <row r="66" spans="1:6" x14ac:dyDescent="0.3">
      <c r="A66">
        <v>63</v>
      </c>
      <c r="B66" t="str">
        <v>ЩР-1</v>
      </c>
      <c r="C66" t="str">
        <v>R.1 к.4</v>
      </c>
      <c r="D66" t="str">
        <v>XT8</v>
      </c>
      <c r="E66" t="str">
        <v>L.1.03.1</v>
      </c>
      <c r="F66" t="str">
        <v>Группа освещения, пом. 03</v>
      </c>
    </row>
    <row r="67" spans="1:6" x14ac:dyDescent="0.3">
      <c r="A67">
        <v>64</v>
      </c>
      <c r="B67" t="str">
        <v>ЩР-1</v>
      </c>
      <c r="C67" t="str">
        <v>XT8</v>
      </c>
      <c r="D67" t="str">
        <v>кабель ВВГнг(А)-LS (3х1,5) → Группа освещения, пом. 03</v>
      </c>
      <c r="E67" t="str">
        <v>L.1.03.1</v>
      </c>
      <c r="F67" t="str">
        <v>Группа освещения, пом. 03</v>
      </c>
    </row>
    <row r="68" spans="1:6" x14ac:dyDescent="0.3">
      <c r="A68">
        <v>65</v>
      </c>
      <c r="B68" t="str">
        <v>ЩР-1</v>
      </c>
      <c r="C68" t="str">
        <v>QF5</v>
      </c>
      <c r="D68" t="str">
        <v>БП 24V 75W</v>
      </c>
      <c r="E68" t="str">
        <v>LED.1.01.1</v>
      </c>
      <c r="F68" t="str">
        <v>Светодиодное освещение, пом. 01</v>
      </c>
    </row>
    <row r="69" spans="1:6" x14ac:dyDescent="0.3">
      <c r="A69">
        <v>66</v>
      </c>
      <c r="B69" t="str">
        <v>ЩР-1</v>
      </c>
      <c r="C69" t="str">
        <v>БП 24V 75W</v>
      </c>
      <c r="D69" t="str">
        <v>XT9</v>
      </c>
      <c r="E69" t="str">
        <v>LED.1.01.1</v>
      </c>
      <c r="F69" t="str">
        <v>Светодиодное освещение, пом. 01</v>
      </c>
    </row>
    <row r="70" spans="1:6" x14ac:dyDescent="0.3">
      <c r="A70">
        <v>67</v>
      </c>
      <c r="B70" t="str">
        <v>ЩР-1</v>
      </c>
      <c r="C70" t="str">
        <v>XT9</v>
      </c>
      <c r="D70" t="str">
        <v>кабель ВВГнг(А)-LS (3х1,5) → Светодиодное освещение, пом. 01</v>
      </c>
      <c r="E70" t="str">
        <v>LED.1.01.1</v>
      </c>
      <c r="F70" t="str">
        <v>Светодиодное освещение, пом. 01</v>
      </c>
    </row>
    <row r="71" spans="1:6" x14ac:dyDescent="0.3">
      <c r="A71">
        <v>68</v>
      </c>
      <c r="B71" t="str">
        <v>ЩР-1</v>
      </c>
      <c r="C71" t="str">
        <v>QFD6</v>
      </c>
      <c r="D71" t="str">
        <v>КМ NCH8-40/40</v>
      </c>
      <c r="E71" t="str">
        <v>ТП.1.01.1</v>
      </c>
      <c r="F71" t="str">
        <v>Теплый пол, пом. 01</v>
      </c>
    </row>
    <row r="72" spans="1:6" x14ac:dyDescent="0.3">
      <c r="A72">
        <v>69</v>
      </c>
      <c r="B72" t="str">
        <v>ЩР-1</v>
      </c>
      <c r="C72" t="str">
        <v>КМ NCH8-40/40</v>
      </c>
      <c r="D72" t="str">
        <v>XT10</v>
      </c>
      <c r="E72" t="str">
        <v>ТП.1.01.1</v>
      </c>
      <c r="F72" t="str">
        <v>Теплый пол, пом. 01</v>
      </c>
    </row>
    <row r="73" spans="1:6" x14ac:dyDescent="0.3">
      <c r="A73">
        <v>70</v>
      </c>
      <c r="B73" t="str">
        <v>ЩР-1</v>
      </c>
      <c r="C73" t="str">
        <v>XT10</v>
      </c>
      <c r="D73" t="str">
        <v>кабель ВВГнг(А)-LS (3х1,5) → Теплый пол, пом. 01</v>
      </c>
      <c r="E73" t="str">
        <v>ТП.1.01.1</v>
      </c>
      <c r="F73" t="str">
        <v>Теплый пол, пом. 01</v>
      </c>
    </row>
    <row r="74" spans="1:6" x14ac:dyDescent="0.3">
      <c r="A74">
        <v>71</v>
      </c>
      <c r="B74" t="str">
        <v>ЩР-1</v>
      </c>
      <c r="C74" t="str">
        <v>КМ NCH8-40/40</v>
      </c>
      <c r="D74" t="str">
        <v>XT11</v>
      </c>
      <c r="E74" t="str">
        <v/>
      </c>
      <c r="F74" t="str">
        <v/>
      </c>
    </row>
    <row r="75" spans="1:6" x14ac:dyDescent="0.3">
      <c r="A75">
        <v>72</v>
      </c>
      <c r="B75" t="str">
        <v>ЩР-1</v>
      </c>
      <c r="C75" t="str">
        <v>QF7</v>
      </c>
      <c r="D75" t="str">
        <v>XT12</v>
      </c>
      <c r="E75" t="str">
        <v>ПВ.1.01.1</v>
      </c>
      <c r="F75" t="str">
        <v>Приточно-вытяжная установка, пом. 01</v>
      </c>
    </row>
    <row r="76" spans="1:6" x14ac:dyDescent="0.3">
      <c r="A76">
        <v>73</v>
      </c>
      <c r="B76" t="str">
        <v>ЩР-1</v>
      </c>
      <c r="C76" t="str">
        <v>XT12</v>
      </c>
      <c r="D76" t="str">
        <v>кабель ВВГнг(А)-LS (5х1,5) → Приточно-вытяжная установка, пом. 01</v>
      </c>
      <c r="E76" t="str">
        <v>ПВ.1.01.1</v>
      </c>
      <c r="F76" t="str">
        <v>Приточно-вытяжная установка, пом. 01</v>
      </c>
    </row>
    <row r="77" spans="1:6" x14ac:dyDescent="0.3">
      <c r="A77">
        <v>74</v>
      </c>
      <c r="B77" t="str">
        <v>ЩР-1</v>
      </c>
      <c r="C77" t="str">
        <v>QF8</v>
      </c>
      <c r="D77" t="str">
        <v>XT13</v>
      </c>
      <c r="E77" t="str">
        <v>K.1.01.1</v>
      </c>
      <c r="F77" t="str">
        <v>Кондиционер (cos φ вручную)</v>
      </c>
    </row>
    <row r="78" spans="1:6" x14ac:dyDescent="0.3">
      <c r="A78">
        <v>75</v>
      </c>
      <c r="B78" t="str">
        <v>ЩР-1</v>
      </c>
      <c r="C78" t="str">
        <v>XT13</v>
      </c>
      <c r="D78" t="str">
        <v>кабель ВВГнг(А)-LS (3х1,5) → Кондиционер (cos φ вручную)</v>
      </c>
      <c r="E78" t="str">
        <v>K.1.01.1</v>
      </c>
      <c r="F78" t="str">
        <v>Кондиционер (cos φ вручную)</v>
      </c>
    </row>
    <row r="79" spans="1:6" x14ac:dyDescent="0.3">
      <c r="A79">
        <v>76</v>
      </c>
      <c r="B79" t="str">
        <v>ЩР-1</v>
      </c>
      <c r="C79" t="str">
        <v>QF9</v>
      </c>
      <c r="D79" t="str">
        <v>кабель ВВГнг(А)-LS (3х4) → Коробка уравнивания потенциалов, пом. 01</v>
      </c>
      <c r="E79" t="str">
        <v>КУП.1.01.1</v>
      </c>
      <c r="F79" t="str">
        <v>Коробка уравнивания потенциалов, пом. 01</v>
      </c>
    </row>
    <row r="80" spans="1:6" x14ac:dyDescent="0.3">
      <c r="A80">
        <v>77</v>
      </c>
      <c r="B80" t="str">
        <v>ЩР-1</v>
      </c>
      <c r="C80" t="str">
        <v>QF10</v>
      </c>
      <c r="D80" t="str">
        <v>кабель ВВГнг(А)-LS (3х1,5) → Увлажнитель, пом. 01</v>
      </c>
      <c r="E80" t="str">
        <v>УВ.1.01.1</v>
      </c>
      <c r="F80" t="str">
        <v>Увлажнитель, пом. 01</v>
      </c>
    </row>
    <row r="81" spans="1:6" x14ac:dyDescent="0.3">
      <c r="A81">
        <v>78</v>
      </c>
      <c r="B81" t="str">
        <v>ЩР-1</v>
      </c>
      <c r="C81" t="str">
        <v>QFD11</v>
      </c>
      <c r="D81" t="str">
        <v>XT15</v>
      </c>
      <c r="E81" t="str">
        <v>R.1.04.1</v>
      </c>
      <c r="F81" t="str">
        <v>Розетки гаража (длинная линия)</v>
      </c>
    </row>
    <row r="82" spans="1:6" x14ac:dyDescent="0.3">
      <c r="A82">
        <v>79</v>
      </c>
      <c r="B82" t="str">
        <v>ЩР-1</v>
      </c>
      <c r="C82" t="str">
        <v>XT15</v>
      </c>
      <c r="D82" t="str">
        <v>кабель ВВГнг(А)-LS (3х10) → Розетки гаража (длинная линия)</v>
      </c>
      <c r="E82" t="str">
        <v>R.1.04.1</v>
      </c>
      <c r="F82" t="str">
        <v>Розетки гаража (длинная линия)</v>
      </c>
    </row>
    <row r="83" spans="1:6" x14ac:dyDescent="0.3">
      <c r="A83">
        <v>80</v>
      </c>
      <c r="B83" t="str">
        <v>ЩР-1</v>
      </c>
      <c r="C83" t="str">
        <v>QF12</v>
      </c>
      <c r="D83" t="str">
        <v>УЗО 2P 40А 30мА</v>
      </c>
      <c r="E83" t="str">
        <v>УЗО.1</v>
      </c>
      <c r="F83" t="str">
        <v>Шина УЗО1</v>
      </c>
    </row>
    <row r="84" spans="1:6" x14ac:dyDescent="0.3">
      <c r="A84">
        <v>81</v>
      </c>
      <c r="B84" t="str">
        <v>ЩР-1</v>
      </c>
      <c r="C84" t="str">
        <v>УЗО 2P 40А 30мА</v>
      </c>
      <c r="D84" t="str">
        <v>кабель  → Шина УЗО1</v>
      </c>
      <c r="E84" t="str">
        <v>УЗО.1</v>
      </c>
      <c r="F84" t="str">
        <v>Шина УЗО1</v>
      </c>
    </row>
    <row r="85" spans="1:6" x14ac:dyDescent="0.3">
      <c r="A85">
        <v>82</v>
      </c>
      <c r="B85" t="str">
        <v>ЩР-1</v>
      </c>
      <c r="C85" t="str">
        <v>QF13</v>
      </c>
      <c r="D85" t="str">
        <v>XT16</v>
      </c>
      <c r="E85" t="str">
        <v>R.1.05.1</v>
      </c>
      <c r="F85" t="str">
        <v>Розеточная группа, пом. 05</v>
      </c>
    </row>
    <row r="86" spans="1:6" x14ac:dyDescent="0.3">
      <c r="A86">
        <v>83</v>
      </c>
      <c r="B86" t="str">
        <v>ЩР-1</v>
      </c>
      <c r="C86" t="str">
        <v>XT16</v>
      </c>
      <c r="D86" t="str">
        <v>кабель ВВГнг(А)-LS (3х2,5) → Розеточная группа, пом. 05</v>
      </c>
      <c r="E86" t="str">
        <v>R.1.05.1</v>
      </c>
      <c r="F86" t="str">
        <v>Розеточная группа, пом. 05</v>
      </c>
    </row>
    <row r="87" spans="1:6" x14ac:dyDescent="0.3">
      <c r="A87">
        <v>84</v>
      </c>
      <c r="B87" t="str">
        <v>ЩР-1</v>
      </c>
      <c r="C87" t="str">
        <v>QF14</v>
      </c>
      <c r="D87" t="str">
        <v>XT17</v>
      </c>
      <c r="E87" t="str">
        <v>R.1.05.2</v>
      </c>
      <c r="F87" t="str">
        <v>Розеточная группа, пом. 05</v>
      </c>
    </row>
    <row r="88" spans="1:6" x14ac:dyDescent="0.3">
      <c r="A88">
        <v>85</v>
      </c>
      <c r="B88" t="str">
        <v>ЩР-1</v>
      </c>
      <c r="C88" t="str">
        <v>XT17</v>
      </c>
      <c r="D88" t="str">
        <v>кабель ВВГнг(А)-LS (3х2,5) → Розеточная группа, пом. 05</v>
      </c>
      <c r="E88" t="str">
        <v>R.1.05.2</v>
      </c>
      <c r="F88" t="str">
        <v>Розеточная группа, пом. 05</v>
      </c>
    </row>
    <row r="89" spans="1:6" x14ac:dyDescent="0.3">
      <c r="A89">
        <v>86</v>
      </c>
      <c r="B89" t="str">
        <v>ЩР-1</v>
      </c>
      <c r="C89" t="str">
        <v>QF15</v>
      </c>
      <c r="D89" t="str">
        <v>XT18</v>
      </c>
      <c r="E89" t="str">
        <v>L.1.04.1</v>
      </c>
      <c r="F89" t="str">
        <v>Группа освещения, пом. 04</v>
      </c>
    </row>
    <row r="90" spans="1:6" x14ac:dyDescent="0.3">
      <c r="A90">
        <v>87</v>
      </c>
      <c r="B90" t="str">
        <v>ЩР-1</v>
      </c>
      <c r="C90" t="str">
        <v>XT18</v>
      </c>
      <c r="D90" t="str">
        <v>кабель ВВГнг(А)-LS (3х1,5) → Группа освещения, пом. 04</v>
      </c>
      <c r="E90" t="str">
        <v>L.1.04.1</v>
      </c>
      <c r="F90" t="str">
        <v>Группа освещения, пом. 04</v>
      </c>
    </row>
    <row r="91" spans="1:6" x14ac:dyDescent="0.3">
      <c r="A91">
        <v>88</v>
      </c>
      <c r="B91" t="str">
        <v>ЩС</v>
      </c>
      <c r="C91" t="str">
        <v>QF1</v>
      </c>
      <c r="D91" t="str">
        <v>XT1</v>
      </c>
      <c r="E91" t="str">
        <v>ПУ.0.01.1</v>
      </c>
      <c r="F91" t="str">
        <v>Приточная установка, пом. 01</v>
      </c>
    </row>
    <row r="92" spans="1:6" x14ac:dyDescent="0.3">
      <c r="A92">
        <v>89</v>
      </c>
      <c r="B92" t="str">
        <v>ЩС</v>
      </c>
      <c r="C92" t="str">
        <v>XT1</v>
      </c>
      <c r="D92" t="str">
        <v>кабель ВВГнг(А)-LS (5х2,5) → Приточная установка, пом. 01</v>
      </c>
      <c r="E92" t="str">
        <v>ПУ.0.01.1</v>
      </c>
      <c r="F92" t="str">
        <v>Приточная установка, пом. 01</v>
      </c>
    </row>
    <row r="93" spans="1:6" x14ac:dyDescent="0.3">
      <c r="A93">
        <v>90</v>
      </c>
      <c r="B93" t="str">
        <v>ЩС</v>
      </c>
      <c r="C93" t="str">
        <v>QF2</v>
      </c>
      <c r="D93" t="str">
        <v>XT2</v>
      </c>
      <c r="E93" t="str">
        <v>ПВ.0.02.1</v>
      </c>
      <c r="F93" t="str">
        <v>Приточно-вытяжная установка, пом. 02</v>
      </c>
    </row>
    <row r="94" spans="1:6" x14ac:dyDescent="0.3">
      <c r="A94">
        <v>91</v>
      </c>
      <c r="B94" t="str">
        <v>ЩС</v>
      </c>
      <c r="C94" t="str">
        <v>XT2</v>
      </c>
      <c r="D94" t="str">
        <v>кабель ВВГнг(А)-LS (5х1,5) → Приточно-вытяжная установка, пом. 02</v>
      </c>
      <c r="E94" t="str">
        <v>ПВ.0.02.1</v>
      </c>
      <c r="F94" t="str">
        <v>Приточно-вытяжная установка, пом. 02</v>
      </c>
    </row>
    <row r="95" spans="1:6" x14ac:dyDescent="0.3">
      <c r="A95">
        <v>92</v>
      </c>
      <c r="B95" t="str">
        <v>ЩС</v>
      </c>
      <c r="C95" t="str">
        <v>QF3</v>
      </c>
      <c r="D95" t="str">
        <v>XT3</v>
      </c>
      <c r="E95" t="str">
        <v>НВК.0.03.1</v>
      </c>
      <c r="F95" t="str">
        <v>Дренажный насос (шина ДГУ)</v>
      </c>
    </row>
    <row r="96" spans="1:6" x14ac:dyDescent="0.3">
      <c r="A96">
        <v>93</v>
      </c>
      <c r="B96" t="str">
        <v>ЩС</v>
      </c>
      <c r="C96" t="str">
        <v>XT3</v>
      </c>
      <c r="D96" t="str">
        <v>кабель ВВГнг(А)-LS (3х1,5) → Дренажный насос (шина ДГУ)</v>
      </c>
      <c r="E96" t="str">
        <v>НВК.0.03.1</v>
      </c>
      <c r="F96" t="str">
        <v>Дренажный насос (шина ДГУ)</v>
      </c>
    </row>
    <row r="97" spans="1:6" x14ac:dyDescent="0.3">
      <c r="A97">
        <v>94</v>
      </c>
      <c r="B97" t="str">
        <v>ЩС</v>
      </c>
      <c r="C97" t="str">
        <v>QF4</v>
      </c>
      <c r="D97" t="str">
        <v>XT4</v>
      </c>
      <c r="E97" t="str">
        <v>НВК.0.04.1</v>
      </c>
      <c r="F97" t="str">
        <v>Дренажный насос резервный</v>
      </c>
    </row>
    <row r="98" spans="1:6" x14ac:dyDescent="0.3">
      <c r="A98">
        <v>95</v>
      </c>
      <c r="B98" t="str">
        <v>ЩС</v>
      </c>
      <c r="C98" t="str">
        <v>XT4</v>
      </c>
      <c r="D98" t="str">
        <v>кабель ВВГнг(А)-LS (3х1,5) → Дренажный насос резервный</v>
      </c>
      <c r="E98" t="str">
        <v>НВК.0.04.1</v>
      </c>
      <c r="F98" t="str">
        <v>Дренажный насос резервный</v>
      </c>
    </row>
    <row r="99" spans="1:6" x14ac:dyDescent="0.3">
      <c r="A99">
        <v>96</v>
      </c>
      <c r="B99" t="str">
        <v>ЩС</v>
      </c>
      <c r="C99" t="str">
        <v>QF5</v>
      </c>
      <c r="D99" t="str">
        <v>XT5</v>
      </c>
      <c r="E99" t="str">
        <v>ПУ.0.05.1</v>
      </c>
      <c r="F99" t="str">
        <v>Вентилятор насосной (шина «Насосная» — Одиночная)</v>
      </c>
    </row>
    <row r="100" spans="1:6" x14ac:dyDescent="0.3">
      <c r="A100">
        <v>97</v>
      </c>
      <c r="B100" t="str">
        <v>ЩС</v>
      </c>
      <c r="C100" t="str">
        <v>XT5</v>
      </c>
      <c r="D100" t="str">
        <v>кабель ВВГнг(А)-LS (3х1,5) → Вентилятор насосной (шина «Насосная» — Одиночная)</v>
      </c>
      <c r="E100" t="str">
        <v>ПУ.0.05.1</v>
      </c>
      <c r="F100" t="str">
        <v>Вентилятор насосной (шина «Насосная» — Одиночная)</v>
      </c>
    </row>
    <row r="101" spans="1:6" x14ac:dyDescent="0.3">
      <c r="A101">
        <v>98</v>
      </c>
      <c r="B101" t="str">
        <v>ЩСПЗ</v>
      </c>
      <c r="C101" t="str">
        <v>QF1</v>
      </c>
      <c r="D101" t="str">
        <v>XT1</v>
      </c>
      <c r="E101" t="str">
        <v>АПС.0.02.1</v>
      </c>
      <c r="F101" t="str">
        <v>Прибор пожарной сигнализации</v>
      </c>
    </row>
    <row r="102" spans="1:6" x14ac:dyDescent="0.3">
      <c r="A102">
        <v>99</v>
      </c>
      <c r="B102" t="str">
        <v>ЩСПЗ</v>
      </c>
      <c r="C102" t="str">
        <v>XT1</v>
      </c>
      <c r="D102" t="str">
        <v>кабель ВВГнг(А)-FRLS (3х1,5) → Прибор пожарной сигнализации</v>
      </c>
      <c r="E102" t="str">
        <v>АПС.0.02.1</v>
      </c>
      <c r="F102" t="str">
        <v>Прибор пожарной сигнализации</v>
      </c>
    </row>
    <row r="103" spans="1:6" x14ac:dyDescent="0.3">
      <c r="A103">
        <v>100</v>
      </c>
      <c r="B103" t="str">
        <v>ЩСПЗ</v>
      </c>
      <c r="C103" t="str">
        <v>QF2</v>
      </c>
      <c r="D103" t="str">
        <v>XT2</v>
      </c>
      <c r="E103" t="str">
        <v>ПУ.0.03.1</v>
      </c>
      <c r="F103" t="str">
        <v>Вентилятор подпора воздуха</v>
      </c>
    </row>
    <row r="104" spans="1:6" x14ac:dyDescent="0.3">
      <c r="A104">
        <v>101</v>
      </c>
      <c r="B104" t="str">
        <v>ЩСПЗ</v>
      </c>
      <c r="C104" t="str">
        <v>XT2</v>
      </c>
      <c r="D104" t="str">
        <v>кабель ВВГнг(А)-FRLS (5х1,5) → Вентилятор подпора воздуха</v>
      </c>
      <c r="E104" t="str">
        <v>ПУ.0.03.1</v>
      </c>
      <c r="F104" t="str">
        <v>Вентилятор подпора воздуха</v>
      </c>
    </row>
  </sheetData>
  <pageMargins left="0.4" right="0.4" top="0.5" bottom="0.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67C44-763B-4F01-9DE9-E16776B0A93C}">
  <sheetPr codeName="Лист11">
    <tabColor rgb="FF4F81BD"/>
  </sheetPr>
  <dimension ref="B1:L2000"/>
  <sheetViews>
    <sheetView workbookViewId="0"/>
  </sheetViews>
  <sheetFormatPr defaultRowHeight="14.4" x14ac:dyDescent="0.3"/>
  <cols>
    <col min="1" max="1" width="2.77734375" customWidth="1"/>
    <col min="2" max="2" width="12.77734375" customWidth="1"/>
    <col min="3" max="4" width="16.77734375" customWidth="1"/>
    <col min="5" max="6" width="34.77734375" customWidth="1"/>
    <col min="7" max="7" width="10.77734375" customWidth="1"/>
    <col min="8" max="9" width="2.77734375" customWidth="1"/>
    <col min="10" max="10" width="12.77734375" customWidth="1"/>
    <col min="11" max="11" width="30.77734375" customWidth="1"/>
    <col min="12" max="12" width="11.77734375" customWidth="1"/>
  </cols>
  <sheetData>
    <row r="1" spans="2:12" ht="18" x14ac:dyDescent="0.35">
      <c r="B1" s="112" t="s">
        <v>1386</v>
      </c>
      <c r="G1" s="139" t="s">
        <v>1389</v>
      </c>
      <c r="H1" s="138"/>
      <c r="I1" s="138"/>
      <c r="J1" s="138"/>
      <c r="K1" s="138"/>
      <c r="L1" s="138"/>
    </row>
    <row r="2" spans="2:12" x14ac:dyDescent="0.3">
      <c r="B2" t="s">
        <v>1387</v>
      </c>
      <c r="C2" t="str" cm="1">
        <f t="array" ref="C2">IF(Выдача_n=0,"—",_выдача!$B$1&amp;"")</f>
        <v>—</v>
      </c>
      <c r="D2" t="s">
        <v>1388</v>
      </c>
      <c r="E2" s="140" t="str" cm="1">
        <f t="array" ref="E2">IF(Выдача_n=0,"",_выдача!$B$2)</f>
        <v/>
      </c>
      <c r="G2" s="138"/>
      <c r="H2" s="138"/>
      <c r="I2" s="138"/>
      <c r="J2" s="138"/>
      <c r="K2" s="138"/>
      <c r="L2" s="138"/>
    </row>
    <row r="4" spans="2:12" ht="28.8" x14ac:dyDescent="0.3">
      <c r="B4" s="123" t="s">
        <v>4</v>
      </c>
      <c r="C4" s="123" t="s">
        <v>445</v>
      </c>
      <c r="D4" s="123" t="s">
        <v>1390</v>
      </c>
      <c r="E4" s="123" t="s">
        <v>1391</v>
      </c>
      <c r="F4" s="123" t="s">
        <v>1392</v>
      </c>
      <c r="G4" s="123" t="s">
        <v>1092</v>
      </c>
      <c r="J4" s="123" t="s">
        <v>4</v>
      </c>
      <c r="K4" s="123" t="s">
        <v>1393</v>
      </c>
      <c r="L4" s="123" t="s">
        <v>1394</v>
      </c>
    </row>
    <row r="5" spans="2:12" x14ac:dyDescent="0.3">
      <c r="B5" t="str" cm="1">
        <f t="array" ref="B5">_xlfn.LET(_xlpm.nn,Выдача_n,IF(_xlpm.nn=0,"Выдача не зафиксирована: кнопка «Зафиксировать выдачу» над «Линиями».",_xlfn.LET(_xlpm.ko,Выдача_ключ,_xlpm.mc,(Линии[Номер линии]&lt;&gt;"")*1,_xlpm.kc,Линии[Щит]&amp;"|"&amp;Линии[Номер линии],_xlpm.io,ISNUMBER(_xlfn.XMATCH(_xlpm.kc,_xlpm.ko)),_xlpm.ic,ISNUMBER(_xlfn.XMATCH(_xlpm.ko,_xlfn._xlws.FILTER(_xlpm.kc,_xlpm.mc,""))),_xlpm.TXT,_xlfn.LAMBDA(_xlpm.x,IF(ISNUMBER(_xlpm.x),FIXED(_xlpm.x,2,TRUE),IFERROR(FIXED(--(_xlpm.x&amp;""),2,TRUE),_xlpm.x&amp;""))),_xlpm.SN,_xlfn.LAMBDA(_xlpm.j,CHOOSE(_xlpm.j,Выдача_1,Выдача_2,Выдача_3,Выдача_4,Выдача_5,Выдача_6,Выдача_7,Выдача_8,Выдача_9,Выдача_10,Выдача_11,Выдача_12,Выдача_13,Выдача_14)),_xlpm.CH,_xlfn.LAMBDA(_xlpm.cur,_xlpm.j,_xlpm.nm,_xlfn.LET(_xlpm.old,_xlfn.XLOOKUP(_xlpm.kc,_xlpm.ko,_xlpm.SN(_xlpm.j),""),_xlpm.a,_xlpm.TXT(_xlpm.old),_xlpm.b,_xlpm.TXT(_xlpm.cur),_xlfn._xlws.FILTER(_xlfn.HSTACK(Линии[Щит],Линии[Номер линии],IF(_xlpm.mc,_xlpm.nm,""),_xlpm.a,_xlpm.b,Линии[Лист схемы]),_xlpm.mc*_xlpm.io*(_xlpm.a&lt;&gt;_xlpm.b),""))),_xlpm.ad,_xlfn._xlws.FILTER(_xlfn.HSTACK(Линии[Щит],Линии[Номер линии],IF(_xlpm.mc,"добавлена",""),IF(_xlpm.mc,"",""),Линии[Наименование]&amp;"",Линии[Лист схемы]),_xlpm.mc*NOT(_xlpm.io),""),_xlpm.rm,_xlfn._xlws.FILTER(_xlfn.HSTACK(Выдача_1,Выдача_2,IF(_xlpm.ic,"удалена","удалена"),Выдача_3&amp;"",IF(_xlpm.ic,"",""),Выдача_14),NOT(_xlpm.ic),""),_xlpm.al,IFERROR(_xlfn.VSTACK(_xlpm.ad,_xlpm.rm,_xlpm.CH(Линии[Наименование],3,"наименование"),_xlpm.CH(Линии[Р, кВт],4,"Р, кВт"),_xlpm.CH(Линии[Автомат],5,"автомат"),_xlpm.CH(Линии[Сечение, мм²],6,"сечение"),_xlpm.CH(Линии[Длина, м],7,"длина"),_xlpm.CH(Линии[Фаза],8,"фаза"),_xlpm.CH(Линии[Кабель],9,"кабель"),_xlpm.CH(Линии[_Модуль (схема)],10,"модуль"),_xlpm.CH(Линии[Канал (итог)],11,"канал"),_xlpm.CH(Линии[Клемма],12,"клемма"),_xlpm.CH(Линии[Лист / место],13,"место на схеме")),""),_xlpm.fl,_xlfn._xlws.FILTER(_xlpm.al,INDEX(_xlpm.al,0,1)&lt;&gt;"",""),IF(INDEX(_xlpm.fl,1,1)="","нет изменений после выдачи",_xlfn.SORTBY(_xlpm.fl,IFERROR(_xlfn.XMATCH(INDEX(_xlpm.fl,0,1),Щиты[Щит]),999),1,INDEX(_xlpm.fl,0,2),1)))))</f>
        <v>Выдача не зафиксирована: кнопка «Зафиксировать выдачу» над «Линиями».</v>
      </c>
      <c r="E5" s="4"/>
      <c r="F5" s="4"/>
      <c r="J5" t="str" cm="1">
        <f t="array" ref="J5:L5">IFERROR(_xlfn.LET(_xlpm.d,_xlfn.ANCHORARRAY($B$5),_xlpm.b,INDEX(_xlpm.d,0,1),_xlpm.s,INDEX(_xlpm.d,0,6),_xlpm.u,_xlfn.UNIQUE(_xlpm.b),_xlfn.HSTACK(_xlpm.u,_xlfn.MAP(_xlpm.u,_xlfn.LAMBDA(_xlpm.x,_xlfn.TEXTJOIN(", ",TRUE,_xlfn._xlws.SORT(_xlfn.UNIQUE(_xlfn._xlws.FILTER(_xlpm.s,(_xlpm.b=_xlpm.x)*(_xlpm.s&lt;&gt;""),"")))))),_xlfn.MAP(_xlpm.u,_xlfn.LAMBDA(_xlpm.x,SUM(--(_xlpm.b=_xlpm.x)))))),"—")</f>
        <v>Выдача не зафиксирована: кнопка «Зафиксировать выдачу» над «Линиями».</v>
      </c>
      <c r="K5" t="str">
        <v>—</v>
      </c>
      <c r="L5">
        <v>1</v>
      </c>
    </row>
    <row r="6" spans="2:12" x14ac:dyDescent="0.3">
      <c r="E6" s="4"/>
      <c r="F6" s="4"/>
    </row>
    <row r="7" spans="2:12" x14ac:dyDescent="0.3">
      <c r="E7" s="4"/>
      <c r="F7" s="4"/>
    </row>
    <row r="8" spans="2:12" x14ac:dyDescent="0.3">
      <c r="E8" s="4"/>
      <c r="F8" s="4"/>
    </row>
    <row r="9" spans="2:12" x14ac:dyDescent="0.3">
      <c r="E9" s="4"/>
      <c r="F9" s="4"/>
    </row>
    <row r="10" spans="2:12" x14ac:dyDescent="0.3">
      <c r="E10" s="4"/>
      <c r="F10" s="4"/>
    </row>
    <row r="11" spans="2:12" x14ac:dyDescent="0.3">
      <c r="E11" s="4"/>
      <c r="F11" s="4"/>
    </row>
    <row r="12" spans="2:12" x14ac:dyDescent="0.3">
      <c r="E12" s="4"/>
      <c r="F12" s="4"/>
    </row>
    <row r="13" spans="2:12" x14ac:dyDescent="0.3">
      <c r="E13" s="4"/>
      <c r="F13" s="4"/>
    </row>
    <row r="14" spans="2:12" x14ac:dyDescent="0.3">
      <c r="E14" s="4"/>
      <c r="F14" s="4"/>
    </row>
    <row r="15" spans="2:12" x14ac:dyDescent="0.3">
      <c r="E15" s="4"/>
      <c r="F15" s="4"/>
    </row>
    <row r="16" spans="2:12" x14ac:dyDescent="0.3">
      <c r="E16" s="4"/>
      <c r="F16" s="4"/>
    </row>
    <row r="17" spans="5:6" x14ac:dyDescent="0.3">
      <c r="E17" s="4"/>
      <c r="F17" s="4"/>
    </row>
    <row r="18" spans="5:6" x14ac:dyDescent="0.3">
      <c r="E18" s="4"/>
      <c r="F18" s="4"/>
    </row>
    <row r="19" spans="5:6" x14ac:dyDescent="0.3">
      <c r="E19" s="4"/>
      <c r="F19" s="4"/>
    </row>
    <row r="20" spans="5:6" x14ac:dyDescent="0.3">
      <c r="E20" s="4"/>
      <c r="F20" s="4"/>
    </row>
    <row r="21" spans="5:6" x14ac:dyDescent="0.3">
      <c r="E21" s="4"/>
      <c r="F21" s="4"/>
    </row>
    <row r="22" spans="5:6" x14ac:dyDescent="0.3">
      <c r="E22" s="4"/>
      <c r="F22" s="4"/>
    </row>
    <row r="23" spans="5:6" x14ac:dyDescent="0.3">
      <c r="E23" s="4"/>
      <c r="F23" s="4"/>
    </row>
    <row r="24" spans="5:6" x14ac:dyDescent="0.3">
      <c r="E24" s="4"/>
      <c r="F24" s="4"/>
    </row>
    <row r="25" spans="5:6" x14ac:dyDescent="0.3">
      <c r="E25" s="4"/>
      <c r="F25" s="4"/>
    </row>
    <row r="26" spans="5:6" x14ac:dyDescent="0.3">
      <c r="E26" s="4"/>
      <c r="F26" s="4"/>
    </row>
    <row r="27" spans="5:6" x14ac:dyDescent="0.3">
      <c r="E27" s="4"/>
      <c r="F27" s="4"/>
    </row>
    <row r="28" spans="5:6" x14ac:dyDescent="0.3">
      <c r="E28" s="4"/>
      <c r="F28" s="4"/>
    </row>
    <row r="29" spans="5:6" x14ac:dyDescent="0.3">
      <c r="E29" s="4"/>
      <c r="F29" s="4"/>
    </row>
    <row r="30" spans="5:6" x14ac:dyDescent="0.3">
      <c r="E30" s="4"/>
      <c r="F30" s="4"/>
    </row>
    <row r="31" spans="5:6" x14ac:dyDescent="0.3">
      <c r="E31" s="4"/>
      <c r="F31" s="4"/>
    </row>
    <row r="32" spans="5:6" x14ac:dyDescent="0.3">
      <c r="E32" s="4"/>
      <c r="F32" s="4"/>
    </row>
    <row r="33" spans="5:6" x14ac:dyDescent="0.3">
      <c r="E33" s="4"/>
      <c r="F33" s="4"/>
    </row>
    <row r="34" spans="5:6" x14ac:dyDescent="0.3">
      <c r="E34" s="4"/>
      <c r="F34" s="4"/>
    </row>
    <row r="35" spans="5:6" x14ac:dyDescent="0.3">
      <c r="E35" s="4"/>
      <c r="F35" s="4"/>
    </row>
    <row r="36" spans="5:6" x14ac:dyDescent="0.3">
      <c r="E36" s="4"/>
      <c r="F36" s="4"/>
    </row>
    <row r="37" spans="5:6" x14ac:dyDescent="0.3">
      <c r="E37" s="4"/>
      <c r="F37" s="4"/>
    </row>
    <row r="38" spans="5:6" x14ac:dyDescent="0.3">
      <c r="E38" s="4"/>
      <c r="F38" s="4"/>
    </row>
    <row r="39" spans="5:6" x14ac:dyDescent="0.3">
      <c r="E39" s="4"/>
      <c r="F39" s="4"/>
    </row>
    <row r="40" spans="5:6" x14ac:dyDescent="0.3">
      <c r="E40" s="4"/>
      <c r="F40" s="4"/>
    </row>
    <row r="41" spans="5:6" x14ac:dyDescent="0.3">
      <c r="E41" s="4"/>
      <c r="F41" s="4"/>
    </row>
    <row r="42" spans="5:6" x14ac:dyDescent="0.3">
      <c r="E42" s="4"/>
      <c r="F42" s="4"/>
    </row>
    <row r="43" spans="5:6" x14ac:dyDescent="0.3">
      <c r="E43" s="4"/>
      <c r="F43" s="4"/>
    </row>
    <row r="44" spans="5:6" x14ac:dyDescent="0.3">
      <c r="E44" s="4"/>
      <c r="F44" s="4"/>
    </row>
    <row r="45" spans="5:6" x14ac:dyDescent="0.3">
      <c r="E45" s="4"/>
      <c r="F45" s="4"/>
    </row>
    <row r="46" spans="5:6" x14ac:dyDescent="0.3">
      <c r="E46" s="4"/>
      <c r="F46" s="4"/>
    </row>
    <row r="47" spans="5:6" x14ac:dyDescent="0.3">
      <c r="E47" s="4"/>
      <c r="F47" s="4"/>
    </row>
    <row r="48" spans="5:6" x14ac:dyDescent="0.3">
      <c r="E48" s="4"/>
      <c r="F48" s="4"/>
    </row>
    <row r="49" spans="5:6" x14ac:dyDescent="0.3">
      <c r="E49" s="4"/>
      <c r="F49" s="4"/>
    </row>
    <row r="50" spans="5:6" x14ac:dyDescent="0.3">
      <c r="E50" s="4"/>
      <c r="F50" s="4"/>
    </row>
    <row r="51" spans="5:6" x14ac:dyDescent="0.3">
      <c r="E51" s="4"/>
      <c r="F51" s="4"/>
    </row>
    <row r="52" spans="5:6" x14ac:dyDescent="0.3">
      <c r="E52" s="4"/>
      <c r="F52" s="4"/>
    </row>
    <row r="53" spans="5:6" x14ac:dyDescent="0.3">
      <c r="E53" s="4"/>
      <c r="F53" s="4"/>
    </row>
    <row r="54" spans="5:6" x14ac:dyDescent="0.3">
      <c r="E54" s="4"/>
      <c r="F54" s="4"/>
    </row>
    <row r="55" spans="5:6" x14ac:dyDescent="0.3">
      <c r="E55" s="4"/>
      <c r="F55" s="4"/>
    </row>
    <row r="56" spans="5:6" x14ac:dyDescent="0.3">
      <c r="E56" s="4"/>
      <c r="F56" s="4"/>
    </row>
    <row r="57" spans="5:6" x14ac:dyDescent="0.3">
      <c r="E57" s="4"/>
      <c r="F57" s="4"/>
    </row>
    <row r="58" spans="5:6" x14ac:dyDescent="0.3">
      <c r="E58" s="4"/>
      <c r="F58" s="4"/>
    </row>
    <row r="59" spans="5:6" x14ac:dyDescent="0.3">
      <c r="E59" s="4"/>
      <c r="F59" s="4"/>
    </row>
    <row r="60" spans="5:6" x14ac:dyDescent="0.3">
      <c r="E60" s="4"/>
      <c r="F60" s="4"/>
    </row>
    <row r="61" spans="5:6" x14ac:dyDescent="0.3">
      <c r="E61" s="4"/>
      <c r="F61" s="4"/>
    </row>
    <row r="62" spans="5:6" x14ac:dyDescent="0.3">
      <c r="E62" s="4"/>
      <c r="F62" s="4"/>
    </row>
    <row r="63" spans="5:6" x14ac:dyDescent="0.3">
      <c r="E63" s="4"/>
      <c r="F63" s="4"/>
    </row>
    <row r="64" spans="5:6" x14ac:dyDescent="0.3">
      <c r="E64" s="4"/>
      <c r="F64" s="4"/>
    </row>
    <row r="65" spans="5:6" x14ac:dyDescent="0.3">
      <c r="E65" s="4"/>
      <c r="F65" s="4"/>
    </row>
    <row r="66" spans="5:6" x14ac:dyDescent="0.3">
      <c r="E66" s="4"/>
      <c r="F66" s="4"/>
    </row>
    <row r="67" spans="5:6" x14ac:dyDescent="0.3">
      <c r="E67" s="4"/>
      <c r="F67" s="4"/>
    </row>
    <row r="68" spans="5:6" x14ac:dyDescent="0.3">
      <c r="E68" s="4"/>
      <c r="F68" s="4"/>
    </row>
    <row r="69" spans="5:6" x14ac:dyDescent="0.3">
      <c r="E69" s="4"/>
      <c r="F69" s="4"/>
    </row>
    <row r="70" spans="5:6" x14ac:dyDescent="0.3">
      <c r="E70" s="4"/>
      <c r="F70" s="4"/>
    </row>
    <row r="71" spans="5:6" x14ac:dyDescent="0.3">
      <c r="E71" s="4"/>
      <c r="F71" s="4"/>
    </row>
    <row r="72" spans="5:6" x14ac:dyDescent="0.3">
      <c r="E72" s="4"/>
      <c r="F72" s="4"/>
    </row>
    <row r="73" spans="5:6" x14ac:dyDescent="0.3">
      <c r="E73" s="4"/>
      <c r="F73" s="4"/>
    </row>
    <row r="74" spans="5:6" x14ac:dyDescent="0.3">
      <c r="E74" s="4"/>
      <c r="F74" s="4"/>
    </row>
    <row r="75" spans="5:6" x14ac:dyDescent="0.3">
      <c r="E75" s="4"/>
      <c r="F75" s="4"/>
    </row>
    <row r="76" spans="5:6" x14ac:dyDescent="0.3">
      <c r="E76" s="4"/>
      <c r="F76" s="4"/>
    </row>
    <row r="77" spans="5:6" x14ac:dyDescent="0.3">
      <c r="E77" s="4"/>
      <c r="F77" s="4"/>
    </row>
    <row r="78" spans="5:6" x14ac:dyDescent="0.3">
      <c r="E78" s="4"/>
      <c r="F78" s="4"/>
    </row>
    <row r="79" spans="5:6" x14ac:dyDescent="0.3">
      <c r="E79" s="4"/>
      <c r="F79" s="4"/>
    </row>
    <row r="80" spans="5:6" x14ac:dyDescent="0.3">
      <c r="E80" s="4"/>
      <c r="F80" s="4"/>
    </row>
    <row r="81" spans="5:6" x14ac:dyDescent="0.3">
      <c r="E81" s="4"/>
      <c r="F81" s="4"/>
    </row>
    <row r="82" spans="5:6" x14ac:dyDescent="0.3">
      <c r="E82" s="4"/>
      <c r="F82" s="4"/>
    </row>
    <row r="83" spans="5:6" x14ac:dyDescent="0.3">
      <c r="E83" s="4"/>
      <c r="F83" s="4"/>
    </row>
    <row r="84" spans="5:6" x14ac:dyDescent="0.3">
      <c r="E84" s="4"/>
      <c r="F84" s="4"/>
    </row>
    <row r="85" spans="5:6" x14ac:dyDescent="0.3">
      <c r="E85" s="4"/>
      <c r="F85" s="4"/>
    </row>
    <row r="86" spans="5:6" x14ac:dyDescent="0.3">
      <c r="E86" s="4"/>
      <c r="F86" s="4"/>
    </row>
    <row r="87" spans="5:6" x14ac:dyDescent="0.3">
      <c r="E87" s="4"/>
      <c r="F87" s="4"/>
    </row>
    <row r="88" spans="5:6" x14ac:dyDescent="0.3">
      <c r="E88" s="4"/>
      <c r="F88" s="4"/>
    </row>
    <row r="89" spans="5:6" x14ac:dyDescent="0.3">
      <c r="E89" s="4"/>
      <c r="F89" s="4"/>
    </row>
    <row r="90" spans="5:6" x14ac:dyDescent="0.3">
      <c r="E90" s="4"/>
      <c r="F90" s="4"/>
    </row>
    <row r="91" spans="5:6" x14ac:dyDescent="0.3">
      <c r="E91" s="4"/>
      <c r="F91" s="4"/>
    </row>
    <row r="92" spans="5:6" x14ac:dyDescent="0.3">
      <c r="E92" s="4"/>
      <c r="F92" s="4"/>
    </row>
    <row r="93" spans="5:6" x14ac:dyDescent="0.3">
      <c r="E93" s="4"/>
      <c r="F93" s="4"/>
    </row>
    <row r="94" spans="5:6" x14ac:dyDescent="0.3">
      <c r="E94" s="4"/>
      <c r="F94" s="4"/>
    </row>
    <row r="95" spans="5:6" x14ac:dyDescent="0.3">
      <c r="E95" s="4"/>
      <c r="F95" s="4"/>
    </row>
    <row r="96" spans="5:6" x14ac:dyDescent="0.3">
      <c r="E96" s="4"/>
      <c r="F96" s="4"/>
    </row>
    <row r="97" spans="5:6" x14ac:dyDescent="0.3">
      <c r="E97" s="4"/>
      <c r="F97" s="4"/>
    </row>
    <row r="98" spans="5:6" x14ac:dyDescent="0.3">
      <c r="E98" s="4"/>
      <c r="F98" s="4"/>
    </row>
    <row r="99" spans="5:6" x14ac:dyDescent="0.3">
      <c r="E99" s="4"/>
      <c r="F99" s="4"/>
    </row>
    <row r="100" spans="5:6" x14ac:dyDescent="0.3">
      <c r="E100" s="4"/>
      <c r="F100" s="4"/>
    </row>
    <row r="101" spans="5:6" x14ac:dyDescent="0.3">
      <c r="E101" s="4"/>
      <c r="F101" s="4"/>
    </row>
    <row r="102" spans="5:6" x14ac:dyDescent="0.3">
      <c r="E102" s="4"/>
      <c r="F102" s="4"/>
    </row>
    <row r="103" spans="5:6" x14ac:dyDescent="0.3">
      <c r="E103" s="4"/>
      <c r="F103" s="4"/>
    </row>
    <row r="104" spans="5:6" x14ac:dyDescent="0.3">
      <c r="E104" s="4"/>
      <c r="F104" s="4"/>
    </row>
    <row r="105" spans="5:6" x14ac:dyDescent="0.3">
      <c r="E105" s="4"/>
      <c r="F105" s="4"/>
    </row>
    <row r="106" spans="5:6" x14ac:dyDescent="0.3">
      <c r="E106" s="4"/>
      <c r="F106" s="4"/>
    </row>
    <row r="107" spans="5:6" x14ac:dyDescent="0.3">
      <c r="E107" s="4"/>
      <c r="F107" s="4"/>
    </row>
    <row r="108" spans="5:6" x14ac:dyDescent="0.3">
      <c r="E108" s="4"/>
      <c r="F108" s="4"/>
    </row>
    <row r="109" spans="5:6" x14ac:dyDescent="0.3">
      <c r="E109" s="4"/>
      <c r="F109" s="4"/>
    </row>
    <row r="110" spans="5:6" x14ac:dyDescent="0.3">
      <c r="E110" s="4"/>
      <c r="F110" s="4"/>
    </row>
    <row r="111" spans="5:6" x14ac:dyDescent="0.3">
      <c r="E111" s="4"/>
      <c r="F111" s="4"/>
    </row>
    <row r="112" spans="5:6" x14ac:dyDescent="0.3">
      <c r="E112" s="4"/>
      <c r="F112" s="4"/>
    </row>
    <row r="113" spans="5:6" x14ac:dyDescent="0.3">
      <c r="E113" s="4"/>
      <c r="F113" s="4"/>
    </row>
    <row r="114" spans="5:6" x14ac:dyDescent="0.3">
      <c r="E114" s="4"/>
      <c r="F114" s="4"/>
    </row>
    <row r="115" spans="5:6" x14ac:dyDescent="0.3">
      <c r="E115" s="4"/>
      <c r="F115" s="4"/>
    </row>
    <row r="116" spans="5:6" x14ac:dyDescent="0.3">
      <c r="E116" s="4"/>
      <c r="F116" s="4"/>
    </row>
    <row r="117" spans="5:6" x14ac:dyDescent="0.3">
      <c r="E117" s="4"/>
      <c r="F117" s="4"/>
    </row>
    <row r="118" spans="5:6" x14ac:dyDescent="0.3">
      <c r="E118" s="4"/>
      <c r="F118" s="4"/>
    </row>
    <row r="119" spans="5:6" x14ac:dyDescent="0.3">
      <c r="E119" s="4"/>
      <c r="F119" s="4"/>
    </row>
    <row r="120" spans="5:6" x14ac:dyDescent="0.3">
      <c r="E120" s="4"/>
      <c r="F120" s="4"/>
    </row>
    <row r="121" spans="5:6" x14ac:dyDescent="0.3">
      <c r="E121" s="4"/>
      <c r="F121" s="4"/>
    </row>
    <row r="122" spans="5:6" x14ac:dyDescent="0.3">
      <c r="E122" s="4"/>
      <c r="F122" s="4"/>
    </row>
    <row r="123" spans="5:6" x14ac:dyDescent="0.3">
      <c r="E123" s="4"/>
      <c r="F123" s="4"/>
    </row>
    <row r="124" spans="5:6" x14ac:dyDescent="0.3">
      <c r="E124" s="4"/>
      <c r="F124" s="4"/>
    </row>
    <row r="125" spans="5:6" x14ac:dyDescent="0.3">
      <c r="E125" s="4"/>
      <c r="F125" s="4"/>
    </row>
    <row r="126" spans="5:6" x14ac:dyDescent="0.3">
      <c r="E126" s="4"/>
      <c r="F126" s="4"/>
    </row>
    <row r="127" spans="5:6" x14ac:dyDescent="0.3">
      <c r="E127" s="4"/>
      <c r="F127" s="4"/>
    </row>
    <row r="128" spans="5:6" x14ac:dyDescent="0.3">
      <c r="E128" s="4"/>
      <c r="F128" s="4"/>
    </row>
    <row r="129" spans="5:6" x14ac:dyDescent="0.3">
      <c r="E129" s="4"/>
      <c r="F129" s="4"/>
    </row>
    <row r="130" spans="5:6" x14ac:dyDescent="0.3">
      <c r="E130" s="4"/>
      <c r="F130" s="4"/>
    </row>
    <row r="131" spans="5:6" x14ac:dyDescent="0.3">
      <c r="E131" s="4"/>
      <c r="F131" s="4"/>
    </row>
    <row r="132" spans="5:6" x14ac:dyDescent="0.3">
      <c r="E132" s="4"/>
      <c r="F132" s="4"/>
    </row>
    <row r="133" spans="5:6" x14ac:dyDescent="0.3">
      <c r="E133" s="4"/>
      <c r="F133" s="4"/>
    </row>
    <row r="134" spans="5:6" x14ac:dyDescent="0.3">
      <c r="E134" s="4"/>
      <c r="F134" s="4"/>
    </row>
    <row r="135" spans="5:6" x14ac:dyDescent="0.3">
      <c r="E135" s="4"/>
      <c r="F135" s="4"/>
    </row>
    <row r="136" spans="5:6" x14ac:dyDescent="0.3">
      <c r="E136" s="4"/>
      <c r="F136" s="4"/>
    </row>
    <row r="137" spans="5:6" x14ac:dyDescent="0.3">
      <c r="E137" s="4"/>
      <c r="F137" s="4"/>
    </row>
    <row r="138" spans="5:6" x14ac:dyDescent="0.3">
      <c r="E138" s="4"/>
      <c r="F138" s="4"/>
    </row>
    <row r="139" spans="5:6" x14ac:dyDescent="0.3">
      <c r="E139" s="4"/>
      <c r="F139" s="4"/>
    </row>
    <row r="140" spans="5:6" x14ac:dyDescent="0.3">
      <c r="E140" s="4"/>
      <c r="F140" s="4"/>
    </row>
    <row r="141" spans="5:6" x14ac:dyDescent="0.3">
      <c r="E141" s="4"/>
      <c r="F141" s="4"/>
    </row>
    <row r="142" spans="5:6" x14ac:dyDescent="0.3">
      <c r="E142" s="4"/>
      <c r="F142" s="4"/>
    </row>
    <row r="143" spans="5:6" x14ac:dyDescent="0.3">
      <c r="E143" s="4"/>
      <c r="F143" s="4"/>
    </row>
    <row r="144" spans="5:6" x14ac:dyDescent="0.3">
      <c r="E144" s="4"/>
      <c r="F144" s="4"/>
    </row>
    <row r="145" spans="5:6" x14ac:dyDescent="0.3">
      <c r="E145" s="4"/>
      <c r="F145" s="4"/>
    </row>
    <row r="146" spans="5:6" x14ac:dyDescent="0.3">
      <c r="E146" s="4"/>
      <c r="F146" s="4"/>
    </row>
    <row r="147" spans="5:6" x14ac:dyDescent="0.3">
      <c r="E147" s="4"/>
      <c r="F147" s="4"/>
    </row>
    <row r="148" spans="5:6" x14ac:dyDescent="0.3">
      <c r="E148" s="4"/>
      <c r="F148" s="4"/>
    </row>
    <row r="149" spans="5:6" x14ac:dyDescent="0.3">
      <c r="E149" s="4"/>
      <c r="F149" s="4"/>
    </row>
    <row r="150" spans="5:6" x14ac:dyDescent="0.3">
      <c r="E150" s="4"/>
      <c r="F150" s="4"/>
    </row>
    <row r="151" spans="5:6" x14ac:dyDescent="0.3">
      <c r="E151" s="4"/>
      <c r="F151" s="4"/>
    </row>
    <row r="152" spans="5:6" x14ac:dyDescent="0.3">
      <c r="E152" s="4"/>
      <c r="F152" s="4"/>
    </row>
    <row r="153" spans="5:6" x14ac:dyDescent="0.3">
      <c r="E153" s="4"/>
      <c r="F153" s="4"/>
    </row>
    <row r="154" spans="5:6" x14ac:dyDescent="0.3">
      <c r="E154" s="4"/>
      <c r="F154" s="4"/>
    </row>
    <row r="155" spans="5:6" x14ac:dyDescent="0.3">
      <c r="E155" s="4"/>
      <c r="F155" s="4"/>
    </row>
    <row r="156" spans="5:6" x14ac:dyDescent="0.3">
      <c r="E156" s="4"/>
      <c r="F156" s="4"/>
    </row>
    <row r="157" spans="5:6" x14ac:dyDescent="0.3">
      <c r="E157" s="4"/>
      <c r="F157" s="4"/>
    </row>
    <row r="158" spans="5:6" x14ac:dyDescent="0.3">
      <c r="E158" s="4"/>
      <c r="F158" s="4"/>
    </row>
    <row r="159" spans="5:6" x14ac:dyDescent="0.3">
      <c r="E159" s="4"/>
      <c r="F159" s="4"/>
    </row>
    <row r="160" spans="5:6" x14ac:dyDescent="0.3">
      <c r="E160" s="4"/>
      <c r="F160" s="4"/>
    </row>
    <row r="161" spans="5:6" x14ac:dyDescent="0.3">
      <c r="E161" s="4"/>
      <c r="F161" s="4"/>
    </row>
    <row r="162" spans="5:6" x14ac:dyDescent="0.3">
      <c r="E162" s="4"/>
      <c r="F162" s="4"/>
    </row>
    <row r="163" spans="5:6" x14ac:dyDescent="0.3">
      <c r="E163" s="4"/>
      <c r="F163" s="4"/>
    </row>
    <row r="164" spans="5:6" x14ac:dyDescent="0.3">
      <c r="E164" s="4"/>
      <c r="F164" s="4"/>
    </row>
    <row r="165" spans="5:6" x14ac:dyDescent="0.3">
      <c r="E165" s="4"/>
      <c r="F165" s="4"/>
    </row>
    <row r="166" spans="5:6" x14ac:dyDescent="0.3">
      <c r="E166" s="4"/>
      <c r="F166" s="4"/>
    </row>
    <row r="167" spans="5:6" x14ac:dyDescent="0.3">
      <c r="E167" s="4"/>
      <c r="F167" s="4"/>
    </row>
    <row r="168" spans="5:6" x14ac:dyDescent="0.3">
      <c r="E168" s="4"/>
      <c r="F168" s="4"/>
    </row>
    <row r="169" spans="5:6" x14ac:dyDescent="0.3">
      <c r="E169" s="4"/>
      <c r="F169" s="4"/>
    </row>
    <row r="170" spans="5:6" x14ac:dyDescent="0.3">
      <c r="E170" s="4"/>
      <c r="F170" s="4"/>
    </row>
    <row r="171" spans="5:6" x14ac:dyDescent="0.3">
      <c r="E171" s="4"/>
      <c r="F171" s="4"/>
    </row>
    <row r="172" spans="5:6" x14ac:dyDescent="0.3">
      <c r="E172" s="4"/>
      <c r="F172" s="4"/>
    </row>
    <row r="173" spans="5:6" x14ac:dyDescent="0.3">
      <c r="E173" s="4"/>
      <c r="F173" s="4"/>
    </row>
    <row r="174" spans="5:6" x14ac:dyDescent="0.3">
      <c r="E174" s="4"/>
      <c r="F174" s="4"/>
    </row>
    <row r="175" spans="5:6" x14ac:dyDescent="0.3">
      <c r="E175" s="4"/>
      <c r="F175" s="4"/>
    </row>
    <row r="176" spans="5:6" x14ac:dyDescent="0.3">
      <c r="E176" s="4"/>
      <c r="F176" s="4"/>
    </row>
    <row r="177" spans="5:6" x14ac:dyDescent="0.3">
      <c r="E177" s="4"/>
      <c r="F177" s="4"/>
    </row>
    <row r="178" spans="5:6" x14ac:dyDescent="0.3">
      <c r="E178" s="4"/>
      <c r="F178" s="4"/>
    </row>
    <row r="179" spans="5:6" x14ac:dyDescent="0.3">
      <c r="E179" s="4"/>
      <c r="F179" s="4"/>
    </row>
    <row r="180" spans="5:6" x14ac:dyDescent="0.3">
      <c r="E180" s="4"/>
      <c r="F180" s="4"/>
    </row>
    <row r="181" spans="5:6" x14ac:dyDescent="0.3">
      <c r="E181" s="4"/>
      <c r="F181" s="4"/>
    </row>
    <row r="182" spans="5:6" x14ac:dyDescent="0.3">
      <c r="E182" s="4"/>
      <c r="F182" s="4"/>
    </row>
    <row r="183" spans="5:6" x14ac:dyDescent="0.3">
      <c r="E183" s="4"/>
      <c r="F183" s="4"/>
    </row>
    <row r="184" spans="5:6" x14ac:dyDescent="0.3">
      <c r="E184" s="4"/>
      <c r="F184" s="4"/>
    </row>
    <row r="185" spans="5:6" x14ac:dyDescent="0.3">
      <c r="E185" s="4"/>
      <c r="F185" s="4"/>
    </row>
    <row r="186" spans="5:6" x14ac:dyDescent="0.3">
      <c r="E186" s="4"/>
      <c r="F186" s="4"/>
    </row>
    <row r="187" spans="5:6" x14ac:dyDescent="0.3">
      <c r="E187" s="4"/>
      <c r="F187" s="4"/>
    </row>
    <row r="188" spans="5:6" x14ac:dyDescent="0.3">
      <c r="E188" s="4"/>
      <c r="F188" s="4"/>
    </row>
    <row r="189" spans="5:6" x14ac:dyDescent="0.3">
      <c r="E189" s="4"/>
      <c r="F189" s="4"/>
    </row>
    <row r="190" spans="5:6" x14ac:dyDescent="0.3">
      <c r="E190" s="4"/>
      <c r="F190" s="4"/>
    </row>
    <row r="191" spans="5:6" x14ac:dyDescent="0.3">
      <c r="E191" s="4"/>
      <c r="F191" s="4"/>
    </row>
    <row r="192" spans="5:6" x14ac:dyDescent="0.3">
      <c r="E192" s="4"/>
      <c r="F192" s="4"/>
    </row>
    <row r="193" spans="5:6" x14ac:dyDescent="0.3">
      <c r="E193" s="4"/>
      <c r="F193" s="4"/>
    </row>
    <row r="194" spans="5:6" x14ac:dyDescent="0.3">
      <c r="E194" s="4"/>
      <c r="F194" s="4"/>
    </row>
    <row r="195" spans="5:6" x14ac:dyDescent="0.3">
      <c r="E195" s="4"/>
      <c r="F195" s="4"/>
    </row>
    <row r="196" spans="5:6" x14ac:dyDescent="0.3">
      <c r="E196" s="4"/>
      <c r="F196" s="4"/>
    </row>
    <row r="197" spans="5:6" x14ac:dyDescent="0.3">
      <c r="E197" s="4"/>
      <c r="F197" s="4"/>
    </row>
    <row r="198" spans="5:6" x14ac:dyDescent="0.3">
      <c r="E198" s="4"/>
      <c r="F198" s="4"/>
    </row>
    <row r="199" spans="5:6" x14ac:dyDescent="0.3">
      <c r="E199" s="4"/>
      <c r="F199" s="4"/>
    </row>
    <row r="200" spans="5:6" x14ac:dyDescent="0.3">
      <c r="E200" s="4"/>
      <c r="F200" s="4"/>
    </row>
    <row r="201" spans="5:6" x14ac:dyDescent="0.3">
      <c r="E201" s="4"/>
      <c r="F201" s="4"/>
    </row>
    <row r="202" spans="5:6" x14ac:dyDescent="0.3">
      <c r="E202" s="4"/>
      <c r="F202" s="4"/>
    </row>
    <row r="203" spans="5:6" x14ac:dyDescent="0.3">
      <c r="E203" s="4"/>
      <c r="F203" s="4"/>
    </row>
    <row r="204" spans="5:6" x14ac:dyDescent="0.3">
      <c r="E204" s="4"/>
      <c r="F204" s="4"/>
    </row>
    <row r="205" spans="5:6" x14ac:dyDescent="0.3">
      <c r="E205" s="4"/>
      <c r="F205" s="4"/>
    </row>
    <row r="206" spans="5:6" x14ac:dyDescent="0.3">
      <c r="E206" s="4"/>
      <c r="F206" s="4"/>
    </row>
    <row r="207" spans="5:6" x14ac:dyDescent="0.3">
      <c r="E207" s="4"/>
      <c r="F207" s="4"/>
    </row>
    <row r="208" spans="5:6" x14ac:dyDescent="0.3">
      <c r="E208" s="4"/>
      <c r="F208" s="4"/>
    </row>
    <row r="209" spans="5:6" x14ac:dyDescent="0.3">
      <c r="E209" s="4"/>
      <c r="F209" s="4"/>
    </row>
    <row r="210" spans="5:6" x14ac:dyDescent="0.3">
      <c r="E210" s="4"/>
      <c r="F210" s="4"/>
    </row>
    <row r="211" spans="5:6" x14ac:dyDescent="0.3">
      <c r="E211" s="4"/>
      <c r="F211" s="4"/>
    </row>
    <row r="212" spans="5:6" x14ac:dyDescent="0.3">
      <c r="E212" s="4"/>
      <c r="F212" s="4"/>
    </row>
    <row r="213" spans="5:6" x14ac:dyDescent="0.3">
      <c r="E213" s="4"/>
      <c r="F213" s="4"/>
    </row>
    <row r="214" spans="5:6" x14ac:dyDescent="0.3">
      <c r="E214" s="4"/>
      <c r="F214" s="4"/>
    </row>
    <row r="215" spans="5:6" x14ac:dyDescent="0.3">
      <c r="E215" s="4"/>
      <c r="F215" s="4"/>
    </row>
    <row r="216" spans="5:6" x14ac:dyDescent="0.3">
      <c r="E216" s="4"/>
      <c r="F216" s="4"/>
    </row>
    <row r="217" spans="5:6" x14ac:dyDescent="0.3">
      <c r="E217" s="4"/>
      <c r="F217" s="4"/>
    </row>
    <row r="218" spans="5:6" x14ac:dyDescent="0.3">
      <c r="E218" s="4"/>
      <c r="F218" s="4"/>
    </row>
    <row r="219" spans="5:6" x14ac:dyDescent="0.3">
      <c r="E219" s="4"/>
      <c r="F219" s="4"/>
    </row>
    <row r="220" spans="5:6" x14ac:dyDescent="0.3">
      <c r="E220" s="4"/>
      <c r="F220" s="4"/>
    </row>
    <row r="221" spans="5:6" x14ac:dyDescent="0.3">
      <c r="E221" s="4"/>
      <c r="F221" s="4"/>
    </row>
    <row r="222" spans="5:6" x14ac:dyDescent="0.3">
      <c r="E222" s="4"/>
      <c r="F222" s="4"/>
    </row>
    <row r="223" spans="5:6" x14ac:dyDescent="0.3">
      <c r="E223" s="4"/>
      <c r="F223" s="4"/>
    </row>
    <row r="224" spans="5:6" x14ac:dyDescent="0.3">
      <c r="E224" s="4"/>
      <c r="F224" s="4"/>
    </row>
    <row r="225" spans="5:6" x14ac:dyDescent="0.3">
      <c r="E225" s="4"/>
      <c r="F225" s="4"/>
    </row>
    <row r="226" spans="5:6" x14ac:dyDescent="0.3">
      <c r="E226" s="4"/>
      <c r="F226" s="4"/>
    </row>
    <row r="227" spans="5:6" x14ac:dyDescent="0.3">
      <c r="E227" s="4"/>
      <c r="F227" s="4"/>
    </row>
    <row r="228" spans="5:6" x14ac:dyDescent="0.3">
      <c r="E228" s="4"/>
      <c r="F228" s="4"/>
    </row>
    <row r="229" spans="5:6" x14ac:dyDescent="0.3">
      <c r="E229" s="4"/>
      <c r="F229" s="4"/>
    </row>
    <row r="230" spans="5:6" x14ac:dyDescent="0.3">
      <c r="E230" s="4"/>
      <c r="F230" s="4"/>
    </row>
    <row r="231" spans="5:6" x14ac:dyDescent="0.3">
      <c r="E231" s="4"/>
      <c r="F231" s="4"/>
    </row>
    <row r="232" spans="5:6" x14ac:dyDescent="0.3">
      <c r="E232" s="4"/>
      <c r="F232" s="4"/>
    </row>
    <row r="233" spans="5:6" x14ac:dyDescent="0.3">
      <c r="E233" s="4"/>
      <c r="F233" s="4"/>
    </row>
    <row r="234" spans="5:6" x14ac:dyDescent="0.3">
      <c r="E234" s="4"/>
      <c r="F234" s="4"/>
    </row>
    <row r="235" spans="5:6" x14ac:dyDescent="0.3">
      <c r="E235" s="4"/>
      <c r="F235" s="4"/>
    </row>
    <row r="236" spans="5:6" x14ac:dyDescent="0.3">
      <c r="E236" s="4"/>
      <c r="F236" s="4"/>
    </row>
    <row r="237" spans="5:6" x14ac:dyDescent="0.3">
      <c r="E237" s="4"/>
      <c r="F237" s="4"/>
    </row>
    <row r="238" spans="5:6" x14ac:dyDescent="0.3">
      <c r="E238" s="4"/>
      <c r="F238" s="4"/>
    </row>
    <row r="239" spans="5:6" x14ac:dyDescent="0.3">
      <c r="E239" s="4"/>
      <c r="F239" s="4"/>
    </row>
    <row r="240" spans="5:6" x14ac:dyDescent="0.3">
      <c r="E240" s="4"/>
      <c r="F240" s="4"/>
    </row>
    <row r="241" spans="5:6" x14ac:dyDescent="0.3">
      <c r="E241" s="4"/>
      <c r="F241" s="4"/>
    </row>
    <row r="242" spans="5:6" x14ac:dyDescent="0.3">
      <c r="E242" s="4"/>
      <c r="F242" s="4"/>
    </row>
    <row r="243" spans="5:6" x14ac:dyDescent="0.3">
      <c r="E243" s="4"/>
      <c r="F243" s="4"/>
    </row>
    <row r="244" spans="5:6" x14ac:dyDescent="0.3">
      <c r="E244" s="4"/>
      <c r="F244" s="4"/>
    </row>
    <row r="245" spans="5:6" x14ac:dyDescent="0.3">
      <c r="E245" s="4"/>
      <c r="F245" s="4"/>
    </row>
    <row r="246" spans="5:6" x14ac:dyDescent="0.3">
      <c r="E246" s="4"/>
      <c r="F246" s="4"/>
    </row>
    <row r="247" spans="5:6" x14ac:dyDescent="0.3">
      <c r="E247" s="4"/>
      <c r="F247" s="4"/>
    </row>
    <row r="248" spans="5:6" x14ac:dyDescent="0.3">
      <c r="E248" s="4"/>
      <c r="F248" s="4"/>
    </row>
    <row r="249" spans="5:6" x14ac:dyDescent="0.3">
      <c r="E249" s="4"/>
      <c r="F249" s="4"/>
    </row>
    <row r="250" spans="5:6" x14ac:dyDescent="0.3">
      <c r="E250" s="4"/>
      <c r="F250" s="4"/>
    </row>
    <row r="251" spans="5:6" x14ac:dyDescent="0.3">
      <c r="E251" s="4"/>
      <c r="F251" s="4"/>
    </row>
    <row r="252" spans="5:6" x14ac:dyDescent="0.3">
      <c r="E252" s="4"/>
      <c r="F252" s="4"/>
    </row>
    <row r="253" spans="5:6" x14ac:dyDescent="0.3">
      <c r="E253" s="4"/>
      <c r="F253" s="4"/>
    </row>
    <row r="254" spans="5:6" x14ac:dyDescent="0.3">
      <c r="E254" s="4"/>
      <c r="F254" s="4"/>
    </row>
    <row r="255" spans="5:6" x14ac:dyDescent="0.3">
      <c r="E255" s="4"/>
      <c r="F255" s="4"/>
    </row>
    <row r="256" spans="5:6" x14ac:dyDescent="0.3">
      <c r="E256" s="4"/>
      <c r="F256" s="4"/>
    </row>
    <row r="257" spans="5:6" x14ac:dyDescent="0.3">
      <c r="E257" s="4"/>
      <c r="F257" s="4"/>
    </row>
    <row r="258" spans="5:6" x14ac:dyDescent="0.3">
      <c r="E258" s="4"/>
      <c r="F258" s="4"/>
    </row>
    <row r="259" spans="5:6" x14ac:dyDescent="0.3">
      <c r="E259" s="4"/>
      <c r="F259" s="4"/>
    </row>
    <row r="260" spans="5:6" x14ac:dyDescent="0.3">
      <c r="E260" s="4"/>
      <c r="F260" s="4"/>
    </row>
    <row r="261" spans="5:6" x14ac:dyDescent="0.3">
      <c r="E261" s="4"/>
      <c r="F261" s="4"/>
    </row>
    <row r="262" spans="5:6" x14ac:dyDescent="0.3">
      <c r="E262" s="4"/>
      <c r="F262" s="4"/>
    </row>
    <row r="263" spans="5:6" x14ac:dyDescent="0.3">
      <c r="E263" s="4"/>
      <c r="F263" s="4"/>
    </row>
    <row r="264" spans="5:6" x14ac:dyDescent="0.3">
      <c r="E264" s="4"/>
      <c r="F264" s="4"/>
    </row>
    <row r="265" spans="5:6" x14ac:dyDescent="0.3">
      <c r="E265" s="4"/>
      <c r="F265" s="4"/>
    </row>
    <row r="266" spans="5:6" x14ac:dyDescent="0.3">
      <c r="E266" s="4"/>
      <c r="F266" s="4"/>
    </row>
    <row r="267" spans="5:6" x14ac:dyDescent="0.3">
      <c r="E267" s="4"/>
      <c r="F267" s="4"/>
    </row>
    <row r="268" spans="5:6" x14ac:dyDescent="0.3">
      <c r="E268" s="4"/>
      <c r="F268" s="4"/>
    </row>
    <row r="269" spans="5:6" x14ac:dyDescent="0.3">
      <c r="E269" s="4"/>
      <c r="F269" s="4"/>
    </row>
    <row r="270" spans="5:6" x14ac:dyDescent="0.3">
      <c r="E270" s="4"/>
      <c r="F270" s="4"/>
    </row>
    <row r="271" spans="5:6" x14ac:dyDescent="0.3">
      <c r="E271" s="4"/>
      <c r="F271" s="4"/>
    </row>
    <row r="272" spans="5:6" x14ac:dyDescent="0.3">
      <c r="E272" s="4"/>
      <c r="F272" s="4"/>
    </row>
    <row r="273" spans="5:6" x14ac:dyDescent="0.3">
      <c r="E273" s="4"/>
      <c r="F273" s="4"/>
    </row>
    <row r="274" spans="5:6" x14ac:dyDescent="0.3">
      <c r="E274" s="4"/>
      <c r="F274" s="4"/>
    </row>
    <row r="275" spans="5:6" x14ac:dyDescent="0.3">
      <c r="E275" s="4"/>
      <c r="F275" s="4"/>
    </row>
    <row r="276" spans="5:6" x14ac:dyDescent="0.3">
      <c r="E276" s="4"/>
      <c r="F276" s="4"/>
    </row>
    <row r="277" spans="5:6" x14ac:dyDescent="0.3">
      <c r="E277" s="4"/>
      <c r="F277" s="4"/>
    </row>
    <row r="278" spans="5:6" x14ac:dyDescent="0.3">
      <c r="E278" s="4"/>
      <c r="F278" s="4"/>
    </row>
    <row r="279" spans="5:6" x14ac:dyDescent="0.3">
      <c r="E279" s="4"/>
      <c r="F279" s="4"/>
    </row>
    <row r="280" spans="5:6" x14ac:dyDescent="0.3">
      <c r="E280" s="4"/>
      <c r="F280" s="4"/>
    </row>
    <row r="281" spans="5:6" x14ac:dyDescent="0.3">
      <c r="E281" s="4"/>
      <c r="F281" s="4"/>
    </row>
    <row r="282" spans="5:6" x14ac:dyDescent="0.3">
      <c r="E282" s="4"/>
      <c r="F282" s="4"/>
    </row>
    <row r="283" spans="5:6" x14ac:dyDescent="0.3">
      <c r="E283" s="4"/>
      <c r="F283" s="4"/>
    </row>
    <row r="284" spans="5:6" x14ac:dyDescent="0.3">
      <c r="E284" s="4"/>
      <c r="F284" s="4"/>
    </row>
    <row r="285" spans="5:6" x14ac:dyDescent="0.3">
      <c r="E285" s="4"/>
      <c r="F285" s="4"/>
    </row>
    <row r="286" spans="5:6" x14ac:dyDescent="0.3">
      <c r="E286" s="4"/>
      <c r="F286" s="4"/>
    </row>
    <row r="287" spans="5:6" x14ac:dyDescent="0.3">
      <c r="E287" s="4"/>
      <c r="F287" s="4"/>
    </row>
    <row r="288" spans="5:6" x14ac:dyDescent="0.3">
      <c r="E288" s="4"/>
      <c r="F288" s="4"/>
    </row>
    <row r="289" spans="5:6" x14ac:dyDescent="0.3">
      <c r="E289" s="4"/>
      <c r="F289" s="4"/>
    </row>
    <row r="290" spans="5:6" x14ac:dyDescent="0.3">
      <c r="E290" s="4"/>
      <c r="F290" s="4"/>
    </row>
    <row r="291" spans="5:6" x14ac:dyDescent="0.3">
      <c r="E291" s="4"/>
      <c r="F291" s="4"/>
    </row>
    <row r="292" spans="5:6" x14ac:dyDescent="0.3">
      <c r="E292" s="4"/>
      <c r="F292" s="4"/>
    </row>
    <row r="293" spans="5:6" x14ac:dyDescent="0.3">
      <c r="E293" s="4"/>
      <c r="F293" s="4"/>
    </row>
    <row r="294" spans="5:6" x14ac:dyDescent="0.3">
      <c r="E294" s="4"/>
      <c r="F294" s="4"/>
    </row>
    <row r="295" spans="5:6" x14ac:dyDescent="0.3">
      <c r="E295" s="4"/>
      <c r="F295" s="4"/>
    </row>
    <row r="296" spans="5:6" x14ac:dyDescent="0.3">
      <c r="E296" s="4"/>
      <c r="F296" s="4"/>
    </row>
    <row r="297" spans="5:6" x14ac:dyDescent="0.3">
      <c r="E297" s="4"/>
      <c r="F297" s="4"/>
    </row>
    <row r="298" spans="5:6" x14ac:dyDescent="0.3">
      <c r="E298" s="4"/>
      <c r="F298" s="4"/>
    </row>
    <row r="299" spans="5:6" x14ac:dyDescent="0.3">
      <c r="E299" s="4"/>
      <c r="F299" s="4"/>
    </row>
    <row r="300" spans="5:6" x14ac:dyDescent="0.3">
      <c r="E300" s="4"/>
      <c r="F300" s="4"/>
    </row>
    <row r="301" spans="5:6" x14ac:dyDescent="0.3">
      <c r="E301" s="4"/>
      <c r="F301" s="4"/>
    </row>
    <row r="302" spans="5:6" x14ac:dyDescent="0.3">
      <c r="E302" s="4"/>
      <c r="F302" s="4"/>
    </row>
    <row r="303" spans="5:6" x14ac:dyDescent="0.3">
      <c r="E303" s="4"/>
      <c r="F303" s="4"/>
    </row>
    <row r="304" spans="5:6" x14ac:dyDescent="0.3">
      <c r="E304" s="4"/>
      <c r="F304" s="4"/>
    </row>
    <row r="305" spans="5:6" x14ac:dyDescent="0.3">
      <c r="E305" s="4"/>
      <c r="F305" s="4"/>
    </row>
    <row r="306" spans="5:6" x14ac:dyDescent="0.3">
      <c r="E306" s="4"/>
      <c r="F306" s="4"/>
    </row>
    <row r="307" spans="5:6" x14ac:dyDescent="0.3">
      <c r="E307" s="4"/>
      <c r="F307" s="4"/>
    </row>
    <row r="308" spans="5:6" x14ac:dyDescent="0.3">
      <c r="E308" s="4"/>
      <c r="F308" s="4"/>
    </row>
    <row r="309" spans="5:6" x14ac:dyDescent="0.3">
      <c r="E309" s="4"/>
      <c r="F309" s="4"/>
    </row>
    <row r="310" spans="5:6" x14ac:dyDescent="0.3">
      <c r="E310" s="4"/>
      <c r="F310" s="4"/>
    </row>
    <row r="311" spans="5:6" x14ac:dyDescent="0.3">
      <c r="E311" s="4"/>
      <c r="F311" s="4"/>
    </row>
    <row r="312" spans="5:6" x14ac:dyDescent="0.3">
      <c r="E312" s="4"/>
      <c r="F312" s="4"/>
    </row>
    <row r="313" spans="5:6" x14ac:dyDescent="0.3">
      <c r="E313" s="4"/>
      <c r="F313" s="4"/>
    </row>
    <row r="314" spans="5:6" x14ac:dyDescent="0.3">
      <c r="E314" s="4"/>
      <c r="F314" s="4"/>
    </row>
    <row r="315" spans="5:6" x14ac:dyDescent="0.3">
      <c r="E315" s="4"/>
      <c r="F315" s="4"/>
    </row>
    <row r="316" spans="5:6" x14ac:dyDescent="0.3">
      <c r="E316" s="4"/>
      <c r="F316" s="4"/>
    </row>
    <row r="317" spans="5:6" x14ac:dyDescent="0.3">
      <c r="E317" s="4"/>
      <c r="F317" s="4"/>
    </row>
    <row r="318" spans="5:6" x14ac:dyDescent="0.3">
      <c r="E318" s="4"/>
      <c r="F318" s="4"/>
    </row>
    <row r="319" spans="5:6" x14ac:dyDescent="0.3">
      <c r="E319" s="4"/>
      <c r="F319" s="4"/>
    </row>
    <row r="320" spans="5:6" x14ac:dyDescent="0.3">
      <c r="E320" s="4"/>
      <c r="F320" s="4"/>
    </row>
    <row r="321" spans="5:6" x14ac:dyDescent="0.3">
      <c r="E321" s="4"/>
      <c r="F321" s="4"/>
    </row>
    <row r="322" spans="5:6" x14ac:dyDescent="0.3">
      <c r="E322" s="4"/>
      <c r="F322" s="4"/>
    </row>
    <row r="323" spans="5:6" x14ac:dyDescent="0.3">
      <c r="E323" s="4"/>
      <c r="F323" s="4"/>
    </row>
    <row r="324" spans="5:6" x14ac:dyDescent="0.3">
      <c r="E324" s="4"/>
      <c r="F324" s="4"/>
    </row>
    <row r="325" spans="5:6" x14ac:dyDescent="0.3">
      <c r="E325" s="4"/>
      <c r="F325" s="4"/>
    </row>
    <row r="326" spans="5:6" x14ac:dyDescent="0.3">
      <c r="E326" s="4"/>
      <c r="F326" s="4"/>
    </row>
    <row r="327" spans="5:6" x14ac:dyDescent="0.3">
      <c r="E327" s="4"/>
      <c r="F327" s="4"/>
    </row>
    <row r="328" spans="5:6" x14ac:dyDescent="0.3">
      <c r="E328" s="4"/>
      <c r="F328" s="4"/>
    </row>
    <row r="329" spans="5:6" x14ac:dyDescent="0.3">
      <c r="E329" s="4"/>
      <c r="F329" s="4"/>
    </row>
    <row r="330" spans="5:6" x14ac:dyDescent="0.3">
      <c r="E330" s="4"/>
      <c r="F330" s="4"/>
    </row>
    <row r="331" spans="5:6" x14ac:dyDescent="0.3">
      <c r="E331" s="4"/>
      <c r="F331" s="4"/>
    </row>
    <row r="332" spans="5:6" x14ac:dyDescent="0.3">
      <c r="E332" s="4"/>
      <c r="F332" s="4"/>
    </row>
    <row r="333" spans="5:6" x14ac:dyDescent="0.3">
      <c r="E333" s="4"/>
      <c r="F333" s="4"/>
    </row>
    <row r="334" spans="5:6" x14ac:dyDescent="0.3">
      <c r="E334" s="4"/>
      <c r="F334" s="4"/>
    </row>
    <row r="335" spans="5:6" x14ac:dyDescent="0.3">
      <c r="E335" s="4"/>
      <c r="F335" s="4"/>
    </row>
    <row r="336" spans="5:6" x14ac:dyDescent="0.3">
      <c r="E336" s="4"/>
      <c r="F336" s="4"/>
    </row>
    <row r="337" spans="5:6" x14ac:dyDescent="0.3">
      <c r="E337" s="4"/>
      <c r="F337" s="4"/>
    </row>
    <row r="338" spans="5:6" x14ac:dyDescent="0.3">
      <c r="E338" s="4"/>
      <c r="F338" s="4"/>
    </row>
    <row r="339" spans="5:6" x14ac:dyDescent="0.3">
      <c r="E339" s="4"/>
      <c r="F339" s="4"/>
    </row>
    <row r="340" spans="5:6" x14ac:dyDescent="0.3">
      <c r="E340" s="4"/>
      <c r="F340" s="4"/>
    </row>
    <row r="341" spans="5:6" x14ac:dyDescent="0.3">
      <c r="E341" s="4"/>
      <c r="F341" s="4"/>
    </row>
    <row r="342" spans="5:6" x14ac:dyDescent="0.3">
      <c r="E342" s="4"/>
      <c r="F342" s="4"/>
    </row>
    <row r="343" spans="5:6" x14ac:dyDescent="0.3">
      <c r="E343" s="4"/>
      <c r="F343" s="4"/>
    </row>
    <row r="344" spans="5:6" x14ac:dyDescent="0.3">
      <c r="E344" s="4"/>
      <c r="F344" s="4"/>
    </row>
    <row r="345" spans="5:6" x14ac:dyDescent="0.3">
      <c r="E345" s="4"/>
      <c r="F345" s="4"/>
    </row>
    <row r="346" spans="5:6" x14ac:dyDescent="0.3">
      <c r="E346" s="4"/>
      <c r="F346" s="4"/>
    </row>
    <row r="347" spans="5:6" x14ac:dyDescent="0.3">
      <c r="E347" s="4"/>
      <c r="F347" s="4"/>
    </row>
    <row r="348" spans="5:6" x14ac:dyDescent="0.3">
      <c r="E348" s="4"/>
      <c r="F348" s="4"/>
    </row>
    <row r="349" spans="5:6" x14ac:dyDescent="0.3">
      <c r="E349" s="4"/>
      <c r="F349" s="4"/>
    </row>
    <row r="350" spans="5:6" x14ac:dyDescent="0.3">
      <c r="E350" s="4"/>
      <c r="F350" s="4"/>
    </row>
    <row r="351" spans="5:6" x14ac:dyDescent="0.3">
      <c r="E351" s="4"/>
      <c r="F351" s="4"/>
    </row>
    <row r="352" spans="5:6" x14ac:dyDescent="0.3">
      <c r="E352" s="4"/>
      <c r="F352" s="4"/>
    </row>
    <row r="353" spans="5:6" x14ac:dyDescent="0.3">
      <c r="E353" s="4"/>
      <c r="F353" s="4"/>
    </row>
    <row r="354" spans="5:6" x14ac:dyDescent="0.3">
      <c r="E354" s="4"/>
      <c r="F354" s="4"/>
    </row>
    <row r="355" spans="5:6" x14ac:dyDescent="0.3">
      <c r="E355" s="4"/>
      <c r="F355" s="4"/>
    </row>
    <row r="356" spans="5:6" x14ac:dyDescent="0.3">
      <c r="E356" s="4"/>
      <c r="F356" s="4"/>
    </row>
    <row r="357" spans="5:6" x14ac:dyDescent="0.3">
      <c r="E357" s="4"/>
      <c r="F357" s="4"/>
    </row>
    <row r="358" spans="5:6" x14ac:dyDescent="0.3">
      <c r="E358" s="4"/>
      <c r="F358" s="4"/>
    </row>
    <row r="359" spans="5:6" x14ac:dyDescent="0.3">
      <c r="E359" s="4"/>
      <c r="F359" s="4"/>
    </row>
    <row r="360" spans="5:6" x14ac:dyDescent="0.3">
      <c r="E360" s="4"/>
      <c r="F360" s="4"/>
    </row>
    <row r="361" spans="5:6" x14ac:dyDescent="0.3">
      <c r="E361" s="4"/>
      <c r="F361" s="4"/>
    </row>
    <row r="362" spans="5:6" x14ac:dyDescent="0.3">
      <c r="E362" s="4"/>
      <c r="F362" s="4"/>
    </row>
    <row r="363" spans="5:6" x14ac:dyDescent="0.3">
      <c r="E363" s="4"/>
      <c r="F363" s="4"/>
    </row>
    <row r="364" spans="5:6" x14ac:dyDescent="0.3">
      <c r="E364" s="4"/>
      <c r="F364" s="4"/>
    </row>
    <row r="365" spans="5:6" x14ac:dyDescent="0.3">
      <c r="E365" s="4"/>
      <c r="F365" s="4"/>
    </row>
    <row r="366" spans="5:6" x14ac:dyDescent="0.3">
      <c r="E366" s="4"/>
      <c r="F366" s="4"/>
    </row>
    <row r="367" spans="5:6" x14ac:dyDescent="0.3">
      <c r="E367" s="4"/>
      <c r="F367" s="4"/>
    </row>
    <row r="368" spans="5:6" x14ac:dyDescent="0.3">
      <c r="E368" s="4"/>
      <c r="F368" s="4"/>
    </row>
    <row r="369" spans="5:6" x14ac:dyDescent="0.3">
      <c r="E369" s="4"/>
      <c r="F369" s="4"/>
    </row>
    <row r="370" spans="5:6" x14ac:dyDescent="0.3">
      <c r="E370" s="4"/>
      <c r="F370" s="4"/>
    </row>
    <row r="371" spans="5:6" x14ac:dyDescent="0.3">
      <c r="E371" s="4"/>
      <c r="F371" s="4"/>
    </row>
    <row r="372" spans="5:6" x14ac:dyDescent="0.3">
      <c r="E372" s="4"/>
      <c r="F372" s="4"/>
    </row>
    <row r="373" spans="5:6" x14ac:dyDescent="0.3">
      <c r="E373" s="4"/>
      <c r="F373" s="4"/>
    </row>
    <row r="374" spans="5:6" x14ac:dyDescent="0.3">
      <c r="E374" s="4"/>
      <c r="F374" s="4"/>
    </row>
    <row r="375" spans="5:6" x14ac:dyDescent="0.3">
      <c r="E375" s="4"/>
      <c r="F375" s="4"/>
    </row>
    <row r="376" spans="5:6" x14ac:dyDescent="0.3">
      <c r="E376" s="4"/>
      <c r="F376" s="4"/>
    </row>
    <row r="377" spans="5:6" x14ac:dyDescent="0.3">
      <c r="E377" s="4"/>
      <c r="F377" s="4"/>
    </row>
    <row r="378" spans="5:6" x14ac:dyDescent="0.3">
      <c r="E378" s="4"/>
      <c r="F378" s="4"/>
    </row>
    <row r="379" spans="5:6" x14ac:dyDescent="0.3">
      <c r="E379" s="4"/>
      <c r="F379" s="4"/>
    </row>
    <row r="380" spans="5:6" x14ac:dyDescent="0.3">
      <c r="E380" s="4"/>
      <c r="F380" s="4"/>
    </row>
    <row r="381" spans="5:6" x14ac:dyDescent="0.3">
      <c r="E381" s="4"/>
      <c r="F381" s="4"/>
    </row>
    <row r="382" spans="5:6" x14ac:dyDescent="0.3">
      <c r="E382" s="4"/>
      <c r="F382" s="4"/>
    </row>
    <row r="383" spans="5:6" x14ac:dyDescent="0.3">
      <c r="E383" s="4"/>
      <c r="F383" s="4"/>
    </row>
    <row r="384" spans="5:6" x14ac:dyDescent="0.3">
      <c r="E384" s="4"/>
      <c r="F384" s="4"/>
    </row>
    <row r="385" spans="5:6" x14ac:dyDescent="0.3">
      <c r="E385" s="4"/>
      <c r="F385" s="4"/>
    </row>
    <row r="386" spans="5:6" x14ac:dyDescent="0.3">
      <c r="E386" s="4"/>
      <c r="F386" s="4"/>
    </row>
    <row r="387" spans="5:6" x14ac:dyDescent="0.3">
      <c r="E387" s="4"/>
      <c r="F387" s="4"/>
    </row>
    <row r="388" spans="5:6" x14ac:dyDescent="0.3">
      <c r="E388" s="4"/>
      <c r="F388" s="4"/>
    </row>
    <row r="389" spans="5:6" x14ac:dyDescent="0.3">
      <c r="E389" s="4"/>
      <c r="F389" s="4"/>
    </row>
    <row r="390" spans="5:6" x14ac:dyDescent="0.3">
      <c r="E390" s="4"/>
      <c r="F390" s="4"/>
    </row>
    <row r="391" spans="5:6" x14ac:dyDescent="0.3">
      <c r="E391" s="4"/>
      <c r="F391" s="4"/>
    </row>
    <row r="392" spans="5:6" x14ac:dyDescent="0.3">
      <c r="E392" s="4"/>
      <c r="F392" s="4"/>
    </row>
    <row r="393" spans="5:6" x14ac:dyDescent="0.3">
      <c r="E393" s="4"/>
      <c r="F393" s="4"/>
    </row>
    <row r="394" spans="5:6" x14ac:dyDescent="0.3">
      <c r="E394" s="4"/>
      <c r="F394" s="4"/>
    </row>
    <row r="395" spans="5:6" x14ac:dyDescent="0.3">
      <c r="E395" s="4"/>
      <c r="F395" s="4"/>
    </row>
    <row r="396" spans="5:6" x14ac:dyDescent="0.3">
      <c r="E396" s="4"/>
      <c r="F396" s="4"/>
    </row>
    <row r="397" spans="5:6" x14ac:dyDescent="0.3">
      <c r="E397" s="4"/>
      <c r="F397" s="4"/>
    </row>
    <row r="398" spans="5:6" x14ac:dyDescent="0.3">
      <c r="E398" s="4"/>
      <c r="F398" s="4"/>
    </row>
    <row r="399" spans="5:6" x14ac:dyDescent="0.3">
      <c r="E399" s="4"/>
      <c r="F399" s="4"/>
    </row>
    <row r="400" spans="5:6" x14ac:dyDescent="0.3">
      <c r="E400" s="4"/>
      <c r="F400" s="4"/>
    </row>
    <row r="401" spans="5:6" x14ac:dyDescent="0.3">
      <c r="E401" s="4"/>
      <c r="F401" s="4"/>
    </row>
    <row r="402" spans="5:6" x14ac:dyDescent="0.3">
      <c r="E402" s="4"/>
      <c r="F402" s="4"/>
    </row>
    <row r="403" spans="5:6" x14ac:dyDescent="0.3">
      <c r="E403" s="4"/>
      <c r="F403" s="4"/>
    </row>
    <row r="404" spans="5:6" x14ac:dyDescent="0.3">
      <c r="E404" s="4"/>
      <c r="F404" s="4"/>
    </row>
    <row r="405" spans="5:6" x14ac:dyDescent="0.3">
      <c r="E405" s="4"/>
      <c r="F405" s="4"/>
    </row>
    <row r="406" spans="5:6" x14ac:dyDescent="0.3">
      <c r="E406" s="4"/>
      <c r="F406" s="4"/>
    </row>
    <row r="407" spans="5:6" x14ac:dyDescent="0.3">
      <c r="E407" s="4"/>
      <c r="F407" s="4"/>
    </row>
    <row r="408" spans="5:6" x14ac:dyDescent="0.3">
      <c r="E408" s="4"/>
      <c r="F408" s="4"/>
    </row>
    <row r="409" spans="5:6" x14ac:dyDescent="0.3">
      <c r="E409" s="4"/>
      <c r="F409" s="4"/>
    </row>
    <row r="410" spans="5:6" x14ac:dyDescent="0.3">
      <c r="E410" s="4"/>
      <c r="F410" s="4"/>
    </row>
    <row r="411" spans="5:6" x14ac:dyDescent="0.3">
      <c r="E411" s="4"/>
      <c r="F411" s="4"/>
    </row>
    <row r="412" spans="5:6" x14ac:dyDescent="0.3">
      <c r="E412" s="4"/>
      <c r="F412" s="4"/>
    </row>
    <row r="413" spans="5:6" x14ac:dyDescent="0.3">
      <c r="E413" s="4"/>
      <c r="F413" s="4"/>
    </row>
    <row r="414" spans="5:6" x14ac:dyDescent="0.3">
      <c r="E414" s="4"/>
      <c r="F414" s="4"/>
    </row>
    <row r="415" spans="5:6" x14ac:dyDescent="0.3">
      <c r="E415" s="4"/>
      <c r="F415" s="4"/>
    </row>
    <row r="416" spans="5:6" x14ac:dyDescent="0.3">
      <c r="E416" s="4"/>
      <c r="F416" s="4"/>
    </row>
    <row r="417" spans="5:6" x14ac:dyDescent="0.3">
      <c r="E417" s="4"/>
      <c r="F417" s="4"/>
    </row>
    <row r="418" spans="5:6" x14ac:dyDescent="0.3">
      <c r="E418" s="4"/>
      <c r="F418" s="4"/>
    </row>
    <row r="419" spans="5:6" x14ac:dyDescent="0.3">
      <c r="E419" s="4"/>
      <c r="F419" s="4"/>
    </row>
    <row r="420" spans="5:6" x14ac:dyDescent="0.3">
      <c r="E420" s="4"/>
      <c r="F420" s="4"/>
    </row>
    <row r="421" spans="5:6" x14ac:dyDescent="0.3">
      <c r="E421" s="4"/>
      <c r="F421" s="4"/>
    </row>
    <row r="422" spans="5:6" x14ac:dyDescent="0.3">
      <c r="E422" s="4"/>
      <c r="F422" s="4"/>
    </row>
    <row r="423" spans="5:6" x14ac:dyDescent="0.3">
      <c r="E423" s="4"/>
      <c r="F423" s="4"/>
    </row>
    <row r="424" spans="5:6" x14ac:dyDescent="0.3">
      <c r="E424" s="4"/>
      <c r="F424" s="4"/>
    </row>
    <row r="425" spans="5:6" x14ac:dyDescent="0.3">
      <c r="E425" s="4"/>
      <c r="F425" s="4"/>
    </row>
    <row r="426" spans="5:6" x14ac:dyDescent="0.3">
      <c r="E426" s="4"/>
      <c r="F426" s="4"/>
    </row>
    <row r="427" spans="5:6" x14ac:dyDescent="0.3">
      <c r="E427" s="4"/>
      <c r="F427" s="4"/>
    </row>
    <row r="428" spans="5:6" x14ac:dyDescent="0.3">
      <c r="E428" s="4"/>
      <c r="F428" s="4"/>
    </row>
    <row r="429" spans="5:6" x14ac:dyDescent="0.3">
      <c r="E429" s="4"/>
      <c r="F429" s="4"/>
    </row>
    <row r="430" spans="5:6" x14ac:dyDescent="0.3">
      <c r="E430" s="4"/>
      <c r="F430" s="4"/>
    </row>
    <row r="431" spans="5:6" x14ac:dyDescent="0.3">
      <c r="E431" s="4"/>
      <c r="F431" s="4"/>
    </row>
    <row r="432" spans="5:6" x14ac:dyDescent="0.3">
      <c r="E432" s="4"/>
      <c r="F432" s="4"/>
    </row>
    <row r="433" spans="5:6" x14ac:dyDescent="0.3">
      <c r="E433" s="4"/>
      <c r="F433" s="4"/>
    </row>
    <row r="434" spans="5:6" x14ac:dyDescent="0.3">
      <c r="E434" s="4"/>
      <c r="F434" s="4"/>
    </row>
    <row r="435" spans="5:6" x14ac:dyDescent="0.3">
      <c r="E435" s="4"/>
      <c r="F435" s="4"/>
    </row>
    <row r="436" spans="5:6" x14ac:dyDescent="0.3">
      <c r="E436" s="4"/>
      <c r="F436" s="4"/>
    </row>
    <row r="437" spans="5:6" x14ac:dyDescent="0.3">
      <c r="E437" s="4"/>
      <c r="F437" s="4"/>
    </row>
    <row r="438" spans="5:6" x14ac:dyDescent="0.3">
      <c r="E438" s="4"/>
      <c r="F438" s="4"/>
    </row>
    <row r="439" spans="5:6" x14ac:dyDescent="0.3">
      <c r="E439" s="4"/>
      <c r="F439" s="4"/>
    </row>
    <row r="440" spans="5:6" x14ac:dyDescent="0.3">
      <c r="E440" s="4"/>
      <c r="F440" s="4"/>
    </row>
    <row r="441" spans="5:6" x14ac:dyDescent="0.3">
      <c r="E441" s="4"/>
      <c r="F441" s="4"/>
    </row>
    <row r="442" spans="5:6" x14ac:dyDescent="0.3">
      <c r="E442" s="4"/>
      <c r="F442" s="4"/>
    </row>
    <row r="443" spans="5:6" x14ac:dyDescent="0.3">
      <c r="E443" s="4"/>
      <c r="F443" s="4"/>
    </row>
    <row r="444" spans="5:6" x14ac:dyDescent="0.3">
      <c r="E444" s="4"/>
      <c r="F444" s="4"/>
    </row>
    <row r="445" spans="5:6" x14ac:dyDescent="0.3">
      <c r="E445" s="4"/>
      <c r="F445" s="4"/>
    </row>
    <row r="446" spans="5:6" x14ac:dyDescent="0.3">
      <c r="E446" s="4"/>
      <c r="F446" s="4"/>
    </row>
    <row r="447" spans="5:6" x14ac:dyDescent="0.3">
      <c r="E447" s="4"/>
      <c r="F447" s="4"/>
    </row>
    <row r="448" spans="5:6" x14ac:dyDescent="0.3">
      <c r="E448" s="4"/>
      <c r="F448" s="4"/>
    </row>
    <row r="449" spans="5:6" x14ac:dyDescent="0.3">
      <c r="E449" s="4"/>
      <c r="F449" s="4"/>
    </row>
    <row r="450" spans="5:6" x14ac:dyDescent="0.3">
      <c r="E450" s="4"/>
      <c r="F450" s="4"/>
    </row>
    <row r="451" spans="5:6" x14ac:dyDescent="0.3">
      <c r="E451" s="4"/>
      <c r="F451" s="4"/>
    </row>
    <row r="452" spans="5:6" x14ac:dyDescent="0.3">
      <c r="E452" s="4"/>
      <c r="F452" s="4"/>
    </row>
    <row r="453" spans="5:6" x14ac:dyDescent="0.3">
      <c r="E453" s="4"/>
      <c r="F453" s="4"/>
    </row>
    <row r="454" spans="5:6" x14ac:dyDescent="0.3">
      <c r="E454" s="4"/>
      <c r="F454" s="4"/>
    </row>
    <row r="455" spans="5:6" x14ac:dyDescent="0.3">
      <c r="E455" s="4"/>
      <c r="F455" s="4"/>
    </row>
    <row r="456" spans="5:6" x14ac:dyDescent="0.3">
      <c r="E456" s="4"/>
      <c r="F456" s="4"/>
    </row>
    <row r="457" spans="5:6" x14ac:dyDescent="0.3">
      <c r="E457" s="4"/>
      <c r="F457" s="4"/>
    </row>
    <row r="458" spans="5:6" x14ac:dyDescent="0.3">
      <c r="E458" s="4"/>
      <c r="F458" s="4"/>
    </row>
    <row r="459" spans="5:6" x14ac:dyDescent="0.3">
      <c r="E459" s="4"/>
      <c r="F459" s="4"/>
    </row>
    <row r="460" spans="5:6" x14ac:dyDescent="0.3">
      <c r="E460" s="4"/>
      <c r="F460" s="4"/>
    </row>
    <row r="461" spans="5:6" x14ac:dyDescent="0.3">
      <c r="E461" s="4"/>
      <c r="F461" s="4"/>
    </row>
    <row r="462" spans="5:6" x14ac:dyDescent="0.3">
      <c r="E462" s="4"/>
      <c r="F462" s="4"/>
    </row>
    <row r="463" spans="5:6" x14ac:dyDescent="0.3">
      <c r="E463" s="4"/>
      <c r="F463" s="4"/>
    </row>
    <row r="464" spans="5:6" x14ac:dyDescent="0.3">
      <c r="E464" s="4"/>
      <c r="F464" s="4"/>
    </row>
    <row r="465" spans="5:6" x14ac:dyDescent="0.3">
      <c r="E465" s="4"/>
      <c r="F465" s="4"/>
    </row>
    <row r="466" spans="5:6" x14ac:dyDescent="0.3">
      <c r="E466" s="4"/>
      <c r="F466" s="4"/>
    </row>
    <row r="467" spans="5:6" x14ac:dyDescent="0.3">
      <c r="E467" s="4"/>
      <c r="F467" s="4"/>
    </row>
    <row r="468" spans="5:6" x14ac:dyDescent="0.3">
      <c r="E468" s="4"/>
      <c r="F468" s="4"/>
    </row>
    <row r="469" spans="5:6" x14ac:dyDescent="0.3">
      <c r="E469" s="4"/>
      <c r="F469" s="4"/>
    </row>
    <row r="470" spans="5:6" x14ac:dyDescent="0.3">
      <c r="E470" s="4"/>
      <c r="F470" s="4"/>
    </row>
    <row r="471" spans="5:6" x14ac:dyDescent="0.3">
      <c r="E471" s="4"/>
      <c r="F471" s="4"/>
    </row>
    <row r="472" spans="5:6" x14ac:dyDescent="0.3">
      <c r="E472" s="4"/>
      <c r="F472" s="4"/>
    </row>
    <row r="473" spans="5:6" x14ac:dyDescent="0.3">
      <c r="E473" s="4"/>
      <c r="F473" s="4"/>
    </row>
    <row r="474" spans="5:6" x14ac:dyDescent="0.3">
      <c r="E474" s="4"/>
      <c r="F474" s="4"/>
    </row>
    <row r="475" spans="5:6" x14ac:dyDescent="0.3">
      <c r="E475" s="4"/>
      <c r="F475" s="4"/>
    </row>
    <row r="476" spans="5:6" x14ac:dyDescent="0.3">
      <c r="E476" s="4"/>
      <c r="F476" s="4"/>
    </row>
    <row r="477" spans="5:6" x14ac:dyDescent="0.3">
      <c r="E477" s="4"/>
      <c r="F477" s="4"/>
    </row>
    <row r="478" spans="5:6" x14ac:dyDescent="0.3">
      <c r="E478" s="4"/>
      <c r="F478" s="4"/>
    </row>
    <row r="479" spans="5:6" x14ac:dyDescent="0.3">
      <c r="E479" s="4"/>
      <c r="F479" s="4"/>
    </row>
    <row r="480" spans="5:6" x14ac:dyDescent="0.3">
      <c r="E480" s="4"/>
      <c r="F480" s="4"/>
    </row>
    <row r="481" spans="5:6" x14ac:dyDescent="0.3">
      <c r="E481" s="4"/>
      <c r="F481" s="4"/>
    </row>
    <row r="482" spans="5:6" x14ac:dyDescent="0.3">
      <c r="E482" s="4"/>
      <c r="F482" s="4"/>
    </row>
    <row r="483" spans="5:6" x14ac:dyDescent="0.3">
      <c r="E483" s="4"/>
      <c r="F483" s="4"/>
    </row>
    <row r="484" spans="5:6" x14ac:dyDescent="0.3">
      <c r="E484" s="4"/>
      <c r="F484" s="4"/>
    </row>
    <row r="485" spans="5:6" x14ac:dyDescent="0.3">
      <c r="E485" s="4"/>
      <c r="F485" s="4"/>
    </row>
    <row r="486" spans="5:6" x14ac:dyDescent="0.3">
      <c r="E486" s="4"/>
      <c r="F486" s="4"/>
    </row>
    <row r="487" spans="5:6" x14ac:dyDescent="0.3">
      <c r="E487" s="4"/>
      <c r="F487" s="4"/>
    </row>
    <row r="488" spans="5:6" x14ac:dyDescent="0.3">
      <c r="E488" s="4"/>
      <c r="F488" s="4"/>
    </row>
    <row r="489" spans="5:6" x14ac:dyDescent="0.3">
      <c r="E489" s="4"/>
      <c r="F489" s="4"/>
    </row>
    <row r="490" spans="5:6" x14ac:dyDescent="0.3">
      <c r="E490" s="4"/>
      <c r="F490" s="4"/>
    </row>
    <row r="491" spans="5:6" x14ac:dyDescent="0.3">
      <c r="E491" s="4"/>
      <c r="F491" s="4"/>
    </row>
    <row r="492" spans="5:6" x14ac:dyDescent="0.3">
      <c r="E492" s="4"/>
      <c r="F492" s="4"/>
    </row>
    <row r="493" spans="5:6" x14ac:dyDescent="0.3">
      <c r="E493" s="4"/>
      <c r="F493" s="4"/>
    </row>
    <row r="494" spans="5:6" x14ac:dyDescent="0.3">
      <c r="E494" s="4"/>
      <c r="F494" s="4"/>
    </row>
    <row r="495" spans="5:6" x14ac:dyDescent="0.3">
      <c r="E495" s="4"/>
      <c r="F495" s="4"/>
    </row>
    <row r="496" spans="5:6" x14ac:dyDescent="0.3">
      <c r="E496" s="4"/>
      <c r="F496" s="4"/>
    </row>
    <row r="497" spans="5:6" x14ac:dyDescent="0.3">
      <c r="E497" s="4"/>
      <c r="F497" s="4"/>
    </row>
    <row r="498" spans="5:6" x14ac:dyDescent="0.3">
      <c r="E498" s="4"/>
      <c r="F498" s="4"/>
    </row>
    <row r="499" spans="5:6" x14ac:dyDescent="0.3">
      <c r="E499" s="4"/>
      <c r="F499" s="4"/>
    </row>
    <row r="500" spans="5:6" x14ac:dyDescent="0.3">
      <c r="E500" s="4"/>
      <c r="F500" s="4"/>
    </row>
    <row r="501" spans="5:6" x14ac:dyDescent="0.3">
      <c r="E501" s="4"/>
      <c r="F501" s="4"/>
    </row>
    <row r="502" spans="5:6" x14ac:dyDescent="0.3">
      <c r="E502" s="4"/>
      <c r="F502" s="4"/>
    </row>
    <row r="503" spans="5:6" x14ac:dyDescent="0.3">
      <c r="E503" s="4"/>
      <c r="F503" s="4"/>
    </row>
    <row r="504" spans="5:6" x14ac:dyDescent="0.3">
      <c r="E504" s="4"/>
      <c r="F504" s="4"/>
    </row>
    <row r="505" spans="5:6" x14ac:dyDescent="0.3">
      <c r="E505" s="4"/>
      <c r="F505" s="4"/>
    </row>
    <row r="506" spans="5:6" x14ac:dyDescent="0.3">
      <c r="E506" s="4"/>
      <c r="F506" s="4"/>
    </row>
    <row r="507" spans="5:6" x14ac:dyDescent="0.3">
      <c r="E507" s="4"/>
      <c r="F507" s="4"/>
    </row>
    <row r="508" spans="5:6" x14ac:dyDescent="0.3">
      <c r="E508" s="4"/>
      <c r="F508" s="4"/>
    </row>
    <row r="509" spans="5:6" x14ac:dyDescent="0.3">
      <c r="E509" s="4"/>
      <c r="F509" s="4"/>
    </row>
    <row r="510" spans="5:6" x14ac:dyDescent="0.3">
      <c r="E510" s="4"/>
      <c r="F510" s="4"/>
    </row>
    <row r="511" spans="5:6" x14ac:dyDescent="0.3">
      <c r="E511" s="4"/>
      <c r="F511" s="4"/>
    </row>
    <row r="512" spans="5:6" x14ac:dyDescent="0.3">
      <c r="E512" s="4"/>
      <c r="F512" s="4"/>
    </row>
    <row r="513" spans="5:6" x14ac:dyDescent="0.3">
      <c r="E513" s="4"/>
      <c r="F513" s="4"/>
    </row>
    <row r="514" spans="5:6" x14ac:dyDescent="0.3">
      <c r="E514" s="4"/>
      <c r="F514" s="4"/>
    </row>
    <row r="515" spans="5:6" x14ac:dyDescent="0.3">
      <c r="E515" s="4"/>
      <c r="F515" s="4"/>
    </row>
    <row r="516" spans="5:6" x14ac:dyDescent="0.3">
      <c r="E516" s="4"/>
      <c r="F516" s="4"/>
    </row>
    <row r="517" spans="5:6" x14ac:dyDescent="0.3">
      <c r="E517" s="4"/>
      <c r="F517" s="4"/>
    </row>
    <row r="518" spans="5:6" x14ac:dyDescent="0.3">
      <c r="E518" s="4"/>
      <c r="F518" s="4"/>
    </row>
    <row r="519" spans="5:6" x14ac:dyDescent="0.3">
      <c r="E519" s="4"/>
      <c r="F519" s="4"/>
    </row>
    <row r="520" spans="5:6" x14ac:dyDescent="0.3">
      <c r="E520" s="4"/>
      <c r="F520" s="4"/>
    </row>
    <row r="521" spans="5:6" x14ac:dyDescent="0.3">
      <c r="E521" s="4"/>
      <c r="F521" s="4"/>
    </row>
    <row r="522" spans="5:6" x14ac:dyDescent="0.3">
      <c r="E522" s="4"/>
      <c r="F522" s="4"/>
    </row>
    <row r="523" spans="5:6" x14ac:dyDescent="0.3">
      <c r="E523" s="4"/>
      <c r="F523" s="4"/>
    </row>
    <row r="524" spans="5:6" x14ac:dyDescent="0.3">
      <c r="E524" s="4"/>
      <c r="F524" s="4"/>
    </row>
    <row r="525" spans="5:6" x14ac:dyDescent="0.3">
      <c r="E525" s="4"/>
      <c r="F525" s="4"/>
    </row>
    <row r="526" spans="5:6" x14ac:dyDescent="0.3">
      <c r="E526" s="4"/>
      <c r="F526" s="4"/>
    </row>
    <row r="527" spans="5:6" x14ac:dyDescent="0.3">
      <c r="E527" s="4"/>
      <c r="F527" s="4"/>
    </row>
    <row r="528" spans="5:6" x14ac:dyDescent="0.3">
      <c r="E528" s="4"/>
      <c r="F528" s="4"/>
    </row>
    <row r="529" spans="5:6" x14ac:dyDescent="0.3">
      <c r="E529" s="4"/>
      <c r="F529" s="4"/>
    </row>
    <row r="530" spans="5:6" x14ac:dyDescent="0.3">
      <c r="E530" s="4"/>
      <c r="F530" s="4"/>
    </row>
    <row r="531" spans="5:6" x14ac:dyDescent="0.3">
      <c r="E531" s="4"/>
      <c r="F531" s="4"/>
    </row>
    <row r="532" spans="5:6" x14ac:dyDescent="0.3">
      <c r="E532" s="4"/>
      <c r="F532" s="4"/>
    </row>
    <row r="533" spans="5:6" x14ac:dyDescent="0.3">
      <c r="E533" s="4"/>
      <c r="F533" s="4"/>
    </row>
    <row r="534" spans="5:6" x14ac:dyDescent="0.3">
      <c r="E534" s="4"/>
      <c r="F534" s="4"/>
    </row>
    <row r="535" spans="5:6" x14ac:dyDescent="0.3">
      <c r="E535" s="4"/>
      <c r="F535" s="4"/>
    </row>
    <row r="536" spans="5:6" x14ac:dyDescent="0.3">
      <c r="E536" s="4"/>
      <c r="F536" s="4"/>
    </row>
    <row r="537" spans="5:6" x14ac:dyDescent="0.3">
      <c r="E537" s="4"/>
      <c r="F537" s="4"/>
    </row>
    <row r="538" spans="5:6" x14ac:dyDescent="0.3">
      <c r="E538" s="4"/>
      <c r="F538" s="4"/>
    </row>
    <row r="539" spans="5:6" x14ac:dyDescent="0.3">
      <c r="E539" s="4"/>
      <c r="F539" s="4"/>
    </row>
    <row r="540" spans="5:6" x14ac:dyDescent="0.3">
      <c r="E540" s="4"/>
      <c r="F540" s="4"/>
    </row>
    <row r="541" spans="5:6" x14ac:dyDescent="0.3">
      <c r="E541" s="4"/>
      <c r="F541" s="4"/>
    </row>
    <row r="542" spans="5:6" x14ac:dyDescent="0.3">
      <c r="E542" s="4"/>
      <c r="F542" s="4"/>
    </row>
    <row r="543" spans="5:6" x14ac:dyDescent="0.3">
      <c r="E543" s="4"/>
      <c r="F543" s="4"/>
    </row>
    <row r="544" spans="5:6" x14ac:dyDescent="0.3">
      <c r="E544" s="4"/>
      <c r="F544" s="4"/>
    </row>
    <row r="545" spans="5:6" x14ac:dyDescent="0.3">
      <c r="E545" s="4"/>
      <c r="F545" s="4"/>
    </row>
    <row r="546" spans="5:6" x14ac:dyDescent="0.3">
      <c r="E546" s="4"/>
      <c r="F546" s="4"/>
    </row>
    <row r="547" spans="5:6" x14ac:dyDescent="0.3">
      <c r="E547" s="4"/>
      <c r="F547" s="4"/>
    </row>
    <row r="548" spans="5:6" x14ac:dyDescent="0.3">
      <c r="E548" s="4"/>
      <c r="F548" s="4"/>
    </row>
    <row r="549" spans="5:6" x14ac:dyDescent="0.3">
      <c r="E549" s="4"/>
      <c r="F549" s="4"/>
    </row>
    <row r="550" spans="5:6" x14ac:dyDescent="0.3">
      <c r="E550" s="4"/>
      <c r="F550" s="4"/>
    </row>
    <row r="551" spans="5:6" x14ac:dyDescent="0.3">
      <c r="E551" s="4"/>
      <c r="F551" s="4"/>
    </row>
    <row r="552" spans="5:6" x14ac:dyDescent="0.3">
      <c r="E552" s="4"/>
      <c r="F552" s="4"/>
    </row>
    <row r="553" spans="5:6" x14ac:dyDescent="0.3">
      <c r="E553" s="4"/>
      <c r="F553" s="4"/>
    </row>
    <row r="554" spans="5:6" x14ac:dyDescent="0.3">
      <c r="E554" s="4"/>
      <c r="F554" s="4"/>
    </row>
    <row r="555" spans="5:6" x14ac:dyDescent="0.3">
      <c r="E555" s="4"/>
      <c r="F555" s="4"/>
    </row>
    <row r="556" spans="5:6" x14ac:dyDescent="0.3">
      <c r="E556" s="4"/>
      <c r="F556" s="4"/>
    </row>
    <row r="557" spans="5:6" x14ac:dyDescent="0.3">
      <c r="E557" s="4"/>
      <c r="F557" s="4"/>
    </row>
    <row r="558" spans="5:6" x14ac:dyDescent="0.3">
      <c r="E558" s="4"/>
      <c r="F558" s="4"/>
    </row>
    <row r="559" spans="5:6" x14ac:dyDescent="0.3">
      <c r="E559" s="4"/>
      <c r="F559" s="4"/>
    </row>
    <row r="560" spans="5:6" x14ac:dyDescent="0.3">
      <c r="E560" s="4"/>
      <c r="F560" s="4"/>
    </row>
    <row r="561" spans="5:6" x14ac:dyDescent="0.3">
      <c r="E561" s="4"/>
      <c r="F561" s="4"/>
    </row>
    <row r="562" spans="5:6" x14ac:dyDescent="0.3">
      <c r="E562" s="4"/>
      <c r="F562" s="4"/>
    </row>
    <row r="563" spans="5:6" x14ac:dyDescent="0.3">
      <c r="E563" s="4"/>
      <c r="F563" s="4"/>
    </row>
    <row r="564" spans="5:6" x14ac:dyDescent="0.3">
      <c r="E564" s="4"/>
      <c r="F564" s="4"/>
    </row>
    <row r="565" spans="5:6" x14ac:dyDescent="0.3">
      <c r="E565" s="4"/>
      <c r="F565" s="4"/>
    </row>
    <row r="566" spans="5:6" x14ac:dyDescent="0.3">
      <c r="E566" s="4"/>
      <c r="F566" s="4"/>
    </row>
    <row r="567" spans="5:6" x14ac:dyDescent="0.3">
      <c r="E567" s="4"/>
      <c r="F567" s="4"/>
    </row>
    <row r="568" spans="5:6" x14ac:dyDescent="0.3">
      <c r="E568" s="4"/>
      <c r="F568" s="4"/>
    </row>
    <row r="569" spans="5:6" x14ac:dyDescent="0.3">
      <c r="E569" s="4"/>
      <c r="F569" s="4"/>
    </row>
    <row r="570" spans="5:6" x14ac:dyDescent="0.3">
      <c r="E570" s="4"/>
      <c r="F570" s="4"/>
    </row>
    <row r="571" spans="5:6" x14ac:dyDescent="0.3">
      <c r="E571" s="4"/>
      <c r="F571" s="4"/>
    </row>
    <row r="572" spans="5:6" x14ac:dyDescent="0.3">
      <c r="E572" s="4"/>
      <c r="F572" s="4"/>
    </row>
    <row r="573" spans="5:6" x14ac:dyDescent="0.3">
      <c r="E573" s="4"/>
      <c r="F573" s="4"/>
    </row>
    <row r="574" spans="5:6" x14ac:dyDescent="0.3">
      <c r="E574" s="4"/>
      <c r="F574" s="4"/>
    </row>
    <row r="575" spans="5:6" x14ac:dyDescent="0.3">
      <c r="E575" s="4"/>
      <c r="F575" s="4"/>
    </row>
    <row r="576" spans="5:6" x14ac:dyDescent="0.3">
      <c r="E576" s="4"/>
      <c r="F576" s="4"/>
    </row>
    <row r="577" spans="5:6" x14ac:dyDescent="0.3">
      <c r="E577" s="4"/>
      <c r="F577" s="4"/>
    </row>
    <row r="578" spans="5:6" x14ac:dyDescent="0.3">
      <c r="E578" s="4"/>
      <c r="F578" s="4"/>
    </row>
    <row r="579" spans="5:6" x14ac:dyDescent="0.3">
      <c r="E579" s="4"/>
      <c r="F579" s="4"/>
    </row>
    <row r="580" spans="5:6" x14ac:dyDescent="0.3">
      <c r="E580" s="4"/>
      <c r="F580" s="4"/>
    </row>
    <row r="581" spans="5:6" x14ac:dyDescent="0.3">
      <c r="E581" s="4"/>
      <c r="F581" s="4"/>
    </row>
    <row r="582" spans="5:6" x14ac:dyDescent="0.3">
      <c r="E582" s="4"/>
      <c r="F582" s="4"/>
    </row>
    <row r="583" spans="5:6" x14ac:dyDescent="0.3">
      <c r="E583" s="4"/>
      <c r="F583" s="4"/>
    </row>
    <row r="584" spans="5:6" x14ac:dyDescent="0.3">
      <c r="E584" s="4"/>
      <c r="F584" s="4"/>
    </row>
    <row r="585" spans="5:6" x14ac:dyDescent="0.3">
      <c r="E585" s="4"/>
      <c r="F585" s="4"/>
    </row>
    <row r="586" spans="5:6" x14ac:dyDescent="0.3">
      <c r="E586" s="4"/>
      <c r="F586" s="4"/>
    </row>
    <row r="587" spans="5:6" x14ac:dyDescent="0.3">
      <c r="E587" s="4"/>
      <c r="F587" s="4"/>
    </row>
    <row r="588" spans="5:6" x14ac:dyDescent="0.3">
      <c r="E588" s="4"/>
      <c r="F588" s="4"/>
    </row>
    <row r="589" spans="5:6" x14ac:dyDescent="0.3">
      <c r="E589" s="4"/>
      <c r="F589" s="4"/>
    </row>
    <row r="590" spans="5:6" x14ac:dyDescent="0.3">
      <c r="E590" s="4"/>
      <c r="F590" s="4"/>
    </row>
    <row r="591" spans="5:6" x14ac:dyDescent="0.3">
      <c r="E591" s="4"/>
      <c r="F591" s="4"/>
    </row>
    <row r="592" spans="5:6" x14ac:dyDescent="0.3">
      <c r="E592" s="4"/>
      <c r="F592" s="4"/>
    </row>
    <row r="593" spans="5:6" x14ac:dyDescent="0.3">
      <c r="E593" s="4"/>
      <c r="F593" s="4"/>
    </row>
    <row r="594" spans="5:6" x14ac:dyDescent="0.3">
      <c r="E594" s="4"/>
      <c r="F594" s="4"/>
    </row>
    <row r="595" spans="5:6" x14ac:dyDescent="0.3">
      <c r="E595" s="4"/>
      <c r="F595" s="4"/>
    </row>
    <row r="596" spans="5:6" x14ac:dyDescent="0.3">
      <c r="E596" s="4"/>
      <c r="F596" s="4"/>
    </row>
    <row r="597" spans="5:6" x14ac:dyDescent="0.3">
      <c r="E597" s="4"/>
      <c r="F597" s="4"/>
    </row>
    <row r="598" spans="5:6" x14ac:dyDescent="0.3">
      <c r="E598" s="4"/>
      <c r="F598" s="4"/>
    </row>
    <row r="599" spans="5:6" x14ac:dyDescent="0.3">
      <c r="E599" s="4"/>
      <c r="F599" s="4"/>
    </row>
    <row r="600" spans="5:6" x14ac:dyDescent="0.3">
      <c r="E600" s="4"/>
      <c r="F600" s="4"/>
    </row>
    <row r="601" spans="5:6" x14ac:dyDescent="0.3">
      <c r="E601" s="4"/>
      <c r="F601" s="4"/>
    </row>
    <row r="602" spans="5:6" x14ac:dyDescent="0.3">
      <c r="E602" s="4"/>
      <c r="F602" s="4"/>
    </row>
    <row r="603" spans="5:6" x14ac:dyDescent="0.3">
      <c r="E603" s="4"/>
      <c r="F603" s="4"/>
    </row>
    <row r="604" spans="5:6" x14ac:dyDescent="0.3">
      <c r="E604" s="4"/>
      <c r="F604" s="4"/>
    </row>
    <row r="605" spans="5:6" x14ac:dyDescent="0.3">
      <c r="E605" s="4"/>
      <c r="F605" s="4"/>
    </row>
    <row r="606" spans="5:6" x14ac:dyDescent="0.3">
      <c r="E606" s="4"/>
      <c r="F606" s="4"/>
    </row>
    <row r="607" spans="5:6" x14ac:dyDescent="0.3">
      <c r="E607" s="4"/>
      <c r="F607" s="4"/>
    </row>
    <row r="608" spans="5:6" x14ac:dyDescent="0.3">
      <c r="E608" s="4"/>
      <c r="F608" s="4"/>
    </row>
    <row r="609" spans="5:6" x14ac:dyDescent="0.3">
      <c r="E609" s="4"/>
      <c r="F609" s="4"/>
    </row>
    <row r="610" spans="5:6" x14ac:dyDescent="0.3">
      <c r="E610" s="4"/>
      <c r="F610" s="4"/>
    </row>
    <row r="611" spans="5:6" x14ac:dyDescent="0.3">
      <c r="E611" s="4"/>
      <c r="F611" s="4"/>
    </row>
    <row r="612" spans="5:6" x14ac:dyDescent="0.3">
      <c r="E612" s="4"/>
      <c r="F612" s="4"/>
    </row>
    <row r="613" spans="5:6" x14ac:dyDescent="0.3">
      <c r="E613" s="4"/>
      <c r="F613" s="4"/>
    </row>
    <row r="614" spans="5:6" x14ac:dyDescent="0.3">
      <c r="E614" s="4"/>
      <c r="F614" s="4"/>
    </row>
    <row r="615" spans="5:6" x14ac:dyDescent="0.3">
      <c r="E615" s="4"/>
      <c r="F615" s="4"/>
    </row>
    <row r="616" spans="5:6" x14ac:dyDescent="0.3">
      <c r="E616" s="4"/>
      <c r="F616" s="4"/>
    </row>
    <row r="617" spans="5:6" x14ac:dyDescent="0.3">
      <c r="E617" s="4"/>
      <c r="F617" s="4"/>
    </row>
    <row r="618" spans="5:6" x14ac:dyDescent="0.3">
      <c r="E618" s="4"/>
      <c r="F618" s="4"/>
    </row>
    <row r="619" spans="5:6" x14ac:dyDescent="0.3">
      <c r="E619" s="4"/>
      <c r="F619" s="4"/>
    </row>
    <row r="620" spans="5:6" x14ac:dyDescent="0.3">
      <c r="E620" s="4"/>
      <c r="F620" s="4"/>
    </row>
    <row r="621" spans="5:6" x14ac:dyDescent="0.3">
      <c r="E621" s="4"/>
      <c r="F621" s="4"/>
    </row>
    <row r="622" spans="5:6" x14ac:dyDescent="0.3">
      <c r="E622" s="4"/>
      <c r="F622" s="4"/>
    </row>
    <row r="623" spans="5:6" x14ac:dyDescent="0.3">
      <c r="E623" s="4"/>
      <c r="F623" s="4"/>
    </row>
    <row r="624" spans="5:6" x14ac:dyDescent="0.3">
      <c r="E624" s="4"/>
      <c r="F624" s="4"/>
    </row>
    <row r="625" spans="5:6" x14ac:dyDescent="0.3">
      <c r="E625" s="4"/>
      <c r="F625" s="4"/>
    </row>
    <row r="626" spans="5:6" x14ac:dyDescent="0.3">
      <c r="E626" s="4"/>
      <c r="F626" s="4"/>
    </row>
    <row r="627" spans="5:6" x14ac:dyDescent="0.3">
      <c r="E627" s="4"/>
      <c r="F627" s="4"/>
    </row>
    <row r="628" spans="5:6" x14ac:dyDescent="0.3">
      <c r="E628" s="4"/>
      <c r="F628" s="4"/>
    </row>
    <row r="629" spans="5:6" x14ac:dyDescent="0.3">
      <c r="E629" s="4"/>
      <c r="F629" s="4"/>
    </row>
    <row r="630" spans="5:6" x14ac:dyDescent="0.3">
      <c r="E630" s="4"/>
      <c r="F630" s="4"/>
    </row>
    <row r="631" spans="5:6" x14ac:dyDescent="0.3">
      <c r="E631" s="4"/>
      <c r="F631" s="4"/>
    </row>
    <row r="632" spans="5:6" x14ac:dyDescent="0.3">
      <c r="E632" s="4"/>
      <c r="F632" s="4"/>
    </row>
    <row r="633" spans="5:6" x14ac:dyDescent="0.3">
      <c r="E633" s="4"/>
      <c r="F633" s="4"/>
    </row>
    <row r="634" spans="5:6" x14ac:dyDescent="0.3">
      <c r="E634" s="4"/>
      <c r="F634" s="4"/>
    </row>
    <row r="635" spans="5:6" x14ac:dyDescent="0.3">
      <c r="E635" s="4"/>
      <c r="F635" s="4"/>
    </row>
    <row r="636" spans="5:6" x14ac:dyDescent="0.3">
      <c r="E636" s="4"/>
      <c r="F636" s="4"/>
    </row>
    <row r="637" spans="5:6" x14ac:dyDescent="0.3">
      <c r="E637" s="4"/>
      <c r="F637" s="4"/>
    </row>
    <row r="638" spans="5:6" x14ac:dyDescent="0.3">
      <c r="E638" s="4"/>
      <c r="F638" s="4"/>
    </row>
    <row r="639" spans="5:6" x14ac:dyDescent="0.3">
      <c r="E639" s="4"/>
      <c r="F639" s="4"/>
    </row>
    <row r="640" spans="5:6" x14ac:dyDescent="0.3">
      <c r="E640" s="4"/>
      <c r="F640" s="4"/>
    </row>
    <row r="641" spans="5:6" x14ac:dyDescent="0.3">
      <c r="E641" s="4"/>
      <c r="F641" s="4"/>
    </row>
    <row r="642" spans="5:6" x14ac:dyDescent="0.3">
      <c r="E642" s="4"/>
      <c r="F642" s="4"/>
    </row>
    <row r="643" spans="5:6" x14ac:dyDescent="0.3">
      <c r="E643" s="4"/>
      <c r="F643" s="4"/>
    </row>
    <row r="644" spans="5:6" x14ac:dyDescent="0.3">
      <c r="E644" s="4"/>
      <c r="F644" s="4"/>
    </row>
    <row r="645" spans="5:6" x14ac:dyDescent="0.3">
      <c r="E645" s="4"/>
      <c r="F645" s="4"/>
    </row>
    <row r="646" spans="5:6" x14ac:dyDescent="0.3">
      <c r="E646" s="4"/>
      <c r="F646" s="4"/>
    </row>
    <row r="647" spans="5:6" x14ac:dyDescent="0.3">
      <c r="E647" s="4"/>
      <c r="F647" s="4"/>
    </row>
    <row r="648" spans="5:6" x14ac:dyDescent="0.3">
      <c r="E648" s="4"/>
      <c r="F648" s="4"/>
    </row>
    <row r="649" spans="5:6" x14ac:dyDescent="0.3">
      <c r="E649" s="4"/>
      <c r="F649" s="4"/>
    </row>
    <row r="650" spans="5:6" x14ac:dyDescent="0.3">
      <c r="E650" s="4"/>
      <c r="F650" s="4"/>
    </row>
    <row r="651" spans="5:6" x14ac:dyDescent="0.3">
      <c r="E651" s="4"/>
      <c r="F651" s="4"/>
    </row>
    <row r="652" spans="5:6" x14ac:dyDescent="0.3">
      <c r="E652" s="4"/>
      <c r="F652" s="4"/>
    </row>
    <row r="653" spans="5:6" x14ac:dyDescent="0.3">
      <c r="E653" s="4"/>
      <c r="F653" s="4"/>
    </row>
    <row r="654" spans="5:6" x14ac:dyDescent="0.3">
      <c r="E654" s="4"/>
      <c r="F654" s="4"/>
    </row>
    <row r="655" spans="5:6" x14ac:dyDescent="0.3">
      <c r="E655" s="4"/>
      <c r="F655" s="4"/>
    </row>
    <row r="656" spans="5:6" x14ac:dyDescent="0.3">
      <c r="E656" s="4"/>
      <c r="F656" s="4"/>
    </row>
    <row r="657" spans="5:6" x14ac:dyDescent="0.3">
      <c r="E657" s="4"/>
      <c r="F657" s="4"/>
    </row>
    <row r="658" spans="5:6" x14ac:dyDescent="0.3">
      <c r="E658" s="4"/>
      <c r="F658" s="4"/>
    </row>
    <row r="659" spans="5:6" x14ac:dyDescent="0.3">
      <c r="E659" s="4"/>
      <c r="F659" s="4"/>
    </row>
    <row r="660" spans="5:6" x14ac:dyDescent="0.3">
      <c r="E660" s="4"/>
      <c r="F660" s="4"/>
    </row>
    <row r="661" spans="5:6" x14ac:dyDescent="0.3">
      <c r="E661" s="4"/>
      <c r="F661" s="4"/>
    </row>
    <row r="662" spans="5:6" x14ac:dyDescent="0.3">
      <c r="E662" s="4"/>
      <c r="F662" s="4"/>
    </row>
    <row r="663" spans="5:6" x14ac:dyDescent="0.3">
      <c r="E663" s="4"/>
      <c r="F663" s="4"/>
    </row>
    <row r="664" spans="5:6" x14ac:dyDescent="0.3">
      <c r="E664" s="4"/>
      <c r="F664" s="4"/>
    </row>
    <row r="665" spans="5:6" x14ac:dyDescent="0.3">
      <c r="E665" s="4"/>
      <c r="F665" s="4"/>
    </row>
    <row r="666" spans="5:6" x14ac:dyDescent="0.3">
      <c r="E666" s="4"/>
      <c r="F666" s="4"/>
    </row>
    <row r="667" spans="5:6" x14ac:dyDescent="0.3">
      <c r="E667" s="4"/>
      <c r="F667" s="4"/>
    </row>
    <row r="668" spans="5:6" x14ac:dyDescent="0.3">
      <c r="E668" s="4"/>
      <c r="F668" s="4"/>
    </row>
    <row r="669" spans="5:6" x14ac:dyDescent="0.3">
      <c r="E669" s="4"/>
      <c r="F669" s="4"/>
    </row>
    <row r="670" spans="5:6" x14ac:dyDescent="0.3">
      <c r="E670" s="4"/>
      <c r="F670" s="4"/>
    </row>
    <row r="671" spans="5:6" x14ac:dyDescent="0.3">
      <c r="E671" s="4"/>
      <c r="F671" s="4"/>
    </row>
    <row r="672" spans="5:6" x14ac:dyDescent="0.3">
      <c r="E672" s="4"/>
      <c r="F672" s="4"/>
    </row>
    <row r="673" spans="5:6" x14ac:dyDescent="0.3">
      <c r="E673" s="4"/>
      <c r="F673" s="4"/>
    </row>
    <row r="674" spans="5:6" x14ac:dyDescent="0.3">
      <c r="E674" s="4"/>
      <c r="F674" s="4"/>
    </row>
    <row r="675" spans="5:6" x14ac:dyDescent="0.3">
      <c r="E675" s="4"/>
      <c r="F675" s="4"/>
    </row>
    <row r="676" spans="5:6" x14ac:dyDescent="0.3">
      <c r="E676" s="4"/>
      <c r="F676" s="4"/>
    </row>
    <row r="677" spans="5:6" x14ac:dyDescent="0.3">
      <c r="E677" s="4"/>
      <c r="F677" s="4"/>
    </row>
    <row r="678" spans="5:6" x14ac:dyDescent="0.3">
      <c r="E678" s="4"/>
      <c r="F678" s="4"/>
    </row>
    <row r="679" spans="5:6" x14ac:dyDescent="0.3">
      <c r="E679" s="4"/>
      <c r="F679" s="4"/>
    </row>
    <row r="680" spans="5:6" x14ac:dyDescent="0.3">
      <c r="E680" s="4"/>
      <c r="F680" s="4"/>
    </row>
    <row r="681" spans="5:6" x14ac:dyDescent="0.3">
      <c r="E681" s="4"/>
      <c r="F681" s="4"/>
    </row>
    <row r="682" spans="5:6" x14ac:dyDescent="0.3">
      <c r="E682" s="4"/>
      <c r="F682" s="4"/>
    </row>
    <row r="683" spans="5:6" x14ac:dyDescent="0.3">
      <c r="E683" s="4"/>
      <c r="F683" s="4"/>
    </row>
    <row r="684" spans="5:6" x14ac:dyDescent="0.3">
      <c r="E684" s="4"/>
      <c r="F684" s="4"/>
    </row>
    <row r="685" spans="5:6" x14ac:dyDescent="0.3">
      <c r="E685" s="4"/>
      <c r="F685" s="4"/>
    </row>
    <row r="686" spans="5:6" x14ac:dyDescent="0.3">
      <c r="E686" s="4"/>
      <c r="F686" s="4"/>
    </row>
    <row r="687" spans="5:6" x14ac:dyDescent="0.3">
      <c r="E687" s="4"/>
      <c r="F687" s="4"/>
    </row>
    <row r="688" spans="5:6" x14ac:dyDescent="0.3">
      <c r="E688" s="4"/>
      <c r="F688" s="4"/>
    </row>
    <row r="689" spans="5:6" x14ac:dyDescent="0.3">
      <c r="E689" s="4"/>
      <c r="F689" s="4"/>
    </row>
    <row r="690" spans="5:6" x14ac:dyDescent="0.3">
      <c r="E690" s="4"/>
      <c r="F690" s="4"/>
    </row>
    <row r="691" spans="5:6" x14ac:dyDescent="0.3">
      <c r="E691" s="4"/>
      <c r="F691" s="4"/>
    </row>
    <row r="692" spans="5:6" x14ac:dyDescent="0.3">
      <c r="E692" s="4"/>
      <c r="F692" s="4"/>
    </row>
    <row r="693" spans="5:6" x14ac:dyDescent="0.3">
      <c r="E693" s="4"/>
      <c r="F693" s="4"/>
    </row>
    <row r="694" spans="5:6" x14ac:dyDescent="0.3">
      <c r="E694" s="4"/>
      <c r="F694" s="4"/>
    </row>
    <row r="695" spans="5:6" x14ac:dyDescent="0.3">
      <c r="E695" s="4"/>
      <c r="F695" s="4"/>
    </row>
    <row r="696" spans="5:6" x14ac:dyDescent="0.3">
      <c r="E696" s="4"/>
      <c r="F696" s="4"/>
    </row>
    <row r="697" spans="5:6" x14ac:dyDescent="0.3">
      <c r="E697" s="4"/>
      <c r="F697" s="4"/>
    </row>
    <row r="698" spans="5:6" x14ac:dyDescent="0.3">
      <c r="E698" s="4"/>
      <c r="F698" s="4"/>
    </row>
    <row r="699" spans="5:6" x14ac:dyDescent="0.3">
      <c r="E699" s="4"/>
      <c r="F699" s="4"/>
    </row>
    <row r="700" spans="5:6" x14ac:dyDescent="0.3">
      <c r="E700" s="4"/>
      <c r="F700" s="4"/>
    </row>
    <row r="701" spans="5:6" x14ac:dyDescent="0.3">
      <c r="E701" s="4"/>
      <c r="F701" s="4"/>
    </row>
    <row r="702" spans="5:6" x14ac:dyDescent="0.3">
      <c r="E702" s="4"/>
      <c r="F702" s="4"/>
    </row>
    <row r="703" spans="5:6" x14ac:dyDescent="0.3">
      <c r="E703" s="4"/>
      <c r="F703" s="4"/>
    </row>
    <row r="704" spans="5:6" x14ac:dyDescent="0.3">
      <c r="E704" s="4"/>
      <c r="F704" s="4"/>
    </row>
    <row r="705" spans="5:6" x14ac:dyDescent="0.3">
      <c r="E705" s="4"/>
      <c r="F705" s="4"/>
    </row>
    <row r="706" spans="5:6" x14ac:dyDescent="0.3">
      <c r="E706" s="4"/>
      <c r="F706" s="4"/>
    </row>
    <row r="707" spans="5:6" x14ac:dyDescent="0.3">
      <c r="E707" s="4"/>
      <c r="F707" s="4"/>
    </row>
    <row r="708" spans="5:6" x14ac:dyDescent="0.3">
      <c r="E708" s="4"/>
      <c r="F708" s="4"/>
    </row>
    <row r="709" spans="5:6" x14ac:dyDescent="0.3">
      <c r="E709" s="4"/>
      <c r="F709" s="4"/>
    </row>
    <row r="710" spans="5:6" x14ac:dyDescent="0.3">
      <c r="E710" s="4"/>
      <c r="F710" s="4"/>
    </row>
    <row r="711" spans="5:6" x14ac:dyDescent="0.3">
      <c r="E711" s="4"/>
      <c r="F711" s="4"/>
    </row>
    <row r="712" spans="5:6" x14ac:dyDescent="0.3">
      <c r="E712" s="4"/>
      <c r="F712" s="4"/>
    </row>
    <row r="713" spans="5:6" x14ac:dyDescent="0.3">
      <c r="E713" s="4"/>
      <c r="F713" s="4"/>
    </row>
    <row r="714" spans="5:6" x14ac:dyDescent="0.3">
      <c r="E714" s="4"/>
      <c r="F714" s="4"/>
    </row>
    <row r="715" spans="5:6" x14ac:dyDescent="0.3">
      <c r="E715" s="4"/>
      <c r="F715" s="4"/>
    </row>
    <row r="716" spans="5:6" x14ac:dyDescent="0.3">
      <c r="E716" s="4"/>
      <c r="F716" s="4"/>
    </row>
    <row r="717" spans="5:6" x14ac:dyDescent="0.3">
      <c r="E717" s="4"/>
      <c r="F717" s="4"/>
    </row>
    <row r="718" spans="5:6" x14ac:dyDescent="0.3">
      <c r="E718" s="4"/>
      <c r="F718" s="4"/>
    </row>
    <row r="719" spans="5:6" x14ac:dyDescent="0.3">
      <c r="E719" s="4"/>
      <c r="F719" s="4"/>
    </row>
    <row r="720" spans="5:6" x14ac:dyDescent="0.3">
      <c r="E720" s="4"/>
      <c r="F720" s="4"/>
    </row>
    <row r="721" spans="5:6" x14ac:dyDescent="0.3">
      <c r="E721" s="4"/>
      <c r="F721" s="4"/>
    </row>
    <row r="722" spans="5:6" x14ac:dyDescent="0.3">
      <c r="E722" s="4"/>
      <c r="F722" s="4"/>
    </row>
    <row r="723" spans="5:6" x14ac:dyDescent="0.3">
      <c r="E723" s="4"/>
      <c r="F723" s="4"/>
    </row>
    <row r="724" spans="5:6" x14ac:dyDescent="0.3">
      <c r="E724" s="4"/>
      <c r="F724" s="4"/>
    </row>
    <row r="725" spans="5:6" x14ac:dyDescent="0.3">
      <c r="E725" s="4"/>
      <c r="F725" s="4"/>
    </row>
    <row r="726" spans="5:6" x14ac:dyDescent="0.3">
      <c r="E726" s="4"/>
      <c r="F726" s="4"/>
    </row>
    <row r="727" spans="5:6" x14ac:dyDescent="0.3">
      <c r="E727" s="4"/>
      <c r="F727" s="4"/>
    </row>
    <row r="728" spans="5:6" x14ac:dyDescent="0.3">
      <c r="E728" s="4"/>
      <c r="F728" s="4"/>
    </row>
    <row r="729" spans="5:6" x14ac:dyDescent="0.3">
      <c r="E729" s="4"/>
      <c r="F729" s="4"/>
    </row>
    <row r="730" spans="5:6" x14ac:dyDescent="0.3">
      <c r="E730" s="4"/>
      <c r="F730" s="4"/>
    </row>
    <row r="731" spans="5:6" x14ac:dyDescent="0.3">
      <c r="E731" s="4"/>
      <c r="F731" s="4"/>
    </row>
    <row r="732" spans="5:6" x14ac:dyDescent="0.3">
      <c r="E732" s="4"/>
      <c r="F732" s="4"/>
    </row>
    <row r="733" spans="5:6" x14ac:dyDescent="0.3">
      <c r="E733" s="4"/>
      <c r="F733" s="4"/>
    </row>
    <row r="734" spans="5:6" x14ac:dyDescent="0.3">
      <c r="E734" s="4"/>
      <c r="F734" s="4"/>
    </row>
    <row r="735" spans="5:6" x14ac:dyDescent="0.3">
      <c r="E735" s="4"/>
      <c r="F735" s="4"/>
    </row>
    <row r="736" spans="5:6" x14ac:dyDescent="0.3">
      <c r="E736" s="4"/>
      <c r="F736" s="4"/>
    </row>
    <row r="737" spans="5:6" x14ac:dyDescent="0.3">
      <c r="E737" s="4"/>
      <c r="F737" s="4"/>
    </row>
    <row r="738" spans="5:6" x14ac:dyDescent="0.3">
      <c r="E738" s="4"/>
      <c r="F738" s="4"/>
    </row>
    <row r="739" spans="5:6" x14ac:dyDescent="0.3">
      <c r="E739" s="4"/>
      <c r="F739" s="4"/>
    </row>
    <row r="740" spans="5:6" x14ac:dyDescent="0.3">
      <c r="E740" s="4"/>
      <c r="F740" s="4"/>
    </row>
    <row r="741" spans="5:6" x14ac:dyDescent="0.3">
      <c r="E741" s="4"/>
      <c r="F741" s="4"/>
    </row>
    <row r="742" spans="5:6" x14ac:dyDescent="0.3">
      <c r="E742" s="4"/>
      <c r="F742" s="4"/>
    </row>
    <row r="743" spans="5:6" x14ac:dyDescent="0.3">
      <c r="E743" s="4"/>
      <c r="F743" s="4"/>
    </row>
    <row r="744" spans="5:6" x14ac:dyDescent="0.3">
      <c r="E744" s="4"/>
      <c r="F744" s="4"/>
    </row>
    <row r="745" spans="5:6" x14ac:dyDescent="0.3">
      <c r="E745" s="4"/>
      <c r="F745" s="4"/>
    </row>
    <row r="746" spans="5:6" x14ac:dyDescent="0.3">
      <c r="E746" s="4"/>
      <c r="F746" s="4"/>
    </row>
    <row r="747" spans="5:6" x14ac:dyDescent="0.3">
      <c r="E747" s="4"/>
      <c r="F747" s="4"/>
    </row>
    <row r="748" spans="5:6" x14ac:dyDescent="0.3">
      <c r="E748" s="4"/>
      <c r="F748" s="4"/>
    </row>
    <row r="749" spans="5:6" x14ac:dyDescent="0.3">
      <c r="E749" s="4"/>
      <c r="F749" s="4"/>
    </row>
    <row r="750" spans="5:6" x14ac:dyDescent="0.3">
      <c r="E750" s="4"/>
      <c r="F750" s="4"/>
    </row>
    <row r="751" spans="5:6" x14ac:dyDescent="0.3">
      <c r="E751" s="4"/>
      <c r="F751" s="4"/>
    </row>
    <row r="752" spans="5:6" x14ac:dyDescent="0.3">
      <c r="E752" s="4"/>
      <c r="F752" s="4"/>
    </row>
    <row r="753" spans="5:6" x14ac:dyDescent="0.3">
      <c r="E753" s="4"/>
      <c r="F753" s="4"/>
    </row>
    <row r="754" spans="5:6" x14ac:dyDescent="0.3">
      <c r="E754" s="4"/>
      <c r="F754" s="4"/>
    </row>
    <row r="755" spans="5:6" x14ac:dyDescent="0.3">
      <c r="E755" s="4"/>
      <c r="F755" s="4"/>
    </row>
    <row r="756" spans="5:6" x14ac:dyDescent="0.3">
      <c r="E756" s="4"/>
      <c r="F756" s="4"/>
    </row>
    <row r="757" spans="5:6" x14ac:dyDescent="0.3">
      <c r="E757" s="4"/>
      <c r="F757" s="4"/>
    </row>
    <row r="758" spans="5:6" x14ac:dyDescent="0.3">
      <c r="E758" s="4"/>
      <c r="F758" s="4"/>
    </row>
    <row r="759" spans="5:6" x14ac:dyDescent="0.3">
      <c r="E759" s="4"/>
      <c r="F759" s="4"/>
    </row>
    <row r="760" spans="5:6" x14ac:dyDescent="0.3">
      <c r="E760" s="4"/>
      <c r="F760" s="4"/>
    </row>
    <row r="761" spans="5:6" x14ac:dyDescent="0.3">
      <c r="E761" s="4"/>
      <c r="F761" s="4"/>
    </row>
    <row r="762" spans="5:6" x14ac:dyDescent="0.3">
      <c r="E762" s="4"/>
      <c r="F762" s="4"/>
    </row>
    <row r="763" spans="5:6" x14ac:dyDescent="0.3">
      <c r="E763" s="4"/>
      <c r="F763" s="4"/>
    </row>
    <row r="764" spans="5:6" x14ac:dyDescent="0.3">
      <c r="E764" s="4"/>
      <c r="F764" s="4"/>
    </row>
    <row r="765" spans="5:6" x14ac:dyDescent="0.3">
      <c r="E765" s="4"/>
      <c r="F765" s="4"/>
    </row>
    <row r="766" spans="5:6" x14ac:dyDescent="0.3">
      <c r="E766" s="4"/>
      <c r="F766" s="4"/>
    </row>
    <row r="767" spans="5:6" x14ac:dyDescent="0.3">
      <c r="E767" s="4"/>
      <c r="F767" s="4"/>
    </row>
    <row r="768" spans="5:6" x14ac:dyDescent="0.3">
      <c r="E768" s="4"/>
      <c r="F768" s="4"/>
    </row>
    <row r="769" spans="5:6" x14ac:dyDescent="0.3">
      <c r="E769" s="4"/>
      <c r="F769" s="4"/>
    </row>
    <row r="770" spans="5:6" x14ac:dyDescent="0.3">
      <c r="E770" s="4"/>
      <c r="F770" s="4"/>
    </row>
    <row r="771" spans="5:6" x14ac:dyDescent="0.3">
      <c r="E771" s="4"/>
      <c r="F771" s="4"/>
    </row>
    <row r="772" spans="5:6" x14ac:dyDescent="0.3">
      <c r="E772" s="4"/>
      <c r="F772" s="4"/>
    </row>
    <row r="773" spans="5:6" x14ac:dyDescent="0.3">
      <c r="E773" s="4"/>
      <c r="F773" s="4"/>
    </row>
    <row r="774" spans="5:6" x14ac:dyDescent="0.3">
      <c r="E774" s="4"/>
      <c r="F774" s="4"/>
    </row>
    <row r="775" spans="5:6" x14ac:dyDescent="0.3">
      <c r="E775" s="4"/>
      <c r="F775" s="4"/>
    </row>
    <row r="776" spans="5:6" x14ac:dyDescent="0.3">
      <c r="E776" s="4"/>
      <c r="F776" s="4"/>
    </row>
    <row r="777" spans="5:6" x14ac:dyDescent="0.3">
      <c r="E777" s="4"/>
      <c r="F777" s="4"/>
    </row>
    <row r="778" spans="5:6" x14ac:dyDescent="0.3">
      <c r="E778" s="4"/>
      <c r="F778" s="4"/>
    </row>
    <row r="779" spans="5:6" x14ac:dyDescent="0.3">
      <c r="E779" s="4"/>
      <c r="F779" s="4"/>
    </row>
    <row r="780" spans="5:6" x14ac:dyDescent="0.3">
      <c r="E780" s="4"/>
      <c r="F780" s="4"/>
    </row>
    <row r="781" spans="5:6" x14ac:dyDescent="0.3">
      <c r="E781" s="4"/>
      <c r="F781" s="4"/>
    </row>
    <row r="782" spans="5:6" x14ac:dyDescent="0.3">
      <c r="E782" s="4"/>
      <c r="F782" s="4"/>
    </row>
    <row r="783" spans="5:6" x14ac:dyDescent="0.3">
      <c r="E783" s="4"/>
      <c r="F783" s="4"/>
    </row>
    <row r="784" spans="5:6" x14ac:dyDescent="0.3">
      <c r="E784" s="4"/>
      <c r="F784" s="4"/>
    </row>
    <row r="785" spans="5:6" x14ac:dyDescent="0.3">
      <c r="E785" s="4"/>
      <c r="F785" s="4"/>
    </row>
    <row r="786" spans="5:6" x14ac:dyDescent="0.3">
      <c r="E786" s="4"/>
      <c r="F786" s="4"/>
    </row>
    <row r="787" spans="5:6" x14ac:dyDescent="0.3">
      <c r="E787" s="4"/>
      <c r="F787" s="4"/>
    </row>
    <row r="788" spans="5:6" x14ac:dyDescent="0.3">
      <c r="E788" s="4"/>
      <c r="F788" s="4"/>
    </row>
    <row r="789" spans="5:6" x14ac:dyDescent="0.3">
      <c r="E789" s="4"/>
      <c r="F789" s="4"/>
    </row>
    <row r="790" spans="5:6" x14ac:dyDescent="0.3">
      <c r="E790" s="4"/>
      <c r="F790" s="4"/>
    </row>
    <row r="791" spans="5:6" x14ac:dyDescent="0.3">
      <c r="E791" s="4"/>
      <c r="F791" s="4"/>
    </row>
    <row r="792" spans="5:6" x14ac:dyDescent="0.3">
      <c r="E792" s="4"/>
      <c r="F792" s="4"/>
    </row>
    <row r="793" spans="5:6" x14ac:dyDescent="0.3">
      <c r="E793" s="4"/>
      <c r="F793" s="4"/>
    </row>
    <row r="794" spans="5:6" x14ac:dyDescent="0.3">
      <c r="E794" s="4"/>
      <c r="F794" s="4"/>
    </row>
    <row r="795" spans="5:6" x14ac:dyDescent="0.3">
      <c r="E795" s="4"/>
      <c r="F795" s="4"/>
    </row>
    <row r="796" spans="5:6" x14ac:dyDescent="0.3">
      <c r="E796" s="4"/>
      <c r="F796" s="4"/>
    </row>
    <row r="797" spans="5:6" x14ac:dyDescent="0.3">
      <c r="E797" s="4"/>
      <c r="F797" s="4"/>
    </row>
    <row r="798" spans="5:6" x14ac:dyDescent="0.3">
      <c r="E798" s="4"/>
      <c r="F798" s="4"/>
    </row>
    <row r="799" spans="5:6" x14ac:dyDescent="0.3">
      <c r="E799" s="4"/>
      <c r="F799" s="4"/>
    </row>
    <row r="800" spans="5:6" x14ac:dyDescent="0.3">
      <c r="E800" s="4"/>
      <c r="F800" s="4"/>
    </row>
    <row r="801" spans="5:6" x14ac:dyDescent="0.3">
      <c r="E801" s="4"/>
      <c r="F801" s="4"/>
    </row>
    <row r="802" spans="5:6" x14ac:dyDescent="0.3">
      <c r="E802" s="4"/>
      <c r="F802" s="4"/>
    </row>
    <row r="803" spans="5:6" x14ac:dyDescent="0.3">
      <c r="E803" s="4"/>
      <c r="F803" s="4"/>
    </row>
    <row r="804" spans="5:6" x14ac:dyDescent="0.3">
      <c r="E804" s="4"/>
      <c r="F804" s="4"/>
    </row>
    <row r="805" spans="5:6" x14ac:dyDescent="0.3">
      <c r="E805" s="4"/>
      <c r="F805" s="4"/>
    </row>
    <row r="806" spans="5:6" x14ac:dyDescent="0.3">
      <c r="E806" s="4"/>
      <c r="F806" s="4"/>
    </row>
    <row r="807" spans="5:6" x14ac:dyDescent="0.3">
      <c r="E807" s="4"/>
      <c r="F807" s="4"/>
    </row>
    <row r="808" spans="5:6" x14ac:dyDescent="0.3">
      <c r="E808" s="4"/>
      <c r="F808" s="4"/>
    </row>
    <row r="809" spans="5:6" x14ac:dyDescent="0.3">
      <c r="E809" s="4"/>
      <c r="F809" s="4"/>
    </row>
    <row r="810" spans="5:6" x14ac:dyDescent="0.3">
      <c r="E810" s="4"/>
      <c r="F810" s="4"/>
    </row>
    <row r="811" spans="5:6" x14ac:dyDescent="0.3">
      <c r="E811" s="4"/>
      <c r="F811" s="4"/>
    </row>
    <row r="812" spans="5:6" x14ac:dyDescent="0.3">
      <c r="E812" s="4"/>
      <c r="F812" s="4"/>
    </row>
    <row r="813" spans="5:6" x14ac:dyDescent="0.3">
      <c r="E813" s="4"/>
      <c r="F813" s="4"/>
    </row>
    <row r="814" spans="5:6" x14ac:dyDescent="0.3">
      <c r="E814" s="4"/>
      <c r="F814" s="4"/>
    </row>
    <row r="815" spans="5:6" x14ac:dyDescent="0.3">
      <c r="E815" s="4"/>
      <c r="F815" s="4"/>
    </row>
    <row r="816" spans="5:6" x14ac:dyDescent="0.3">
      <c r="E816" s="4"/>
      <c r="F816" s="4"/>
    </row>
    <row r="817" spans="5:6" x14ac:dyDescent="0.3">
      <c r="E817" s="4"/>
      <c r="F817" s="4"/>
    </row>
    <row r="818" spans="5:6" x14ac:dyDescent="0.3">
      <c r="E818" s="4"/>
      <c r="F818" s="4"/>
    </row>
    <row r="819" spans="5:6" x14ac:dyDescent="0.3">
      <c r="E819" s="4"/>
      <c r="F819" s="4"/>
    </row>
    <row r="820" spans="5:6" x14ac:dyDescent="0.3">
      <c r="E820" s="4"/>
      <c r="F820" s="4"/>
    </row>
    <row r="821" spans="5:6" x14ac:dyDescent="0.3">
      <c r="E821" s="4"/>
      <c r="F821" s="4"/>
    </row>
    <row r="822" spans="5:6" x14ac:dyDescent="0.3">
      <c r="E822" s="4"/>
      <c r="F822" s="4"/>
    </row>
    <row r="823" spans="5:6" x14ac:dyDescent="0.3">
      <c r="E823" s="4"/>
      <c r="F823" s="4"/>
    </row>
    <row r="824" spans="5:6" x14ac:dyDescent="0.3">
      <c r="E824" s="4"/>
      <c r="F824" s="4"/>
    </row>
    <row r="825" spans="5:6" x14ac:dyDescent="0.3">
      <c r="E825" s="4"/>
      <c r="F825" s="4"/>
    </row>
    <row r="826" spans="5:6" x14ac:dyDescent="0.3">
      <c r="E826" s="4"/>
      <c r="F826" s="4"/>
    </row>
    <row r="827" spans="5:6" x14ac:dyDescent="0.3">
      <c r="E827" s="4"/>
      <c r="F827" s="4"/>
    </row>
    <row r="828" spans="5:6" x14ac:dyDescent="0.3">
      <c r="E828" s="4"/>
      <c r="F828" s="4"/>
    </row>
    <row r="829" spans="5:6" x14ac:dyDescent="0.3">
      <c r="E829" s="4"/>
      <c r="F829" s="4"/>
    </row>
    <row r="830" spans="5:6" x14ac:dyDescent="0.3">
      <c r="E830" s="4"/>
      <c r="F830" s="4"/>
    </row>
    <row r="831" spans="5:6" x14ac:dyDescent="0.3">
      <c r="E831" s="4"/>
      <c r="F831" s="4"/>
    </row>
    <row r="832" spans="5:6" x14ac:dyDescent="0.3">
      <c r="E832" s="4"/>
      <c r="F832" s="4"/>
    </row>
    <row r="833" spans="5:6" x14ac:dyDescent="0.3">
      <c r="E833" s="4"/>
      <c r="F833" s="4"/>
    </row>
    <row r="834" spans="5:6" x14ac:dyDescent="0.3">
      <c r="E834" s="4"/>
      <c r="F834" s="4"/>
    </row>
    <row r="835" spans="5:6" x14ac:dyDescent="0.3">
      <c r="E835" s="4"/>
      <c r="F835" s="4"/>
    </row>
    <row r="836" spans="5:6" x14ac:dyDescent="0.3">
      <c r="E836" s="4"/>
      <c r="F836" s="4"/>
    </row>
    <row r="837" spans="5:6" x14ac:dyDescent="0.3">
      <c r="E837" s="4"/>
      <c r="F837" s="4"/>
    </row>
    <row r="838" spans="5:6" x14ac:dyDescent="0.3">
      <c r="E838" s="4"/>
      <c r="F838" s="4"/>
    </row>
    <row r="839" spans="5:6" x14ac:dyDescent="0.3">
      <c r="E839" s="4"/>
      <c r="F839" s="4"/>
    </row>
    <row r="840" spans="5:6" x14ac:dyDescent="0.3">
      <c r="E840" s="4"/>
      <c r="F840" s="4"/>
    </row>
    <row r="841" spans="5:6" x14ac:dyDescent="0.3">
      <c r="E841" s="4"/>
      <c r="F841" s="4"/>
    </row>
    <row r="842" spans="5:6" x14ac:dyDescent="0.3">
      <c r="E842" s="4"/>
      <c r="F842" s="4"/>
    </row>
    <row r="843" spans="5:6" x14ac:dyDescent="0.3">
      <c r="E843" s="4"/>
      <c r="F843" s="4"/>
    </row>
    <row r="844" spans="5:6" x14ac:dyDescent="0.3">
      <c r="E844" s="4"/>
      <c r="F844" s="4"/>
    </row>
    <row r="845" spans="5:6" x14ac:dyDescent="0.3">
      <c r="E845" s="4"/>
      <c r="F845" s="4"/>
    </row>
    <row r="846" spans="5:6" x14ac:dyDescent="0.3">
      <c r="E846" s="4"/>
      <c r="F846" s="4"/>
    </row>
    <row r="847" spans="5:6" x14ac:dyDescent="0.3">
      <c r="E847" s="4"/>
      <c r="F847" s="4"/>
    </row>
    <row r="848" spans="5:6" x14ac:dyDescent="0.3">
      <c r="E848" s="4"/>
      <c r="F848" s="4"/>
    </row>
    <row r="849" spans="5:6" x14ac:dyDescent="0.3">
      <c r="E849" s="4"/>
      <c r="F849" s="4"/>
    </row>
    <row r="850" spans="5:6" x14ac:dyDescent="0.3">
      <c r="E850" s="4"/>
      <c r="F850" s="4"/>
    </row>
    <row r="851" spans="5:6" x14ac:dyDescent="0.3">
      <c r="E851" s="4"/>
      <c r="F851" s="4"/>
    </row>
    <row r="852" spans="5:6" x14ac:dyDescent="0.3">
      <c r="E852" s="4"/>
      <c r="F852" s="4"/>
    </row>
    <row r="853" spans="5:6" x14ac:dyDescent="0.3">
      <c r="E853" s="4"/>
      <c r="F853" s="4"/>
    </row>
    <row r="854" spans="5:6" x14ac:dyDescent="0.3">
      <c r="E854" s="4"/>
      <c r="F854" s="4"/>
    </row>
    <row r="855" spans="5:6" x14ac:dyDescent="0.3">
      <c r="E855" s="4"/>
      <c r="F855" s="4"/>
    </row>
    <row r="856" spans="5:6" x14ac:dyDescent="0.3">
      <c r="E856" s="4"/>
      <c r="F856" s="4"/>
    </row>
    <row r="857" spans="5:6" x14ac:dyDescent="0.3">
      <c r="E857" s="4"/>
      <c r="F857" s="4"/>
    </row>
    <row r="858" spans="5:6" x14ac:dyDescent="0.3">
      <c r="E858" s="4"/>
      <c r="F858" s="4"/>
    </row>
    <row r="859" spans="5:6" x14ac:dyDescent="0.3">
      <c r="E859" s="4"/>
      <c r="F859" s="4"/>
    </row>
    <row r="860" spans="5:6" x14ac:dyDescent="0.3">
      <c r="E860" s="4"/>
      <c r="F860" s="4"/>
    </row>
    <row r="861" spans="5:6" x14ac:dyDescent="0.3">
      <c r="E861" s="4"/>
      <c r="F861" s="4"/>
    </row>
    <row r="862" spans="5:6" x14ac:dyDescent="0.3">
      <c r="E862" s="4"/>
      <c r="F862" s="4"/>
    </row>
    <row r="863" spans="5:6" x14ac:dyDescent="0.3">
      <c r="E863" s="4"/>
      <c r="F863" s="4"/>
    </row>
    <row r="864" spans="5:6" x14ac:dyDescent="0.3">
      <c r="E864" s="4"/>
      <c r="F864" s="4"/>
    </row>
    <row r="865" spans="5:6" x14ac:dyDescent="0.3">
      <c r="E865" s="4"/>
      <c r="F865" s="4"/>
    </row>
    <row r="866" spans="5:6" x14ac:dyDescent="0.3">
      <c r="E866" s="4"/>
      <c r="F866" s="4"/>
    </row>
    <row r="867" spans="5:6" x14ac:dyDescent="0.3">
      <c r="E867" s="4"/>
      <c r="F867" s="4"/>
    </row>
    <row r="868" spans="5:6" x14ac:dyDescent="0.3">
      <c r="E868" s="4"/>
      <c r="F868" s="4"/>
    </row>
    <row r="869" spans="5:6" x14ac:dyDescent="0.3">
      <c r="E869" s="4"/>
      <c r="F869" s="4"/>
    </row>
    <row r="870" spans="5:6" x14ac:dyDescent="0.3">
      <c r="E870" s="4"/>
      <c r="F870" s="4"/>
    </row>
    <row r="871" spans="5:6" x14ac:dyDescent="0.3">
      <c r="E871" s="4"/>
      <c r="F871" s="4"/>
    </row>
    <row r="872" spans="5:6" x14ac:dyDescent="0.3">
      <c r="E872" s="4"/>
      <c r="F872" s="4"/>
    </row>
    <row r="873" spans="5:6" x14ac:dyDescent="0.3">
      <c r="E873" s="4"/>
      <c r="F873" s="4"/>
    </row>
    <row r="874" spans="5:6" x14ac:dyDescent="0.3">
      <c r="E874" s="4"/>
      <c r="F874" s="4"/>
    </row>
    <row r="875" spans="5:6" x14ac:dyDescent="0.3">
      <c r="E875" s="4"/>
      <c r="F875" s="4"/>
    </row>
    <row r="876" spans="5:6" x14ac:dyDescent="0.3">
      <c r="E876" s="4"/>
      <c r="F876" s="4"/>
    </row>
    <row r="877" spans="5:6" x14ac:dyDescent="0.3">
      <c r="E877" s="4"/>
      <c r="F877" s="4"/>
    </row>
    <row r="878" spans="5:6" x14ac:dyDescent="0.3">
      <c r="E878" s="4"/>
      <c r="F878" s="4"/>
    </row>
    <row r="879" spans="5:6" x14ac:dyDescent="0.3">
      <c r="E879" s="4"/>
      <c r="F879" s="4"/>
    </row>
    <row r="880" spans="5:6" x14ac:dyDescent="0.3">
      <c r="E880" s="4"/>
      <c r="F880" s="4"/>
    </row>
    <row r="881" spans="5:6" x14ac:dyDescent="0.3">
      <c r="E881" s="4"/>
      <c r="F881" s="4"/>
    </row>
    <row r="882" spans="5:6" x14ac:dyDescent="0.3">
      <c r="E882" s="4"/>
      <c r="F882" s="4"/>
    </row>
    <row r="883" spans="5:6" x14ac:dyDescent="0.3">
      <c r="E883" s="4"/>
      <c r="F883" s="4"/>
    </row>
    <row r="884" spans="5:6" x14ac:dyDescent="0.3">
      <c r="E884" s="4"/>
      <c r="F884" s="4"/>
    </row>
    <row r="885" spans="5:6" x14ac:dyDescent="0.3">
      <c r="E885" s="4"/>
      <c r="F885" s="4"/>
    </row>
    <row r="886" spans="5:6" x14ac:dyDescent="0.3">
      <c r="E886" s="4"/>
      <c r="F886" s="4"/>
    </row>
    <row r="887" spans="5:6" x14ac:dyDescent="0.3">
      <c r="E887" s="4"/>
      <c r="F887" s="4"/>
    </row>
    <row r="888" spans="5:6" x14ac:dyDescent="0.3">
      <c r="E888" s="4"/>
      <c r="F888" s="4"/>
    </row>
    <row r="889" spans="5:6" x14ac:dyDescent="0.3">
      <c r="E889" s="4"/>
      <c r="F889" s="4"/>
    </row>
    <row r="890" spans="5:6" x14ac:dyDescent="0.3">
      <c r="E890" s="4"/>
      <c r="F890" s="4"/>
    </row>
    <row r="891" spans="5:6" x14ac:dyDescent="0.3">
      <c r="E891" s="4"/>
      <c r="F891" s="4"/>
    </row>
    <row r="892" spans="5:6" x14ac:dyDescent="0.3">
      <c r="E892" s="4"/>
      <c r="F892" s="4"/>
    </row>
    <row r="893" spans="5:6" x14ac:dyDescent="0.3">
      <c r="E893" s="4"/>
      <c r="F893" s="4"/>
    </row>
    <row r="894" spans="5:6" x14ac:dyDescent="0.3">
      <c r="E894" s="4"/>
      <c r="F894" s="4"/>
    </row>
    <row r="895" spans="5:6" x14ac:dyDescent="0.3">
      <c r="E895" s="4"/>
      <c r="F895" s="4"/>
    </row>
    <row r="896" spans="5:6" x14ac:dyDescent="0.3">
      <c r="E896" s="4"/>
      <c r="F896" s="4"/>
    </row>
    <row r="897" spans="5:6" x14ac:dyDescent="0.3">
      <c r="E897" s="4"/>
      <c r="F897" s="4"/>
    </row>
    <row r="898" spans="5:6" x14ac:dyDescent="0.3">
      <c r="E898" s="4"/>
      <c r="F898" s="4"/>
    </row>
    <row r="899" spans="5:6" x14ac:dyDescent="0.3">
      <c r="E899" s="4"/>
      <c r="F899" s="4"/>
    </row>
    <row r="900" spans="5:6" x14ac:dyDescent="0.3">
      <c r="E900" s="4"/>
      <c r="F900" s="4"/>
    </row>
    <row r="901" spans="5:6" x14ac:dyDescent="0.3">
      <c r="E901" s="4"/>
      <c r="F901" s="4"/>
    </row>
    <row r="902" spans="5:6" x14ac:dyDescent="0.3">
      <c r="E902" s="4"/>
      <c r="F902" s="4"/>
    </row>
    <row r="903" spans="5:6" x14ac:dyDescent="0.3">
      <c r="E903" s="4"/>
      <c r="F903" s="4"/>
    </row>
    <row r="904" spans="5:6" x14ac:dyDescent="0.3">
      <c r="E904" s="4"/>
      <c r="F904" s="4"/>
    </row>
    <row r="905" spans="5:6" x14ac:dyDescent="0.3">
      <c r="E905" s="4"/>
      <c r="F905" s="4"/>
    </row>
    <row r="906" spans="5:6" x14ac:dyDescent="0.3">
      <c r="E906" s="4"/>
      <c r="F906" s="4"/>
    </row>
    <row r="907" spans="5:6" x14ac:dyDescent="0.3">
      <c r="E907" s="4"/>
      <c r="F907" s="4"/>
    </row>
    <row r="908" spans="5:6" x14ac:dyDescent="0.3">
      <c r="E908" s="4"/>
      <c r="F908" s="4"/>
    </row>
    <row r="909" spans="5:6" x14ac:dyDescent="0.3">
      <c r="E909" s="4"/>
      <c r="F909" s="4"/>
    </row>
    <row r="910" spans="5:6" x14ac:dyDescent="0.3">
      <c r="E910" s="4"/>
      <c r="F910" s="4"/>
    </row>
    <row r="911" spans="5:6" x14ac:dyDescent="0.3">
      <c r="E911" s="4"/>
      <c r="F911" s="4"/>
    </row>
    <row r="912" spans="5:6" x14ac:dyDescent="0.3">
      <c r="E912" s="4"/>
      <c r="F912" s="4"/>
    </row>
    <row r="913" spans="5:6" x14ac:dyDescent="0.3">
      <c r="E913" s="4"/>
      <c r="F913" s="4"/>
    </row>
    <row r="914" spans="5:6" x14ac:dyDescent="0.3">
      <c r="E914" s="4"/>
      <c r="F914" s="4"/>
    </row>
    <row r="915" spans="5:6" x14ac:dyDescent="0.3">
      <c r="E915" s="4"/>
      <c r="F915" s="4"/>
    </row>
    <row r="916" spans="5:6" x14ac:dyDescent="0.3">
      <c r="E916" s="4"/>
      <c r="F916" s="4"/>
    </row>
    <row r="917" spans="5:6" x14ac:dyDescent="0.3">
      <c r="E917" s="4"/>
      <c r="F917" s="4"/>
    </row>
    <row r="918" spans="5:6" x14ac:dyDescent="0.3">
      <c r="E918" s="4"/>
      <c r="F918" s="4"/>
    </row>
    <row r="919" spans="5:6" x14ac:dyDescent="0.3">
      <c r="E919" s="4"/>
      <c r="F919" s="4"/>
    </row>
    <row r="920" spans="5:6" x14ac:dyDescent="0.3">
      <c r="E920" s="4"/>
      <c r="F920" s="4"/>
    </row>
    <row r="921" spans="5:6" x14ac:dyDescent="0.3">
      <c r="E921" s="4"/>
      <c r="F921" s="4"/>
    </row>
    <row r="922" spans="5:6" x14ac:dyDescent="0.3">
      <c r="E922" s="4"/>
      <c r="F922" s="4"/>
    </row>
    <row r="923" spans="5:6" x14ac:dyDescent="0.3">
      <c r="E923" s="4"/>
      <c r="F923" s="4"/>
    </row>
    <row r="924" spans="5:6" x14ac:dyDescent="0.3">
      <c r="E924" s="4"/>
      <c r="F924" s="4"/>
    </row>
    <row r="925" spans="5:6" x14ac:dyDescent="0.3">
      <c r="E925" s="4"/>
      <c r="F925" s="4"/>
    </row>
    <row r="926" spans="5:6" x14ac:dyDescent="0.3">
      <c r="E926" s="4"/>
      <c r="F926" s="4"/>
    </row>
    <row r="927" spans="5:6" x14ac:dyDescent="0.3">
      <c r="E927" s="4"/>
      <c r="F927" s="4"/>
    </row>
    <row r="928" spans="5:6" x14ac:dyDescent="0.3">
      <c r="E928" s="4"/>
      <c r="F928" s="4"/>
    </row>
    <row r="929" spans="5:6" x14ac:dyDescent="0.3">
      <c r="E929" s="4"/>
      <c r="F929" s="4"/>
    </row>
    <row r="930" spans="5:6" x14ac:dyDescent="0.3">
      <c r="E930" s="4"/>
      <c r="F930" s="4"/>
    </row>
    <row r="931" spans="5:6" x14ac:dyDescent="0.3">
      <c r="E931" s="4"/>
      <c r="F931" s="4"/>
    </row>
    <row r="932" spans="5:6" x14ac:dyDescent="0.3">
      <c r="E932" s="4"/>
      <c r="F932" s="4"/>
    </row>
    <row r="933" spans="5:6" x14ac:dyDescent="0.3">
      <c r="E933" s="4"/>
      <c r="F933" s="4"/>
    </row>
    <row r="934" spans="5:6" x14ac:dyDescent="0.3">
      <c r="E934" s="4"/>
      <c r="F934" s="4"/>
    </row>
    <row r="935" spans="5:6" x14ac:dyDescent="0.3">
      <c r="E935" s="4"/>
      <c r="F935" s="4"/>
    </row>
    <row r="936" spans="5:6" x14ac:dyDescent="0.3">
      <c r="E936" s="4"/>
      <c r="F936" s="4"/>
    </row>
    <row r="937" spans="5:6" x14ac:dyDescent="0.3">
      <c r="E937" s="4"/>
      <c r="F937" s="4"/>
    </row>
    <row r="938" spans="5:6" x14ac:dyDescent="0.3">
      <c r="E938" s="4"/>
      <c r="F938" s="4"/>
    </row>
    <row r="939" spans="5:6" x14ac:dyDescent="0.3">
      <c r="E939" s="4"/>
      <c r="F939" s="4"/>
    </row>
    <row r="940" spans="5:6" x14ac:dyDescent="0.3">
      <c r="E940" s="4"/>
      <c r="F940" s="4"/>
    </row>
    <row r="941" spans="5:6" x14ac:dyDescent="0.3">
      <c r="E941" s="4"/>
      <c r="F941" s="4"/>
    </row>
    <row r="942" spans="5:6" x14ac:dyDescent="0.3">
      <c r="E942" s="4"/>
      <c r="F942" s="4"/>
    </row>
    <row r="943" spans="5:6" x14ac:dyDescent="0.3">
      <c r="E943" s="4"/>
      <c r="F943" s="4"/>
    </row>
    <row r="944" spans="5:6" x14ac:dyDescent="0.3">
      <c r="E944" s="4"/>
      <c r="F944" s="4"/>
    </row>
    <row r="945" spans="5:6" x14ac:dyDescent="0.3">
      <c r="E945" s="4"/>
      <c r="F945" s="4"/>
    </row>
    <row r="946" spans="5:6" x14ac:dyDescent="0.3">
      <c r="E946" s="4"/>
      <c r="F946" s="4"/>
    </row>
    <row r="947" spans="5:6" x14ac:dyDescent="0.3">
      <c r="E947" s="4"/>
      <c r="F947" s="4"/>
    </row>
    <row r="948" spans="5:6" x14ac:dyDescent="0.3">
      <c r="E948" s="4"/>
      <c r="F948" s="4"/>
    </row>
    <row r="949" spans="5:6" x14ac:dyDescent="0.3">
      <c r="E949" s="4"/>
      <c r="F949" s="4"/>
    </row>
    <row r="950" spans="5:6" x14ac:dyDescent="0.3">
      <c r="E950" s="4"/>
      <c r="F950" s="4"/>
    </row>
    <row r="951" spans="5:6" x14ac:dyDescent="0.3">
      <c r="E951" s="4"/>
      <c r="F951" s="4"/>
    </row>
    <row r="952" spans="5:6" x14ac:dyDescent="0.3">
      <c r="E952" s="4"/>
      <c r="F952" s="4"/>
    </row>
    <row r="953" spans="5:6" x14ac:dyDescent="0.3">
      <c r="E953" s="4"/>
      <c r="F953" s="4"/>
    </row>
    <row r="954" spans="5:6" x14ac:dyDescent="0.3">
      <c r="E954" s="4"/>
      <c r="F954" s="4"/>
    </row>
    <row r="955" spans="5:6" x14ac:dyDescent="0.3">
      <c r="E955" s="4"/>
      <c r="F955" s="4"/>
    </row>
    <row r="956" spans="5:6" x14ac:dyDescent="0.3">
      <c r="E956" s="4"/>
      <c r="F956" s="4"/>
    </row>
    <row r="957" spans="5:6" x14ac:dyDescent="0.3">
      <c r="E957" s="4"/>
      <c r="F957" s="4"/>
    </row>
    <row r="958" spans="5:6" x14ac:dyDescent="0.3">
      <c r="E958" s="4"/>
      <c r="F958" s="4"/>
    </row>
    <row r="959" spans="5:6" x14ac:dyDescent="0.3">
      <c r="E959" s="4"/>
      <c r="F959" s="4"/>
    </row>
    <row r="960" spans="5:6" x14ac:dyDescent="0.3">
      <c r="E960" s="4"/>
      <c r="F960" s="4"/>
    </row>
    <row r="961" spans="5:6" x14ac:dyDescent="0.3">
      <c r="E961" s="4"/>
      <c r="F961" s="4"/>
    </row>
    <row r="962" spans="5:6" x14ac:dyDescent="0.3">
      <c r="E962" s="4"/>
      <c r="F962" s="4"/>
    </row>
    <row r="963" spans="5:6" x14ac:dyDescent="0.3">
      <c r="E963" s="4"/>
      <c r="F963" s="4"/>
    </row>
    <row r="964" spans="5:6" x14ac:dyDescent="0.3">
      <c r="E964" s="4"/>
      <c r="F964" s="4"/>
    </row>
    <row r="965" spans="5:6" x14ac:dyDescent="0.3">
      <c r="E965" s="4"/>
      <c r="F965" s="4"/>
    </row>
    <row r="966" spans="5:6" x14ac:dyDescent="0.3">
      <c r="E966" s="4"/>
      <c r="F966" s="4"/>
    </row>
    <row r="967" spans="5:6" x14ac:dyDescent="0.3">
      <c r="E967" s="4"/>
      <c r="F967" s="4"/>
    </row>
    <row r="968" spans="5:6" x14ac:dyDescent="0.3">
      <c r="E968" s="4"/>
      <c r="F968" s="4"/>
    </row>
    <row r="969" spans="5:6" x14ac:dyDescent="0.3">
      <c r="E969" s="4"/>
      <c r="F969" s="4"/>
    </row>
    <row r="970" spans="5:6" x14ac:dyDescent="0.3">
      <c r="E970" s="4"/>
      <c r="F970" s="4"/>
    </row>
    <row r="971" spans="5:6" x14ac:dyDescent="0.3">
      <c r="E971" s="4"/>
      <c r="F971" s="4"/>
    </row>
    <row r="972" spans="5:6" x14ac:dyDescent="0.3">
      <c r="E972" s="4"/>
      <c r="F972" s="4"/>
    </row>
    <row r="973" spans="5:6" x14ac:dyDescent="0.3">
      <c r="E973" s="4"/>
      <c r="F973" s="4"/>
    </row>
    <row r="974" spans="5:6" x14ac:dyDescent="0.3">
      <c r="E974" s="4"/>
      <c r="F974" s="4"/>
    </row>
    <row r="975" spans="5:6" x14ac:dyDescent="0.3">
      <c r="E975" s="4"/>
      <c r="F975" s="4"/>
    </row>
    <row r="976" spans="5:6" x14ac:dyDescent="0.3">
      <c r="E976" s="4"/>
      <c r="F976" s="4"/>
    </row>
    <row r="977" spans="5:6" x14ac:dyDescent="0.3">
      <c r="E977" s="4"/>
      <c r="F977" s="4"/>
    </row>
    <row r="978" spans="5:6" x14ac:dyDescent="0.3">
      <c r="E978" s="4"/>
      <c r="F978" s="4"/>
    </row>
    <row r="979" spans="5:6" x14ac:dyDescent="0.3">
      <c r="E979" s="4"/>
      <c r="F979" s="4"/>
    </row>
    <row r="980" spans="5:6" x14ac:dyDescent="0.3">
      <c r="E980" s="4"/>
      <c r="F980" s="4"/>
    </row>
    <row r="981" spans="5:6" x14ac:dyDescent="0.3">
      <c r="E981" s="4"/>
      <c r="F981" s="4"/>
    </row>
    <row r="982" spans="5:6" x14ac:dyDescent="0.3">
      <c r="E982" s="4"/>
      <c r="F982" s="4"/>
    </row>
    <row r="983" spans="5:6" x14ac:dyDescent="0.3">
      <c r="E983" s="4"/>
      <c r="F983" s="4"/>
    </row>
    <row r="984" spans="5:6" x14ac:dyDescent="0.3">
      <c r="E984" s="4"/>
      <c r="F984" s="4"/>
    </row>
    <row r="985" spans="5:6" x14ac:dyDescent="0.3">
      <c r="E985" s="4"/>
      <c r="F985" s="4"/>
    </row>
    <row r="986" spans="5:6" x14ac:dyDescent="0.3">
      <c r="E986" s="4"/>
      <c r="F986" s="4"/>
    </row>
    <row r="987" spans="5:6" x14ac:dyDescent="0.3">
      <c r="E987" s="4"/>
      <c r="F987" s="4"/>
    </row>
    <row r="988" spans="5:6" x14ac:dyDescent="0.3">
      <c r="E988" s="4"/>
      <c r="F988" s="4"/>
    </row>
    <row r="989" spans="5:6" x14ac:dyDescent="0.3">
      <c r="E989" s="4"/>
      <c r="F989" s="4"/>
    </row>
    <row r="990" spans="5:6" x14ac:dyDescent="0.3">
      <c r="E990" s="4"/>
      <c r="F990" s="4"/>
    </row>
    <row r="991" spans="5:6" x14ac:dyDescent="0.3">
      <c r="E991" s="4"/>
      <c r="F991" s="4"/>
    </row>
    <row r="992" spans="5:6" x14ac:dyDescent="0.3">
      <c r="E992" s="4"/>
      <c r="F992" s="4"/>
    </row>
    <row r="993" spans="5:6" x14ac:dyDescent="0.3">
      <c r="E993" s="4"/>
      <c r="F993" s="4"/>
    </row>
    <row r="994" spans="5:6" x14ac:dyDescent="0.3">
      <c r="E994" s="4"/>
      <c r="F994" s="4"/>
    </row>
    <row r="995" spans="5:6" x14ac:dyDescent="0.3">
      <c r="E995" s="4"/>
      <c r="F995" s="4"/>
    </row>
    <row r="996" spans="5:6" x14ac:dyDescent="0.3">
      <c r="E996" s="4"/>
      <c r="F996" s="4"/>
    </row>
    <row r="997" spans="5:6" x14ac:dyDescent="0.3">
      <c r="E997" s="4"/>
      <c r="F997" s="4"/>
    </row>
    <row r="998" spans="5:6" x14ac:dyDescent="0.3">
      <c r="E998" s="4"/>
      <c r="F998" s="4"/>
    </row>
    <row r="999" spans="5:6" x14ac:dyDescent="0.3">
      <c r="E999" s="4"/>
      <c r="F999" s="4"/>
    </row>
    <row r="1000" spans="5:6" x14ac:dyDescent="0.3">
      <c r="E1000" s="4"/>
      <c r="F1000" s="4"/>
    </row>
    <row r="1001" spans="5:6" x14ac:dyDescent="0.3">
      <c r="E1001" s="4"/>
      <c r="F1001" s="4"/>
    </row>
    <row r="1002" spans="5:6" x14ac:dyDescent="0.3">
      <c r="E1002" s="4"/>
      <c r="F1002" s="4"/>
    </row>
    <row r="1003" spans="5:6" x14ac:dyDescent="0.3">
      <c r="E1003" s="4"/>
      <c r="F1003" s="4"/>
    </row>
    <row r="1004" spans="5:6" x14ac:dyDescent="0.3">
      <c r="E1004" s="4"/>
      <c r="F1004" s="4"/>
    </row>
    <row r="1005" spans="5:6" x14ac:dyDescent="0.3">
      <c r="E1005" s="4"/>
      <c r="F1005" s="4"/>
    </row>
    <row r="1006" spans="5:6" x14ac:dyDescent="0.3">
      <c r="E1006" s="4"/>
      <c r="F1006" s="4"/>
    </row>
    <row r="1007" spans="5:6" x14ac:dyDescent="0.3">
      <c r="E1007" s="4"/>
      <c r="F1007" s="4"/>
    </row>
    <row r="1008" spans="5:6" x14ac:dyDescent="0.3">
      <c r="E1008" s="4"/>
      <c r="F1008" s="4"/>
    </row>
    <row r="1009" spans="5:6" x14ac:dyDescent="0.3">
      <c r="E1009" s="4"/>
      <c r="F1009" s="4"/>
    </row>
    <row r="1010" spans="5:6" x14ac:dyDescent="0.3">
      <c r="E1010" s="4"/>
      <c r="F1010" s="4"/>
    </row>
    <row r="1011" spans="5:6" x14ac:dyDescent="0.3">
      <c r="E1011" s="4"/>
      <c r="F1011" s="4"/>
    </row>
    <row r="1012" spans="5:6" x14ac:dyDescent="0.3">
      <c r="E1012" s="4"/>
      <c r="F1012" s="4"/>
    </row>
    <row r="1013" spans="5:6" x14ac:dyDescent="0.3">
      <c r="E1013" s="4"/>
      <c r="F1013" s="4"/>
    </row>
    <row r="1014" spans="5:6" x14ac:dyDescent="0.3">
      <c r="E1014" s="4"/>
      <c r="F1014" s="4"/>
    </row>
    <row r="1015" spans="5:6" x14ac:dyDescent="0.3">
      <c r="E1015" s="4"/>
      <c r="F1015" s="4"/>
    </row>
    <row r="1016" spans="5:6" x14ac:dyDescent="0.3">
      <c r="E1016" s="4"/>
      <c r="F1016" s="4"/>
    </row>
    <row r="1017" spans="5:6" x14ac:dyDescent="0.3">
      <c r="E1017" s="4"/>
      <c r="F1017" s="4"/>
    </row>
    <row r="1018" spans="5:6" x14ac:dyDescent="0.3">
      <c r="E1018" s="4"/>
      <c r="F1018" s="4"/>
    </row>
    <row r="1019" spans="5:6" x14ac:dyDescent="0.3">
      <c r="E1019" s="4"/>
      <c r="F1019" s="4"/>
    </row>
    <row r="1020" spans="5:6" x14ac:dyDescent="0.3">
      <c r="E1020" s="4"/>
      <c r="F1020" s="4"/>
    </row>
    <row r="1021" spans="5:6" x14ac:dyDescent="0.3">
      <c r="E1021" s="4"/>
      <c r="F1021" s="4"/>
    </row>
    <row r="1022" spans="5:6" x14ac:dyDescent="0.3">
      <c r="E1022" s="4"/>
      <c r="F1022" s="4"/>
    </row>
    <row r="1023" spans="5:6" x14ac:dyDescent="0.3">
      <c r="E1023" s="4"/>
      <c r="F1023" s="4"/>
    </row>
    <row r="1024" spans="5:6" x14ac:dyDescent="0.3">
      <c r="E1024" s="4"/>
      <c r="F1024" s="4"/>
    </row>
    <row r="1025" spans="5:6" x14ac:dyDescent="0.3">
      <c r="E1025" s="4"/>
      <c r="F1025" s="4"/>
    </row>
    <row r="1026" spans="5:6" x14ac:dyDescent="0.3">
      <c r="E1026" s="4"/>
      <c r="F1026" s="4"/>
    </row>
    <row r="1027" spans="5:6" x14ac:dyDescent="0.3">
      <c r="E1027" s="4"/>
      <c r="F1027" s="4"/>
    </row>
    <row r="1028" spans="5:6" x14ac:dyDescent="0.3">
      <c r="E1028" s="4"/>
      <c r="F1028" s="4"/>
    </row>
    <row r="1029" spans="5:6" x14ac:dyDescent="0.3">
      <c r="E1029" s="4"/>
      <c r="F1029" s="4"/>
    </row>
    <row r="1030" spans="5:6" x14ac:dyDescent="0.3">
      <c r="E1030" s="4"/>
      <c r="F1030" s="4"/>
    </row>
    <row r="1031" spans="5:6" x14ac:dyDescent="0.3">
      <c r="E1031" s="4"/>
      <c r="F1031" s="4"/>
    </row>
    <row r="1032" spans="5:6" x14ac:dyDescent="0.3">
      <c r="E1032" s="4"/>
      <c r="F1032" s="4"/>
    </row>
    <row r="1033" spans="5:6" x14ac:dyDescent="0.3">
      <c r="E1033" s="4"/>
      <c r="F1033" s="4"/>
    </row>
    <row r="1034" spans="5:6" x14ac:dyDescent="0.3">
      <c r="E1034" s="4"/>
      <c r="F1034" s="4"/>
    </row>
    <row r="1035" spans="5:6" x14ac:dyDescent="0.3">
      <c r="E1035" s="4"/>
      <c r="F1035" s="4"/>
    </row>
    <row r="1036" spans="5:6" x14ac:dyDescent="0.3">
      <c r="E1036" s="4"/>
      <c r="F1036" s="4"/>
    </row>
    <row r="1037" spans="5:6" x14ac:dyDescent="0.3">
      <c r="E1037" s="4"/>
      <c r="F1037" s="4"/>
    </row>
    <row r="1038" spans="5:6" x14ac:dyDescent="0.3">
      <c r="E1038" s="4"/>
      <c r="F1038" s="4"/>
    </row>
    <row r="1039" spans="5:6" x14ac:dyDescent="0.3">
      <c r="E1039" s="4"/>
      <c r="F1039" s="4"/>
    </row>
    <row r="1040" spans="5:6" x14ac:dyDescent="0.3">
      <c r="E1040" s="4"/>
      <c r="F1040" s="4"/>
    </row>
    <row r="1041" spans="5:6" x14ac:dyDescent="0.3">
      <c r="E1041" s="4"/>
      <c r="F1041" s="4"/>
    </row>
    <row r="1042" spans="5:6" x14ac:dyDescent="0.3">
      <c r="E1042" s="4"/>
      <c r="F1042" s="4"/>
    </row>
    <row r="1043" spans="5:6" x14ac:dyDescent="0.3">
      <c r="E1043" s="4"/>
      <c r="F1043" s="4"/>
    </row>
    <row r="1044" spans="5:6" x14ac:dyDescent="0.3">
      <c r="E1044" s="4"/>
      <c r="F1044" s="4"/>
    </row>
    <row r="1045" spans="5:6" x14ac:dyDescent="0.3">
      <c r="E1045" s="4"/>
      <c r="F1045" s="4"/>
    </row>
    <row r="1046" spans="5:6" x14ac:dyDescent="0.3">
      <c r="E1046" s="4"/>
      <c r="F1046" s="4"/>
    </row>
    <row r="1047" spans="5:6" x14ac:dyDescent="0.3">
      <c r="E1047" s="4"/>
      <c r="F1047" s="4"/>
    </row>
    <row r="1048" spans="5:6" x14ac:dyDescent="0.3">
      <c r="E1048" s="4"/>
      <c r="F1048" s="4"/>
    </row>
    <row r="1049" spans="5:6" x14ac:dyDescent="0.3">
      <c r="E1049" s="4"/>
      <c r="F1049" s="4"/>
    </row>
    <row r="1050" spans="5:6" x14ac:dyDescent="0.3">
      <c r="E1050" s="4"/>
      <c r="F1050" s="4"/>
    </row>
    <row r="1051" spans="5:6" x14ac:dyDescent="0.3">
      <c r="E1051" s="4"/>
      <c r="F1051" s="4"/>
    </row>
    <row r="1052" spans="5:6" x14ac:dyDescent="0.3">
      <c r="E1052" s="4"/>
      <c r="F1052" s="4"/>
    </row>
    <row r="1053" spans="5:6" x14ac:dyDescent="0.3">
      <c r="E1053" s="4"/>
      <c r="F1053" s="4"/>
    </row>
    <row r="1054" spans="5:6" x14ac:dyDescent="0.3">
      <c r="E1054" s="4"/>
      <c r="F1054" s="4"/>
    </row>
    <row r="1055" spans="5:6" x14ac:dyDescent="0.3">
      <c r="E1055" s="4"/>
      <c r="F1055" s="4"/>
    </row>
    <row r="1056" spans="5:6" x14ac:dyDescent="0.3">
      <c r="E1056" s="4"/>
      <c r="F1056" s="4"/>
    </row>
    <row r="1057" spans="5:6" x14ac:dyDescent="0.3">
      <c r="E1057" s="4"/>
      <c r="F1057" s="4"/>
    </row>
    <row r="1058" spans="5:6" x14ac:dyDescent="0.3">
      <c r="E1058" s="4"/>
      <c r="F1058" s="4"/>
    </row>
    <row r="1059" spans="5:6" x14ac:dyDescent="0.3">
      <c r="E1059" s="4"/>
      <c r="F1059" s="4"/>
    </row>
    <row r="1060" spans="5:6" x14ac:dyDescent="0.3">
      <c r="E1060" s="4"/>
      <c r="F1060" s="4"/>
    </row>
    <row r="1061" spans="5:6" x14ac:dyDescent="0.3">
      <c r="E1061" s="4"/>
      <c r="F1061" s="4"/>
    </row>
    <row r="1062" spans="5:6" x14ac:dyDescent="0.3">
      <c r="E1062" s="4"/>
      <c r="F1062" s="4"/>
    </row>
    <row r="1063" spans="5:6" x14ac:dyDescent="0.3">
      <c r="E1063" s="4"/>
      <c r="F1063" s="4"/>
    </row>
    <row r="1064" spans="5:6" x14ac:dyDescent="0.3">
      <c r="E1064" s="4"/>
      <c r="F1064" s="4"/>
    </row>
    <row r="1065" spans="5:6" x14ac:dyDescent="0.3">
      <c r="E1065" s="4"/>
      <c r="F1065" s="4"/>
    </row>
    <row r="1066" spans="5:6" x14ac:dyDescent="0.3">
      <c r="E1066" s="4"/>
      <c r="F1066" s="4"/>
    </row>
    <row r="1067" spans="5:6" x14ac:dyDescent="0.3">
      <c r="E1067" s="4"/>
      <c r="F1067" s="4"/>
    </row>
    <row r="1068" spans="5:6" x14ac:dyDescent="0.3">
      <c r="E1068" s="4"/>
      <c r="F1068" s="4"/>
    </row>
    <row r="1069" spans="5:6" x14ac:dyDescent="0.3">
      <c r="E1069" s="4"/>
      <c r="F1069" s="4"/>
    </row>
    <row r="1070" spans="5:6" x14ac:dyDescent="0.3">
      <c r="E1070" s="4"/>
      <c r="F1070" s="4"/>
    </row>
    <row r="1071" spans="5:6" x14ac:dyDescent="0.3">
      <c r="E1071" s="4"/>
      <c r="F1071" s="4"/>
    </row>
    <row r="1072" spans="5:6" x14ac:dyDescent="0.3">
      <c r="E1072" s="4"/>
      <c r="F1072" s="4"/>
    </row>
    <row r="1073" spans="5:6" x14ac:dyDescent="0.3">
      <c r="E1073" s="4"/>
      <c r="F1073" s="4"/>
    </row>
    <row r="1074" spans="5:6" x14ac:dyDescent="0.3">
      <c r="E1074" s="4"/>
      <c r="F1074" s="4"/>
    </row>
    <row r="1075" spans="5:6" x14ac:dyDescent="0.3">
      <c r="E1075" s="4"/>
      <c r="F1075" s="4"/>
    </row>
    <row r="1076" spans="5:6" x14ac:dyDescent="0.3">
      <c r="E1076" s="4"/>
      <c r="F1076" s="4"/>
    </row>
    <row r="1077" spans="5:6" x14ac:dyDescent="0.3">
      <c r="E1077" s="4"/>
      <c r="F1077" s="4"/>
    </row>
    <row r="1078" spans="5:6" x14ac:dyDescent="0.3">
      <c r="E1078" s="4"/>
      <c r="F1078" s="4"/>
    </row>
    <row r="1079" spans="5:6" x14ac:dyDescent="0.3">
      <c r="E1079" s="4"/>
      <c r="F1079" s="4"/>
    </row>
    <row r="1080" spans="5:6" x14ac:dyDescent="0.3">
      <c r="E1080" s="4"/>
      <c r="F1080" s="4"/>
    </row>
    <row r="1081" spans="5:6" x14ac:dyDescent="0.3">
      <c r="E1081" s="4"/>
      <c r="F1081" s="4"/>
    </row>
    <row r="1082" spans="5:6" x14ac:dyDescent="0.3">
      <c r="E1082" s="4"/>
      <c r="F1082" s="4"/>
    </row>
    <row r="1083" spans="5:6" x14ac:dyDescent="0.3">
      <c r="E1083" s="4"/>
      <c r="F1083" s="4"/>
    </row>
    <row r="1084" spans="5:6" x14ac:dyDescent="0.3">
      <c r="E1084" s="4"/>
      <c r="F1084" s="4"/>
    </row>
    <row r="1085" spans="5:6" x14ac:dyDescent="0.3">
      <c r="E1085" s="4"/>
      <c r="F1085" s="4"/>
    </row>
    <row r="1086" spans="5:6" x14ac:dyDescent="0.3">
      <c r="E1086" s="4"/>
      <c r="F1086" s="4"/>
    </row>
    <row r="1087" spans="5:6" x14ac:dyDescent="0.3">
      <c r="E1087" s="4"/>
      <c r="F1087" s="4"/>
    </row>
    <row r="1088" spans="5:6" x14ac:dyDescent="0.3">
      <c r="E1088" s="4"/>
      <c r="F1088" s="4"/>
    </row>
    <row r="1089" spans="5:6" x14ac:dyDescent="0.3">
      <c r="E1089" s="4"/>
      <c r="F1089" s="4"/>
    </row>
    <row r="1090" spans="5:6" x14ac:dyDescent="0.3">
      <c r="E1090" s="4"/>
      <c r="F1090" s="4"/>
    </row>
    <row r="1091" spans="5:6" x14ac:dyDescent="0.3">
      <c r="E1091" s="4"/>
      <c r="F1091" s="4"/>
    </row>
    <row r="1092" spans="5:6" x14ac:dyDescent="0.3">
      <c r="E1092" s="4"/>
      <c r="F1092" s="4"/>
    </row>
    <row r="1093" spans="5:6" x14ac:dyDescent="0.3">
      <c r="E1093" s="4"/>
      <c r="F1093" s="4"/>
    </row>
    <row r="1094" spans="5:6" x14ac:dyDescent="0.3">
      <c r="E1094" s="4"/>
      <c r="F1094" s="4"/>
    </row>
    <row r="1095" spans="5:6" x14ac:dyDescent="0.3">
      <c r="E1095" s="4"/>
      <c r="F1095" s="4"/>
    </row>
    <row r="1096" spans="5:6" x14ac:dyDescent="0.3">
      <c r="E1096" s="4"/>
      <c r="F1096" s="4"/>
    </row>
    <row r="1097" spans="5:6" x14ac:dyDescent="0.3">
      <c r="E1097" s="4"/>
      <c r="F1097" s="4"/>
    </row>
    <row r="1098" spans="5:6" x14ac:dyDescent="0.3">
      <c r="E1098" s="4"/>
      <c r="F1098" s="4"/>
    </row>
    <row r="1099" spans="5:6" x14ac:dyDescent="0.3">
      <c r="E1099" s="4"/>
      <c r="F1099" s="4"/>
    </row>
    <row r="1100" spans="5:6" x14ac:dyDescent="0.3">
      <c r="E1100" s="4"/>
      <c r="F1100" s="4"/>
    </row>
    <row r="1101" spans="5:6" x14ac:dyDescent="0.3">
      <c r="E1101" s="4"/>
      <c r="F1101" s="4"/>
    </row>
    <row r="1102" spans="5:6" x14ac:dyDescent="0.3">
      <c r="E1102" s="4"/>
      <c r="F1102" s="4"/>
    </row>
    <row r="1103" spans="5:6" x14ac:dyDescent="0.3">
      <c r="E1103" s="4"/>
      <c r="F1103" s="4"/>
    </row>
    <row r="1104" spans="5:6" x14ac:dyDescent="0.3">
      <c r="E1104" s="4"/>
      <c r="F1104" s="4"/>
    </row>
    <row r="1105" spans="5:6" x14ac:dyDescent="0.3">
      <c r="E1105" s="4"/>
      <c r="F1105" s="4"/>
    </row>
    <row r="1106" spans="5:6" x14ac:dyDescent="0.3">
      <c r="E1106" s="4"/>
      <c r="F1106" s="4"/>
    </row>
    <row r="1107" spans="5:6" x14ac:dyDescent="0.3">
      <c r="E1107" s="4"/>
      <c r="F1107" s="4"/>
    </row>
    <row r="1108" spans="5:6" x14ac:dyDescent="0.3">
      <c r="E1108" s="4"/>
      <c r="F1108" s="4"/>
    </row>
    <row r="1109" spans="5:6" x14ac:dyDescent="0.3">
      <c r="E1109" s="4"/>
      <c r="F1109" s="4"/>
    </row>
    <row r="1110" spans="5:6" x14ac:dyDescent="0.3">
      <c r="E1110" s="4"/>
      <c r="F1110" s="4"/>
    </row>
    <row r="1111" spans="5:6" x14ac:dyDescent="0.3">
      <c r="E1111" s="4"/>
      <c r="F1111" s="4"/>
    </row>
    <row r="1112" spans="5:6" x14ac:dyDescent="0.3">
      <c r="E1112" s="4"/>
      <c r="F1112" s="4"/>
    </row>
    <row r="1113" spans="5:6" x14ac:dyDescent="0.3">
      <c r="E1113" s="4"/>
      <c r="F1113" s="4"/>
    </row>
    <row r="1114" spans="5:6" x14ac:dyDescent="0.3">
      <c r="E1114" s="4"/>
      <c r="F1114" s="4"/>
    </row>
    <row r="1115" spans="5:6" x14ac:dyDescent="0.3">
      <c r="E1115" s="4"/>
      <c r="F1115" s="4"/>
    </row>
    <row r="1116" spans="5:6" x14ac:dyDescent="0.3">
      <c r="E1116" s="4"/>
      <c r="F1116" s="4"/>
    </row>
    <row r="1117" spans="5:6" x14ac:dyDescent="0.3">
      <c r="E1117" s="4"/>
      <c r="F1117" s="4"/>
    </row>
    <row r="1118" spans="5:6" x14ac:dyDescent="0.3">
      <c r="E1118" s="4"/>
      <c r="F1118" s="4"/>
    </row>
    <row r="1119" spans="5:6" x14ac:dyDescent="0.3">
      <c r="E1119" s="4"/>
      <c r="F1119" s="4"/>
    </row>
    <row r="1120" spans="5:6" x14ac:dyDescent="0.3">
      <c r="E1120" s="4"/>
      <c r="F1120" s="4"/>
    </row>
    <row r="1121" spans="5:6" x14ac:dyDescent="0.3">
      <c r="E1121" s="4"/>
      <c r="F1121" s="4"/>
    </row>
    <row r="1122" spans="5:6" x14ac:dyDescent="0.3">
      <c r="E1122" s="4"/>
      <c r="F1122" s="4"/>
    </row>
    <row r="1123" spans="5:6" x14ac:dyDescent="0.3">
      <c r="E1123" s="4"/>
      <c r="F1123" s="4"/>
    </row>
    <row r="1124" spans="5:6" x14ac:dyDescent="0.3">
      <c r="E1124" s="4"/>
      <c r="F1124" s="4"/>
    </row>
    <row r="1125" spans="5:6" x14ac:dyDescent="0.3">
      <c r="E1125" s="4"/>
      <c r="F1125" s="4"/>
    </row>
    <row r="1126" spans="5:6" x14ac:dyDescent="0.3">
      <c r="E1126" s="4"/>
      <c r="F1126" s="4"/>
    </row>
    <row r="1127" spans="5:6" x14ac:dyDescent="0.3">
      <c r="E1127" s="4"/>
      <c r="F1127" s="4"/>
    </row>
    <row r="1128" spans="5:6" x14ac:dyDescent="0.3">
      <c r="E1128" s="4"/>
      <c r="F1128" s="4"/>
    </row>
    <row r="1129" spans="5:6" x14ac:dyDescent="0.3">
      <c r="E1129" s="4"/>
      <c r="F1129" s="4"/>
    </row>
    <row r="1130" spans="5:6" x14ac:dyDescent="0.3">
      <c r="E1130" s="4"/>
      <c r="F1130" s="4"/>
    </row>
    <row r="1131" spans="5:6" x14ac:dyDescent="0.3">
      <c r="E1131" s="4"/>
      <c r="F1131" s="4"/>
    </row>
    <row r="1132" spans="5:6" x14ac:dyDescent="0.3">
      <c r="E1132" s="4"/>
      <c r="F1132" s="4"/>
    </row>
    <row r="1133" spans="5:6" x14ac:dyDescent="0.3">
      <c r="E1133" s="4"/>
      <c r="F1133" s="4"/>
    </row>
    <row r="1134" spans="5:6" x14ac:dyDescent="0.3">
      <c r="E1134" s="4"/>
      <c r="F1134" s="4"/>
    </row>
    <row r="1135" spans="5:6" x14ac:dyDescent="0.3">
      <c r="E1135" s="4"/>
      <c r="F1135" s="4"/>
    </row>
    <row r="1136" spans="5:6" x14ac:dyDescent="0.3">
      <c r="E1136" s="4"/>
      <c r="F1136" s="4"/>
    </row>
    <row r="1137" spans="5:6" x14ac:dyDescent="0.3">
      <c r="E1137" s="4"/>
      <c r="F1137" s="4"/>
    </row>
    <row r="1138" spans="5:6" x14ac:dyDescent="0.3">
      <c r="E1138" s="4"/>
      <c r="F1138" s="4"/>
    </row>
    <row r="1139" spans="5:6" x14ac:dyDescent="0.3">
      <c r="E1139" s="4"/>
      <c r="F1139" s="4"/>
    </row>
    <row r="1140" spans="5:6" x14ac:dyDescent="0.3">
      <c r="E1140" s="4"/>
      <c r="F1140" s="4"/>
    </row>
    <row r="1141" spans="5:6" x14ac:dyDescent="0.3">
      <c r="E1141" s="4"/>
      <c r="F1141" s="4"/>
    </row>
    <row r="1142" spans="5:6" x14ac:dyDescent="0.3">
      <c r="E1142" s="4"/>
      <c r="F1142" s="4"/>
    </row>
    <row r="1143" spans="5:6" x14ac:dyDescent="0.3">
      <c r="E1143" s="4"/>
      <c r="F1143" s="4"/>
    </row>
    <row r="1144" spans="5:6" x14ac:dyDescent="0.3">
      <c r="E1144" s="4"/>
      <c r="F1144" s="4"/>
    </row>
    <row r="1145" spans="5:6" x14ac:dyDescent="0.3">
      <c r="E1145" s="4"/>
      <c r="F1145" s="4"/>
    </row>
    <row r="1146" spans="5:6" x14ac:dyDescent="0.3">
      <c r="E1146" s="4"/>
      <c r="F1146" s="4"/>
    </row>
    <row r="1147" spans="5:6" x14ac:dyDescent="0.3">
      <c r="E1147" s="4"/>
      <c r="F1147" s="4"/>
    </row>
    <row r="1148" spans="5:6" x14ac:dyDescent="0.3">
      <c r="E1148" s="4"/>
      <c r="F1148" s="4"/>
    </row>
    <row r="1149" spans="5:6" x14ac:dyDescent="0.3">
      <c r="E1149" s="4"/>
      <c r="F1149" s="4"/>
    </row>
    <row r="1150" spans="5:6" x14ac:dyDescent="0.3">
      <c r="E1150" s="4"/>
      <c r="F1150" s="4"/>
    </row>
    <row r="1151" spans="5:6" x14ac:dyDescent="0.3">
      <c r="E1151" s="4"/>
      <c r="F1151" s="4"/>
    </row>
    <row r="1152" spans="5:6" x14ac:dyDescent="0.3">
      <c r="E1152" s="4"/>
      <c r="F1152" s="4"/>
    </row>
    <row r="1153" spans="5:6" x14ac:dyDescent="0.3">
      <c r="E1153" s="4"/>
      <c r="F1153" s="4"/>
    </row>
    <row r="1154" spans="5:6" x14ac:dyDescent="0.3">
      <c r="E1154" s="4"/>
      <c r="F1154" s="4"/>
    </row>
    <row r="1155" spans="5:6" x14ac:dyDescent="0.3">
      <c r="E1155" s="4"/>
      <c r="F1155" s="4"/>
    </row>
    <row r="1156" spans="5:6" x14ac:dyDescent="0.3">
      <c r="E1156" s="4"/>
      <c r="F1156" s="4"/>
    </row>
    <row r="1157" spans="5:6" x14ac:dyDescent="0.3">
      <c r="E1157" s="4"/>
      <c r="F1157" s="4"/>
    </row>
    <row r="1158" spans="5:6" x14ac:dyDescent="0.3">
      <c r="E1158" s="4"/>
      <c r="F1158" s="4"/>
    </row>
    <row r="1159" spans="5:6" x14ac:dyDescent="0.3">
      <c r="E1159" s="4"/>
      <c r="F1159" s="4"/>
    </row>
    <row r="1160" spans="5:6" x14ac:dyDescent="0.3">
      <c r="E1160" s="4"/>
      <c r="F1160" s="4"/>
    </row>
    <row r="1161" spans="5:6" x14ac:dyDescent="0.3">
      <c r="E1161" s="4"/>
      <c r="F1161" s="4"/>
    </row>
    <row r="1162" spans="5:6" x14ac:dyDescent="0.3">
      <c r="E1162" s="4"/>
      <c r="F1162" s="4"/>
    </row>
    <row r="1163" spans="5:6" x14ac:dyDescent="0.3">
      <c r="E1163" s="4"/>
      <c r="F1163" s="4"/>
    </row>
    <row r="1164" spans="5:6" x14ac:dyDescent="0.3">
      <c r="E1164" s="4"/>
      <c r="F1164" s="4"/>
    </row>
    <row r="1165" spans="5:6" x14ac:dyDescent="0.3">
      <c r="E1165" s="4"/>
      <c r="F1165" s="4"/>
    </row>
    <row r="1166" spans="5:6" x14ac:dyDescent="0.3">
      <c r="E1166" s="4"/>
      <c r="F1166" s="4"/>
    </row>
    <row r="1167" spans="5:6" x14ac:dyDescent="0.3">
      <c r="E1167" s="4"/>
      <c r="F1167" s="4"/>
    </row>
    <row r="1168" spans="5:6" x14ac:dyDescent="0.3">
      <c r="E1168" s="4"/>
      <c r="F1168" s="4"/>
    </row>
    <row r="1169" spans="5:6" x14ac:dyDescent="0.3">
      <c r="E1169" s="4"/>
      <c r="F1169" s="4"/>
    </row>
    <row r="1170" spans="5:6" x14ac:dyDescent="0.3">
      <c r="E1170" s="4"/>
      <c r="F1170" s="4"/>
    </row>
    <row r="1171" spans="5:6" x14ac:dyDescent="0.3">
      <c r="E1171" s="4"/>
      <c r="F1171" s="4"/>
    </row>
    <row r="1172" spans="5:6" x14ac:dyDescent="0.3">
      <c r="E1172" s="4"/>
      <c r="F1172" s="4"/>
    </row>
    <row r="1173" spans="5:6" x14ac:dyDescent="0.3">
      <c r="E1173" s="4"/>
      <c r="F1173" s="4"/>
    </row>
    <row r="1174" spans="5:6" x14ac:dyDescent="0.3">
      <c r="E1174" s="4"/>
      <c r="F1174" s="4"/>
    </row>
    <row r="1175" spans="5:6" x14ac:dyDescent="0.3">
      <c r="E1175" s="4"/>
      <c r="F1175" s="4"/>
    </row>
    <row r="1176" spans="5:6" x14ac:dyDescent="0.3">
      <c r="E1176" s="4"/>
      <c r="F1176" s="4"/>
    </row>
    <row r="1177" spans="5:6" x14ac:dyDescent="0.3">
      <c r="E1177" s="4"/>
      <c r="F1177" s="4"/>
    </row>
    <row r="1178" spans="5:6" x14ac:dyDescent="0.3">
      <c r="E1178" s="4"/>
      <c r="F1178" s="4"/>
    </row>
    <row r="1179" spans="5:6" x14ac:dyDescent="0.3">
      <c r="E1179" s="4"/>
      <c r="F1179" s="4"/>
    </row>
    <row r="1180" spans="5:6" x14ac:dyDescent="0.3">
      <c r="E1180" s="4"/>
      <c r="F1180" s="4"/>
    </row>
    <row r="1181" spans="5:6" x14ac:dyDescent="0.3">
      <c r="E1181" s="4"/>
      <c r="F1181" s="4"/>
    </row>
    <row r="1182" spans="5:6" x14ac:dyDescent="0.3">
      <c r="E1182" s="4"/>
      <c r="F1182" s="4"/>
    </row>
    <row r="1183" spans="5:6" x14ac:dyDescent="0.3">
      <c r="E1183" s="4"/>
      <c r="F1183" s="4"/>
    </row>
    <row r="1184" spans="5:6" x14ac:dyDescent="0.3">
      <c r="E1184" s="4"/>
      <c r="F1184" s="4"/>
    </row>
    <row r="1185" spans="5:6" x14ac:dyDescent="0.3">
      <c r="E1185" s="4"/>
      <c r="F1185" s="4"/>
    </row>
    <row r="1186" spans="5:6" x14ac:dyDescent="0.3">
      <c r="E1186" s="4"/>
      <c r="F1186" s="4"/>
    </row>
    <row r="1187" spans="5:6" x14ac:dyDescent="0.3">
      <c r="E1187" s="4"/>
      <c r="F1187" s="4"/>
    </row>
    <row r="1188" spans="5:6" x14ac:dyDescent="0.3">
      <c r="E1188" s="4"/>
      <c r="F1188" s="4"/>
    </row>
    <row r="1189" spans="5:6" x14ac:dyDescent="0.3">
      <c r="E1189" s="4"/>
      <c r="F1189" s="4"/>
    </row>
    <row r="1190" spans="5:6" x14ac:dyDescent="0.3">
      <c r="E1190" s="4"/>
      <c r="F1190" s="4"/>
    </row>
    <row r="1191" spans="5:6" x14ac:dyDescent="0.3">
      <c r="E1191" s="4"/>
      <c r="F1191" s="4"/>
    </row>
    <row r="1192" spans="5:6" x14ac:dyDescent="0.3">
      <c r="E1192" s="4"/>
      <c r="F1192" s="4"/>
    </row>
    <row r="1193" spans="5:6" x14ac:dyDescent="0.3">
      <c r="E1193" s="4"/>
      <c r="F1193" s="4"/>
    </row>
    <row r="1194" spans="5:6" x14ac:dyDescent="0.3">
      <c r="E1194" s="4"/>
      <c r="F1194" s="4"/>
    </row>
    <row r="1195" spans="5:6" x14ac:dyDescent="0.3">
      <c r="E1195" s="4"/>
      <c r="F1195" s="4"/>
    </row>
    <row r="1196" spans="5:6" x14ac:dyDescent="0.3">
      <c r="E1196" s="4"/>
      <c r="F1196" s="4"/>
    </row>
    <row r="1197" spans="5:6" x14ac:dyDescent="0.3">
      <c r="E1197" s="4"/>
      <c r="F1197" s="4"/>
    </row>
    <row r="1198" spans="5:6" x14ac:dyDescent="0.3">
      <c r="E1198" s="4"/>
      <c r="F1198" s="4"/>
    </row>
    <row r="1199" spans="5:6" x14ac:dyDescent="0.3">
      <c r="E1199" s="4"/>
      <c r="F1199" s="4"/>
    </row>
    <row r="1200" spans="5:6" x14ac:dyDescent="0.3">
      <c r="E1200" s="4"/>
      <c r="F1200" s="4"/>
    </row>
    <row r="1201" spans="5:6" x14ac:dyDescent="0.3">
      <c r="E1201" s="4"/>
      <c r="F1201" s="4"/>
    </row>
    <row r="1202" spans="5:6" x14ac:dyDescent="0.3">
      <c r="E1202" s="4"/>
      <c r="F1202" s="4"/>
    </row>
    <row r="1203" spans="5:6" x14ac:dyDescent="0.3">
      <c r="E1203" s="4"/>
      <c r="F1203" s="4"/>
    </row>
    <row r="1204" spans="5:6" x14ac:dyDescent="0.3">
      <c r="E1204" s="4"/>
      <c r="F1204" s="4"/>
    </row>
    <row r="1205" spans="5:6" x14ac:dyDescent="0.3">
      <c r="E1205" s="4"/>
      <c r="F1205" s="4"/>
    </row>
    <row r="1206" spans="5:6" x14ac:dyDescent="0.3">
      <c r="E1206" s="4"/>
      <c r="F1206" s="4"/>
    </row>
    <row r="1207" spans="5:6" x14ac:dyDescent="0.3">
      <c r="E1207" s="4"/>
      <c r="F1207" s="4"/>
    </row>
    <row r="1208" spans="5:6" x14ac:dyDescent="0.3">
      <c r="E1208" s="4"/>
      <c r="F1208" s="4"/>
    </row>
    <row r="1209" spans="5:6" x14ac:dyDescent="0.3">
      <c r="E1209" s="4"/>
      <c r="F1209" s="4"/>
    </row>
    <row r="1210" spans="5:6" x14ac:dyDescent="0.3">
      <c r="E1210" s="4"/>
      <c r="F1210" s="4"/>
    </row>
    <row r="1211" spans="5:6" x14ac:dyDescent="0.3">
      <c r="E1211" s="4"/>
      <c r="F1211" s="4"/>
    </row>
    <row r="1212" spans="5:6" x14ac:dyDescent="0.3">
      <c r="E1212" s="4"/>
      <c r="F1212" s="4"/>
    </row>
    <row r="1213" spans="5:6" x14ac:dyDescent="0.3">
      <c r="E1213" s="4"/>
      <c r="F1213" s="4"/>
    </row>
    <row r="1214" spans="5:6" x14ac:dyDescent="0.3">
      <c r="E1214" s="4"/>
      <c r="F1214" s="4"/>
    </row>
    <row r="1215" spans="5:6" x14ac:dyDescent="0.3">
      <c r="E1215" s="4"/>
      <c r="F1215" s="4"/>
    </row>
    <row r="1216" spans="5:6" x14ac:dyDescent="0.3">
      <c r="E1216" s="4"/>
      <c r="F1216" s="4"/>
    </row>
    <row r="1217" spans="5:6" x14ac:dyDescent="0.3">
      <c r="E1217" s="4"/>
      <c r="F1217" s="4"/>
    </row>
    <row r="1218" spans="5:6" x14ac:dyDescent="0.3">
      <c r="E1218" s="4"/>
      <c r="F1218" s="4"/>
    </row>
    <row r="1219" spans="5:6" x14ac:dyDescent="0.3">
      <c r="E1219" s="4"/>
      <c r="F1219" s="4"/>
    </row>
    <row r="1220" spans="5:6" x14ac:dyDescent="0.3">
      <c r="E1220" s="4"/>
      <c r="F1220" s="4"/>
    </row>
    <row r="1221" spans="5:6" x14ac:dyDescent="0.3">
      <c r="E1221" s="4"/>
      <c r="F1221" s="4"/>
    </row>
    <row r="1222" spans="5:6" x14ac:dyDescent="0.3">
      <c r="E1222" s="4"/>
      <c r="F1222" s="4"/>
    </row>
    <row r="1223" spans="5:6" x14ac:dyDescent="0.3">
      <c r="E1223" s="4"/>
      <c r="F1223" s="4"/>
    </row>
    <row r="1224" spans="5:6" x14ac:dyDescent="0.3">
      <c r="E1224" s="4"/>
      <c r="F1224" s="4"/>
    </row>
    <row r="1225" spans="5:6" x14ac:dyDescent="0.3">
      <c r="E1225" s="4"/>
      <c r="F1225" s="4"/>
    </row>
    <row r="1226" spans="5:6" x14ac:dyDescent="0.3">
      <c r="E1226" s="4"/>
      <c r="F1226" s="4"/>
    </row>
    <row r="1227" spans="5:6" x14ac:dyDescent="0.3">
      <c r="E1227" s="4"/>
      <c r="F1227" s="4"/>
    </row>
    <row r="1228" spans="5:6" x14ac:dyDescent="0.3">
      <c r="E1228" s="4"/>
      <c r="F1228" s="4"/>
    </row>
    <row r="1229" spans="5:6" x14ac:dyDescent="0.3">
      <c r="E1229" s="4"/>
      <c r="F1229" s="4"/>
    </row>
    <row r="1230" spans="5:6" x14ac:dyDescent="0.3">
      <c r="E1230" s="4"/>
      <c r="F1230" s="4"/>
    </row>
    <row r="1231" spans="5:6" x14ac:dyDescent="0.3">
      <c r="E1231" s="4"/>
      <c r="F1231" s="4"/>
    </row>
    <row r="1232" spans="5:6" x14ac:dyDescent="0.3">
      <c r="E1232" s="4"/>
      <c r="F1232" s="4"/>
    </row>
    <row r="1233" spans="5:6" x14ac:dyDescent="0.3">
      <c r="E1233" s="4"/>
      <c r="F1233" s="4"/>
    </row>
    <row r="1234" spans="5:6" x14ac:dyDescent="0.3">
      <c r="E1234" s="4"/>
      <c r="F1234" s="4"/>
    </row>
    <row r="1235" spans="5:6" x14ac:dyDescent="0.3">
      <c r="E1235" s="4"/>
      <c r="F1235" s="4"/>
    </row>
    <row r="1236" spans="5:6" x14ac:dyDescent="0.3">
      <c r="E1236" s="4"/>
      <c r="F1236" s="4"/>
    </row>
    <row r="1237" spans="5:6" x14ac:dyDescent="0.3">
      <c r="E1237" s="4"/>
      <c r="F1237" s="4"/>
    </row>
    <row r="1238" spans="5:6" x14ac:dyDescent="0.3">
      <c r="E1238" s="4"/>
      <c r="F1238" s="4"/>
    </row>
    <row r="1239" spans="5:6" x14ac:dyDescent="0.3">
      <c r="E1239" s="4"/>
      <c r="F1239" s="4"/>
    </row>
    <row r="1240" spans="5:6" x14ac:dyDescent="0.3">
      <c r="E1240" s="4"/>
      <c r="F1240" s="4"/>
    </row>
    <row r="1241" spans="5:6" x14ac:dyDescent="0.3">
      <c r="E1241" s="4"/>
      <c r="F1241" s="4"/>
    </row>
    <row r="1242" spans="5:6" x14ac:dyDescent="0.3">
      <c r="E1242" s="4"/>
      <c r="F1242" s="4"/>
    </row>
    <row r="1243" spans="5:6" x14ac:dyDescent="0.3">
      <c r="E1243" s="4"/>
      <c r="F1243" s="4"/>
    </row>
    <row r="1244" spans="5:6" x14ac:dyDescent="0.3">
      <c r="E1244" s="4"/>
      <c r="F1244" s="4"/>
    </row>
    <row r="1245" spans="5:6" x14ac:dyDescent="0.3">
      <c r="E1245" s="4"/>
      <c r="F1245" s="4"/>
    </row>
    <row r="1246" spans="5:6" x14ac:dyDescent="0.3">
      <c r="E1246" s="4"/>
      <c r="F1246" s="4"/>
    </row>
    <row r="1247" spans="5:6" x14ac:dyDescent="0.3">
      <c r="E1247" s="4"/>
      <c r="F1247" s="4"/>
    </row>
    <row r="1248" spans="5:6" x14ac:dyDescent="0.3">
      <c r="E1248" s="4"/>
      <c r="F1248" s="4"/>
    </row>
    <row r="1249" spans="5:6" x14ac:dyDescent="0.3">
      <c r="E1249" s="4"/>
      <c r="F1249" s="4"/>
    </row>
    <row r="1250" spans="5:6" x14ac:dyDescent="0.3">
      <c r="E1250" s="4"/>
      <c r="F1250" s="4"/>
    </row>
    <row r="1251" spans="5:6" x14ac:dyDescent="0.3">
      <c r="E1251" s="4"/>
      <c r="F1251" s="4"/>
    </row>
    <row r="1252" spans="5:6" x14ac:dyDescent="0.3">
      <c r="E1252" s="4"/>
      <c r="F1252" s="4"/>
    </row>
    <row r="1253" spans="5:6" x14ac:dyDescent="0.3">
      <c r="E1253" s="4"/>
      <c r="F1253" s="4"/>
    </row>
    <row r="1254" spans="5:6" x14ac:dyDescent="0.3">
      <c r="E1254" s="4"/>
      <c r="F1254" s="4"/>
    </row>
    <row r="1255" spans="5:6" x14ac:dyDescent="0.3">
      <c r="E1255" s="4"/>
      <c r="F1255" s="4"/>
    </row>
    <row r="1256" spans="5:6" x14ac:dyDescent="0.3">
      <c r="E1256" s="4"/>
      <c r="F1256" s="4"/>
    </row>
    <row r="1257" spans="5:6" x14ac:dyDescent="0.3">
      <c r="E1257" s="4"/>
      <c r="F1257" s="4"/>
    </row>
    <row r="1258" spans="5:6" x14ac:dyDescent="0.3">
      <c r="E1258" s="4"/>
      <c r="F1258" s="4"/>
    </row>
    <row r="1259" spans="5:6" x14ac:dyDescent="0.3">
      <c r="E1259" s="4"/>
      <c r="F1259" s="4"/>
    </row>
    <row r="1260" spans="5:6" x14ac:dyDescent="0.3">
      <c r="E1260" s="4"/>
      <c r="F1260" s="4"/>
    </row>
    <row r="1261" spans="5:6" x14ac:dyDescent="0.3">
      <c r="E1261" s="4"/>
      <c r="F1261" s="4"/>
    </row>
    <row r="1262" spans="5:6" x14ac:dyDescent="0.3">
      <c r="E1262" s="4"/>
      <c r="F1262" s="4"/>
    </row>
    <row r="1263" spans="5:6" x14ac:dyDescent="0.3">
      <c r="E1263" s="4"/>
      <c r="F1263" s="4"/>
    </row>
    <row r="1264" spans="5:6" x14ac:dyDescent="0.3">
      <c r="E1264" s="4"/>
      <c r="F1264" s="4"/>
    </row>
    <row r="1265" spans="5:6" x14ac:dyDescent="0.3">
      <c r="E1265" s="4"/>
      <c r="F1265" s="4"/>
    </row>
    <row r="1266" spans="5:6" x14ac:dyDescent="0.3">
      <c r="E1266" s="4"/>
      <c r="F1266" s="4"/>
    </row>
    <row r="1267" spans="5:6" x14ac:dyDescent="0.3">
      <c r="E1267" s="4"/>
      <c r="F1267" s="4"/>
    </row>
    <row r="1268" spans="5:6" x14ac:dyDescent="0.3">
      <c r="E1268" s="4"/>
      <c r="F1268" s="4"/>
    </row>
    <row r="1269" spans="5:6" x14ac:dyDescent="0.3">
      <c r="E1269" s="4"/>
      <c r="F1269" s="4"/>
    </row>
    <row r="1270" spans="5:6" x14ac:dyDescent="0.3">
      <c r="E1270" s="4"/>
      <c r="F1270" s="4"/>
    </row>
    <row r="1271" spans="5:6" x14ac:dyDescent="0.3">
      <c r="E1271" s="4"/>
      <c r="F1271" s="4"/>
    </row>
    <row r="1272" spans="5:6" x14ac:dyDescent="0.3">
      <c r="E1272" s="4"/>
      <c r="F1272" s="4"/>
    </row>
    <row r="1273" spans="5:6" x14ac:dyDescent="0.3">
      <c r="E1273" s="4"/>
      <c r="F1273" s="4"/>
    </row>
    <row r="1274" spans="5:6" x14ac:dyDescent="0.3">
      <c r="E1274" s="4"/>
      <c r="F1274" s="4"/>
    </row>
    <row r="1275" spans="5:6" x14ac:dyDescent="0.3">
      <c r="E1275" s="4"/>
      <c r="F1275" s="4"/>
    </row>
    <row r="1276" spans="5:6" x14ac:dyDescent="0.3">
      <c r="E1276" s="4"/>
      <c r="F1276" s="4"/>
    </row>
    <row r="1277" spans="5:6" x14ac:dyDescent="0.3">
      <c r="E1277" s="4"/>
      <c r="F1277" s="4"/>
    </row>
    <row r="1278" spans="5:6" x14ac:dyDescent="0.3">
      <c r="E1278" s="4"/>
      <c r="F1278" s="4"/>
    </row>
    <row r="1279" spans="5:6" x14ac:dyDescent="0.3">
      <c r="E1279" s="4"/>
      <c r="F1279" s="4"/>
    </row>
    <row r="1280" spans="5:6" x14ac:dyDescent="0.3">
      <c r="E1280" s="4"/>
      <c r="F1280" s="4"/>
    </row>
    <row r="1281" spans="5:6" x14ac:dyDescent="0.3">
      <c r="E1281" s="4"/>
      <c r="F1281" s="4"/>
    </row>
    <row r="1282" spans="5:6" x14ac:dyDescent="0.3">
      <c r="E1282" s="4"/>
      <c r="F1282" s="4"/>
    </row>
    <row r="1283" spans="5:6" x14ac:dyDescent="0.3">
      <c r="E1283" s="4"/>
      <c r="F1283" s="4"/>
    </row>
    <row r="1284" spans="5:6" x14ac:dyDescent="0.3">
      <c r="E1284" s="4"/>
      <c r="F1284" s="4"/>
    </row>
    <row r="1285" spans="5:6" x14ac:dyDescent="0.3">
      <c r="E1285" s="4"/>
      <c r="F1285" s="4"/>
    </row>
    <row r="1286" spans="5:6" x14ac:dyDescent="0.3">
      <c r="E1286" s="4"/>
      <c r="F1286" s="4"/>
    </row>
    <row r="1287" spans="5:6" x14ac:dyDescent="0.3">
      <c r="E1287" s="4"/>
      <c r="F1287" s="4"/>
    </row>
    <row r="1288" spans="5:6" x14ac:dyDescent="0.3">
      <c r="E1288" s="4"/>
      <c r="F1288" s="4"/>
    </row>
    <row r="1289" spans="5:6" x14ac:dyDescent="0.3">
      <c r="E1289" s="4"/>
      <c r="F1289" s="4"/>
    </row>
    <row r="1290" spans="5:6" x14ac:dyDescent="0.3">
      <c r="E1290" s="4"/>
      <c r="F1290" s="4"/>
    </row>
    <row r="1291" spans="5:6" x14ac:dyDescent="0.3">
      <c r="E1291" s="4"/>
      <c r="F1291" s="4"/>
    </row>
    <row r="1292" spans="5:6" x14ac:dyDescent="0.3">
      <c r="E1292" s="4"/>
      <c r="F1292" s="4"/>
    </row>
    <row r="1293" spans="5:6" x14ac:dyDescent="0.3">
      <c r="E1293" s="4"/>
      <c r="F1293" s="4"/>
    </row>
    <row r="1294" spans="5:6" x14ac:dyDescent="0.3">
      <c r="E1294" s="4"/>
      <c r="F1294" s="4"/>
    </row>
    <row r="1295" spans="5:6" x14ac:dyDescent="0.3">
      <c r="E1295" s="4"/>
      <c r="F1295" s="4"/>
    </row>
    <row r="1296" spans="5:6" x14ac:dyDescent="0.3">
      <c r="E1296" s="4"/>
      <c r="F1296" s="4"/>
    </row>
    <row r="1297" spans="5:6" x14ac:dyDescent="0.3">
      <c r="E1297" s="4"/>
      <c r="F1297" s="4"/>
    </row>
    <row r="1298" spans="5:6" x14ac:dyDescent="0.3">
      <c r="E1298" s="4"/>
      <c r="F1298" s="4"/>
    </row>
    <row r="1299" spans="5:6" x14ac:dyDescent="0.3">
      <c r="E1299" s="4"/>
      <c r="F1299" s="4"/>
    </row>
    <row r="1300" spans="5:6" x14ac:dyDescent="0.3">
      <c r="E1300" s="4"/>
      <c r="F1300" s="4"/>
    </row>
    <row r="1301" spans="5:6" x14ac:dyDescent="0.3">
      <c r="E1301" s="4"/>
      <c r="F1301" s="4"/>
    </row>
    <row r="1302" spans="5:6" x14ac:dyDescent="0.3">
      <c r="E1302" s="4"/>
      <c r="F1302" s="4"/>
    </row>
    <row r="1303" spans="5:6" x14ac:dyDescent="0.3">
      <c r="E1303" s="4"/>
      <c r="F1303" s="4"/>
    </row>
    <row r="1304" spans="5:6" x14ac:dyDescent="0.3">
      <c r="E1304" s="4"/>
      <c r="F1304" s="4"/>
    </row>
    <row r="1305" spans="5:6" x14ac:dyDescent="0.3">
      <c r="E1305" s="4"/>
      <c r="F1305" s="4"/>
    </row>
    <row r="1306" spans="5:6" x14ac:dyDescent="0.3">
      <c r="E1306" s="4"/>
      <c r="F1306" s="4"/>
    </row>
    <row r="1307" spans="5:6" x14ac:dyDescent="0.3">
      <c r="E1307" s="4"/>
      <c r="F1307" s="4"/>
    </row>
    <row r="1308" spans="5:6" x14ac:dyDescent="0.3">
      <c r="E1308" s="4"/>
      <c r="F1308" s="4"/>
    </row>
    <row r="1309" spans="5:6" x14ac:dyDescent="0.3">
      <c r="E1309" s="4"/>
      <c r="F1309" s="4"/>
    </row>
    <row r="1310" spans="5:6" x14ac:dyDescent="0.3">
      <c r="E1310" s="4"/>
      <c r="F1310" s="4"/>
    </row>
    <row r="1311" spans="5:6" x14ac:dyDescent="0.3">
      <c r="E1311" s="4"/>
      <c r="F1311" s="4"/>
    </row>
    <row r="1312" spans="5:6" x14ac:dyDescent="0.3">
      <c r="E1312" s="4"/>
      <c r="F1312" s="4"/>
    </row>
    <row r="1313" spans="5:6" x14ac:dyDescent="0.3">
      <c r="E1313" s="4"/>
      <c r="F1313" s="4"/>
    </row>
    <row r="1314" spans="5:6" x14ac:dyDescent="0.3">
      <c r="E1314" s="4"/>
      <c r="F1314" s="4"/>
    </row>
    <row r="1315" spans="5:6" x14ac:dyDescent="0.3">
      <c r="E1315" s="4"/>
      <c r="F1315" s="4"/>
    </row>
    <row r="1316" spans="5:6" x14ac:dyDescent="0.3">
      <c r="E1316" s="4"/>
      <c r="F1316" s="4"/>
    </row>
    <row r="1317" spans="5:6" x14ac:dyDescent="0.3">
      <c r="E1317" s="4"/>
      <c r="F1317" s="4"/>
    </row>
    <row r="1318" spans="5:6" x14ac:dyDescent="0.3">
      <c r="E1318" s="4"/>
      <c r="F1318" s="4"/>
    </row>
    <row r="1319" spans="5:6" x14ac:dyDescent="0.3">
      <c r="E1319" s="4"/>
      <c r="F1319" s="4"/>
    </row>
    <row r="1320" spans="5:6" x14ac:dyDescent="0.3">
      <c r="E1320" s="4"/>
      <c r="F1320" s="4"/>
    </row>
    <row r="1321" spans="5:6" x14ac:dyDescent="0.3">
      <c r="E1321" s="4"/>
      <c r="F1321" s="4"/>
    </row>
    <row r="1322" spans="5:6" x14ac:dyDescent="0.3">
      <c r="E1322" s="4"/>
      <c r="F1322" s="4"/>
    </row>
    <row r="1323" spans="5:6" x14ac:dyDescent="0.3">
      <c r="E1323" s="4"/>
      <c r="F1323" s="4"/>
    </row>
    <row r="1324" spans="5:6" x14ac:dyDescent="0.3">
      <c r="E1324" s="4"/>
      <c r="F1324" s="4"/>
    </row>
    <row r="1325" spans="5:6" x14ac:dyDescent="0.3">
      <c r="E1325" s="4"/>
      <c r="F1325" s="4"/>
    </row>
    <row r="1326" spans="5:6" x14ac:dyDescent="0.3">
      <c r="E1326" s="4"/>
      <c r="F1326" s="4"/>
    </row>
    <row r="1327" spans="5:6" x14ac:dyDescent="0.3">
      <c r="E1327" s="4"/>
      <c r="F1327" s="4"/>
    </row>
    <row r="1328" spans="5:6" x14ac:dyDescent="0.3">
      <c r="E1328" s="4"/>
      <c r="F1328" s="4"/>
    </row>
    <row r="1329" spans="5:6" x14ac:dyDescent="0.3">
      <c r="E1329" s="4"/>
      <c r="F1329" s="4"/>
    </row>
    <row r="1330" spans="5:6" x14ac:dyDescent="0.3">
      <c r="E1330" s="4"/>
      <c r="F1330" s="4"/>
    </row>
    <row r="1331" spans="5:6" x14ac:dyDescent="0.3">
      <c r="E1331" s="4"/>
      <c r="F1331" s="4"/>
    </row>
    <row r="1332" spans="5:6" x14ac:dyDescent="0.3">
      <c r="E1332" s="4"/>
      <c r="F1332" s="4"/>
    </row>
    <row r="1333" spans="5:6" x14ac:dyDescent="0.3">
      <c r="E1333" s="4"/>
      <c r="F1333" s="4"/>
    </row>
    <row r="1334" spans="5:6" x14ac:dyDescent="0.3">
      <c r="E1334" s="4"/>
      <c r="F1334" s="4"/>
    </row>
    <row r="1335" spans="5:6" x14ac:dyDescent="0.3">
      <c r="E1335" s="4"/>
      <c r="F1335" s="4"/>
    </row>
    <row r="1336" spans="5:6" x14ac:dyDescent="0.3">
      <c r="E1336" s="4"/>
      <c r="F1336" s="4"/>
    </row>
    <row r="1337" spans="5:6" x14ac:dyDescent="0.3">
      <c r="E1337" s="4"/>
      <c r="F1337" s="4"/>
    </row>
    <row r="1338" spans="5:6" x14ac:dyDescent="0.3">
      <c r="E1338" s="4"/>
      <c r="F1338" s="4"/>
    </row>
    <row r="1339" spans="5:6" x14ac:dyDescent="0.3">
      <c r="E1339" s="4"/>
      <c r="F1339" s="4"/>
    </row>
    <row r="1340" spans="5:6" x14ac:dyDescent="0.3">
      <c r="E1340" s="4"/>
      <c r="F1340" s="4"/>
    </row>
    <row r="1341" spans="5:6" x14ac:dyDescent="0.3">
      <c r="E1341" s="4"/>
      <c r="F1341" s="4"/>
    </row>
    <row r="1342" spans="5:6" x14ac:dyDescent="0.3">
      <c r="E1342" s="4"/>
      <c r="F1342" s="4"/>
    </row>
    <row r="1343" spans="5:6" x14ac:dyDescent="0.3">
      <c r="E1343" s="4"/>
      <c r="F1343" s="4"/>
    </row>
    <row r="1344" spans="5:6" x14ac:dyDescent="0.3">
      <c r="E1344" s="4"/>
      <c r="F1344" s="4"/>
    </row>
    <row r="1345" spans="5:6" x14ac:dyDescent="0.3">
      <c r="E1345" s="4"/>
      <c r="F1345" s="4"/>
    </row>
    <row r="1346" spans="5:6" x14ac:dyDescent="0.3">
      <c r="E1346" s="4"/>
      <c r="F1346" s="4"/>
    </row>
    <row r="1347" spans="5:6" x14ac:dyDescent="0.3">
      <c r="E1347" s="4"/>
      <c r="F1347" s="4"/>
    </row>
    <row r="1348" spans="5:6" x14ac:dyDescent="0.3">
      <c r="E1348" s="4"/>
      <c r="F1348" s="4"/>
    </row>
    <row r="1349" spans="5:6" x14ac:dyDescent="0.3">
      <c r="E1349" s="4"/>
      <c r="F1349" s="4"/>
    </row>
    <row r="1350" spans="5:6" x14ac:dyDescent="0.3">
      <c r="E1350" s="4"/>
      <c r="F1350" s="4"/>
    </row>
    <row r="1351" spans="5:6" x14ac:dyDescent="0.3">
      <c r="E1351" s="4"/>
      <c r="F1351" s="4"/>
    </row>
    <row r="1352" spans="5:6" x14ac:dyDescent="0.3">
      <c r="E1352" s="4"/>
      <c r="F1352" s="4"/>
    </row>
    <row r="1353" spans="5:6" x14ac:dyDescent="0.3">
      <c r="E1353" s="4"/>
      <c r="F1353" s="4"/>
    </row>
    <row r="1354" spans="5:6" x14ac:dyDescent="0.3">
      <c r="E1354" s="4"/>
      <c r="F1354" s="4"/>
    </row>
    <row r="1355" spans="5:6" x14ac:dyDescent="0.3">
      <c r="E1355" s="4"/>
      <c r="F1355" s="4"/>
    </row>
    <row r="1356" spans="5:6" x14ac:dyDescent="0.3">
      <c r="E1356" s="4"/>
      <c r="F1356" s="4"/>
    </row>
    <row r="1357" spans="5:6" x14ac:dyDescent="0.3">
      <c r="E1357" s="4"/>
      <c r="F1357" s="4"/>
    </row>
    <row r="1358" spans="5:6" x14ac:dyDescent="0.3">
      <c r="E1358" s="4"/>
      <c r="F1358" s="4"/>
    </row>
    <row r="1359" spans="5:6" x14ac:dyDescent="0.3">
      <c r="E1359" s="4"/>
      <c r="F1359" s="4"/>
    </row>
    <row r="1360" spans="5:6" x14ac:dyDescent="0.3">
      <c r="E1360" s="4"/>
      <c r="F1360" s="4"/>
    </row>
    <row r="1361" spans="5:6" x14ac:dyDescent="0.3">
      <c r="E1361" s="4"/>
      <c r="F1361" s="4"/>
    </row>
    <row r="1362" spans="5:6" x14ac:dyDescent="0.3">
      <c r="E1362" s="4"/>
      <c r="F1362" s="4"/>
    </row>
    <row r="1363" spans="5:6" x14ac:dyDescent="0.3">
      <c r="E1363" s="4"/>
      <c r="F1363" s="4"/>
    </row>
    <row r="1364" spans="5:6" x14ac:dyDescent="0.3">
      <c r="E1364" s="4"/>
      <c r="F1364" s="4"/>
    </row>
    <row r="1365" spans="5:6" x14ac:dyDescent="0.3">
      <c r="E1365" s="4"/>
      <c r="F1365" s="4"/>
    </row>
    <row r="1366" spans="5:6" x14ac:dyDescent="0.3">
      <c r="E1366" s="4"/>
      <c r="F1366" s="4"/>
    </row>
    <row r="1367" spans="5:6" x14ac:dyDescent="0.3">
      <c r="E1367" s="4"/>
      <c r="F1367" s="4"/>
    </row>
    <row r="1368" spans="5:6" x14ac:dyDescent="0.3">
      <c r="E1368" s="4"/>
      <c r="F1368" s="4"/>
    </row>
    <row r="1369" spans="5:6" x14ac:dyDescent="0.3">
      <c r="E1369" s="4"/>
      <c r="F1369" s="4"/>
    </row>
    <row r="1370" spans="5:6" x14ac:dyDescent="0.3">
      <c r="E1370" s="4"/>
      <c r="F1370" s="4"/>
    </row>
    <row r="1371" spans="5:6" x14ac:dyDescent="0.3">
      <c r="E1371" s="4"/>
      <c r="F1371" s="4"/>
    </row>
    <row r="1372" spans="5:6" x14ac:dyDescent="0.3">
      <c r="E1372" s="4"/>
      <c r="F1372" s="4"/>
    </row>
    <row r="1373" spans="5:6" x14ac:dyDescent="0.3">
      <c r="E1373" s="4"/>
      <c r="F1373" s="4"/>
    </row>
    <row r="1374" spans="5:6" x14ac:dyDescent="0.3">
      <c r="E1374" s="4"/>
      <c r="F1374" s="4"/>
    </row>
    <row r="1375" spans="5:6" x14ac:dyDescent="0.3">
      <c r="E1375" s="4"/>
      <c r="F1375" s="4"/>
    </row>
    <row r="1376" spans="5:6" x14ac:dyDescent="0.3">
      <c r="E1376" s="4"/>
      <c r="F1376" s="4"/>
    </row>
    <row r="1377" spans="5:6" x14ac:dyDescent="0.3">
      <c r="E1377" s="4"/>
      <c r="F1377" s="4"/>
    </row>
    <row r="1378" spans="5:6" x14ac:dyDescent="0.3">
      <c r="E1378" s="4"/>
      <c r="F1378" s="4"/>
    </row>
    <row r="1379" spans="5:6" x14ac:dyDescent="0.3">
      <c r="E1379" s="4"/>
      <c r="F1379" s="4"/>
    </row>
    <row r="1380" spans="5:6" x14ac:dyDescent="0.3">
      <c r="E1380" s="4"/>
      <c r="F1380" s="4"/>
    </row>
    <row r="1381" spans="5:6" x14ac:dyDescent="0.3">
      <c r="E1381" s="4"/>
      <c r="F1381" s="4"/>
    </row>
    <row r="1382" spans="5:6" x14ac:dyDescent="0.3">
      <c r="E1382" s="4"/>
      <c r="F1382" s="4"/>
    </row>
    <row r="1383" spans="5:6" x14ac:dyDescent="0.3">
      <c r="E1383" s="4"/>
      <c r="F1383" s="4"/>
    </row>
    <row r="1384" spans="5:6" x14ac:dyDescent="0.3">
      <c r="E1384" s="4"/>
      <c r="F1384" s="4"/>
    </row>
    <row r="1385" spans="5:6" x14ac:dyDescent="0.3">
      <c r="E1385" s="4"/>
      <c r="F1385" s="4"/>
    </row>
    <row r="1386" spans="5:6" x14ac:dyDescent="0.3">
      <c r="E1386" s="4"/>
      <c r="F1386" s="4"/>
    </row>
    <row r="1387" spans="5:6" x14ac:dyDescent="0.3">
      <c r="E1387" s="4"/>
      <c r="F1387" s="4"/>
    </row>
    <row r="1388" spans="5:6" x14ac:dyDescent="0.3">
      <c r="E1388" s="4"/>
      <c r="F1388" s="4"/>
    </row>
    <row r="1389" spans="5:6" x14ac:dyDescent="0.3">
      <c r="E1389" s="4"/>
      <c r="F1389" s="4"/>
    </row>
    <row r="1390" spans="5:6" x14ac:dyDescent="0.3">
      <c r="E1390" s="4"/>
      <c r="F1390" s="4"/>
    </row>
    <row r="1391" spans="5:6" x14ac:dyDescent="0.3">
      <c r="E1391" s="4"/>
      <c r="F1391" s="4"/>
    </row>
    <row r="1392" spans="5:6" x14ac:dyDescent="0.3">
      <c r="E1392" s="4"/>
      <c r="F1392" s="4"/>
    </row>
    <row r="1393" spans="5:6" x14ac:dyDescent="0.3">
      <c r="E1393" s="4"/>
      <c r="F1393" s="4"/>
    </row>
    <row r="1394" spans="5:6" x14ac:dyDescent="0.3">
      <c r="E1394" s="4"/>
      <c r="F1394" s="4"/>
    </row>
    <row r="1395" spans="5:6" x14ac:dyDescent="0.3">
      <c r="E1395" s="4"/>
      <c r="F1395" s="4"/>
    </row>
    <row r="1396" spans="5:6" x14ac:dyDescent="0.3">
      <c r="E1396" s="4"/>
      <c r="F1396" s="4"/>
    </row>
    <row r="1397" spans="5:6" x14ac:dyDescent="0.3">
      <c r="E1397" s="4"/>
      <c r="F1397" s="4"/>
    </row>
    <row r="1398" spans="5:6" x14ac:dyDescent="0.3">
      <c r="E1398" s="4"/>
      <c r="F1398" s="4"/>
    </row>
    <row r="1399" spans="5:6" x14ac:dyDescent="0.3">
      <c r="E1399" s="4"/>
      <c r="F1399" s="4"/>
    </row>
    <row r="1400" spans="5:6" x14ac:dyDescent="0.3">
      <c r="E1400" s="4"/>
      <c r="F1400" s="4"/>
    </row>
    <row r="1401" spans="5:6" x14ac:dyDescent="0.3">
      <c r="E1401" s="4"/>
      <c r="F1401" s="4"/>
    </row>
    <row r="1402" spans="5:6" x14ac:dyDescent="0.3">
      <c r="E1402" s="4"/>
      <c r="F1402" s="4"/>
    </row>
    <row r="1403" spans="5:6" x14ac:dyDescent="0.3">
      <c r="E1403" s="4"/>
      <c r="F1403" s="4"/>
    </row>
    <row r="1404" spans="5:6" x14ac:dyDescent="0.3">
      <c r="E1404" s="4"/>
      <c r="F1404" s="4"/>
    </row>
    <row r="1405" spans="5:6" x14ac:dyDescent="0.3">
      <c r="E1405" s="4"/>
      <c r="F1405" s="4"/>
    </row>
    <row r="1406" spans="5:6" x14ac:dyDescent="0.3">
      <c r="E1406" s="4"/>
      <c r="F1406" s="4"/>
    </row>
    <row r="1407" spans="5:6" x14ac:dyDescent="0.3">
      <c r="E1407" s="4"/>
      <c r="F1407" s="4"/>
    </row>
    <row r="1408" spans="5:6" x14ac:dyDescent="0.3">
      <c r="E1408" s="4"/>
      <c r="F1408" s="4"/>
    </row>
    <row r="1409" spans="5:6" x14ac:dyDescent="0.3">
      <c r="E1409" s="4"/>
      <c r="F1409" s="4"/>
    </row>
    <row r="1410" spans="5:6" x14ac:dyDescent="0.3">
      <c r="E1410" s="4"/>
      <c r="F1410" s="4"/>
    </row>
    <row r="1411" spans="5:6" x14ac:dyDescent="0.3">
      <c r="E1411" s="4"/>
      <c r="F1411" s="4"/>
    </row>
    <row r="1412" spans="5:6" x14ac:dyDescent="0.3">
      <c r="E1412" s="4"/>
      <c r="F1412" s="4"/>
    </row>
    <row r="1413" spans="5:6" x14ac:dyDescent="0.3">
      <c r="E1413" s="4"/>
      <c r="F1413" s="4"/>
    </row>
    <row r="1414" spans="5:6" x14ac:dyDescent="0.3">
      <c r="E1414" s="4"/>
      <c r="F1414" s="4"/>
    </row>
    <row r="1415" spans="5:6" x14ac:dyDescent="0.3">
      <c r="E1415" s="4"/>
      <c r="F1415" s="4"/>
    </row>
    <row r="1416" spans="5:6" x14ac:dyDescent="0.3">
      <c r="E1416" s="4"/>
      <c r="F1416" s="4"/>
    </row>
    <row r="1417" spans="5:6" x14ac:dyDescent="0.3">
      <c r="E1417" s="4"/>
      <c r="F1417" s="4"/>
    </row>
    <row r="1418" spans="5:6" x14ac:dyDescent="0.3">
      <c r="E1418" s="4"/>
      <c r="F1418" s="4"/>
    </row>
    <row r="1419" spans="5:6" x14ac:dyDescent="0.3">
      <c r="E1419" s="4"/>
      <c r="F1419" s="4"/>
    </row>
    <row r="1420" spans="5:6" x14ac:dyDescent="0.3">
      <c r="E1420" s="4"/>
      <c r="F1420" s="4"/>
    </row>
    <row r="1421" spans="5:6" x14ac:dyDescent="0.3">
      <c r="E1421" s="4"/>
      <c r="F1421" s="4"/>
    </row>
    <row r="1422" spans="5:6" x14ac:dyDescent="0.3">
      <c r="E1422" s="4"/>
      <c r="F1422" s="4"/>
    </row>
    <row r="1423" spans="5:6" x14ac:dyDescent="0.3">
      <c r="E1423" s="4"/>
      <c r="F1423" s="4"/>
    </row>
    <row r="1424" spans="5:6" x14ac:dyDescent="0.3">
      <c r="E1424" s="4"/>
      <c r="F1424" s="4"/>
    </row>
    <row r="1425" spans="5:6" x14ac:dyDescent="0.3">
      <c r="E1425" s="4"/>
      <c r="F1425" s="4"/>
    </row>
    <row r="1426" spans="5:6" x14ac:dyDescent="0.3">
      <c r="E1426" s="4"/>
      <c r="F1426" s="4"/>
    </row>
    <row r="1427" spans="5:6" x14ac:dyDescent="0.3">
      <c r="E1427" s="4"/>
      <c r="F1427" s="4"/>
    </row>
    <row r="1428" spans="5:6" x14ac:dyDescent="0.3">
      <c r="E1428" s="4"/>
      <c r="F1428" s="4"/>
    </row>
    <row r="1429" spans="5:6" x14ac:dyDescent="0.3">
      <c r="E1429" s="4"/>
      <c r="F1429" s="4"/>
    </row>
    <row r="1430" spans="5:6" x14ac:dyDescent="0.3">
      <c r="E1430" s="4"/>
      <c r="F1430" s="4"/>
    </row>
    <row r="1431" spans="5:6" x14ac:dyDescent="0.3">
      <c r="E1431" s="4"/>
      <c r="F1431" s="4"/>
    </row>
    <row r="1432" spans="5:6" x14ac:dyDescent="0.3">
      <c r="E1432" s="4"/>
      <c r="F1432" s="4"/>
    </row>
    <row r="1433" spans="5:6" x14ac:dyDescent="0.3">
      <c r="E1433" s="4"/>
      <c r="F1433" s="4"/>
    </row>
    <row r="1434" spans="5:6" x14ac:dyDescent="0.3">
      <c r="E1434" s="4"/>
      <c r="F1434" s="4"/>
    </row>
    <row r="1435" spans="5:6" x14ac:dyDescent="0.3">
      <c r="E1435" s="4"/>
      <c r="F1435" s="4"/>
    </row>
    <row r="1436" spans="5:6" x14ac:dyDescent="0.3">
      <c r="E1436" s="4"/>
      <c r="F1436" s="4"/>
    </row>
    <row r="1437" spans="5:6" x14ac:dyDescent="0.3">
      <c r="E1437" s="4"/>
      <c r="F1437" s="4"/>
    </row>
    <row r="1438" spans="5:6" x14ac:dyDescent="0.3">
      <c r="E1438" s="4"/>
      <c r="F1438" s="4"/>
    </row>
    <row r="1439" spans="5:6" x14ac:dyDescent="0.3">
      <c r="E1439" s="4"/>
      <c r="F1439" s="4"/>
    </row>
    <row r="1440" spans="5:6" x14ac:dyDescent="0.3">
      <c r="E1440" s="4"/>
      <c r="F1440" s="4"/>
    </row>
    <row r="1441" spans="5:6" x14ac:dyDescent="0.3">
      <c r="E1441" s="4"/>
      <c r="F1441" s="4"/>
    </row>
    <row r="1442" spans="5:6" x14ac:dyDescent="0.3">
      <c r="E1442" s="4"/>
      <c r="F1442" s="4"/>
    </row>
    <row r="1443" spans="5:6" x14ac:dyDescent="0.3">
      <c r="E1443" s="4"/>
      <c r="F1443" s="4"/>
    </row>
    <row r="1444" spans="5:6" x14ac:dyDescent="0.3">
      <c r="E1444" s="4"/>
      <c r="F1444" s="4"/>
    </row>
    <row r="1445" spans="5:6" x14ac:dyDescent="0.3">
      <c r="E1445" s="4"/>
      <c r="F1445" s="4"/>
    </row>
    <row r="1446" spans="5:6" x14ac:dyDescent="0.3">
      <c r="E1446" s="4"/>
      <c r="F1446" s="4"/>
    </row>
    <row r="1447" spans="5:6" x14ac:dyDescent="0.3">
      <c r="E1447" s="4"/>
      <c r="F1447" s="4"/>
    </row>
    <row r="1448" spans="5:6" x14ac:dyDescent="0.3">
      <c r="E1448" s="4"/>
      <c r="F1448" s="4"/>
    </row>
    <row r="1449" spans="5:6" x14ac:dyDescent="0.3">
      <c r="E1449" s="4"/>
      <c r="F1449" s="4"/>
    </row>
    <row r="1450" spans="5:6" x14ac:dyDescent="0.3">
      <c r="E1450" s="4"/>
      <c r="F1450" s="4"/>
    </row>
    <row r="1451" spans="5:6" x14ac:dyDescent="0.3">
      <c r="E1451" s="4"/>
      <c r="F1451" s="4"/>
    </row>
    <row r="1452" spans="5:6" x14ac:dyDescent="0.3">
      <c r="E1452" s="4"/>
      <c r="F1452" s="4"/>
    </row>
    <row r="1453" spans="5:6" x14ac:dyDescent="0.3">
      <c r="E1453" s="4"/>
      <c r="F1453" s="4"/>
    </row>
    <row r="1454" spans="5:6" x14ac:dyDescent="0.3">
      <c r="E1454" s="4"/>
      <c r="F1454" s="4"/>
    </row>
    <row r="1455" spans="5:6" x14ac:dyDescent="0.3">
      <c r="E1455" s="4"/>
      <c r="F1455" s="4"/>
    </row>
    <row r="1456" spans="5:6" x14ac:dyDescent="0.3">
      <c r="E1456" s="4"/>
      <c r="F1456" s="4"/>
    </row>
    <row r="1457" spans="5:6" x14ac:dyDescent="0.3">
      <c r="E1457" s="4"/>
      <c r="F1457" s="4"/>
    </row>
    <row r="1458" spans="5:6" x14ac:dyDescent="0.3">
      <c r="E1458" s="4"/>
      <c r="F1458" s="4"/>
    </row>
    <row r="1459" spans="5:6" x14ac:dyDescent="0.3">
      <c r="E1459" s="4"/>
      <c r="F1459" s="4"/>
    </row>
    <row r="1460" spans="5:6" x14ac:dyDescent="0.3">
      <c r="E1460" s="4"/>
      <c r="F1460" s="4"/>
    </row>
    <row r="1461" spans="5:6" x14ac:dyDescent="0.3">
      <c r="E1461" s="4"/>
      <c r="F1461" s="4"/>
    </row>
    <row r="1462" spans="5:6" x14ac:dyDescent="0.3">
      <c r="E1462" s="4"/>
      <c r="F1462" s="4"/>
    </row>
    <row r="1463" spans="5:6" x14ac:dyDescent="0.3">
      <c r="E1463" s="4"/>
      <c r="F1463" s="4"/>
    </row>
    <row r="1464" spans="5:6" x14ac:dyDescent="0.3">
      <c r="E1464" s="4"/>
      <c r="F1464" s="4"/>
    </row>
    <row r="1465" spans="5:6" x14ac:dyDescent="0.3">
      <c r="E1465" s="4"/>
      <c r="F1465" s="4"/>
    </row>
    <row r="1466" spans="5:6" x14ac:dyDescent="0.3">
      <c r="E1466" s="4"/>
      <c r="F1466" s="4"/>
    </row>
    <row r="1467" spans="5:6" x14ac:dyDescent="0.3">
      <c r="E1467" s="4"/>
      <c r="F1467" s="4"/>
    </row>
    <row r="1468" spans="5:6" x14ac:dyDescent="0.3">
      <c r="E1468" s="4"/>
      <c r="F1468" s="4"/>
    </row>
    <row r="1469" spans="5:6" x14ac:dyDescent="0.3">
      <c r="E1469" s="4"/>
      <c r="F1469" s="4"/>
    </row>
    <row r="1470" spans="5:6" x14ac:dyDescent="0.3">
      <c r="E1470" s="4"/>
      <c r="F1470" s="4"/>
    </row>
    <row r="1471" spans="5:6" x14ac:dyDescent="0.3">
      <c r="E1471" s="4"/>
      <c r="F1471" s="4"/>
    </row>
    <row r="1472" spans="5:6" x14ac:dyDescent="0.3">
      <c r="E1472" s="4"/>
      <c r="F1472" s="4"/>
    </row>
    <row r="1473" spans="5:6" x14ac:dyDescent="0.3">
      <c r="E1473" s="4"/>
      <c r="F1473" s="4"/>
    </row>
    <row r="1474" spans="5:6" x14ac:dyDescent="0.3">
      <c r="E1474" s="4"/>
      <c r="F1474" s="4"/>
    </row>
    <row r="1475" spans="5:6" x14ac:dyDescent="0.3">
      <c r="E1475" s="4"/>
      <c r="F1475" s="4"/>
    </row>
    <row r="1476" spans="5:6" x14ac:dyDescent="0.3">
      <c r="E1476" s="4"/>
      <c r="F1476" s="4"/>
    </row>
    <row r="1477" spans="5:6" x14ac:dyDescent="0.3">
      <c r="E1477" s="4"/>
      <c r="F1477" s="4"/>
    </row>
    <row r="1478" spans="5:6" x14ac:dyDescent="0.3">
      <c r="E1478" s="4"/>
      <c r="F1478" s="4"/>
    </row>
    <row r="1479" spans="5:6" x14ac:dyDescent="0.3">
      <c r="E1479" s="4"/>
      <c r="F1479" s="4"/>
    </row>
    <row r="1480" spans="5:6" x14ac:dyDescent="0.3">
      <c r="E1480" s="4"/>
      <c r="F1480" s="4"/>
    </row>
    <row r="1481" spans="5:6" x14ac:dyDescent="0.3">
      <c r="E1481" s="4"/>
      <c r="F1481" s="4"/>
    </row>
    <row r="1482" spans="5:6" x14ac:dyDescent="0.3">
      <c r="E1482" s="4"/>
      <c r="F1482" s="4"/>
    </row>
    <row r="1483" spans="5:6" x14ac:dyDescent="0.3">
      <c r="E1483" s="4"/>
      <c r="F1483" s="4"/>
    </row>
    <row r="1484" spans="5:6" x14ac:dyDescent="0.3">
      <c r="E1484" s="4"/>
      <c r="F1484" s="4"/>
    </row>
    <row r="1485" spans="5:6" x14ac:dyDescent="0.3">
      <c r="E1485" s="4"/>
      <c r="F1485" s="4"/>
    </row>
    <row r="1486" spans="5:6" x14ac:dyDescent="0.3">
      <c r="E1486" s="4"/>
      <c r="F1486" s="4"/>
    </row>
    <row r="1487" spans="5:6" x14ac:dyDescent="0.3">
      <c r="E1487" s="4"/>
      <c r="F1487" s="4"/>
    </row>
    <row r="1488" spans="5:6" x14ac:dyDescent="0.3">
      <c r="E1488" s="4"/>
      <c r="F1488" s="4"/>
    </row>
    <row r="1489" spans="5:6" x14ac:dyDescent="0.3">
      <c r="E1489" s="4"/>
      <c r="F1489" s="4"/>
    </row>
    <row r="1490" spans="5:6" x14ac:dyDescent="0.3">
      <c r="E1490" s="4"/>
      <c r="F1490" s="4"/>
    </row>
    <row r="1491" spans="5:6" x14ac:dyDescent="0.3">
      <c r="E1491" s="4"/>
      <c r="F1491" s="4"/>
    </row>
    <row r="1492" spans="5:6" x14ac:dyDescent="0.3">
      <c r="E1492" s="4"/>
      <c r="F1492" s="4"/>
    </row>
    <row r="1493" spans="5:6" x14ac:dyDescent="0.3">
      <c r="E1493" s="4"/>
      <c r="F1493" s="4"/>
    </row>
    <row r="1494" spans="5:6" x14ac:dyDescent="0.3">
      <c r="E1494" s="4"/>
      <c r="F1494" s="4"/>
    </row>
    <row r="1495" spans="5:6" x14ac:dyDescent="0.3">
      <c r="E1495" s="4"/>
      <c r="F1495" s="4"/>
    </row>
    <row r="1496" spans="5:6" x14ac:dyDescent="0.3">
      <c r="E1496" s="4"/>
      <c r="F1496" s="4"/>
    </row>
    <row r="1497" spans="5:6" x14ac:dyDescent="0.3">
      <c r="E1497" s="4"/>
      <c r="F1497" s="4"/>
    </row>
    <row r="1498" spans="5:6" x14ac:dyDescent="0.3">
      <c r="E1498" s="4"/>
      <c r="F1498" s="4"/>
    </row>
    <row r="1499" spans="5:6" x14ac:dyDescent="0.3">
      <c r="E1499" s="4"/>
      <c r="F1499" s="4"/>
    </row>
    <row r="1500" spans="5:6" x14ac:dyDescent="0.3">
      <c r="E1500" s="4"/>
      <c r="F1500" s="4"/>
    </row>
    <row r="1501" spans="5:6" x14ac:dyDescent="0.3">
      <c r="E1501" s="4"/>
      <c r="F1501" s="4"/>
    </row>
    <row r="1502" spans="5:6" x14ac:dyDescent="0.3">
      <c r="E1502" s="4"/>
      <c r="F1502" s="4"/>
    </row>
    <row r="1503" spans="5:6" x14ac:dyDescent="0.3">
      <c r="E1503" s="4"/>
      <c r="F1503" s="4"/>
    </row>
    <row r="1504" spans="5:6" x14ac:dyDescent="0.3">
      <c r="E1504" s="4"/>
      <c r="F1504" s="4"/>
    </row>
    <row r="1505" spans="5:6" x14ac:dyDescent="0.3">
      <c r="E1505" s="4"/>
      <c r="F1505" s="4"/>
    </row>
    <row r="1506" spans="5:6" x14ac:dyDescent="0.3">
      <c r="E1506" s="4"/>
      <c r="F1506" s="4"/>
    </row>
    <row r="1507" spans="5:6" x14ac:dyDescent="0.3">
      <c r="E1507" s="4"/>
      <c r="F1507" s="4"/>
    </row>
    <row r="1508" spans="5:6" x14ac:dyDescent="0.3">
      <c r="E1508" s="4"/>
      <c r="F1508" s="4"/>
    </row>
    <row r="1509" spans="5:6" x14ac:dyDescent="0.3">
      <c r="E1509" s="4"/>
      <c r="F1509" s="4"/>
    </row>
    <row r="1510" spans="5:6" x14ac:dyDescent="0.3">
      <c r="E1510" s="4"/>
      <c r="F1510" s="4"/>
    </row>
    <row r="1511" spans="5:6" x14ac:dyDescent="0.3">
      <c r="E1511" s="4"/>
      <c r="F1511" s="4"/>
    </row>
    <row r="1512" spans="5:6" x14ac:dyDescent="0.3">
      <c r="E1512" s="4"/>
      <c r="F1512" s="4"/>
    </row>
    <row r="1513" spans="5:6" x14ac:dyDescent="0.3">
      <c r="E1513" s="4"/>
      <c r="F1513" s="4"/>
    </row>
    <row r="1514" spans="5:6" x14ac:dyDescent="0.3">
      <c r="E1514" s="4"/>
      <c r="F1514" s="4"/>
    </row>
    <row r="1515" spans="5:6" x14ac:dyDescent="0.3">
      <c r="E1515" s="4"/>
      <c r="F1515" s="4"/>
    </row>
    <row r="1516" spans="5:6" x14ac:dyDescent="0.3">
      <c r="E1516" s="4"/>
      <c r="F1516" s="4"/>
    </row>
    <row r="1517" spans="5:6" x14ac:dyDescent="0.3">
      <c r="E1517" s="4"/>
      <c r="F1517" s="4"/>
    </row>
    <row r="1518" spans="5:6" x14ac:dyDescent="0.3">
      <c r="E1518" s="4"/>
      <c r="F1518" s="4"/>
    </row>
    <row r="1519" spans="5:6" x14ac:dyDescent="0.3">
      <c r="E1519" s="4"/>
      <c r="F1519" s="4"/>
    </row>
    <row r="1520" spans="5:6" x14ac:dyDescent="0.3">
      <c r="E1520" s="4"/>
      <c r="F1520" s="4"/>
    </row>
    <row r="1521" spans="5:6" x14ac:dyDescent="0.3">
      <c r="E1521" s="4"/>
      <c r="F1521" s="4"/>
    </row>
    <row r="1522" spans="5:6" x14ac:dyDescent="0.3">
      <c r="E1522" s="4"/>
      <c r="F1522" s="4"/>
    </row>
    <row r="1523" spans="5:6" x14ac:dyDescent="0.3">
      <c r="E1523" s="4"/>
      <c r="F1523" s="4"/>
    </row>
    <row r="1524" spans="5:6" x14ac:dyDescent="0.3">
      <c r="E1524" s="4"/>
      <c r="F1524" s="4"/>
    </row>
    <row r="1525" spans="5:6" x14ac:dyDescent="0.3">
      <c r="E1525" s="4"/>
      <c r="F1525" s="4"/>
    </row>
    <row r="1526" spans="5:6" x14ac:dyDescent="0.3">
      <c r="E1526" s="4"/>
      <c r="F1526" s="4"/>
    </row>
    <row r="1527" spans="5:6" x14ac:dyDescent="0.3">
      <c r="E1527" s="4"/>
      <c r="F1527" s="4"/>
    </row>
    <row r="1528" spans="5:6" x14ac:dyDescent="0.3">
      <c r="E1528" s="4"/>
      <c r="F1528" s="4"/>
    </row>
    <row r="1529" spans="5:6" x14ac:dyDescent="0.3">
      <c r="E1529" s="4"/>
      <c r="F1529" s="4"/>
    </row>
    <row r="1530" spans="5:6" x14ac:dyDescent="0.3">
      <c r="E1530" s="4"/>
      <c r="F1530" s="4"/>
    </row>
    <row r="1531" spans="5:6" x14ac:dyDescent="0.3">
      <c r="E1531" s="4"/>
      <c r="F1531" s="4"/>
    </row>
    <row r="1532" spans="5:6" x14ac:dyDescent="0.3">
      <c r="E1532" s="4"/>
      <c r="F1532" s="4"/>
    </row>
    <row r="1533" spans="5:6" x14ac:dyDescent="0.3">
      <c r="E1533" s="4"/>
      <c r="F1533" s="4"/>
    </row>
    <row r="1534" spans="5:6" x14ac:dyDescent="0.3">
      <c r="E1534" s="4"/>
      <c r="F1534" s="4"/>
    </row>
    <row r="1535" spans="5:6" x14ac:dyDescent="0.3">
      <c r="E1535" s="4"/>
      <c r="F1535" s="4"/>
    </row>
    <row r="1536" spans="5:6" x14ac:dyDescent="0.3">
      <c r="E1536" s="4"/>
      <c r="F1536" s="4"/>
    </row>
    <row r="1537" spans="5:6" x14ac:dyDescent="0.3">
      <c r="E1537" s="4"/>
      <c r="F1537" s="4"/>
    </row>
    <row r="1538" spans="5:6" x14ac:dyDescent="0.3">
      <c r="E1538" s="4"/>
      <c r="F1538" s="4"/>
    </row>
    <row r="1539" spans="5:6" x14ac:dyDescent="0.3">
      <c r="E1539" s="4"/>
      <c r="F1539" s="4"/>
    </row>
    <row r="1540" spans="5:6" x14ac:dyDescent="0.3">
      <c r="E1540" s="4"/>
      <c r="F1540" s="4"/>
    </row>
    <row r="1541" spans="5:6" x14ac:dyDescent="0.3">
      <c r="E1541" s="4"/>
      <c r="F1541" s="4"/>
    </row>
    <row r="1542" spans="5:6" x14ac:dyDescent="0.3">
      <c r="E1542" s="4"/>
      <c r="F1542" s="4"/>
    </row>
    <row r="1543" spans="5:6" x14ac:dyDescent="0.3">
      <c r="E1543" s="4"/>
      <c r="F1543" s="4"/>
    </row>
    <row r="1544" spans="5:6" x14ac:dyDescent="0.3">
      <c r="E1544" s="4"/>
      <c r="F1544" s="4"/>
    </row>
    <row r="1545" spans="5:6" x14ac:dyDescent="0.3">
      <c r="E1545" s="4"/>
      <c r="F1545" s="4"/>
    </row>
    <row r="1546" spans="5:6" x14ac:dyDescent="0.3">
      <c r="E1546" s="4"/>
      <c r="F1546" s="4"/>
    </row>
    <row r="1547" spans="5:6" x14ac:dyDescent="0.3">
      <c r="E1547" s="4"/>
      <c r="F1547" s="4"/>
    </row>
    <row r="1548" spans="5:6" x14ac:dyDescent="0.3">
      <c r="E1548" s="4"/>
      <c r="F1548" s="4"/>
    </row>
    <row r="1549" spans="5:6" x14ac:dyDescent="0.3">
      <c r="E1549" s="4"/>
      <c r="F1549" s="4"/>
    </row>
    <row r="1550" spans="5:6" x14ac:dyDescent="0.3">
      <c r="E1550" s="4"/>
      <c r="F1550" s="4"/>
    </row>
    <row r="1551" spans="5:6" x14ac:dyDescent="0.3">
      <c r="E1551" s="4"/>
      <c r="F1551" s="4"/>
    </row>
    <row r="1552" spans="5:6" x14ac:dyDescent="0.3">
      <c r="E1552" s="4"/>
      <c r="F1552" s="4"/>
    </row>
    <row r="1553" spans="5:6" x14ac:dyDescent="0.3">
      <c r="E1553" s="4"/>
      <c r="F1553" s="4"/>
    </row>
    <row r="1554" spans="5:6" x14ac:dyDescent="0.3">
      <c r="E1554" s="4"/>
      <c r="F1554" s="4"/>
    </row>
    <row r="1555" spans="5:6" x14ac:dyDescent="0.3">
      <c r="E1555" s="4"/>
      <c r="F1555" s="4"/>
    </row>
    <row r="1556" spans="5:6" x14ac:dyDescent="0.3">
      <c r="E1556" s="4"/>
      <c r="F1556" s="4"/>
    </row>
    <row r="1557" spans="5:6" x14ac:dyDescent="0.3">
      <c r="E1557" s="4"/>
      <c r="F1557" s="4"/>
    </row>
    <row r="1558" spans="5:6" x14ac:dyDescent="0.3">
      <c r="E1558" s="4"/>
      <c r="F1558" s="4"/>
    </row>
    <row r="1559" spans="5:6" x14ac:dyDescent="0.3">
      <c r="E1559" s="4"/>
      <c r="F1559" s="4"/>
    </row>
    <row r="1560" spans="5:6" x14ac:dyDescent="0.3">
      <c r="E1560" s="4"/>
      <c r="F1560" s="4"/>
    </row>
    <row r="1561" spans="5:6" x14ac:dyDescent="0.3">
      <c r="E1561" s="4"/>
      <c r="F1561" s="4"/>
    </row>
    <row r="1562" spans="5:6" x14ac:dyDescent="0.3">
      <c r="E1562" s="4"/>
      <c r="F1562" s="4"/>
    </row>
    <row r="1563" spans="5:6" x14ac:dyDescent="0.3">
      <c r="E1563" s="4"/>
      <c r="F1563" s="4"/>
    </row>
    <row r="1564" spans="5:6" x14ac:dyDescent="0.3">
      <c r="E1564" s="4"/>
      <c r="F1564" s="4"/>
    </row>
    <row r="1565" spans="5:6" x14ac:dyDescent="0.3">
      <c r="E1565" s="4"/>
      <c r="F1565" s="4"/>
    </row>
    <row r="1566" spans="5:6" x14ac:dyDescent="0.3">
      <c r="E1566" s="4"/>
      <c r="F1566" s="4"/>
    </row>
    <row r="1567" spans="5:6" x14ac:dyDescent="0.3">
      <c r="E1567" s="4"/>
      <c r="F1567" s="4"/>
    </row>
    <row r="1568" spans="5:6" x14ac:dyDescent="0.3">
      <c r="E1568" s="4"/>
      <c r="F1568" s="4"/>
    </row>
    <row r="1569" spans="5:6" x14ac:dyDescent="0.3">
      <c r="E1569" s="4"/>
      <c r="F1569" s="4"/>
    </row>
    <row r="1570" spans="5:6" x14ac:dyDescent="0.3">
      <c r="E1570" s="4"/>
      <c r="F1570" s="4"/>
    </row>
    <row r="1571" spans="5:6" x14ac:dyDescent="0.3">
      <c r="E1571" s="4"/>
      <c r="F1571" s="4"/>
    </row>
    <row r="1572" spans="5:6" x14ac:dyDescent="0.3">
      <c r="E1572" s="4"/>
      <c r="F1572" s="4"/>
    </row>
    <row r="1573" spans="5:6" x14ac:dyDescent="0.3">
      <c r="E1573" s="4"/>
      <c r="F1573" s="4"/>
    </row>
    <row r="1574" spans="5:6" x14ac:dyDescent="0.3">
      <c r="E1574" s="4"/>
      <c r="F1574" s="4"/>
    </row>
    <row r="1575" spans="5:6" x14ac:dyDescent="0.3">
      <c r="E1575" s="4"/>
      <c r="F1575" s="4"/>
    </row>
    <row r="1576" spans="5:6" x14ac:dyDescent="0.3">
      <c r="E1576" s="4"/>
      <c r="F1576" s="4"/>
    </row>
    <row r="1577" spans="5:6" x14ac:dyDescent="0.3">
      <c r="E1577" s="4"/>
      <c r="F1577" s="4"/>
    </row>
    <row r="1578" spans="5:6" x14ac:dyDescent="0.3">
      <c r="E1578" s="4"/>
      <c r="F1578" s="4"/>
    </row>
    <row r="1579" spans="5:6" x14ac:dyDescent="0.3">
      <c r="E1579" s="4"/>
      <c r="F1579" s="4"/>
    </row>
    <row r="1580" spans="5:6" x14ac:dyDescent="0.3">
      <c r="E1580" s="4"/>
      <c r="F1580" s="4"/>
    </row>
    <row r="1581" spans="5:6" x14ac:dyDescent="0.3">
      <c r="E1581" s="4"/>
      <c r="F1581" s="4"/>
    </row>
    <row r="1582" spans="5:6" x14ac:dyDescent="0.3">
      <c r="E1582" s="4"/>
      <c r="F1582" s="4"/>
    </row>
    <row r="1583" spans="5:6" x14ac:dyDescent="0.3">
      <c r="E1583" s="4"/>
      <c r="F1583" s="4"/>
    </row>
    <row r="1584" spans="5:6" x14ac:dyDescent="0.3">
      <c r="E1584" s="4"/>
      <c r="F1584" s="4"/>
    </row>
    <row r="1585" spans="5:6" x14ac:dyDescent="0.3">
      <c r="E1585" s="4"/>
      <c r="F1585" s="4"/>
    </row>
    <row r="1586" spans="5:6" x14ac:dyDescent="0.3">
      <c r="E1586" s="4"/>
      <c r="F1586" s="4"/>
    </row>
    <row r="1587" spans="5:6" x14ac:dyDescent="0.3">
      <c r="E1587" s="4"/>
      <c r="F1587" s="4"/>
    </row>
    <row r="1588" spans="5:6" x14ac:dyDescent="0.3">
      <c r="E1588" s="4"/>
      <c r="F1588" s="4"/>
    </row>
    <row r="1589" spans="5:6" x14ac:dyDescent="0.3">
      <c r="E1589" s="4"/>
      <c r="F1589" s="4"/>
    </row>
    <row r="1590" spans="5:6" x14ac:dyDescent="0.3">
      <c r="E1590" s="4"/>
      <c r="F1590" s="4"/>
    </row>
    <row r="1591" spans="5:6" x14ac:dyDescent="0.3">
      <c r="E1591" s="4"/>
      <c r="F1591" s="4"/>
    </row>
    <row r="1592" spans="5:6" x14ac:dyDescent="0.3">
      <c r="E1592" s="4"/>
      <c r="F1592" s="4"/>
    </row>
    <row r="1593" spans="5:6" x14ac:dyDescent="0.3">
      <c r="E1593" s="4"/>
      <c r="F1593" s="4"/>
    </row>
    <row r="1594" spans="5:6" x14ac:dyDescent="0.3">
      <c r="E1594" s="4"/>
      <c r="F1594" s="4"/>
    </row>
    <row r="1595" spans="5:6" x14ac:dyDescent="0.3">
      <c r="E1595" s="4"/>
      <c r="F1595" s="4"/>
    </row>
    <row r="1596" spans="5:6" x14ac:dyDescent="0.3">
      <c r="E1596" s="4"/>
      <c r="F1596" s="4"/>
    </row>
    <row r="1597" spans="5:6" x14ac:dyDescent="0.3">
      <c r="E1597" s="4"/>
      <c r="F1597" s="4"/>
    </row>
    <row r="1598" spans="5:6" x14ac:dyDescent="0.3">
      <c r="E1598" s="4"/>
      <c r="F1598" s="4"/>
    </row>
    <row r="1599" spans="5:6" x14ac:dyDescent="0.3">
      <c r="E1599" s="4"/>
      <c r="F1599" s="4"/>
    </row>
    <row r="1600" spans="5:6" x14ac:dyDescent="0.3">
      <c r="E1600" s="4"/>
      <c r="F1600" s="4"/>
    </row>
    <row r="1601" spans="5:6" x14ac:dyDescent="0.3">
      <c r="E1601" s="4"/>
      <c r="F1601" s="4"/>
    </row>
    <row r="1602" spans="5:6" x14ac:dyDescent="0.3">
      <c r="E1602" s="4"/>
      <c r="F1602" s="4"/>
    </row>
    <row r="1603" spans="5:6" x14ac:dyDescent="0.3">
      <c r="E1603" s="4"/>
      <c r="F1603" s="4"/>
    </row>
    <row r="1604" spans="5:6" x14ac:dyDescent="0.3">
      <c r="E1604" s="4"/>
      <c r="F1604" s="4"/>
    </row>
    <row r="1605" spans="5:6" x14ac:dyDescent="0.3">
      <c r="E1605" s="4"/>
      <c r="F1605" s="4"/>
    </row>
    <row r="1606" spans="5:6" x14ac:dyDescent="0.3">
      <c r="E1606" s="4"/>
      <c r="F1606" s="4"/>
    </row>
    <row r="1607" spans="5:6" x14ac:dyDescent="0.3">
      <c r="E1607" s="4"/>
      <c r="F1607" s="4"/>
    </row>
    <row r="1608" spans="5:6" x14ac:dyDescent="0.3">
      <c r="E1608" s="4"/>
      <c r="F1608" s="4"/>
    </row>
    <row r="1609" spans="5:6" x14ac:dyDescent="0.3">
      <c r="E1609" s="4"/>
      <c r="F1609" s="4"/>
    </row>
    <row r="1610" spans="5:6" x14ac:dyDescent="0.3">
      <c r="E1610" s="4"/>
      <c r="F1610" s="4"/>
    </row>
    <row r="1611" spans="5:6" x14ac:dyDescent="0.3">
      <c r="E1611" s="4"/>
      <c r="F1611" s="4"/>
    </row>
    <row r="1612" spans="5:6" x14ac:dyDescent="0.3">
      <c r="E1612" s="4"/>
      <c r="F1612" s="4"/>
    </row>
    <row r="1613" spans="5:6" x14ac:dyDescent="0.3">
      <c r="E1613" s="4"/>
      <c r="F1613" s="4"/>
    </row>
    <row r="1614" spans="5:6" x14ac:dyDescent="0.3">
      <c r="E1614" s="4"/>
      <c r="F1614" s="4"/>
    </row>
    <row r="1615" spans="5:6" x14ac:dyDescent="0.3">
      <c r="E1615" s="4"/>
      <c r="F1615" s="4"/>
    </row>
    <row r="1616" spans="5:6" x14ac:dyDescent="0.3">
      <c r="E1616" s="4"/>
      <c r="F1616" s="4"/>
    </row>
    <row r="1617" spans="5:6" x14ac:dyDescent="0.3">
      <c r="E1617" s="4"/>
      <c r="F1617" s="4"/>
    </row>
    <row r="1618" spans="5:6" x14ac:dyDescent="0.3">
      <c r="E1618" s="4"/>
      <c r="F1618" s="4"/>
    </row>
    <row r="1619" spans="5:6" x14ac:dyDescent="0.3">
      <c r="E1619" s="4"/>
      <c r="F1619" s="4"/>
    </row>
    <row r="1620" spans="5:6" x14ac:dyDescent="0.3">
      <c r="E1620" s="4"/>
      <c r="F1620" s="4"/>
    </row>
    <row r="1621" spans="5:6" x14ac:dyDescent="0.3">
      <c r="E1621" s="4"/>
      <c r="F1621" s="4"/>
    </row>
    <row r="1622" spans="5:6" x14ac:dyDescent="0.3">
      <c r="E1622" s="4"/>
      <c r="F1622" s="4"/>
    </row>
    <row r="1623" spans="5:6" x14ac:dyDescent="0.3">
      <c r="E1623" s="4"/>
      <c r="F1623" s="4"/>
    </row>
    <row r="1624" spans="5:6" x14ac:dyDescent="0.3">
      <c r="E1624" s="4"/>
      <c r="F1624" s="4"/>
    </row>
    <row r="1625" spans="5:6" x14ac:dyDescent="0.3">
      <c r="E1625" s="4"/>
      <c r="F1625" s="4"/>
    </row>
    <row r="1626" spans="5:6" x14ac:dyDescent="0.3">
      <c r="E1626" s="4"/>
      <c r="F1626" s="4"/>
    </row>
    <row r="1627" spans="5:6" x14ac:dyDescent="0.3">
      <c r="E1627" s="4"/>
      <c r="F1627" s="4"/>
    </row>
    <row r="1628" spans="5:6" x14ac:dyDescent="0.3">
      <c r="E1628" s="4"/>
      <c r="F1628" s="4"/>
    </row>
    <row r="1629" spans="5:6" x14ac:dyDescent="0.3">
      <c r="E1629" s="4"/>
      <c r="F1629" s="4"/>
    </row>
    <row r="1630" spans="5:6" x14ac:dyDescent="0.3">
      <c r="E1630" s="4"/>
      <c r="F1630" s="4"/>
    </row>
    <row r="1631" spans="5:6" x14ac:dyDescent="0.3">
      <c r="E1631" s="4"/>
      <c r="F1631" s="4"/>
    </row>
    <row r="1632" spans="5:6" x14ac:dyDescent="0.3">
      <c r="E1632" s="4"/>
      <c r="F1632" s="4"/>
    </row>
    <row r="1633" spans="5:6" x14ac:dyDescent="0.3">
      <c r="E1633" s="4"/>
      <c r="F1633" s="4"/>
    </row>
    <row r="1634" spans="5:6" x14ac:dyDescent="0.3">
      <c r="E1634" s="4"/>
      <c r="F1634" s="4"/>
    </row>
    <row r="1635" spans="5:6" x14ac:dyDescent="0.3">
      <c r="E1635" s="4"/>
      <c r="F1635" s="4"/>
    </row>
    <row r="1636" spans="5:6" x14ac:dyDescent="0.3">
      <c r="E1636" s="4"/>
      <c r="F1636" s="4"/>
    </row>
    <row r="1637" spans="5:6" x14ac:dyDescent="0.3">
      <c r="E1637" s="4"/>
      <c r="F1637" s="4"/>
    </row>
    <row r="1638" spans="5:6" x14ac:dyDescent="0.3">
      <c r="E1638" s="4"/>
      <c r="F1638" s="4"/>
    </row>
    <row r="1639" spans="5:6" x14ac:dyDescent="0.3">
      <c r="E1639" s="4"/>
      <c r="F1639" s="4"/>
    </row>
    <row r="1640" spans="5:6" x14ac:dyDescent="0.3">
      <c r="E1640" s="4"/>
      <c r="F1640" s="4"/>
    </row>
    <row r="1641" spans="5:6" x14ac:dyDescent="0.3">
      <c r="E1641" s="4"/>
      <c r="F1641" s="4"/>
    </row>
    <row r="1642" spans="5:6" x14ac:dyDescent="0.3">
      <c r="E1642" s="4"/>
      <c r="F1642" s="4"/>
    </row>
    <row r="1643" spans="5:6" x14ac:dyDescent="0.3">
      <c r="E1643" s="4"/>
      <c r="F1643" s="4"/>
    </row>
    <row r="1644" spans="5:6" x14ac:dyDescent="0.3">
      <c r="E1644" s="4"/>
      <c r="F1644" s="4"/>
    </row>
    <row r="1645" spans="5:6" x14ac:dyDescent="0.3">
      <c r="E1645" s="4"/>
      <c r="F1645" s="4"/>
    </row>
    <row r="1646" spans="5:6" x14ac:dyDescent="0.3">
      <c r="E1646" s="4"/>
      <c r="F1646" s="4"/>
    </row>
    <row r="1647" spans="5:6" x14ac:dyDescent="0.3">
      <c r="E1647" s="4"/>
      <c r="F1647" s="4"/>
    </row>
    <row r="1648" spans="5:6" x14ac:dyDescent="0.3">
      <c r="E1648" s="4"/>
      <c r="F1648" s="4"/>
    </row>
    <row r="1649" spans="5:6" x14ac:dyDescent="0.3">
      <c r="E1649" s="4"/>
      <c r="F1649" s="4"/>
    </row>
    <row r="1650" spans="5:6" x14ac:dyDescent="0.3">
      <c r="E1650" s="4"/>
      <c r="F1650" s="4"/>
    </row>
    <row r="1651" spans="5:6" x14ac:dyDescent="0.3">
      <c r="E1651" s="4"/>
      <c r="F1651" s="4"/>
    </row>
    <row r="1652" spans="5:6" x14ac:dyDescent="0.3">
      <c r="E1652" s="4"/>
      <c r="F1652" s="4"/>
    </row>
    <row r="1653" spans="5:6" x14ac:dyDescent="0.3">
      <c r="E1653" s="4"/>
      <c r="F1653" s="4"/>
    </row>
    <row r="1654" spans="5:6" x14ac:dyDescent="0.3">
      <c r="E1654" s="4"/>
      <c r="F1654" s="4"/>
    </row>
    <row r="1655" spans="5:6" x14ac:dyDescent="0.3">
      <c r="E1655" s="4"/>
      <c r="F1655" s="4"/>
    </row>
    <row r="1656" spans="5:6" x14ac:dyDescent="0.3">
      <c r="E1656" s="4"/>
      <c r="F1656" s="4"/>
    </row>
    <row r="1657" spans="5:6" x14ac:dyDescent="0.3">
      <c r="E1657" s="4"/>
      <c r="F1657" s="4"/>
    </row>
    <row r="1658" spans="5:6" x14ac:dyDescent="0.3">
      <c r="E1658" s="4"/>
      <c r="F1658" s="4"/>
    </row>
    <row r="1659" spans="5:6" x14ac:dyDescent="0.3">
      <c r="E1659" s="4"/>
      <c r="F1659" s="4"/>
    </row>
    <row r="1660" spans="5:6" x14ac:dyDescent="0.3">
      <c r="E1660" s="4"/>
      <c r="F1660" s="4"/>
    </row>
    <row r="1661" spans="5:6" x14ac:dyDescent="0.3">
      <c r="E1661" s="4"/>
      <c r="F1661" s="4"/>
    </row>
    <row r="1662" spans="5:6" x14ac:dyDescent="0.3">
      <c r="E1662" s="4"/>
      <c r="F1662" s="4"/>
    </row>
    <row r="1663" spans="5:6" x14ac:dyDescent="0.3">
      <c r="E1663" s="4"/>
      <c r="F1663" s="4"/>
    </row>
    <row r="1664" spans="5:6" x14ac:dyDescent="0.3">
      <c r="E1664" s="4"/>
      <c r="F1664" s="4"/>
    </row>
    <row r="1665" spans="5:6" x14ac:dyDescent="0.3">
      <c r="E1665" s="4"/>
      <c r="F1665" s="4"/>
    </row>
    <row r="1666" spans="5:6" x14ac:dyDescent="0.3">
      <c r="E1666" s="4"/>
      <c r="F1666" s="4"/>
    </row>
    <row r="1667" spans="5:6" x14ac:dyDescent="0.3">
      <c r="E1667" s="4"/>
      <c r="F1667" s="4"/>
    </row>
    <row r="1668" spans="5:6" x14ac:dyDescent="0.3">
      <c r="E1668" s="4"/>
      <c r="F1668" s="4"/>
    </row>
    <row r="1669" spans="5:6" x14ac:dyDescent="0.3">
      <c r="E1669" s="4"/>
      <c r="F1669" s="4"/>
    </row>
    <row r="1670" spans="5:6" x14ac:dyDescent="0.3">
      <c r="E1670" s="4"/>
      <c r="F1670" s="4"/>
    </row>
    <row r="1671" spans="5:6" x14ac:dyDescent="0.3">
      <c r="E1671" s="4"/>
      <c r="F1671" s="4"/>
    </row>
    <row r="1672" spans="5:6" x14ac:dyDescent="0.3">
      <c r="E1672" s="4"/>
      <c r="F1672" s="4"/>
    </row>
    <row r="1673" spans="5:6" x14ac:dyDescent="0.3">
      <c r="E1673" s="4"/>
      <c r="F1673" s="4"/>
    </row>
    <row r="1674" spans="5:6" x14ac:dyDescent="0.3">
      <c r="E1674" s="4"/>
      <c r="F1674" s="4"/>
    </row>
    <row r="1675" spans="5:6" x14ac:dyDescent="0.3">
      <c r="E1675" s="4"/>
      <c r="F1675" s="4"/>
    </row>
    <row r="1676" spans="5:6" x14ac:dyDescent="0.3">
      <c r="E1676" s="4"/>
      <c r="F1676" s="4"/>
    </row>
    <row r="1677" spans="5:6" x14ac:dyDescent="0.3">
      <c r="E1677" s="4"/>
      <c r="F1677" s="4"/>
    </row>
    <row r="1678" spans="5:6" x14ac:dyDescent="0.3">
      <c r="E1678" s="4"/>
      <c r="F1678" s="4"/>
    </row>
    <row r="1679" spans="5:6" x14ac:dyDescent="0.3">
      <c r="E1679" s="4"/>
      <c r="F1679" s="4"/>
    </row>
    <row r="1680" spans="5:6" x14ac:dyDescent="0.3">
      <c r="E1680" s="4"/>
      <c r="F1680" s="4"/>
    </row>
    <row r="1681" spans="5:6" x14ac:dyDescent="0.3">
      <c r="E1681" s="4"/>
      <c r="F1681" s="4"/>
    </row>
    <row r="1682" spans="5:6" x14ac:dyDescent="0.3">
      <c r="E1682" s="4"/>
      <c r="F1682" s="4"/>
    </row>
    <row r="1683" spans="5:6" x14ac:dyDescent="0.3">
      <c r="E1683" s="4"/>
      <c r="F1683" s="4"/>
    </row>
    <row r="1684" spans="5:6" x14ac:dyDescent="0.3">
      <c r="E1684" s="4"/>
      <c r="F1684" s="4"/>
    </row>
    <row r="1685" spans="5:6" x14ac:dyDescent="0.3">
      <c r="E1685" s="4"/>
      <c r="F1685" s="4"/>
    </row>
    <row r="1686" spans="5:6" x14ac:dyDescent="0.3">
      <c r="E1686" s="4"/>
      <c r="F1686" s="4"/>
    </row>
    <row r="1687" spans="5:6" x14ac:dyDescent="0.3">
      <c r="E1687" s="4"/>
      <c r="F1687" s="4"/>
    </row>
    <row r="1688" spans="5:6" x14ac:dyDescent="0.3">
      <c r="E1688" s="4"/>
      <c r="F1688" s="4"/>
    </row>
    <row r="1689" spans="5:6" x14ac:dyDescent="0.3">
      <c r="E1689" s="4"/>
      <c r="F1689" s="4"/>
    </row>
    <row r="1690" spans="5:6" x14ac:dyDescent="0.3">
      <c r="E1690" s="4"/>
      <c r="F1690" s="4"/>
    </row>
    <row r="1691" spans="5:6" x14ac:dyDescent="0.3">
      <c r="E1691" s="4"/>
      <c r="F1691" s="4"/>
    </row>
    <row r="1692" spans="5:6" x14ac:dyDescent="0.3">
      <c r="E1692" s="4"/>
      <c r="F1692" s="4"/>
    </row>
    <row r="1693" spans="5:6" x14ac:dyDescent="0.3">
      <c r="E1693" s="4"/>
      <c r="F1693" s="4"/>
    </row>
    <row r="1694" spans="5:6" x14ac:dyDescent="0.3">
      <c r="E1694" s="4"/>
      <c r="F1694" s="4"/>
    </row>
    <row r="1695" spans="5:6" x14ac:dyDescent="0.3">
      <c r="E1695" s="4"/>
      <c r="F1695" s="4"/>
    </row>
    <row r="1696" spans="5:6" x14ac:dyDescent="0.3">
      <c r="E1696" s="4"/>
      <c r="F1696" s="4"/>
    </row>
    <row r="1697" spans="5:6" x14ac:dyDescent="0.3">
      <c r="E1697" s="4"/>
      <c r="F1697" s="4"/>
    </row>
    <row r="1698" spans="5:6" x14ac:dyDescent="0.3">
      <c r="E1698" s="4"/>
      <c r="F1698" s="4"/>
    </row>
    <row r="1699" spans="5:6" x14ac:dyDescent="0.3">
      <c r="E1699" s="4"/>
      <c r="F1699" s="4"/>
    </row>
    <row r="1700" spans="5:6" x14ac:dyDescent="0.3">
      <c r="E1700" s="4"/>
      <c r="F1700" s="4"/>
    </row>
    <row r="1701" spans="5:6" x14ac:dyDescent="0.3">
      <c r="E1701" s="4"/>
      <c r="F1701" s="4"/>
    </row>
    <row r="1702" spans="5:6" x14ac:dyDescent="0.3">
      <c r="E1702" s="4"/>
      <c r="F1702" s="4"/>
    </row>
    <row r="1703" spans="5:6" x14ac:dyDescent="0.3">
      <c r="E1703" s="4"/>
      <c r="F1703" s="4"/>
    </row>
    <row r="1704" spans="5:6" x14ac:dyDescent="0.3">
      <c r="E1704" s="4"/>
      <c r="F1704" s="4"/>
    </row>
    <row r="1705" spans="5:6" x14ac:dyDescent="0.3">
      <c r="E1705" s="4"/>
      <c r="F1705" s="4"/>
    </row>
    <row r="1706" spans="5:6" x14ac:dyDescent="0.3">
      <c r="E1706" s="4"/>
      <c r="F1706" s="4"/>
    </row>
    <row r="1707" spans="5:6" x14ac:dyDescent="0.3">
      <c r="E1707" s="4"/>
      <c r="F1707" s="4"/>
    </row>
    <row r="1708" spans="5:6" x14ac:dyDescent="0.3">
      <c r="E1708" s="4"/>
      <c r="F1708" s="4"/>
    </row>
    <row r="1709" spans="5:6" x14ac:dyDescent="0.3">
      <c r="E1709" s="4"/>
      <c r="F1709" s="4"/>
    </row>
    <row r="1710" spans="5:6" x14ac:dyDescent="0.3">
      <c r="E1710" s="4"/>
      <c r="F1710" s="4"/>
    </row>
    <row r="1711" spans="5:6" x14ac:dyDescent="0.3">
      <c r="E1711" s="4"/>
      <c r="F1711" s="4"/>
    </row>
    <row r="1712" spans="5:6" x14ac:dyDescent="0.3">
      <c r="E1712" s="4"/>
      <c r="F1712" s="4"/>
    </row>
    <row r="1713" spans="5:6" x14ac:dyDescent="0.3">
      <c r="E1713" s="4"/>
      <c r="F1713" s="4"/>
    </row>
    <row r="1714" spans="5:6" x14ac:dyDescent="0.3">
      <c r="E1714" s="4"/>
      <c r="F1714" s="4"/>
    </row>
    <row r="1715" spans="5:6" x14ac:dyDescent="0.3">
      <c r="E1715" s="4"/>
      <c r="F1715" s="4"/>
    </row>
    <row r="1716" spans="5:6" x14ac:dyDescent="0.3">
      <c r="E1716" s="4"/>
      <c r="F1716" s="4"/>
    </row>
    <row r="1717" spans="5:6" x14ac:dyDescent="0.3">
      <c r="E1717" s="4"/>
      <c r="F1717" s="4"/>
    </row>
    <row r="1718" spans="5:6" x14ac:dyDescent="0.3">
      <c r="E1718" s="4"/>
      <c r="F1718" s="4"/>
    </row>
    <row r="1719" spans="5:6" x14ac:dyDescent="0.3">
      <c r="E1719" s="4"/>
      <c r="F1719" s="4"/>
    </row>
    <row r="1720" spans="5:6" x14ac:dyDescent="0.3">
      <c r="E1720" s="4"/>
      <c r="F1720" s="4"/>
    </row>
    <row r="1721" spans="5:6" x14ac:dyDescent="0.3">
      <c r="E1721" s="4"/>
      <c r="F1721" s="4"/>
    </row>
    <row r="1722" spans="5:6" x14ac:dyDescent="0.3">
      <c r="E1722" s="4"/>
      <c r="F1722" s="4"/>
    </row>
    <row r="1723" spans="5:6" x14ac:dyDescent="0.3">
      <c r="E1723" s="4"/>
      <c r="F1723" s="4"/>
    </row>
    <row r="1724" spans="5:6" x14ac:dyDescent="0.3">
      <c r="E1724" s="4"/>
      <c r="F1724" s="4"/>
    </row>
    <row r="1725" spans="5:6" x14ac:dyDescent="0.3">
      <c r="E1725" s="4"/>
      <c r="F1725" s="4"/>
    </row>
    <row r="1726" spans="5:6" x14ac:dyDescent="0.3">
      <c r="E1726" s="4"/>
      <c r="F1726" s="4"/>
    </row>
    <row r="1727" spans="5:6" x14ac:dyDescent="0.3">
      <c r="E1727" s="4"/>
      <c r="F1727" s="4"/>
    </row>
    <row r="1728" spans="5:6" x14ac:dyDescent="0.3">
      <c r="E1728" s="4"/>
      <c r="F1728" s="4"/>
    </row>
    <row r="1729" spans="5:6" x14ac:dyDescent="0.3">
      <c r="E1729" s="4"/>
      <c r="F1729" s="4"/>
    </row>
    <row r="1730" spans="5:6" x14ac:dyDescent="0.3">
      <c r="E1730" s="4"/>
      <c r="F1730" s="4"/>
    </row>
    <row r="1731" spans="5:6" x14ac:dyDescent="0.3">
      <c r="E1731" s="4"/>
      <c r="F1731" s="4"/>
    </row>
    <row r="1732" spans="5:6" x14ac:dyDescent="0.3">
      <c r="E1732" s="4"/>
      <c r="F1732" s="4"/>
    </row>
    <row r="1733" spans="5:6" x14ac:dyDescent="0.3">
      <c r="E1733" s="4"/>
      <c r="F1733" s="4"/>
    </row>
    <row r="1734" spans="5:6" x14ac:dyDescent="0.3">
      <c r="E1734" s="4"/>
      <c r="F1734" s="4"/>
    </row>
    <row r="1735" spans="5:6" x14ac:dyDescent="0.3">
      <c r="E1735" s="4"/>
      <c r="F1735" s="4"/>
    </row>
    <row r="1736" spans="5:6" x14ac:dyDescent="0.3">
      <c r="E1736" s="4"/>
      <c r="F1736" s="4"/>
    </row>
    <row r="1737" spans="5:6" x14ac:dyDescent="0.3">
      <c r="E1737" s="4"/>
      <c r="F1737" s="4"/>
    </row>
    <row r="1738" spans="5:6" x14ac:dyDescent="0.3">
      <c r="E1738" s="4"/>
      <c r="F1738" s="4"/>
    </row>
    <row r="1739" spans="5:6" x14ac:dyDescent="0.3">
      <c r="E1739" s="4"/>
      <c r="F1739" s="4"/>
    </row>
    <row r="1740" spans="5:6" x14ac:dyDescent="0.3">
      <c r="E1740" s="4"/>
      <c r="F1740" s="4"/>
    </row>
    <row r="1741" spans="5:6" x14ac:dyDescent="0.3">
      <c r="E1741" s="4"/>
      <c r="F1741" s="4"/>
    </row>
    <row r="1742" spans="5:6" x14ac:dyDescent="0.3">
      <c r="E1742" s="4"/>
      <c r="F1742" s="4"/>
    </row>
    <row r="1743" spans="5:6" x14ac:dyDescent="0.3">
      <c r="E1743" s="4"/>
      <c r="F1743" s="4"/>
    </row>
    <row r="1744" spans="5:6" x14ac:dyDescent="0.3">
      <c r="E1744" s="4"/>
      <c r="F1744" s="4"/>
    </row>
    <row r="1745" spans="5:6" x14ac:dyDescent="0.3">
      <c r="E1745" s="4"/>
      <c r="F1745" s="4"/>
    </row>
    <row r="1746" spans="5:6" x14ac:dyDescent="0.3">
      <c r="E1746" s="4"/>
      <c r="F1746" s="4"/>
    </row>
    <row r="1747" spans="5:6" x14ac:dyDescent="0.3">
      <c r="E1747" s="4"/>
      <c r="F1747" s="4"/>
    </row>
    <row r="1748" spans="5:6" x14ac:dyDescent="0.3">
      <c r="E1748" s="4"/>
      <c r="F1748" s="4"/>
    </row>
    <row r="1749" spans="5:6" x14ac:dyDescent="0.3">
      <c r="E1749" s="4"/>
      <c r="F1749" s="4"/>
    </row>
    <row r="1750" spans="5:6" x14ac:dyDescent="0.3">
      <c r="E1750" s="4"/>
      <c r="F1750" s="4"/>
    </row>
    <row r="1751" spans="5:6" x14ac:dyDescent="0.3">
      <c r="E1751" s="4"/>
      <c r="F1751" s="4"/>
    </row>
    <row r="1752" spans="5:6" x14ac:dyDescent="0.3">
      <c r="E1752" s="4"/>
      <c r="F1752" s="4"/>
    </row>
    <row r="1753" spans="5:6" x14ac:dyDescent="0.3">
      <c r="E1753" s="4"/>
      <c r="F1753" s="4"/>
    </row>
    <row r="1754" spans="5:6" x14ac:dyDescent="0.3">
      <c r="E1754" s="4"/>
      <c r="F1754" s="4"/>
    </row>
    <row r="1755" spans="5:6" x14ac:dyDescent="0.3">
      <c r="E1755" s="4"/>
      <c r="F1755" s="4"/>
    </row>
    <row r="1756" spans="5:6" x14ac:dyDescent="0.3">
      <c r="E1756" s="4"/>
      <c r="F1756" s="4"/>
    </row>
    <row r="1757" spans="5:6" x14ac:dyDescent="0.3">
      <c r="E1757" s="4"/>
      <c r="F1757" s="4"/>
    </row>
    <row r="1758" spans="5:6" x14ac:dyDescent="0.3">
      <c r="E1758" s="4"/>
      <c r="F1758" s="4"/>
    </row>
    <row r="1759" spans="5:6" x14ac:dyDescent="0.3">
      <c r="E1759" s="4"/>
      <c r="F1759" s="4"/>
    </row>
    <row r="1760" spans="5:6" x14ac:dyDescent="0.3">
      <c r="E1760" s="4"/>
      <c r="F1760" s="4"/>
    </row>
    <row r="1761" spans="5:6" x14ac:dyDescent="0.3">
      <c r="E1761" s="4"/>
      <c r="F1761" s="4"/>
    </row>
    <row r="1762" spans="5:6" x14ac:dyDescent="0.3">
      <c r="E1762" s="4"/>
      <c r="F1762" s="4"/>
    </row>
    <row r="1763" spans="5:6" x14ac:dyDescent="0.3">
      <c r="E1763" s="4"/>
      <c r="F1763" s="4"/>
    </row>
    <row r="1764" spans="5:6" x14ac:dyDescent="0.3">
      <c r="E1764" s="4"/>
      <c r="F1764" s="4"/>
    </row>
    <row r="1765" spans="5:6" x14ac:dyDescent="0.3">
      <c r="E1765" s="4"/>
      <c r="F1765" s="4"/>
    </row>
    <row r="1766" spans="5:6" x14ac:dyDescent="0.3">
      <c r="E1766" s="4"/>
      <c r="F1766" s="4"/>
    </row>
    <row r="1767" spans="5:6" x14ac:dyDescent="0.3">
      <c r="E1767" s="4"/>
      <c r="F1767" s="4"/>
    </row>
    <row r="1768" spans="5:6" x14ac:dyDescent="0.3">
      <c r="E1768" s="4"/>
      <c r="F1768" s="4"/>
    </row>
    <row r="1769" spans="5:6" x14ac:dyDescent="0.3">
      <c r="E1769" s="4"/>
      <c r="F1769" s="4"/>
    </row>
    <row r="1770" spans="5:6" x14ac:dyDescent="0.3">
      <c r="E1770" s="4"/>
      <c r="F1770" s="4"/>
    </row>
    <row r="1771" spans="5:6" x14ac:dyDescent="0.3">
      <c r="E1771" s="4"/>
      <c r="F1771" s="4"/>
    </row>
    <row r="1772" spans="5:6" x14ac:dyDescent="0.3">
      <c r="E1772" s="4"/>
      <c r="F1772" s="4"/>
    </row>
    <row r="1773" spans="5:6" x14ac:dyDescent="0.3">
      <c r="E1773" s="4"/>
      <c r="F1773" s="4"/>
    </row>
    <row r="1774" spans="5:6" x14ac:dyDescent="0.3">
      <c r="E1774" s="4"/>
      <c r="F1774" s="4"/>
    </row>
    <row r="1775" spans="5:6" x14ac:dyDescent="0.3">
      <c r="E1775" s="4"/>
      <c r="F1775" s="4"/>
    </row>
    <row r="1776" spans="5:6" x14ac:dyDescent="0.3">
      <c r="E1776" s="4"/>
      <c r="F1776" s="4"/>
    </row>
    <row r="1777" spans="5:6" x14ac:dyDescent="0.3">
      <c r="E1777" s="4"/>
      <c r="F1777" s="4"/>
    </row>
    <row r="1778" spans="5:6" x14ac:dyDescent="0.3">
      <c r="E1778" s="4"/>
      <c r="F1778" s="4"/>
    </row>
    <row r="1779" spans="5:6" x14ac:dyDescent="0.3">
      <c r="E1779" s="4"/>
      <c r="F1779" s="4"/>
    </row>
    <row r="1780" spans="5:6" x14ac:dyDescent="0.3">
      <c r="E1780" s="4"/>
      <c r="F1780" s="4"/>
    </row>
    <row r="1781" spans="5:6" x14ac:dyDescent="0.3">
      <c r="E1781" s="4"/>
      <c r="F1781" s="4"/>
    </row>
    <row r="1782" spans="5:6" x14ac:dyDescent="0.3">
      <c r="E1782" s="4"/>
      <c r="F1782" s="4"/>
    </row>
    <row r="1783" spans="5:6" x14ac:dyDescent="0.3">
      <c r="E1783" s="4"/>
      <c r="F1783" s="4"/>
    </row>
    <row r="1784" spans="5:6" x14ac:dyDescent="0.3">
      <c r="E1784" s="4"/>
      <c r="F1784" s="4"/>
    </row>
    <row r="1785" spans="5:6" x14ac:dyDescent="0.3">
      <c r="E1785" s="4"/>
      <c r="F1785" s="4"/>
    </row>
    <row r="1786" spans="5:6" x14ac:dyDescent="0.3">
      <c r="E1786" s="4"/>
      <c r="F1786" s="4"/>
    </row>
    <row r="1787" spans="5:6" x14ac:dyDescent="0.3">
      <c r="E1787" s="4"/>
      <c r="F1787" s="4"/>
    </row>
    <row r="1788" spans="5:6" x14ac:dyDescent="0.3">
      <c r="E1788" s="4"/>
      <c r="F1788" s="4"/>
    </row>
    <row r="1789" spans="5:6" x14ac:dyDescent="0.3">
      <c r="E1789" s="4"/>
      <c r="F1789" s="4"/>
    </row>
    <row r="1790" spans="5:6" x14ac:dyDescent="0.3">
      <c r="E1790" s="4"/>
      <c r="F1790" s="4"/>
    </row>
    <row r="1791" spans="5:6" x14ac:dyDescent="0.3">
      <c r="E1791" s="4"/>
      <c r="F1791" s="4"/>
    </row>
    <row r="1792" spans="5:6" x14ac:dyDescent="0.3">
      <c r="E1792" s="4"/>
      <c r="F1792" s="4"/>
    </row>
    <row r="1793" spans="5:6" x14ac:dyDescent="0.3">
      <c r="E1793" s="4"/>
      <c r="F1793" s="4"/>
    </row>
    <row r="1794" spans="5:6" x14ac:dyDescent="0.3">
      <c r="E1794" s="4"/>
      <c r="F1794" s="4"/>
    </row>
    <row r="1795" spans="5:6" x14ac:dyDescent="0.3">
      <c r="E1795" s="4"/>
      <c r="F1795" s="4"/>
    </row>
    <row r="1796" spans="5:6" x14ac:dyDescent="0.3">
      <c r="E1796" s="4"/>
      <c r="F1796" s="4"/>
    </row>
    <row r="1797" spans="5:6" x14ac:dyDescent="0.3">
      <c r="E1797" s="4"/>
      <c r="F1797" s="4"/>
    </row>
    <row r="1798" spans="5:6" x14ac:dyDescent="0.3">
      <c r="E1798" s="4"/>
      <c r="F1798" s="4"/>
    </row>
    <row r="1799" spans="5:6" x14ac:dyDescent="0.3">
      <c r="E1799" s="4"/>
      <c r="F1799" s="4"/>
    </row>
    <row r="1800" spans="5:6" x14ac:dyDescent="0.3">
      <c r="E1800" s="4"/>
      <c r="F1800" s="4"/>
    </row>
    <row r="1801" spans="5:6" x14ac:dyDescent="0.3">
      <c r="E1801" s="4"/>
      <c r="F1801" s="4"/>
    </row>
    <row r="1802" spans="5:6" x14ac:dyDescent="0.3">
      <c r="E1802" s="4"/>
      <c r="F1802" s="4"/>
    </row>
    <row r="1803" spans="5:6" x14ac:dyDescent="0.3">
      <c r="E1803" s="4"/>
      <c r="F1803" s="4"/>
    </row>
    <row r="1804" spans="5:6" x14ac:dyDescent="0.3">
      <c r="E1804" s="4"/>
      <c r="F1804" s="4"/>
    </row>
    <row r="1805" spans="5:6" x14ac:dyDescent="0.3">
      <c r="E1805" s="4"/>
      <c r="F1805" s="4"/>
    </row>
    <row r="1806" spans="5:6" x14ac:dyDescent="0.3">
      <c r="E1806" s="4"/>
      <c r="F1806" s="4"/>
    </row>
    <row r="1807" spans="5:6" x14ac:dyDescent="0.3">
      <c r="E1807" s="4"/>
      <c r="F1807" s="4"/>
    </row>
    <row r="1808" spans="5:6" x14ac:dyDescent="0.3">
      <c r="E1808" s="4"/>
      <c r="F1808" s="4"/>
    </row>
    <row r="1809" spans="5:6" x14ac:dyDescent="0.3">
      <c r="E1809" s="4"/>
      <c r="F1809" s="4"/>
    </row>
    <row r="1810" spans="5:6" x14ac:dyDescent="0.3">
      <c r="E1810" s="4"/>
      <c r="F1810" s="4"/>
    </row>
    <row r="1811" spans="5:6" x14ac:dyDescent="0.3">
      <c r="E1811" s="4"/>
      <c r="F1811" s="4"/>
    </row>
    <row r="1812" spans="5:6" x14ac:dyDescent="0.3">
      <c r="E1812" s="4"/>
      <c r="F1812" s="4"/>
    </row>
    <row r="1813" spans="5:6" x14ac:dyDescent="0.3">
      <c r="E1813" s="4"/>
      <c r="F1813" s="4"/>
    </row>
    <row r="1814" spans="5:6" x14ac:dyDescent="0.3">
      <c r="E1814" s="4"/>
      <c r="F1814" s="4"/>
    </row>
    <row r="1815" spans="5:6" x14ac:dyDescent="0.3">
      <c r="E1815" s="4"/>
      <c r="F1815" s="4"/>
    </row>
    <row r="1816" spans="5:6" x14ac:dyDescent="0.3">
      <c r="E1816" s="4"/>
      <c r="F1816" s="4"/>
    </row>
    <row r="1817" spans="5:6" x14ac:dyDescent="0.3">
      <c r="E1817" s="4"/>
      <c r="F1817" s="4"/>
    </row>
    <row r="1818" spans="5:6" x14ac:dyDescent="0.3">
      <c r="E1818" s="4"/>
      <c r="F1818" s="4"/>
    </row>
    <row r="1819" spans="5:6" x14ac:dyDescent="0.3">
      <c r="E1819" s="4"/>
      <c r="F1819" s="4"/>
    </row>
    <row r="1820" spans="5:6" x14ac:dyDescent="0.3">
      <c r="E1820" s="4"/>
      <c r="F1820" s="4"/>
    </row>
    <row r="1821" spans="5:6" x14ac:dyDescent="0.3">
      <c r="E1821" s="4"/>
      <c r="F1821" s="4"/>
    </row>
    <row r="1822" spans="5:6" x14ac:dyDescent="0.3">
      <c r="E1822" s="4"/>
      <c r="F1822" s="4"/>
    </row>
    <row r="1823" spans="5:6" x14ac:dyDescent="0.3">
      <c r="E1823" s="4"/>
      <c r="F1823" s="4"/>
    </row>
    <row r="1824" spans="5:6" x14ac:dyDescent="0.3">
      <c r="E1824" s="4"/>
      <c r="F1824" s="4"/>
    </row>
    <row r="1825" spans="5:6" x14ac:dyDescent="0.3">
      <c r="E1825" s="4"/>
      <c r="F1825" s="4"/>
    </row>
    <row r="1826" spans="5:6" x14ac:dyDescent="0.3">
      <c r="E1826" s="4"/>
      <c r="F1826" s="4"/>
    </row>
    <row r="1827" spans="5:6" x14ac:dyDescent="0.3">
      <c r="E1827" s="4"/>
      <c r="F1827" s="4"/>
    </row>
    <row r="1828" spans="5:6" x14ac:dyDescent="0.3">
      <c r="E1828" s="4"/>
      <c r="F1828" s="4"/>
    </row>
    <row r="1829" spans="5:6" x14ac:dyDescent="0.3">
      <c r="E1829" s="4"/>
      <c r="F1829" s="4"/>
    </row>
    <row r="1830" spans="5:6" x14ac:dyDescent="0.3">
      <c r="E1830" s="4"/>
      <c r="F1830" s="4"/>
    </row>
    <row r="1831" spans="5:6" x14ac:dyDescent="0.3">
      <c r="E1831" s="4"/>
      <c r="F1831" s="4"/>
    </row>
    <row r="1832" spans="5:6" x14ac:dyDescent="0.3">
      <c r="E1832" s="4"/>
      <c r="F1832" s="4"/>
    </row>
    <row r="1833" spans="5:6" x14ac:dyDescent="0.3">
      <c r="E1833" s="4"/>
      <c r="F1833" s="4"/>
    </row>
    <row r="1834" spans="5:6" x14ac:dyDescent="0.3">
      <c r="E1834" s="4"/>
      <c r="F1834" s="4"/>
    </row>
    <row r="1835" spans="5:6" x14ac:dyDescent="0.3">
      <c r="E1835" s="4"/>
      <c r="F1835" s="4"/>
    </row>
    <row r="1836" spans="5:6" x14ac:dyDescent="0.3">
      <c r="E1836" s="4"/>
      <c r="F1836" s="4"/>
    </row>
    <row r="1837" spans="5:6" x14ac:dyDescent="0.3">
      <c r="E1837" s="4"/>
      <c r="F1837" s="4"/>
    </row>
    <row r="1838" spans="5:6" x14ac:dyDescent="0.3">
      <c r="E1838" s="4"/>
      <c r="F1838" s="4"/>
    </row>
    <row r="1839" spans="5:6" x14ac:dyDescent="0.3">
      <c r="E1839" s="4"/>
      <c r="F1839" s="4"/>
    </row>
    <row r="1840" spans="5:6" x14ac:dyDescent="0.3">
      <c r="E1840" s="4"/>
      <c r="F1840" s="4"/>
    </row>
    <row r="1841" spans="5:6" x14ac:dyDescent="0.3">
      <c r="E1841" s="4"/>
      <c r="F1841" s="4"/>
    </row>
    <row r="1842" spans="5:6" x14ac:dyDescent="0.3">
      <c r="E1842" s="4"/>
      <c r="F1842" s="4"/>
    </row>
    <row r="1843" spans="5:6" x14ac:dyDescent="0.3">
      <c r="E1843" s="4"/>
      <c r="F1843" s="4"/>
    </row>
    <row r="1844" spans="5:6" x14ac:dyDescent="0.3">
      <c r="E1844" s="4"/>
      <c r="F1844" s="4"/>
    </row>
    <row r="1845" spans="5:6" x14ac:dyDescent="0.3">
      <c r="E1845" s="4"/>
      <c r="F1845" s="4"/>
    </row>
    <row r="1846" spans="5:6" x14ac:dyDescent="0.3">
      <c r="E1846" s="4"/>
      <c r="F1846" s="4"/>
    </row>
    <row r="1847" spans="5:6" x14ac:dyDescent="0.3">
      <c r="E1847" s="4"/>
      <c r="F1847" s="4"/>
    </row>
    <row r="1848" spans="5:6" x14ac:dyDescent="0.3">
      <c r="E1848" s="4"/>
      <c r="F1848" s="4"/>
    </row>
    <row r="1849" spans="5:6" x14ac:dyDescent="0.3">
      <c r="E1849" s="4"/>
      <c r="F1849" s="4"/>
    </row>
    <row r="1850" spans="5:6" x14ac:dyDescent="0.3">
      <c r="E1850" s="4"/>
      <c r="F1850" s="4"/>
    </row>
    <row r="1851" spans="5:6" x14ac:dyDescent="0.3">
      <c r="E1851" s="4"/>
      <c r="F1851" s="4"/>
    </row>
    <row r="1852" spans="5:6" x14ac:dyDescent="0.3">
      <c r="E1852" s="4"/>
      <c r="F1852" s="4"/>
    </row>
    <row r="1853" spans="5:6" x14ac:dyDescent="0.3">
      <c r="E1853" s="4"/>
      <c r="F1853" s="4"/>
    </row>
    <row r="1854" spans="5:6" x14ac:dyDescent="0.3">
      <c r="E1854" s="4"/>
      <c r="F1854" s="4"/>
    </row>
    <row r="1855" spans="5:6" x14ac:dyDescent="0.3">
      <c r="E1855" s="4"/>
      <c r="F1855" s="4"/>
    </row>
    <row r="1856" spans="5:6" x14ac:dyDescent="0.3">
      <c r="E1856" s="4"/>
      <c r="F1856" s="4"/>
    </row>
    <row r="1857" spans="5:6" x14ac:dyDescent="0.3">
      <c r="E1857" s="4"/>
      <c r="F1857" s="4"/>
    </row>
    <row r="1858" spans="5:6" x14ac:dyDescent="0.3">
      <c r="E1858" s="4"/>
      <c r="F1858" s="4"/>
    </row>
    <row r="1859" spans="5:6" x14ac:dyDescent="0.3">
      <c r="E1859" s="4"/>
      <c r="F1859" s="4"/>
    </row>
    <row r="1860" spans="5:6" x14ac:dyDescent="0.3">
      <c r="E1860" s="4"/>
      <c r="F1860" s="4"/>
    </row>
    <row r="1861" spans="5:6" x14ac:dyDescent="0.3">
      <c r="E1861" s="4"/>
      <c r="F1861" s="4"/>
    </row>
    <row r="1862" spans="5:6" x14ac:dyDescent="0.3">
      <c r="E1862" s="4"/>
      <c r="F1862" s="4"/>
    </row>
    <row r="1863" spans="5:6" x14ac:dyDescent="0.3">
      <c r="E1863" s="4"/>
      <c r="F1863" s="4"/>
    </row>
    <row r="1864" spans="5:6" x14ac:dyDescent="0.3">
      <c r="E1864" s="4"/>
      <c r="F1864" s="4"/>
    </row>
    <row r="1865" spans="5:6" x14ac:dyDescent="0.3">
      <c r="E1865" s="4"/>
      <c r="F1865" s="4"/>
    </row>
    <row r="1866" spans="5:6" x14ac:dyDescent="0.3">
      <c r="E1866" s="4"/>
      <c r="F1866" s="4"/>
    </row>
    <row r="1867" spans="5:6" x14ac:dyDescent="0.3">
      <c r="E1867" s="4"/>
      <c r="F1867" s="4"/>
    </row>
    <row r="1868" spans="5:6" x14ac:dyDescent="0.3">
      <c r="E1868" s="4"/>
      <c r="F1868" s="4"/>
    </row>
    <row r="1869" spans="5:6" x14ac:dyDescent="0.3">
      <c r="E1869" s="4"/>
      <c r="F1869" s="4"/>
    </row>
    <row r="1870" spans="5:6" x14ac:dyDescent="0.3">
      <c r="E1870" s="4"/>
      <c r="F1870" s="4"/>
    </row>
    <row r="1871" spans="5:6" x14ac:dyDescent="0.3">
      <c r="E1871" s="4"/>
      <c r="F1871" s="4"/>
    </row>
    <row r="1872" spans="5:6" x14ac:dyDescent="0.3">
      <c r="E1872" s="4"/>
      <c r="F1872" s="4"/>
    </row>
    <row r="1873" spans="5:6" x14ac:dyDescent="0.3">
      <c r="E1873" s="4"/>
      <c r="F1873" s="4"/>
    </row>
    <row r="1874" spans="5:6" x14ac:dyDescent="0.3">
      <c r="E1874" s="4"/>
      <c r="F1874" s="4"/>
    </row>
    <row r="1875" spans="5:6" x14ac:dyDescent="0.3">
      <c r="E1875" s="4"/>
      <c r="F1875" s="4"/>
    </row>
    <row r="1876" spans="5:6" x14ac:dyDescent="0.3">
      <c r="E1876" s="4"/>
      <c r="F1876" s="4"/>
    </row>
    <row r="1877" spans="5:6" x14ac:dyDescent="0.3">
      <c r="E1877" s="4"/>
      <c r="F1877" s="4"/>
    </row>
    <row r="1878" spans="5:6" x14ac:dyDescent="0.3">
      <c r="E1878" s="4"/>
      <c r="F1878" s="4"/>
    </row>
    <row r="1879" spans="5:6" x14ac:dyDescent="0.3">
      <c r="E1879" s="4"/>
      <c r="F1879" s="4"/>
    </row>
    <row r="1880" spans="5:6" x14ac:dyDescent="0.3">
      <c r="E1880" s="4"/>
      <c r="F1880" s="4"/>
    </row>
    <row r="1881" spans="5:6" x14ac:dyDescent="0.3">
      <c r="E1881" s="4"/>
      <c r="F1881" s="4"/>
    </row>
    <row r="1882" spans="5:6" x14ac:dyDescent="0.3">
      <c r="E1882" s="4"/>
      <c r="F1882" s="4"/>
    </row>
    <row r="1883" spans="5:6" x14ac:dyDescent="0.3">
      <c r="E1883" s="4"/>
      <c r="F1883" s="4"/>
    </row>
    <row r="1884" spans="5:6" x14ac:dyDescent="0.3">
      <c r="E1884" s="4"/>
      <c r="F1884" s="4"/>
    </row>
    <row r="1885" spans="5:6" x14ac:dyDescent="0.3">
      <c r="E1885" s="4"/>
      <c r="F1885" s="4"/>
    </row>
    <row r="1886" spans="5:6" x14ac:dyDescent="0.3">
      <c r="E1886" s="4"/>
      <c r="F1886" s="4"/>
    </row>
    <row r="1887" spans="5:6" x14ac:dyDescent="0.3">
      <c r="E1887" s="4"/>
      <c r="F1887" s="4"/>
    </row>
    <row r="1888" spans="5:6" x14ac:dyDescent="0.3">
      <c r="E1888" s="4"/>
      <c r="F1888" s="4"/>
    </row>
    <row r="1889" spans="5:6" x14ac:dyDescent="0.3">
      <c r="E1889" s="4"/>
      <c r="F1889" s="4"/>
    </row>
    <row r="1890" spans="5:6" x14ac:dyDescent="0.3">
      <c r="E1890" s="4"/>
      <c r="F1890" s="4"/>
    </row>
    <row r="1891" spans="5:6" x14ac:dyDescent="0.3">
      <c r="E1891" s="4"/>
      <c r="F1891" s="4"/>
    </row>
    <row r="1892" spans="5:6" x14ac:dyDescent="0.3">
      <c r="E1892" s="4"/>
      <c r="F1892" s="4"/>
    </row>
    <row r="1893" spans="5:6" x14ac:dyDescent="0.3">
      <c r="E1893" s="4"/>
      <c r="F1893" s="4"/>
    </row>
    <row r="1894" spans="5:6" x14ac:dyDescent="0.3">
      <c r="E1894" s="4"/>
      <c r="F1894" s="4"/>
    </row>
    <row r="1895" spans="5:6" x14ac:dyDescent="0.3">
      <c r="E1895" s="4"/>
      <c r="F1895" s="4"/>
    </row>
    <row r="1896" spans="5:6" x14ac:dyDescent="0.3">
      <c r="E1896" s="4"/>
      <c r="F1896" s="4"/>
    </row>
    <row r="1897" spans="5:6" x14ac:dyDescent="0.3">
      <c r="E1897" s="4"/>
      <c r="F1897" s="4"/>
    </row>
    <row r="1898" spans="5:6" x14ac:dyDescent="0.3">
      <c r="E1898" s="4"/>
      <c r="F1898" s="4"/>
    </row>
    <row r="1899" spans="5:6" x14ac:dyDescent="0.3">
      <c r="E1899" s="4"/>
      <c r="F1899" s="4"/>
    </row>
    <row r="1900" spans="5:6" x14ac:dyDescent="0.3">
      <c r="E1900" s="4"/>
      <c r="F1900" s="4"/>
    </row>
    <row r="1901" spans="5:6" x14ac:dyDescent="0.3">
      <c r="E1901" s="4"/>
      <c r="F1901" s="4"/>
    </row>
    <row r="1902" spans="5:6" x14ac:dyDescent="0.3">
      <c r="E1902" s="4"/>
      <c r="F1902" s="4"/>
    </row>
    <row r="1903" spans="5:6" x14ac:dyDescent="0.3">
      <c r="E1903" s="4"/>
      <c r="F1903" s="4"/>
    </row>
    <row r="1904" spans="5:6" x14ac:dyDescent="0.3">
      <c r="E1904" s="4"/>
      <c r="F1904" s="4"/>
    </row>
    <row r="1905" spans="5:6" x14ac:dyDescent="0.3">
      <c r="E1905" s="4"/>
      <c r="F1905" s="4"/>
    </row>
    <row r="1906" spans="5:6" x14ac:dyDescent="0.3">
      <c r="E1906" s="4"/>
      <c r="F1906" s="4"/>
    </row>
    <row r="1907" spans="5:6" x14ac:dyDescent="0.3">
      <c r="E1907" s="4"/>
      <c r="F1907" s="4"/>
    </row>
    <row r="1908" spans="5:6" x14ac:dyDescent="0.3">
      <c r="E1908" s="4"/>
      <c r="F1908" s="4"/>
    </row>
    <row r="1909" spans="5:6" x14ac:dyDescent="0.3">
      <c r="E1909" s="4"/>
      <c r="F1909" s="4"/>
    </row>
    <row r="1910" spans="5:6" x14ac:dyDescent="0.3">
      <c r="E1910" s="4"/>
      <c r="F1910" s="4"/>
    </row>
    <row r="1911" spans="5:6" x14ac:dyDescent="0.3">
      <c r="E1911" s="4"/>
      <c r="F1911" s="4"/>
    </row>
    <row r="1912" spans="5:6" x14ac:dyDescent="0.3">
      <c r="E1912" s="4"/>
      <c r="F1912" s="4"/>
    </row>
    <row r="1913" spans="5:6" x14ac:dyDescent="0.3">
      <c r="E1913" s="4"/>
      <c r="F1913" s="4"/>
    </row>
    <row r="1914" spans="5:6" x14ac:dyDescent="0.3">
      <c r="E1914" s="4"/>
      <c r="F1914" s="4"/>
    </row>
    <row r="1915" spans="5:6" x14ac:dyDescent="0.3">
      <c r="E1915" s="4"/>
      <c r="F1915" s="4"/>
    </row>
    <row r="1916" spans="5:6" x14ac:dyDescent="0.3">
      <c r="E1916" s="4"/>
      <c r="F1916" s="4"/>
    </row>
    <row r="1917" spans="5:6" x14ac:dyDescent="0.3">
      <c r="E1917" s="4"/>
      <c r="F1917" s="4"/>
    </row>
    <row r="1918" spans="5:6" x14ac:dyDescent="0.3">
      <c r="E1918" s="4"/>
      <c r="F1918" s="4"/>
    </row>
    <row r="1919" spans="5:6" x14ac:dyDescent="0.3">
      <c r="E1919" s="4"/>
      <c r="F1919" s="4"/>
    </row>
    <row r="1920" spans="5:6" x14ac:dyDescent="0.3">
      <c r="E1920" s="4"/>
      <c r="F1920" s="4"/>
    </row>
    <row r="1921" spans="5:6" x14ac:dyDescent="0.3">
      <c r="E1921" s="4"/>
      <c r="F1921" s="4"/>
    </row>
    <row r="1922" spans="5:6" x14ac:dyDescent="0.3">
      <c r="E1922" s="4"/>
      <c r="F1922" s="4"/>
    </row>
    <row r="1923" spans="5:6" x14ac:dyDescent="0.3">
      <c r="E1923" s="4"/>
      <c r="F1923" s="4"/>
    </row>
    <row r="1924" spans="5:6" x14ac:dyDescent="0.3">
      <c r="E1924" s="4"/>
      <c r="F1924" s="4"/>
    </row>
    <row r="1925" spans="5:6" x14ac:dyDescent="0.3">
      <c r="E1925" s="4"/>
      <c r="F1925" s="4"/>
    </row>
    <row r="1926" spans="5:6" x14ac:dyDescent="0.3">
      <c r="E1926" s="4"/>
      <c r="F1926" s="4"/>
    </row>
    <row r="1927" spans="5:6" x14ac:dyDescent="0.3">
      <c r="E1927" s="4"/>
      <c r="F1927" s="4"/>
    </row>
    <row r="1928" spans="5:6" x14ac:dyDescent="0.3">
      <c r="E1928" s="4"/>
      <c r="F1928" s="4"/>
    </row>
    <row r="1929" spans="5:6" x14ac:dyDescent="0.3">
      <c r="E1929" s="4"/>
      <c r="F1929" s="4"/>
    </row>
    <row r="1930" spans="5:6" x14ac:dyDescent="0.3">
      <c r="E1930" s="4"/>
      <c r="F1930" s="4"/>
    </row>
    <row r="1931" spans="5:6" x14ac:dyDescent="0.3">
      <c r="E1931" s="4"/>
      <c r="F1931" s="4"/>
    </row>
    <row r="1932" spans="5:6" x14ac:dyDescent="0.3">
      <c r="E1932" s="4"/>
      <c r="F1932" s="4"/>
    </row>
    <row r="1933" spans="5:6" x14ac:dyDescent="0.3">
      <c r="E1933" s="4"/>
      <c r="F1933" s="4"/>
    </row>
    <row r="1934" spans="5:6" x14ac:dyDescent="0.3">
      <c r="E1934" s="4"/>
      <c r="F1934" s="4"/>
    </row>
    <row r="1935" spans="5:6" x14ac:dyDescent="0.3">
      <c r="E1935" s="4"/>
      <c r="F1935" s="4"/>
    </row>
    <row r="1936" spans="5:6" x14ac:dyDescent="0.3">
      <c r="E1936" s="4"/>
      <c r="F1936" s="4"/>
    </row>
    <row r="1937" spans="5:6" x14ac:dyDescent="0.3">
      <c r="E1937" s="4"/>
      <c r="F1937" s="4"/>
    </row>
    <row r="1938" spans="5:6" x14ac:dyDescent="0.3">
      <c r="E1938" s="4"/>
      <c r="F1938" s="4"/>
    </row>
    <row r="1939" spans="5:6" x14ac:dyDescent="0.3">
      <c r="E1939" s="4"/>
      <c r="F1939" s="4"/>
    </row>
    <row r="1940" spans="5:6" x14ac:dyDescent="0.3">
      <c r="E1940" s="4"/>
      <c r="F1940" s="4"/>
    </row>
    <row r="1941" spans="5:6" x14ac:dyDescent="0.3">
      <c r="E1941" s="4"/>
      <c r="F1941" s="4"/>
    </row>
    <row r="1942" spans="5:6" x14ac:dyDescent="0.3">
      <c r="E1942" s="4"/>
      <c r="F1942" s="4"/>
    </row>
    <row r="1943" spans="5:6" x14ac:dyDescent="0.3">
      <c r="E1943" s="4"/>
      <c r="F1943" s="4"/>
    </row>
    <row r="1944" spans="5:6" x14ac:dyDescent="0.3">
      <c r="E1944" s="4"/>
      <c r="F1944" s="4"/>
    </row>
    <row r="1945" spans="5:6" x14ac:dyDescent="0.3">
      <c r="E1945" s="4"/>
      <c r="F1945" s="4"/>
    </row>
    <row r="1946" spans="5:6" x14ac:dyDescent="0.3">
      <c r="E1946" s="4"/>
      <c r="F1946" s="4"/>
    </row>
    <row r="1947" spans="5:6" x14ac:dyDescent="0.3">
      <c r="E1947" s="4"/>
      <c r="F1947" s="4"/>
    </row>
    <row r="1948" spans="5:6" x14ac:dyDescent="0.3">
      <c r="E1948" s="4"/>
      <c r="F1948" s="4"/>
    </row>
    <row r="1949" spans="5:6" x14ac:dyDescent="0.3">
      <c r="E1949" s="4"/>
      <c r="F1949" s="4"/>
    </row>
    <row r="1950" spans="5:6" x14ac:dyDescent="0.3">
      <c r="E1950" s="4"/>
      <c r="F1950" s="4"/>
    </row>
    <row r="1951" spans="5:6" x14ac:dyDescent="0.3">
      <c r="E1951" s="4"/>
      <c r="F1951" s="4"/>
    </row>
    <row r="1952" spans="5:6" x14ac:dyDescent="0.3">
      <c r="E1952" s="4"/>
      <c r="F1952" s="4"/>
    </row>
    <row r="1953" spans="5:6" x14ac:dyDescent="0.3">
      <c r="E1953" s="4"/>
      <c r="F1953" s="4"/>
    </row>
    <row r="1954" spans="5:6" x14ac:dyDescent="0.3">
      <c r="E1954" s="4"/>
      <c r="F1954" s="4"/>
    </row>
    <row r="1955" spans="5:6" x14ac:dyDescent="0.3">
      <c r="E1955" s="4"/>
      <c r="F1955" s="4"/>
    </row>
    <row r="1956" spans="5:6" x14ac:dyDescent="0.3">
      <c r="E1956" s="4"/>
      <c r="F1956" s="4"/>
    </row>
    <row r="1957" spans="5:6" x14ac:dyDescent="0.3">
      <c r="E1957" s="4"/>
      <c r="F1957" s="4"/>
    </row>
    <row r="1958" spans="5:6" x14ac:dyDescent="0.3">
      <c r="E1958" s="4"/>
      <c r="F1958" s="4"/>
    </row>
    <row r="1959" spans="5:6" x14ac:dyDescent="0.3">
      <c r="E1959" s="4"/>
      <c r="F1959" s="4"/>
    </row>
    <row r="1960" spans="5:6" x14ac:dyDescent="0.3">
      <c r="E1960" s="4"/>
      <c r="F1960" s="4"/>
    </row>
    <row r="1961" spans="5:6" x14ac:dyDescent="0.3">
      <c r="E1961" s="4"/>
      <c r="F1961" s="4"/>
    </row>
    <row r="1962" spans="5:6" x14ac:dyDescent="0.3">
      <c r="E1962" s="4"/>
      <c r="F1962" s="4"/>
    </row>
    <row r="1963" spans="5:6" x14ac:dyDescent="0.3">
      <c r="E1963" s="4"/>
      <c r="F1963" s="4"/>
    </row>
    <row r="1964" spans="5:6" x14ac:dyDescent="0.3">
      <c r="E1964" s="4"/>
      <c r="F1964" s="4"/>
    </row>
    <row r="1965" spans="5:6" x14ac:dyDescent="0.3">
      <c r="E1965" s="4"/>
      <c r="F1965" s="4"/>
    </row>
    <row r="1966" spans="5:6" x14ac:dyDescent="0.3">
      <c r="E1966" s="4"/>
      <c r="F1966" s="4"/>
    </row>
    <row r="1967" spans="5:6" x14ac:dyDescent="0.3">
      <c r="E1967" s="4"/>
      <c r="F1967" s="4"/>
    </row>
    <row r="1968" spans="5:6" x14ac:dyDescent="0.3">
      <c r="E1968" s="4"/>
      <c r="F1968" s="4"/>
    </row>
    <row r="1969" spans="5:6" x14ac:dyDescent="0.3">
      <c r="E1969" s="4"/>
      <c r="F1969" s="4"/>
    </row>
    <row r="1970" spans="5:6" x14ac:dyDescent="0.3">
      <c r="E1970" s="4"/>
      <c r="F1970" s="4"/>
    </row>
    <row r="1971" spans="5:6" x14ac:dyDescent="0.3">
      <c r="E1971" s="4"/>
      <c r="F1971" s="4"/>
    </row>
    <row r="1972" spans="5:6" x14ac:dyDescent="0.3">
      <c r="E1972" s="4"/>
      <c r="F1972" s="4"/>
    </row>
    <row r="1973" spans="5:6" x14ac:dyDescent="0.3">
      <c r="E1973" s="4"/>
      <c r="F1973" s="4"/>
    </row>
    <row r="1974" spans="5:6" x14ac:dyDescent="0.3">
      <c r="E1974" s="4"/>
      <c r="F1974" s="4"/>
    </row>
    <row r="1975" spans="5:6" x14ac:dyDescent="0.3">
      <c r="E1975" s="4"/>
      <c r="F1975" s="4"/>
    </row>
    <row r="1976" spans="5:6" x14ac:dyDescent="0.3">
      <c r="E1976" s="4"/>
      <c r="F1976" s="4"/>
    </row>
    <row r="1977" spans="5:6" x14ac:dyDescent="0.3">
      <c r="E1977" s="4"/>
      <c r="F1977" s="4"/>
    </row>
    <row r="1978" spans="5:6" x14ac:dyDescent="0.3">
      <c r="E1978" s="4"/>
      <c r="F1978" s="4"/>
    </row>
    <row r="1979" spans="5:6" x14ac:dyDescent="0.3">
      <c r="E1979" s="4"/>
      <c r="F1979" s="4"/>
    </row>
    <row r="1980" spans="5:6" x14ac:dyDescent="0.3">
      <c r="E1980" s="4"/>
      <c r="F1980" s="4"/>
    </row>
    <row r="1981" spans="5:6" x14ac:dyDescent="0.3">
      <c r="E1981" s="4"/>
      <c r="F1981" s="4"/>
    </row>
    <row r="1982" spans="5:6" x14ac:dyDescent="0.3">
      <c r="E1982" s="4"/>
      <c r="F1982" s="4"/>
    </row>
    <row r="1983" spans="5:6" x14ac:dyDescent="0.3">
      <c r="E1983" s="4"/>
      <c r="F1983" s="4"/>
    </row>
    <row r="1984" spans="5:6" x14ac:dyDescent="0.3">
      <c r="E1984" s="4"/>
      <c r="F1984" s="4"/>
    </row>
    <row r="1985" spans="5:6" x14ac:dyDescent="0.3">
      <c r="E1985" s="4"/>
      <c r="F1985" s="4"/>
    </row>
    <row r="1986" spans="5:6" x14ac:dyDescent="0.3">
      <c r="E1986" s="4"/>
      <c r="F1986" s="4"/>
    </row>
    <row r="1987" spans="5:6" x14ac:dyDescent="0.3">
      <c r="E1987" s="4"/>
      <c r="F1987" s="4"/>
    </row>
    <row r="1988" spans="5:6" x14ac:dyDescent="0.3">
      <c r="E1988" s="4"/>
      <c r="F1988" s="4"/>
    </row>
    <row r="1989" spans="5:6" x14ac:dyDescent="0.3">
      <c r="E1989" s="4"/>
      <c r="F1989" s="4"/>
    </row>
    <row r="1990" spans="5:6" x14ac:dyDescent="0.3">
      <c r="E1990" s="4"/>
      <c r="F1990" s="4"/>
    </row>
    <row r="1991" spans="5:6" x14ac:dyDescent="0.3">
      <c r="E1991" s="4"/>
      <c r="F1991" s="4"/>
    </row>
    <row r="1992" spans="5:6" x14ac:dyDescent="0.3">
      <c r="E1992" s="4"/>
      <c r="F1992" s="4"/>
    </row>
    <row r="1993" spans="5:6" x14ac:dyDescent="0.3">
      <c r="E1993" s="4"/>
      <c r="F1993" s="4"/>
    </row>
    <row r="1994" spans="5:6" x14ac:dyDescent="0.3">
      <c r="E1994" s="4"/>
      <c r="F1994" s="4"/>
    </row>
    <row r="1995" spans="5:6" x14ac:dyDescent="0.3">
      <c r="E1995" s="4"/>
      <c r="F1995" s="4"/>
    </row>
    <row r="1996" spans="5:6" x14ac:dyDescent="0.3">
      <c r="E1996" s="4"/>
      <c r="F1996" s="4"/>
    </row>
    <row r="1997" spans="5:6" x14ac:dyDescent="0.3">
      <c r="E1997" s="4"/>
      <c r="F1997" s="4"/>
    </row>
    <row r="1998" spans="5:6" x14ac:dyDescent="0.3">
      <c r="E1998" s="4"/>
      <c r="F1998" s="4"/>
    </row>
    <row r="1999" spans="5:6" x14ac:dyDescent="0.3">
      <c r="E1999" s="4"/>
      <c r="F1999" s="4"/>
    </row>
    <row r="2000" spans="5:6" x14ac:dyDescent="0.3">
      <c r="E2000" s="4"/>
      <c r="F2000" s="4"/>
    </row>
  </sheetData>
  <mergeCells count="1">
    <mergeCell ref="G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SX_Snapshot">
                <anchor>
                  <from>
                    <xdr:col>9</xdr:col>
                    <xdr:colOff>0</xdr:colOff>
                    <xdr:row>0</xdr:row>
                    <xdr:rowOff>45720</xdr:rowOff>
                  </from>
                  <to>
                    <xdr:col>10</xdr:col>
                    <xdr:colOff>1028700</xdr:colOff>
                    <xdr:row>1</xdr:row>
                    <xdr:rowOff>99060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C0CB-2458-4699-92F1-C37FF4792775}">
  <sheetPr codeName="Лист12">
    <tabColor rgb="FF4F81BD"/>
  </sheetPr>
  <dimension ref="A1:O2"/>
  <sheetViews>
    <sheetView workbookViewId="0"/>
  </sheetViews>
  <sheetFormatPr defaultRowHeight="14.4" x14ac:dyDescent="0.3"/>
  <sheetData>
    <row r="1" spans="1:15" x14ac:dyDescent="0.3">
      <c r="A1" s="36" t="s">
        <v>1395</v>
      </c>
    </row>
    <row r="2" spans="1:15" ht="25.95" customHeight="1" x14ac:dyDescent="0.3">
      <c r="A2" s="141" t="s">
        <v>1396</v>
      </c>
      <c r="B2" s="141"/>
      <c r="C2" s="113">
        <v>24</v>
      </c>
      <c r="D2" s="143" t="s">
        <v>1397</v>
      </c>
      <c r="E2" s="142"/>
      <c r="F2" s="142"/>
      <c r="G2" s="142"/>
      <c r="H2" s="142"/>
      <c r="I2" s="142"/>
      <c r="J2" s="142"/>
      <c r="K2" s="142"/>
      <c r="L2" s="142"/>
      <c r="M2" s="142"/>
      <c r="N2" s="142"/>
      <c r="O2" s="142"/>
    </row>
  </sheetData>
  <mergeCells count="2">
    <mergeCell ref="A2:B2"/>
    <mergeCell ref="D2:O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13">
    <tabColor rgb="FFA6A6A6"/>
  </sheetPr>
  <dimension ref="A1:AH500"/>
  <sheetViews>
    <sheetView workbookViewId="0">
      <pane xSplit="3" ySplit="3" topLeftCell="D4" activePane="bottomRight" state="frozen"/>
      <selection pane="topRight"/>
      <selection pane="bottomLeft"/>
      <selection pane="bottomRight" activeCell="D4" sqref="D4"/>
    </sheetView>
  </sheetViews>
  <sheetFormatPr defaultRowHeight="14.4" outlineLevelCol="1" x14ac:dyDescent="0.3"/>
  <cols>
    <col min="1" max="1" width="13" customWidth="1"/>
    <col min="2" max="2" width="12" customWidth="1"/>
    <col min="3" max="3" width="24" customWidth="1"/>
    <col min="4" max="5" width="8" customWidth="1"/>
    <col min="6" max="6" width="11" customWidth="1"/>
    <col min="7" max="7" width="56" customWidth="1"/>
    <col min="8" max="8" width="18" customWidth="1"/>
    <col min="9" max="9" width="7" customWidth="1"/>
    <col min="10" max="10" width="8" customWidth="1"/>
    <col min="11" max="11" width="6" customWidth="1"/>
    <col min="12" max="12" width="8" customWidth="1"/>
    <col min="13" max="13" width="7" customWidth="1"/>
    <col min="14" max="16" width="11" customWidth="1"/>
    <col min="17" max="17" width="12.77734375" customWidth="1"/>
    <col min="18" max="18" width="46" customWidth="1"/>
    <col min="19" max="19" width="22" customWidth="1"/>
    <col min="20" max="20" width="2" customWidth="1"/>
    <col min="21" max="34" width="10" hidden="1" customWidth="1" outlineLevel="1"/>
  </cols>
  <sheetData>
    <row r="1" spans="1:34" x14ac:dyDescent="0.3">
      <c r="A1" s="36" t="s">
        <v>629</v>
      </c>
    </row>
    <row r="2" spans="1:34" ht="27.6" x14ac:dyDescent="0.3">
      <c r="X2" s="35" t="s">
        <v>630</v>
      </c>
      <c r="Z2" s="35" t="s">
        <v>631</v>
      </c>
      <c r="AB2" s="35" t="s">
        <v>632</v>
      </c>
      <c r="AD2" s="35" t="s">
        <v>633</v>
      </c>
    </row>
    <row r="3" spans="1:34" ht="409.6" x14ac:dyDescent="0.3">
      <c r="A3" s="35" t="s">
        <v>634</v>
      </c>
      <c r="B3" s="35" t="s">
        <v>635</v>
      </c>
      <c r="C3" s="35" t="s">
        <v>636</v>
      </c>
      <c r="D3" s="35" t="s">
        <v>637</v>
      </c>
      <c r="E3" s="35" t="s">
        <v>490</v>
      </c>
      <c r="F3" s="35" t="s">
        <v>638</v>
      </c>
      <c r="G3" s="35" t="s">
        <v>639</v>
      </c>
      <c r="H3" s="35" t="s">
        <v>60</v>
      </c>
      <c r="I3" s="35" t="s">
        <v>640</v>
      </c>
      <c r="J3" s="35" t="s">
        <v>641</v>
      </c>
      <c r="K3" s="35" t="s">
        <v>866</v>
      </c>
      <c r="L3" s="35" t="s">
        <v>642</v>
      </c>
      <c r="M3" s="35" t="s">
        <v>643</v>
      </c>
      <c r="N3" s="35" t="s">
        <v>1324</v>
      </c>
      <c r="O3" s="35" t="s">
        <v>644</v>
      </c>
      <c r="P3" s="35" t="s">
        <v>645</v>
      </c>
      <c r="Q3" s="123" t="s">
        <v>1364</v>
      </c>
      <c r="R3" s="35" t="s">
        <v>591</v>
      </c>
      <c r="S3" s="35" t="s">
        <v>646</v>
      </c>
      <c r="U3" s="35" t="s">
        <v>647</v>
      </c>
      <c r="V3" s="35" t="s">
        <v>648</v>
      </c>
      <c r="W3" s="35" t="s">
        <v>649</v>
      </c>
      <c r="X3" s="38" t="s">
        <v>522</v>
      </c>
      <c r="Y3" s="35" t="s">
        <v>650</v>
      </c>
      <c r="Z3" s="35" t="s">
        <v>631</v>
      </c>
      <c r="AA3" s="35" t="s">
        <v>651</v>
      </c>
      <c r="AB3" s="38" t="s">
        <v>536</v>
      </c>
      <c r="AC3" s="35" t="s">
        <v>652</v>
      </c>
      <c r="AD3" s="38" t="s">
        <v>653</v>
      </c>
      <c r="AE3" s="35" t="s">
        <v>654</v>
      </c>
      <c r="AF3" s="35" t="s">
        <v>655</v>
      </c>
      <c r="AG3" s="35" t="s">
        <v>656</v>
      </c>
      <c r="AH3" s="35" t="s">
        <v>657</v>
      </c>
    </row>
    <row r="4" spans="1:34" x14ac:dyDescent="0.3">
      <c r="A4" s="74" t="s">
        <v>7</v>
      </c>
      <c r="B4" s="74" t="s">
        <v>292</v>
      </c>
      <c r="C4" s="74" t="s">
        <v>658</v>
      </c>
      <c r="D4" s="74"/>
      <c r="E4" s="74"/>
      <c r="F4" s="74"/>
      <c r="G4" s="74" t="s">
        <v>659</v>
      </c>
      <c r="H4" s="74" t="s">
        <v>297</v>
      </c>
      <c r="I4" s="74" t="s">
        <v>660</v>
      </c>
      <c r="J4" s="74">
        <v>10</v>
      </c>
      <c r="K4" s="74" t="s">
        <v>493</v>
      </c>
      <c r="L4" s="74">
        <v>1</v>
      </c>
      <c r="M4" s="74" t="s">
        <v>288</v>
      </c>
      <c r="N4" s="38">
        <f>IF(OR(A4="Автомат",A4="Дифавтомат"),IF(W4="","",COUNTIFS(Однолинейка!$H$3:$H$3000,U4,Однолинейка!$A$3:$A$3000,Щит_спец)),IF(A4="Аппарат",IF(C4="","",COUNTIFS(Однолинейка!$I$3:$I$3000,C4,Однолинейка!$A$3:$A$3000,Щит_спец)+COUNTIFS(Однолинейка!$J$3:$J$3000,C4,Однолинейка!$A$3:$A$3000,Щит_спец)+COUNTIFS(Однолинейка!$K$3:$K$3000,C4,Однолинейка!$A$3:$A$3000,Щит_спец)),IF(A4="Модуль",IF(C4="","",COUNTIFS(Однолинейка!$AW$3:$AW$3000,"?*",Однолинейка!$AI$3:$AI$3000,C4,Однолинейка!$A$3:$A$3000,Щит_спец)),IF(A4="Клемма",IF(C4="","",IF(C4=$S$7,SUMIFS(Однолинейка!$BW$3:$BW$3000,Однолинейка!$A$3:$A$3000,Щит_спец),IF(C4=$S$8,SUMIFS(Однолинейка!$BX$3:$BX$3000,Однолинейка!$A$3:$A$3000,Щит_спец),""))),""))))</f>
        <v>8</v>
      </c>
      <c r="O4" s="74"/>
      <c r="P4" s="38">
        <f t="shared" ref="P4:P67" si="0">IF(COUNT(N4,O4)=0,"",SUM(N4,O4))</f>
        <v>8</v>
      </c>
      <c r="R4" s="38" t="s">
        <v>661</v>
      </c>
      <c r="S4" s="74" t="s">
        <v>292</v>
      </c>
      <c r="U4" s="38" t="str">
        <f t="shared" ref="U4:U67" si="1">IF(OR(A4="Автомат",A4="Дифавтомат"),I4&amp;" С"&amp;J4&amp;"А"&amp;IF(K4="да"," 30мА",IF(ISNUMBER(K4)," "&amp;K4&amp;"мА","")),"")</f>
        <v>1P С10А</v>
      </c>
      <c r="V4" s="38" t="str">
        <f t="shared" ref="V4:V67" si="2">IF(U4="","",B4&amp;"|"&amp;U4)</f>
        <v>Chint|1P С10А</v>
      </c>
      <c r="W4" s="38">
        <f>IF(AND(U4&lt;&gt;"",OR($S$4="(все)",B4=$S$4),IF($S$4="(все)",COUNTIF($U$4:U4,U4),COUNTIFS($U$4:U4,U4,$B$4:B4,B4))=1),MAX($W$3:W3)+1,"")</f>
        <v>1</v>
      </c>
      <c r="X4" s="38" t="str">
        <f t="shared" ref="X4:X67" si="3">IFERROR(INDEX($U$4:$U$500,MATCH(ROW()-3,$W$4:$W$500,0)),"")</f>
        <v>1P С10А</v>
      </c>
      <c r="Y4" s="38" t="str">
        <f>IF(AND(A4="Аппарат",C4&lt;&gt;"",OR($S$5="(все)",B4=$S$5)),MAX($Y$3:Y3)+1,"")</f>
        <v/>
      </c>
      <c r="Z4" s="38" t="str">
        <f t="shared" ref="Z4:Z67" si="4">IFERROR(INDEX($C$4:$C$500,MATCH(ROW()-3,$Y$4:$Y$500,0)),"")</f>
        <v>МК-5-1</v>
      </c>
      <c r="AA4" s="38" t="str">
        <f>IF(AND(A4="Модуль",C4&lt;&gt;"",OR($S$6="(все)",B4=$S$6)),MAX($AA$3:AA3)+1,"")</f>
        <v/>
      </c>
      <c r="AB4" s="38" t="str">
        <f t="shared" ref="AB4:AB67" si="5">IFERROR(INDEX($C$4:$C$500,MATCH(ROW()-3,$AA$4:$AA$500,0)),"")</f>
        <v>ZIOMB24V2</v>
      </c>
      <c r="AC4" s="38">
        <f>IF(OR(B4="",COUNTIF($B$4:B4,B4)&gt;1),"",MAX($AC$3:AC3)+1)</f>
        <v>1</v>
      </c>
      <c r="AD4" s="38" t="str">
        <f t="shared" ref="AD4:AD67" si="6">IFERROR(INDEX($B$4:$B$500,MATCH(ROW()-3,$AC$4:$AC$500,0)),"")</f>
        <v>Chint</v>
      </c>
      <c r="AE4" s="38">
        <f t="shared" ref="AE4:AE67" si="7">IF(AND(A4&lt;&gt;"",N(P4)&gt;0),IFERROR(MATCH(A4,$R$12:$R$25,0),99)*1000+ROW(),"")</f>
        <v>2004</v>
      </c>
      <c r="AF4" s="38">
        <f t="shared" ref="AF4:AF67" si="8">IF(AE4="","",COUNTIF($AE$4:$AE$500,"&lt;="&amp;AE4))</f>
        <v>1</v>
      </c>
      <c r="AG4" s="38" t="str">
        <f>IF(Спецификация_авто!$L$4="","",IF(IF($S$4="(все)",COUNTIF($U$4:$U$500,Спецификация_авто!$L$4),COUNTIF($V$4:$V$500,$S$4&amp;"|"&amp;Спецификация_авто!$L$4))=0,Спецификация_авто!$L$4,""))</f>
        <v/>
      </c>
      <c r="AH4" s="38" t="str">
        <f>IF(AG4="","",COUNTIF($AG$4:AG4,"?*"))</f>
        <v/>
      </c>
    </row>
    <row r="5" spans="1:34" x14ac:dyDescent="0.3">
      <c r="A5" s="74" t="s">
        <v>7</v>
      </c>
      <c r="B5" s="74" t="s">
        <v>292</v>
      </c>
      <c r="C5" s="74" t="s">
        <v>662</v>
      </c>
      <c r="D5" s="74"/>
      <c r="E5" s="74"/>
      <c r="F5" s="74"/>
      <c r="G5" s="74" t="s">
        <v>663</v>
      </c>
      <c r="H5" s="74" t="s">
        <v>296</v>
      </c>
      <c r="I5" s="74" t="s">
        <v>660</v>
      </c>
      <c r="J5" s="74">
        <v>16</v>
      </c>
      <c r="K5" s="74" t="s">
        <v>493</v>
      </c>
      <c r="L5" s="74">
        <v>1</v>
      </c>
      <c r="M5" s="74" t="s">
        <v>288</v>
      </c>
      <c r="N5" s="38">
        <f>IF(OR(A5="Автомат",A5="Дифавтомат"),IF(W5="","",COUNTIFS(Однолинейка!$H$3:$H$3000,U5,Однолинейка!$A$3:$A$3000,Щит_спец)),IF(A5="Аппарат",IF(C5="","",COUNTIFS(Однолинейка!$I$3:$I$3000,C5,Однолинейка!$A$3:$A$3000,Щит_спец)+COUNTIFS(Однолинейка!$J$3:$J$3000,C5,Однолинейка!$A$3:$A$3000,Щит_спец)+COUNTIFS(Однолинейка!$K$3:$K$3000,C5,Однолинейка!$A$3:$A$3000,Щит_спец)),IF(A5="Модуль",IF(C5="","",COUNTIFS(Однолинейка!$AW$3:$AW$3000,"?*",Однолинейка!$AI$3:$AI$3000,C5,Однолинейка!$A$3:$A$3000,Щит_спец)),IF(A5="Клемма",IF(C5="","",IF(C5=$S$7,SUMIFS(Однолинейка!$BW$3:$BW$3000,Однолинейка!$A$3:$A$3000,Щит_спец),IF(C5=$S$8,SUMIFS(Однолинейка!$BX$3:$BX$3000,Однолинейка!$A$3:$A$3000,Щит_спец),""))),""))))</f>
        <v>4</v>
      </c>
      <c r="O5" s="74"/>
      <c r="P5" s="38">
        <f t="shared" si="0"/>
        <v>4</v>
      </c>
      <c r="R5" s="38" t="s">
        <v>664</v>
      </c>
      <c r="S5" s="74" t="s">
        <v>653</v>
      </c>
      <c r="U5" s="38" t="str">
        <f t="shared" si="1"/>
        <v>1P С16А</v>
      </c>
      <c r="V5" s="38" t="str">
        <f t="shared" si="2"/>
        <v>Chint|1P С16А</v>
      </c>
      <c r="W5" s="38">
        <f>IF(AND(U5&lt;&gt;"",OR($S$4="(все)",B5=$S$4),IF($S$4="(все)",COUNTIF($U$4:U5,U5),COUNTIFS($U$4:U5,U5,$B$4:B5,B5))=1),MAX($W$3:W4)+1,"")</f>
        <v>2</v>
      </c>
      <c r="X5" s="38" t="str">
        <f t="shared" si="3"/>
        <v>1P С16А</v>
      </c>
      <c r="Y5" s="38" t="str">
        <f>IF(AND(A5="Аппарат",C5&lt;&gt;"",OR($S$5="(все)",B5=$S$5)),MAX($Y$3:Y4)+1,"")</f>
        <v/>
      </c>
      <c r="Z5" s="38" t="str">
        <f t="shared" si="4"/>
        <v>КМ NCH8-63/40</v>
      </c>
      <c r="AA5" s="38" t="str">
        <f>IF(AND(A5="Модуль",C5&lt;&gt;"",OR($S$6="(все)",B5=$S$6)),MAX($AA$3:AA4)+1,"")</f>
        <v/>
      </c>
      <c r="AB5" s="38" t="str">
        <f t="shared" si="5"/>
        <v>ZIO-MB24</v>
      </c>
      <c r="AC5" s="38" t="str">
        <f>IF(OR(B5="",COUNTIF($B$4:B5,B5)&gt;1),"",MAX($AC$3:AC4)+1)</f>
        <v/>
      </c>
      <c r="AD5" s="38" t="str">
        <f t="shared" si="6"/>
        <v>Россия</v>
      </c>
      <c r="AE5" s="38">
        <f t="shared" si="7"/>
        <v>2005</v>
      </c>
      <c r="AF5" s="38">
        <f t="shared" si="8"/>
        <v>2</v>
      </c>
      <c r="AG5" s="38" t="str">
        <f>IF(Спецификация_авто!$L$5="","",IF(IF($S$4="(все)",COUNTIF($U$4:$U$500,Спецификация_авто!$L$5),COUNTIF($V$4:$V$500,$S$4&amp;"|"&amp;Спецификация_авто!$L$5))=0,Спецификация_авто!$L$5,""))</f>
        <v>1P С6А</v>
      </c>
      <c r="AH5" s="38">
        <f>IF(AG5="","",COUNTIF($AG$4:AG5,"?*"))</f>
        <v>1</v>
      </c>
    </row>
    <row r="6" spans="1:34" x14ac:dyDescent="0.3">
      <c r="A6" s="74" t="s">
        <v>7</v>
      </c>
      <c r="B6" s="74" t="s">
        <v>292</v>
      </c>
      <c r="C6" s="74" t="s">
        <v>665</v>
      </c>
      <c r="D6" s="74"/>
      <c r="E6" s="74"/>
      <c r="F6" s="74"/>
      <c r="G6" s="74" t="s">
        <v>666</v>
      </c>
      <c r="H6" s="74" t="s">
        <v>667</v>
      </c>
      <c r="I6" s="74" t="s">
        <v>668</v>
      </c>
      <c r="J6" s="74">
        <v>20</v>
      </c>
      <c r="K6" s="74" t="s">
        <v>493</v>
      </c>
      <c r="L6" s="74">
        <v>3</v>
      </c>
      <c r="M6" s="74" t="s">
        <v>288</v>
      </c>
      <c r="N6" s="38">
        <f>IF(OR(A6="Автомат",A6="Дифавтомат"),IF(W6="","",COUNTIFS(Однолинейка!$H$3:$H$3000,U6,Однолинейка!$A$3:$A$3000,Щит_спец)),IF(A6="Аппарат",IF(C6="","",COUNTIFS(Однолинейка!$I$3:$I$3000,C6,Однолинейка!$A$3:$A$3000,Щит_спец)+COUNTIFS(Однолинейка!$J$3:$J$3000,C6,Однолинейка!$A$3:$A$3000,Щит_спец)+COUNTIFS(Однолинейка!$K$3:$K$3000,C6,Однолинейка!$A$3:$A$3000,Щит_спец)),IF(A6="Модуль",IF(C6="","",COUNTIFS(Однолинейка!$AW$3:$AW$3000,"?*",Однолинейка!$AI$3:$AI$3000,C6,Однолинейка!$A$3:$A$3000,Щит_спец)),IF(A6="Клемма",IF(C6="","",IF(C6=$S$7,SUMIFS(Однолинейка!$BW$3:$BW$3000,Однолинейка!$A$3:$A$3000,Щит_спец),IF(C6=$S$8,SUMIFS(Однолинейка!$BX$3:$BX$3000,Однолинейка!$A$3:$A$3000,Щит_спец),""))),""))))</f>
        <v>0</v>
      </c>
      <c r="O6" s="74"/>
      <c r="P6" s="38">
        <f t="shared" si="0"/>
        <v>0</v>
      </c>
      <c r="R6" s="38" t="s">
        <v>669</v>
      </c>
      <c r="S6" s="74" t="s">
        <v>653</v>
      </c>
      <c r="U6" s="38" t="str">
        <f t="shared" si="1"/>
        <v>3P С20А</v>
      </c>
      <c r="V6" s="38" t="str">
        <f t="shared" si="2"/>
        <v>Chint|3P С20А</v>
      </c>
      <c r="W6" s="38">
        <f>IF(AND(U6&lt;&gt;"",OR($S$4="(все)",B6=$S$4),IF($S$4="(все)",COUNTIF($U$4:U6,U6),COUNTIFS($U$4:U6,U6,$B$4:B6,B6))=1),MAX($W$3:W5)+1,"")</f>
        <v>3</v>
      </c>
      <c r="X6" s="38" t="str">
        <f t="shared" si="3"/>
        <v>3P С20А</v>
      </c>
      <c r="Y6" s="38" t="str">
        <f>IF(AND(A6="Аппарат",C6&lt;&gt;"",OR($S$5="(все)",B6=$S$5)),MAX($Y$3:Y5)+1,"")</f>
        <v/>
      </c>
      <c r="Z6" s="38" t="str">
        <f t="shared" si="4"/>
        <v>КМ NCH8-40/40</v>
      </c>
      <c r="AA6" s="38" t="str">
        <f>IF(AND(A6="Модуль",C6&lt;&gt;"",OR($S$6="(все)",B6=$S$6)),MAX($AA$3:AA5)+1,"")</f>
        <v/>
      </c>
      <c r="AB6" s="38" t="str">
        <f t="shared" si="5"/>
        <v>ZIOMB16V3</v>
      </c>
      <c r="AC6" s="38" t="str">
        <f>IF(OR(B6="",COUNTIF($B$4:B6,B6)&gt;1),"",MAX($AC$3:AC5)+1)</f>
        <v/>
      </c>
      <c r="AD6" s="38" t="str">
        <f t="shared" si="6"/>
        <v>Arlight</v>
      </c>
      <c r="AE6" s="38" t="str">
        <f t="shared" si="7"/>
        <v/>
      </c>
      <c r="AF6" s="38" t="str">
        <f t="shared" si="8"/>
        <v/>
      </c>
      <c r="AG6" s="38" t="str">
        <f>IF(Спецификация_авто!$L$6="","",IF(IF($S$4="(все)",COUNTIF($U$4:$U$500,Спецификация_авто!$L$6),COUNTIF($V$4:$V$500,$S$4&amp;"|"&amp;Спецификация_авто!$L$6))=0,Спецификация_авто!$L$6,""))</f>
        <v/>
      </c>
      <c r="AH6" s="38" t="str">
        <f>IF(AG6="","",COUNTIF($AG$4:AG6,"?*"))</f>
        <v/>
      </c>
    </row>
    <row r="7" spans="1:34" x14ac:dyDescent="0.3">
      <c r="A7" s="74" t="s">
        <v>7</v>
      </c>
      <c r="B7" s="74" t="s">
        <v>292</v>
      </c>
      <c r="C7" s="74" t="s">
        <v>670</v>
      </c>
      <c r="D7" s="74"/>
      <c r="E7" s="74"/>
      <c r="F7" s="74"/>
      <c r="G7" s="74" t="s">
        <v>671</v>
      </c>
      <c r="H7" s="74" t="s">
        <v>672</v>
      </c>
      <c r="I7" s="74" t="s">
        <v>673</v>
      </c>
      <c r="J7" s="74">
        <v>50</v>
      </c>
      <c r="K7" s="74" t="s">
        <v>493</v>
      </c>
      <c r="L7" s="74">
        <v>4</v>
      </c>
      <c r="M7" s="74" t="s">
        <v>288</v>
      </c>
      <c r="N7" s="38">
        <f>IF(OR(A7="Автомат",A7="Дифавтомат"),IF(W7="","",COUNTIFS(Однолинейка!$H$3:$H$3000,U7,Однолинейка!$A$3:$A$3000,Щит_спец)),IF(A7="Аппарат",IF(C7="","",COUNTIFS(Однолинейка!$I$3:$I$3000,C7,Однолинейка!$A$3:$A$3000,Щит_спец)+COUNTIFS(Однолинейка!$J$3:$J$3000,C7,Однолинейка!$A$3:$A$3000,Щит_спец)+COUNTIFS(Однолинейка!$K$3:$K$3000,C7,Однолинейка!$A$3:$A$3000,Щит_спец)),IF(A7="Модуль",IF(C7="","",COUNTIFS(Однолинейка!$AW$3:$AW$3000,"?*",Однолинейка!$AI$3:$AI$3000,C7,Однолинейка!$A$3:$A$3000,Щит_спец)),IF(A7="Клемма",IF(C7="","",IF(C7=$S$7,SUMIFS(Однолинейка!$BW$3:$BW$3000,Однолинейка!$A$3:$A$3000,Щит_спец),IF(C7=$S$8,SUMIFS(Однолинейка!$BX$3:$BX$3000,Однолинейка!$A$3:$A$3000,Щит_спец),""))),""))))</f>
        <v>0</v>
      </c>
      <c r="O7" s="74"/>
      <c r="P7" s="38">
        <f t="shared" si="0"/>
        <v>0</v>
      </c>
      <c r="R7" s="38" t="s">
        <v>674</v>
      </c>
      <c r="S7" s="74" t="s">
        <v>323</v>
      </c>
      <c r="U7" s="38" t="str">
        <f t="shared" si="1"/>
        <v>4P С50А</v>
      </c>
      <c r="V7" s="38" t="str">
        <f t="shared" si="2"/>
        <v>Chint|4P С50А</v>
      </c>
      <c r="W7" s="38">
        <f>IF(AND(U7&lt;&gt;"",OR($S$4="(все)",B7=$S$4),IF($S$4="(все)",COUNTIF($U$4:U7,U7),COUNTIFS($U$4:U7,U7,$B$4:B7,B7))=1),MAX($W$3:W6)+1,"")</f>
        <v>4</v>
      </c>
      <c r="X7" s="38" t="str">
        <f t="shared" si="3"/>
        <v>4P С50А</v>
      </c>
      <c r="Y7" s="38" t="str">
        <f>IF(AND(A7="Аппарат",C7&lt;&gt;"",OR($S$5="(все)",B7=$S$5)),MAX($Y$3:Y6)+1,"")</f>
        <v/>
      </c>
      <c r="Z7" s="38" t="str">
        <f t="shared" si="4"/>
        <v>NJVA1-100</v>
      </c>
      <c r="AA7" s="38" t="str">
        <f>IF(AND(A7="Модуль",C7&lt;&gt;"",OR($S$6="(все)",B7=$S$6)),MAX($AA$3:AA6)+1,"")</f>
        <v/>
      </c>
      <c r="AB7" s="38" t="str">
        <f t="shared" si="5"/>
        <v>ZIOMB8V3</v>
      </c>
      <c r="AC7" s="38" t="str">
        <f>IF(OR(B7="",COUNTIF($B$4:B7,B7)&gt;1),"",MAX($AC$3:AC6)+1)</f>
        <v/>
      </c>
      <c r="AD7" s="38" t="str">
        <f t="shared" si="6"/>
        <v>Zennio</v>
      </c>
      <c r="AE7" s="38" t="str">
        <f t="shared" si="7"/>
        <v/>
      </c>
      <c r="AF7" s="38" t="str">
        <f t="shared" si="8"/>
        <v/>
      </c>
      <c r="AG7" s="38" t="str">
        <f>IF(Спецификация_авто!$L$7="","",IF(IF($S$4="(все)",COUNTIF($U$4:$U$500,Спецификация_авто!$L$7),COUNTIF($V$4:$V$500,$S$4&amp;"|"&amp;Спецификация_авто!$L$7))=0,Спецификация_авто!$L$7,""))</f>
        <v>3P С40А</v>
      </c>
      <c r="AH7" s="38">
        <f>IF(AG7="","",COUNTIF($AG$4:AG7,"?*"))</f>
        <v>2</v>
      </c>
    </row>
    <row r="8" spans="1:34" x14ac:dyDescent="0.3">
      <c r="A8" s="74" t="s">
        <v>7</v>
      </c>
      <c r="B8" s="74" t="s">
        <v>292</v>
      </c>
      <c r="C8" s="74" t="s">
        <v>675</v>
      </c>
      <c r="D8" s="74"/>
      <c r="E8" s="74"/>
      <c r="F8" s="74"/>
      <c r="G8" s="74" t="s">
        <v>676</v>
      </c>
      <c r="H8" s="74" t="s">
        <v>374</v>
      </c>
      <c r="I8" s="74" t="s">
        <v>668</v>
      </c>
      <c r="J8" s="74">
        <v>80</v>
      </c>
      <c r="K8" s="74" t="s">
        <v>493</v>
      </c>
      <c r="L8" s="74">
        <v>4.5</v>
      </c>
      <c r="M8" s="74" t="s">
        <v>288</v>
      </c>
      <c r="N8" s="38">
        <f>IF(OR(A8="Автомат",A8="Дифавтомат"),IF(W8="","",COUNTIFS(Однолинейка!$H$3:$H$3000,U8,Однолинейка!$A$3:$A$3000,Щит_спец)),IF(A8="Аппарат",IF(C8="","",COUNTIFS(Однолинейка!$I$3:$I$3000,C8,Однолинейка!$A$3:$A$3000,Щит_спец)+COUNTIFS(Однолинейка!$J$3:$J$3000,C8,Однолинейка!$A$3:$A$3000,Щит_спец)+COUNTIFS(Однолинейка!$K$3:$K$3000,C8,Однолинейка!$A$3:$A$3000,Щит_спец)),IF(A8="Модуль",IF(C8="","",COUNTIFS(Однолинейка!$AW$3:$AW$3000,"?*",Однолинейка!$AI$3:$AI$3000,C8,Однолинейка!$A$3:$A$3000,Щит_спец)),IF(A8="Клемма",IF(C8="","",IF(C8=$S$7,SUMIFS(Однолинейка!$BW$3:$BW$3000,Однолинейка!$A$3:$A$3000,Щит_спец),IF(C8=$S$8,SUMIFS(Однолинейка!$BX$3:$BX$3000,Однолинейка!$A$3:$A$3000,Щит_спец),""))),""))))</f>
        <v>2</v>
      </c>
      <c r="O8" s="74"/>
      <c r="P8" s="38">
        <f t="shared" si="0"/>
        <v>2</v>
      </c>
      <c r="R8" s="38" t="s">
        <v>677</v>
      </c>
      <c r="S8" s="74" t="s">
        <v>405</v>
      </c>
      <c r="U8" s="38" t="str">
        <f t="shared" si="1"/>
        <v>3P С80А</v>
      </c>
      <c r="V8" s="38" t="str">
        <f t="shared" si="2"/>
        <v>Chint|3P С80А</v>
      </c>
      <c r="W8" s="38">
        <f>IF(AND(U8&lt;&gt;"",OR($S$4="(все)",B8=$S$4),IF($S$4="(все)",COUNTIF($U$4:U8,U8),COUNTIFS($U$4:U8,U8,$B$4:B8,B8))=1),MAX($W$3:W7)+1,"")</f>
        <v>5</v>
      </c>
      <c r="X8" s="38" t="str">
        <f t="shared" si="3"/>
        <v>3P С80А</v>
      </c>
      <c r="Y8" s="38" t="str">
        <f>IF(AND(A8="Аппарат",C8&lt;&gt;"",OR($S$5="(все)",B8=$S$5)),MAX($Y$3:Y7)+1,"")</f>
        <v/>
      </c>
      <c r="Z8" s="38" t="str">
        <f t="shared" si="4"/>
        <v>NZK1-32 2P</v>
      </c>
      <c r="AA8" s="38" t="str">
        <f>IF(AND(A8="Модуль",C8&lt;&gt;"",OR($S$6="(все)",B8=$S$6)),MAX($AA$3:AA7)+1,"")</f>
        <v/>
      </c>
      <c r="AB8" s="38" t="str">
        <f t="shared" si="5"/>
        <v>ZCL-8HT230</v>
      </c>
      <c r="AC8" s="38" t="str">
        <f>IF(OR(B8="",COUNTIF($B$4:B8,B8)&gt;1),"",MAX($AC$3:AC7)+1)</f>
        <v/>
      </c>
      <c r="AD8" s="38" t="str">
        <f t="shared" si="6"/>
        <v>—</v>
      </c>
      <c r="AE8" s="38">
        <f t="shared" si="7"/>
        <v>2008</v>
      </c>
      <c r="AF8" s="38">
        <f t="shared" si="8"/>
        <v>3</v>
      </c>
      <c r="AG8" s="38" t="str">
        <f>IF(Спецификация_авто!$L$8="","",IF(IF($S$4="(все)",COUNTIF($U$4:$U$500,Спецификация_авто!$L$8),COUNTIF($V$4:$V$500,$S$4&amp;"|"&amp;Спецификация_авто!$L$8))=0,Спецификация_авто!$L$8,""))</f>
        <v>3P С25А</v>
      </c>
      <c r="AH8" s="38">
        <f>IF(AG8="","",COUNTIF($AG$4:AG8,"?*"))</f>
        <v>3</v>
      </c>
    </row>
    <row r="9" spans="1:34" x14ac:dyDescent="0.3">
      <c r="A9" s="74" t="s">
        <v>678</v>
      </c>
      <c r="B9" s="74" t="s">
        <v>292</v>
      </c>
      <c r="C9" s="74" t="s">
        <v>679</v>
      </c>
      <c r="D9" s="74"/>
      <c r="E9" s="74"/>
      <c r="F9" s="74"/>
      <c r="G9" s="74" t="s">
        <v>680</v>
      </c>
      <c r="H9" s="74" t="s">
        <v>299</v>
      </c>
      <c r="I9" s="74" t="s">
        <v>681</v>
      </c>
      <c r="J9" s="74">
        <v>16</v>
      </c>
      <c r="K9" s="74" t="s">
        <v>497</v>
      </c>
      <c r="L9" s="74">
        <v>2</v>
      </c>
      <c r="M9" s="74" t="s">
        <v>288</v>
      </c>
      <c r="N9" s="38">
        <f>IF(OR(A9="Автомат",A9="Дифавтомат"),IF(W9="","",COUNTIFS(Однолинейка!$H$3:$H$3000,U9,Однолинейка!$A$3:$A$3000,Щит_спец)),IF(A9="Аппарат",IF(C9="","",COUNTIFS(Однолинейка!$I$3:$I$3000,C9,Однолинейка!$A$3:$A$3000,Щит_спец)+COUNTIFS(Однолинейка!$J$3:$J$3000,C9,Однолинейка!$A$3:$A$3000,Щит_спец)+COUNTIFS(Однолинейка!$K$3:$K$3000,C9,Однолинейка!$A$3:$A$3000,Щит_спец)),IF(A9="Модуль",IF(C9="","",COUNTIFS(Однолинейка!$AW$3:$AW$3000,"?*",Однолинейка!$AI$3:$AI$3000,C9,Однолинейка!$A$3:$A$3000,Щит_спец)),IF(A9="Клемма",IF(C9="","",IF(C9=$S$7,SUMIFS(Однолинейка!$BW$3:$BW$3000,Однолинейка!$A$3:$A$3000,Щит_спец),IF(C9=$S$8,SUMIFS(Однолинейка!$BX$3:$BX$3000,Однолинейка!$A$3:$A$3000,Щит_спец),""))),""))))</f>
        <v>5</v>
      </c>
      <c r="O9" s="74"/>
      <c r="P9" s="38">
        <f t="shared" si="0"/>
        <v>5</v>
      </c>
      <c r="R9" s="38" t="s">
        <v>682</v>
      </c>
      <c r="S9" s="74">
        <v>1</v>
      </c>
      <c r="U9" s="38" t="str">
        <f t="shared" si="1"/>
        <v>2P С16А 30мА</v>
      </c>
      <c r="V9" s="38" t="str">
        <f t="shared" si="2"/>
        <v>Chint|2P С16А 30мА</v>
      </c>
      <c r="W9" s="38">
        <f>IF(AND(U9&lt;&gt;"",OR($S$4="(все)",B9=$S$4),IF($S$4="(все)",COUNTIF($U$4:U9,U9),COUNTIFS($U$4:U9,U9,$B$4:B9,B9))=1),MAX($W$3:W8)+1,"")</f>
        <v>6</v>
      </c>
      <c r="X9" s="38" t="str">
        <f t="shared" si="3"/>
        <v>2P С16А 30мА</v>
      </c>
      <c r="Y9" s="38" t="str">
        <f>IF(AND(A9="Аппарат",C9&lt;&gt;"",OR($S$5="(все)",B9=$S$5)),MAX($Y$3:Y8)+1,"")</f>
        <v/>
      </c>
      <c r="Z9" s="38" t="str">
        <f t="shared" si="4"/>
        <v>БП 24V 480W</v>
      </c>
      <c r="AA9" s="38" t="str">
        <f>IF(AND(A9="Модуль",C9&lt;&gt;"",OR($S$6="(все)",B9=$S$6)),MAX($AA$3:AA8)+1,"")</f>
        <v/>
      </c>
      <c r="AB9" s="38" t="str">
        <f t="shared" si="5"/>
        <v>ZDINDX4</v>
      </c>
      <c r="AC9" s="38" t="str">
        <f>IF(OR(B9="",COUNTIF($B$4:B9,B9)&gt;1),"",MAX($AC$3:AC8)+1)</f>
        <v/>
      </c>
      <c r="AD9" s="38" t="str">
        <f t="shared" si="6"/>
        <v>DKC</v>
      </c>
      <c r="AE9" s="38">
        <f t="shared" si="7"/>
        <v>3009</v>
      </c>
      <c r="AF9" s="38">
        <f t="shared" si="8"/>
        <v>4</v>
      </c>
      <c r="AG9" s="38" t="str">
        <f>IF(Спецификация_авто!$L$9="","",IF(IF($S$4="(все)",COUNTIF($U$4:$U$500,Спецификация_авто!$L$9),COUNTIF($V$4:$V$500,$S$4&amp;"|"&amp;Спецификация_авто!$L$9))=0,Спецификация_авто!$L$9,""))</f>
        <v>3P С6А</v>
      </c>
      <c r="AH9" s="38">
        <f>IF(AG9="","",COUNTIF($AG$4:AG9,"?*"))</f>
        <v>4</v>
      </c>
    </row>
    <row r="10" spans="1:34" x14ac:dyDescent="0.3">
      <c r="A10" s="74" t="s">
        <v>678</v>
      </c>
      <c r="B10" s="74" t="s">
        <v>292</v>
      </c>
      <c r="C10" s="74" t="s">
        <v>683</v>
      </c>
      <c r="D10" s="74"/>
      <c r="E10" s="74"/>
      <c r="F10" s="74"/>
      <c r="G10" s="74" t="s">
        <v>684</v>
      </c>
      <c r="H10" s="74" t="s">
        <v>390</v>
      </c>
      <c r="I10" s="74" t="s">
        <v>681</v>
      </c>
      <c r="J10" s="74">
        <v>20</v>
      </c>
      <c r="K10" s="74" t="s">
        <v>497</v>
      </c>
      <c r="L10" s="74">
        <v>2</v>
      </c>
      <c r="M10" s="74" t="s">
        <v>288</v>
      </c>
      <c r="N10" s="38">
        <f>IF(OR(A10="Автомат",A10="Дифавтомат"),IF(W10="","",COUNTIFS(Однолинейка!$H$3:$H$3000,U10,Однолинейка!$A$3:$A$3000,Щит_спец)),IF(A10="Аппарат",IF(C10="","",COUNTIFS(Однолинейка!$I$3:$I$3000,C10,Однолинейка!$A$3:$A$3000,Щит_спец)+COUNTIFS(Однолинейка!$J$3:$J$3000,C10,Однолинейка!$A$3:$A$3000,Щит_спец)+COUNTIFS(Однолинейка!$K$3:$K$3000,C10,Однолинейка!$A$3:$A$3000,Щит_спец)),IF(A10="Модуль",IF(C10="","",COUNTIFS(Однолинейка!$AW$3:$AW$3000,"?*",Однолинейка!$AI$3:$AI$3000,C10,Однолинейка!$A$3:$A$3000,Щит_спец)),IF(A10="Клемма",IF(C10="","",IF(C10=$S$7,SUMIFS(Однолинейка!$BW$3:$BW$3000,Однолинейка!$A$3:$A$3000,Щит_спец),IF(C10=$S$8,SUMIFS(Однолинейка!$BX$3:$BX$3000,Однолинейка!$A$3:$A$3000,Щит_спец),""))),""))))</f>
        <v>0</v>
      </c>
      <c r="O10" s="74"/>
      <c r="P10" s="38">
        <f t="shared" si="0"/>
        <v>0</v>
      </c>
      <c r="U10" s="38" t="str">
        <f t="shared" si="1"/>
        <v>2P С20А 30мА</v>
      </c>
      <c r="V10" s="38" t="str">
        <f t="shared" si="2"/>
        <v>Chint|2P С20А 30мА</v>
      </c>
      <c r="W10" s="38">
        <f>IF(AND(U10&lt;&gt;"",OR($S$4="(все)",B10=$S$4),IF($S$4="(все)",COUNTIF($U$4:U10,U10),COUNTIFS($U$4:U10,U10,$B$4:B10,B10))=1),MAX($W$3:W9)+1,"")</f>
        <v>7</v>
      </c>
      <c r="X10" s="38" t="str">
        <f t="shared" si="3"/>
        <v>2P С20А 30мА</v>
      </c>
      <c r="Y10" s="38" t="str">
        <f>IF(AND(A10="Аппарат",C10&lt;&gt;"",OR($S$5="(все)",B10=$S$5)),MAX($Y$3:Y9)+1,"")</f>
        <v/>
      </c>
      <c r="Z10" s="38" t="str">
        <f t="shared" si="4"/>
        <v>БП 24V 75W</v>
      </c>
      <c r="AA10" s="38" t="str">
        <f>IF(AND(A10="Модуль",C10&lt;&gt;"",OR($S$6="(все)",B10=$S$6)),MAX($AA$3:AA9)+1,"")</f>
        <v/>
      </c>
      <c r="AB10" s="38" t="str">
        <f t="shared" si="5"/>
        <v>ZDID64X2</v>
      </c>
      <c r="AC10" s="38" t="str">
        <f>IF(OR(B10="",COUNTIF($B$4:B10,B10)&gt;1),"",MAX($AC$3:AC9)+1)</f>
        <v/>
      </c>
      <c r="AD10" s="38" t="str">
        <f t="shared" si="6"/>
        <v>EKF</v>
      </c>
      <c r="AE10" s="38" t="str">
        <f t="shared" si="7"/>
        <v/>
      </c>
      <c r="AF10" s="38" t="str">
        <f t="shared" si="8"/>
        <v/>
      </c>
      <c r="AG10" s="38" t="str">
        <f>IF(Спецификация_авто!$L$10="","",IF(IF($S$4="(все)",COUNTIF($U$4:$U$500,Спецификация_авто!$L$10),COUNTIF($V$4:$V$500,$S$4&amp;"|"&amp;Спецификация_авто!$L$10))=0,Спецификация_авто!$L$10,""))</f>
        <v/>
      </c>
      <c r="AH10" s="38" t="str">
        <f>IF(AG10="","",COUNTIF($AG$4:AG10,"?*"))</f>
        <v/>
      </c>
    </row>
    <row r="11" spans="1:34" ht="27.6" x14ac:dyDescent="0.3">
      <c r="A11" s="74" t="s">
        <v>678</v>
      </c>
      <c r="B11" s="74" t="s">
        <v>292</v>
      </c>
      <c r="C11" s="74" t="s">
        <v>685</v>
      </c>
      <c r="D11" s="74"/>
      <c r="E11" s="74"/>
      <c r="F11" s="74"/>
      <c r="G11" s="74" t="s">
        <v>686</v>
      </c>
      <c r="H11" s="74" t="s">
        <v>298</v>
      </c>
      <c r="I11" s="74" t="s">
        <v>681</v>
      </c>
      <c r="J11" s="74">
        <v>32</v>
      </c>
      <c r="K11" s="74" t="s">
        <v>497</v>
      </c>
      <c r="L11" s="74">
        <v>2</v>
      </c>
      <c r="M11" s="74" t="s">
        <v>288</v>
      </c>
      <c r="N11" s="38">
        <f>IF(OR(A11="Автомат",A11="Дифавтомат"),IF(W11="","",COUNTIFS(Однолинейка!$H$3:$H$3000,U11,Однолинейка!$A$3:$A$3000,Щит_спец)),IF(A11="Аппарат",IF(C11="","",COUNTIFS(Однолинейка!$I$3:$I$3000,C11,Однолинейка!$A$3:$A$3000,Щит_спец)+COUNTIFS(Однолинейка!$J$3:$J$3000,C11,Однолинейка!$A$3:$A$3000,Щит_спец)+COUNTIFS(Однолинейка!$K$3:$K$3000,C11,Однолинейка!$A$3:$A$3000,Щит_спец)),IF(A11="Модуль",IF(C11="","",COUNTIFS(Однолинейка!$AW$3:$AW$3000,"?*",Однолинейка!$AI$3:$AI$3000,C11,Однолинейка!$A$3:$A$3000,Щит_спец)),IF(A11="Клемма",IF(C11="","",IF(C11=$S$7,SUMIFS(Однолинейка!$BW$3:$BW$3000,Однолинейка!$A$3:$A$3000,Щит_спец),IF(C11=$S$8,SUMIFS(Однолинейка!$BX$3:$BX$3000,Однолинейка!$A$3:$A$3000,Щит_спец),""))),""))))</f>
        <v>1</v>
      </c>
      <c r="O11" s="74"/>
      <c r="P11" s="38">
        <f t="shared" si="0"/>
        <v>1</v>
      </c>
      <c r="R11" s="35" t="s">
        <v>687</v>
      </c>
      <c r="S11" s="35"/>
      <c r="U11" s="38" t="str">
        <f t="shared" si="1"/>
        <v>2P С32А 30мА</v>
      </c>
      <c r="V11" s="38" t="str">
        <f t="shared" si="2"/>
        <v>Chint|2P С32А 30мА</v>
      </c>
      <c r="W11" s="38">
        <f>IF(AND(U11&lt;&gt;"",OR($S$4="(все)",B11=$S$4),IF($S$4="(все)",COUNTIF($U$4:U11,U11),COUNTIFS($U$4:U11,U11,$B$4:B11,B11))=1),MAX($W$3:W10)+1,"")</f>
        <v>8</v>
      </c>
      <c r="X11" s="38" t="str">
        <f t="shared" si="3"/>
        <v>2P С32А 30мА</v>
      </c>
      <c r="Y11" s="38" t="str">
        <f>IF(AND(A11="Аппарат",C11&lt;&gt;"",OR($S$5="(все)",B11=$S$5)),MAX($Y$3:Y10)+1,"")</f>
        <v/>
      </c>
      <c r="Z11" s="38" t="str">
        <f t="shared" si="4"/>
        <v>БП 12V 135W</v>
      </c>
      <c r="AA11" s="38" t="str">
        <f>IF(AND(A11="Модуль",C11&lt;&gt;"",OR($S$6="(все)",B11=$S$6)),MAX($AA$3:AA10)+1,"")</f>
        <v/>
      </c>
      <c r="AB11" s="38" t="str">
        <f t="shared" si="5"/>
        <v>ZIO-RQUAD8</v>
      </c>
      <c r="AC11" s="38" t="str">
        <f>IF(OR(B11="",COUNTIF($B$4:B11,B11)&gt;1),"",MAX($AC$3:AC10)+1)</f>
        <v/>
      </c>
      <c r="AD11" s="38" t="str">
        <f t="shared" si="6"/>
        <v>РЭК</v>
      </c>
      <c r="AE11" s="38">
        <f t="shared" si="7"/>
        <v>3011</v>
      </c>
      <c r="AF11" s="38">
        <f t="shared" si="8"/>
        <v>5</v>
      </c>
      <c r="AG11" s="38" t="str">
        <f>IF(Спецификация_авто!$L$11="","",IF(IF($S$4="(все)",COUNTIF($U$4:$U$500,Спецификация_авто!$L$11),COUNTIF($V$4:$V$500,$S$4&amp;"|"&amp;Спецификация_авто!$L$11))=0,Спецификация_авто!$L$11,""))</f>
        <v/>
      </c>
      <c r="AH11" s="38" t="str">
        <f>IF(AG11="","",COUNTIF($AG$4:AG11,"?*"))</f>
        <v/>
      </c>
    </row>
    <row r="12" spans="1:34" x14ac:dyDescent="0.3">
      <c r="A12" s="74" t="s">
        <v>688</v>
      </c>
      <c r="B12" s="74" t="s">
        <v>305</v>
      </c>
      <c r="C12" s="74" t="s">
        <v>537</v>
      </c>
      <c r="D12" s="74"/>
      <c r="E12" s="74"/>
      <c r="F12" s="74"/>
      <c r="G12" s="74" t="s">
        <v>303</v>
      </c>
      <c r="H12" s="74" t="s">
        <v>304</v>
      </c>
      <c r="I12" s="74"/>
      <c r="J12" s="74"/>
      <c r="K12" s="74"/>
      <c r="L12" s="74">
        <v>1</v>
      </c>
      <c r="M12" s="74" t="s">
        <v>288</v>
      </c>
      <c r="N12" s="38">
        <f>IF(OR(A12="Автомат",A12="Дифавтомат"),IF(W12="","",COUNTIFS(Однолинейка!$H$3:$H$3000,U12,Однолинейка!$A$3:$A$3000,Щит_спец)),IF(A12="Аппарат",IF(C12="","",COUNTIFS(Однолинейка!$I$3:$I$3000,C12,Однолинейка!$A$3:$A$3000,Щит_спец)+COUNTIFS(Однолинейка!$J$3:$J$3000,C12,Однолинейка!$A$3:$A$3000,Щит_спец)+COUNTIFS(Однолинейка!$K$3:$K$3000,C12,Однолинейка!$A$3:$A$3000,Щит_спец)),IF(A12="Модуль",IF(C12="","",COUNTIFS(Однолинейка!$AW$3:$AW$3000,"?*",Однолинейка!$AI$3:$AI$3000,C12,Однолинейка!$A$3:$A$3000,Щит_спец)),IF(A12="Клемма",IF(C12="","",IF(C12=$S$7,SUMIFS(Однолинейка!$BW$3:$BW$3000,Однолинейка!$A$3:$A$3000,Щит_спец),IF(C12=$S$8,SUMIFS(Однолинейка!$BX$3:$BX$3000,Однолинейка!$A$3:$A$3000,Щит_спец),""))),""))))</f>
        <v>2</v>
      </c>
      <c r="O12" s="74"/>
      <c r="P12" s="38">
        <f t="shared" si="0"/>
        <v>2</v>
      </c>
      <c r="R12" s="74" t="s">
        <v>689</v>
      </c>
      <c r="U12" s="38" t="str">
        <f t="shared" si="1"/>
        <v/>
      </c>
      <c r="V12" s="38" t="str">
        <f t="shared" si="2"/>
        <v/>
      </c>
      <c r="W12" s="38" t="str">
        <f>IF(AND(U12&lt;&gt;"",OR($S$4="(все)",B12=$S$4),IF($S$4="(все)",COUNTIF($U$4:U12,U12),COUNTIFS($U$4:U12,U12,$B$4:B12,B12))=1),MAX($W$3:W11)+1,"")</f>
        <v/>
      </c>
      <c r="X12" s="38" t="str">
        <f t="shared" si="3"/>
        <v/>
      </c>
      <c r="Y12" s="38">
        <f>IF(AND(A12="Аппарат",C12&lt;&gt;"",OR($S$5="(все)",B12=$S$5)),MAX($Y$3:Y11)+1,"")</f>
        <v>1</v>
      </c>
      <c r="Z12" s="38" t="str">
        <f t="shared" si="4"/>
        <v>БП 12V 15W</v>
      </c>
      <c r="AA12" s="38" t="str">
        <f>IF(AND(A12="Модуль",C12&lt;&gt;"",OR($S$6="(все)",B12=$S$6)),MAX($AA$3:AA11)+1,"")</f>
        <v/>
      </c>
      <c r="AB12" s="38" t="str">
        <f t="shared" si="5"/>
        <v>SMART-DALI-104</v>
      </c>
      <c r="AC12" s="38">
        <f>IF(OR(B12="",COUNTIF($B$4:B12,B12)&gt;1),"",MAX($AC$3:AC11)+1)</f>
        <v>2</v>
      </c>
      <c r="AD12" s="38" t="str">
        <f t="shared" si="6"/>
        <v>КВТ</v>
      </c>
      <c r="AE12" s="38">
        <f t="shared" si="7"/>
        <v>4012</v>
      </c>
      <c r="AF12" s="38">
        <f t="shared" si="8"/>
        <v>6</v>
      </c>
      <c r="AG12" s="38" t="str">
        <f>IF(Спецификация_авто!$L$12="","",IF(IF($S$4="(все)",COUNTIF($U$4:$U$500,Спецификация_авто!$L$12),COUNTIF($V$4:$V$500,$S$4&amp;"|"&amp;Спецификация_авто!$L$12))=0,Спецификация_авто!$L$12,""))</f>
        <v/>
      </c>
      <c r="AH12" s="38" t="str">
        <f>IF(AG12="","",COUNTIF($AG$4:AG12,"?*"))</f>
        <v/>
      </c>
    </row>
    <row r="13" spans="1:34" x14ac:dyDescent="0.3">
      <c r="A13" s="74" t="s">
        <v>688</v>
      </c>
      <c r="B13" s="74" t="s">
        <v>292</v>
      </c>
      <c r="C13" s="74" t="s">
        <v>690</v>
      </c>
      <c r="D13" s="74"/>
      <c r="E13" s="74"/>
      <c r="F13" s="74"/>
      <c r="G13" s="74" t="s">
        <v>691</v>
      </c>
      <c r="H13" s="74" t="s">
        <v>294</v>
      </c>
      <c r="I13" s="74"/>
      <c r="J13" s="74"/>
      <c r="K13" s="74"/>
      <c r="L13" s="74">
        <v>3</v>
      </c>
      <c r="M13" s="74" t="s">
        <v>288</v>
      </c>
      <c r="N13" s="38">
        <f>IF(OR(A13="Автомат",A13="Дифавтомат"),IF(W13="","",COUNTIFS(Однолинейка!$H$3:$H$3000,U13,Однолинейка!$A$3:$A$3000,Щит_спец)),IF(A13="Аппарат",IF(C13="","",COUNTIFS(Однолинейка!$I$3:$I$3000,C13,Однолинейка!$A$3:$A$3000,Щит_спец)+COUNTIFS(Однолинейка!$J$3:$J$3000,C13,Однолинейка!$A$3:$A$3000,Щит_спец)+COUNTIFS(Однолинейка!$K$3:$K$3000,C13,Однолинейка!$A$3:$A$3000,Щит_спец)),IF(A13="Модуль",IF(C13="","",COUNTIFS(Однолинейка!$AW$3:$AW$3000,"?*",Однолинейка!$AI$3:$AI$3000,C13,Однолинейка!$A$3:$A$3000,Щит_спец)),IF(A13="Клемма",IF(C13="","",IF(C13=$S$7,SUMIFS(Однолинейка!$BW$3:$BW$3000,Однолинейка!$A$3:$A$3000,Щит_спец),IF(C13=$S$8,SUMIFS(Однолинейка!$BX$3:$BX$3000,Однолинейка!$A$3:$A$3000,Щит_спец),""))),""))))</f>
        <v>0</v>
      </c>
      <c r="O13" s="74"/>
      <c r="P13" s="38">
        <f t="shared" si="0"/>
        <v>0</v>
      </c>
      <c r="R13" s="74" t="s">
        <v>7</v>
      </c>
      <c r="U13" s="38" t="str">
        <f t="shared" si="1"/>
        <v/>
      </c>
      <c r="V13" s="38" t="str">
        <f t="shared" si="2"/>
        <v/>
      </c>
      <c r="W13" s="38" t="str">
        <f>IF(AND(U13&lt;&gt;"",OR($S$4="(все)",B13=$S$4),IF($S$4="(все)",COUNTIF($U$4:U13,U13),COUNTIFS($U$4:U13,U13,$B$4:B13,B13))=1),MAX($W$3:W12)+1,"")</f>
        <v/>
      </c>
      <c r="X13" s="38" t="str">
        <f t="shared" si="3"/>
        <v/>
      </c>
      <c r="Y13" s="38">
        <f>IF(AND(A13="Аппарат",C13&lt;&gt;"",OR($S$5="(все)",B13=$S$5)),MAX($Y$3:Y12)+1,"")</f>
        <v>2</v>
      </c>
      <c r="Z13" s="38" t="str">
        <f t="shared" si="4"/>
        <v>ZPSU640</v>
      </c>
      <c r="AA13" s="38" t="str">
        <f>IF(AND(A13="Модуль",C13&lt;&gt;"",OR($S$6="(все)",B13=$S$6)),MAX($AA$3:AA12)+1,"")</f>
        <v/>
      </c>
      <c r="AB13" s="38" t="str">
        <f t="shared" si="5"/>
        <v>уточнить-R</v>
      </c>
      <c r="AC13" s="38" t="str">
        <f>IF(OR(B13="",COUNTIF($B$4:B13,B13)&gt;1),"",MAX($AC$3:AC12)+1)</f>
        <v/>
      </c>
      <c r="AD13" s="38" t="str">
        <f t="shared" si="6"/>
        <v/>
      </c>
      <c r="AE13" s="38" t="str">
        <f t="shared" si="7"/>
        <v/>
      </c>
      <c r="AF13" s="38" t="str">
        <f t="shared" si="8"/>
        <v/>
      </c>
      <c r="AG13" s="38" t="str">
        <f>IF(Спецификация_авто!$L$13="","",IF(IF($S$4="(все)",COUNTIF($U$4:$U$500,Спецификация_авто!$L$13),COUNTIF($V$4:$V$500,$S$4&amp;"|"&amp;Спецификация_авто!$L$13))=0,Спецификация_авто!$L$13,""))</f>
        <v>2P С16А 10мА</v>
      </c>
      <c r="AH13" s="38">
        <f>IF(AG13="","",COUNTIF($AG$4:AG13,"?*"))</f>
        <v>5</v>
      </c>
    </row>
    <row r="14" spans="1:34" x14ac:dyDescent="0.3">
      <c r="A14" s="74" t="s">
        <v>688</v>
      </c>
      <c r="B14" s="74" t="s">
        <v>292</v>
      </c>
      <c r="C14" s="74" t="s">
        <v>692</v>
      </c>
      <c r="D14" s="74"/>
      <c r="E14" s="74"/>
      <c r="F14" s="74"/>
      <c r="G14" s="74" t="s">
        <v>693</v>
      </c>
      <c r="H14" s="74" t="s">
        <v>300</v>
      </c>
      <c r="I14" s="74"/>
      <c r="J14" s="74"/>
      <c r="K14" s="74"/>
      <c r="L14" s="74">
        <v>3</v>
      </c>
      <c r="M14" s="74" t="s">
        <v>288</v>
      </c>
      <c r="N14" s="38">
        <f>IF(OR(A14="Автомат",A14="Дифавтомат"),IF(W14="","",COUNTIFS(Однолинейка!$H$3:$H$3000,U14,Однолинейка!$A$3:$A$3000,Щит_спец)),IF(A14="Аппарат",IF(C14="","",COUNTIFS(Однолинейка!$I$3:$I$3000,C14,Однолинейка!$A$3:$A$3000,Щит_спец)+COUNTIFS(Однолинейка!$J$3:$J$3000,C14,Однолинейка!$A$3:$A$3000,Щит_спец)+COUNTIFS(Однолинейка!$K$3:$K$3000,C14,Однолинейка!$A$3:$A$3000,Щит_спец)),IF(A14="Модуль",IF(C14="","",COUNTIFS(Однолинейка!$AW$3:$AW$3000,"?*",Однолинейка!$AI$3:$AI$3000,C14,Однолинейка!$A$3:$A$3000,Щит_спец)),IF(A14="Клемма",IF(C14="","",IF(C14=$S$7,SUMIFS(Однолинейка!$BW$3:$BW$3000,Однолинейка!$A$3:$A$3000,Щит_спец),IF(C14=$S$8,SUMIFS(Однолинейка!$BX$3:$BX$3000,Однолинейка!$A$3:$A$3000,Щит_спец),""))),""))))</f>
        <v>1</v>
      </c>
      <c r="O14" s="74"/>
      <c r="P14" s="38">
        <f t="shared" si="0"/>
        <v>1</v>
      </c>
      <c r="R14" s="74" t="s">
        <v>678</v>
      </c>
      <c r="U14" s="38" t="str">
        <f t="shared" si="1"/>
        <v/>
      </c>
      <c r="V14" s="38" t="str">
        <f t="shared" si="2"/>
        <v/>
      </c>
      <c r="W14" s="38" t="str">
        <f>IF(AND(U14&lt;&gt;"",OR($S$4="(все)",B14=$S$4),IF($S$4="(все)",COUNTIF($U$4:U14,U14),COUNTIFS($U$4:U14,U14,$B$4:B14,B14))=1),MAX($W$3:W13)+1,"")</f>
        <v/>
      </c>
      <c r="X14" s="38" t="str">
        <f t="shared" si="3"/>
        <v/>
      </c>
      <c r="Y14" s="38">
        <f>IF(AND(A14="Аппарат",C14&lt;&gt;"",OR($S$5="(все)",B14=$S$5)),MAX($Y$3:Y13)+1,"")</f>
        <v>3</v>
      </c>
      <c r="Z14" s="38" t="str">
        <f t="shared" si="4"/>
        <v/>
      </c>
      <c r="AA14" s="38" t="str">
        <f>IF(AND(A14="Модуль",C14&lt;&gt;"",OR($S$6="(все)",B14=$S$6)),MAX($AA$3:AA13)+1,"")</f>
        <v/>
      </c>
      <c r="AB14" s="38" t="str">
        <f t="shared" si="5"/>
        <v>уточнить-Z</v>
      </c>
      <c r="AC14" s="38" t="str">
        <f>IF(OR(B14="",COUNTIF($B$4:B14,B14)&gt;1),"",MAX($AC$3:AC13)+1)</f>
        <v/>
      </c>
      <c r="AD14" s="38" t="str">
        <f t="shared" si="6"/>
        <v/>
      </c>
      <c r="AE14" s="38">
        <f t="shared" si="7"/>
        <v>4014</v>
      </c>
      <c r="AF14" s="38">
        <f t="shared" si="8"/>
        <v>7</v>
      </c>
      <c r="AG14" s="38" t="str">
        <f>IF(Спецификация_авто!$L$14="","",IF(IF($S$4="(все)",COUNTIF($U$4:$U$500,Спецификация_авто!$L$14),COUNTIF($V$4:$V$500,$S$4&amp;"|"&amp;Спецификация_авто!$L$14))=0,Спецификация_авто!$L$14,""))</f>
        <v>3P С10А</v>
      </c>
      <c r="AH14" s="38">
        <f>IF(AG14="","",COUNTIF($AG$4:AG14,"?*"))</f>
        <v>6</v>
      </c>
    </row>
    <row r="15" spans="1:34" x14ac:dyDescent="0.3">
      <c r="A15" s="74" t="s">
        <v>688</v>
      </c>
      <c r="B15" s="74" t="s">
        <v>292</v>
      </c>
      <c r="C15" s="74" t="s">
        <v>694</v>
      </c>
      <c r="D15" s="74"/>
      <c r="E15" s="74"/>
      <c r="F15" s="74"/>
      <c r="G15" s="74" t="s">
        <v>370</v>
      </c>
      <c r="H15" s="74" t="s">
        <v>371</v>
      </c>
      <c r="I15" s="74"/>
      <c r="J15" s="74"/>
      <c r="K15" s="74"/>
      <c r="L15" s="74"/>
      <c r="M15" s="74" t="s">
        <v>288</v>
      </c>
      <c r="N15" s="38">
        <f>IF(OR(A15="Автомат",A15="Дифавтомат"),IF(W15="","",COUNTIFS(Однолинейка!$H$3:$H$3000,U15,Однолинейка!$A$3:$A$3000,Щит_спец)),IF(A15="Аппарат",IF(C15="","",COUNTIFS(Однолинейка!$I$3:$I$3000,C15,Однолинейка!$A$3:$A$3000,Щит_спец)+COUNTIFS(Однолинейка!$J$3:$J$3000,C15,Однолинейка!$A$3:$A$3000,Щит_спец)+COUNTIFS(Однолинейка!$K$3:$K$3000,C15,Однолинейка!$A$3:$A$3000,Щит_спец)),IF(A15="Модуль",IF(C15="","",COUNTIFS(Однолинейка!$AW$3:$AW$3000,"?*",Однолинейка!$AI$3:$AI$3000,C15,Однолинейка!$A$3:$A$3000,Щит_спец)),IF(A15="Клемма",IF(C15="","",IF(C15=$S$7,SUMIFS(Однолинейка!$BW$3:$BW$3000,Однолинейка!$A$3:$A$3000,Щит_спец),IF(C15=$S$8,SUMIFS(Однолинейка!$BX$3:$BX$3000,Однолинейка!$A$3:$A$3000,Щит_спец),""))),""))))</f>
        <v>0</v>
      </c>
      <c r="O15" s="74"/>
      <c r="P15" s="38">
        <f t="shared" si="0"/>
        <v>0</v>
      </c>
      <c r="R15" s="74" t="s">
        <v>688</v>
      </c>
      <c r="U15" s="38" t="str">
        <f t="shared" si="1"/>
        <v/>
      </c>
      <c r="V15" s="38" t="str">
        <f t="shared" si="2"/>
        <v/>
      </c>
      <c r="W15" s="38" t="str">
        <f>IF(AND(U15&lt;&gt;"",OR($S$4="(все)",B15=$S$4),IF($S$4="(все)",COUNTIF($U$4:U15,U15),COUNTIFS($U$4:U15,U15,$B$4:B15,B15))=1),MAX($W$3:W14)+1,"")</f>
        <v/>
      </c>
      <c r="X15" s="38" t="str">
        <f t="shared" si="3"/>
        <v/>
      </c>
      <c r="Y15" s="38">
        <f>IF(AND(A15="Аппарат",C15&lt;&gt;"",OR($S$5="(все)",B15=$S$5)),MAX($Y$3:Y14)+1,"")</f>
        <v>4</v>
      </c>
      <c r="Z15" s="38" t="str">
        <f t="shared" si="4"/>
        <v/>
      </c>
      <c r="AA15" s="38" t="str">
        <f>IF(AND(A15="Модуль",C15&lt;&gt;"",OR($S$6="(все)",B15=$S$6)),MAX($AA$3:AA14)+1,"")</f>
        <v/>
      </c>
      <c r="AB15" s="38" t="str">
        <f t="shared" si="5"/>
        <v/>
      </c>
      <c r="AC15" s="38" t="str">
        <f>IF(OR(B15="",COUNTIF($B$4:B15,B15)&gt;1),"",MAX($AC$3:AC14)+1)</f>
        <v/>
      </c>
      <c r="AD15" s="38" t="str">
        <f t="shared" si="6"/>
        <v/>
      </c>
      <c r="AE15" s="38" t="str">
        <f t="shared" si="7"/>
        <v/>
      </c>
      <c r="AF15" s="38" t="str">
        <f t="shared" si="8"/>
        <v/>
      </c>
      <c r="AG15" s="38" t="str">
        <f>IF(Спецификация_авто!$L$15="","",IF(IF($S$4="(все)",COUNTIF($U$4:$U$500,Спецификация_авто!$L$15),COUNTIF($V$4:$V$500,$S$4&amp;"|"&amp;Спецификация_авто!$L$15))=0,Спецификация_авто!$L$15,""))</f>
        <v>3P С16А</v>
      </c>
      <c r="AH15" s="38">
        <f>IF(AG15="","",COUNTIF($AG$4:AG15,"?*"))</f>
        <v>7</v>
      </c>
    </row>
    <row r="16" spans="1:34" x14ac:dyDescent="0.3">
      <c r="A16" s="74" t="s">
        <v>688</v>
      </c>
      <c r="B16" s="74" t="s">
        <v>292</v>
      </c>
      <c r="C16" s="74" t="s">
        <v>695</v>
      </c>
      <c r="D16" s="74"/>
      <c r="E16" s="74"/>
      <c r="F16" s="74"/>
      <c r="G16" s="74" t="s">
        <v>696</v>
      </c>
      <c r="H16" s="74" t="s">
        <v>295</v>
      </c>
      <c r="I16" s="74"/>
      <c r="J16" s="74"/>
      <c r="K16" s="74"/>
      <c r="L16" s="74"/>
      <c r="M16" s="74" t="s">
        <v>288</v>
      </c>
      <c r="N16" s="38">
        <f>IF(OR(A16="Автомат",A16="Дифавтомат"),IF(W16="","",COUNTIFS(Однолинейка!$H$3:$H$3000,U16,Однолинейка!$A$3:$A$3000,Щит_спец)),IF(A16="Аппарат",IF(C16="","",COUNTIFS(Однолинейка!$I$3:$I$3000,C16,Однолинейка!$A$3:$A$3000,Щит_спец)+COUNTIFS(Однолинейка!$J$3:$J$3000,C16,Однолинейка!$A$3:$A$3000,Щит_спец)+COUNTIFS(Однолинейка!$K$3:$K$3000,C16,Однолинейка!$A$3:$A$3000,Щит_спец)),IF(A16="Модуль",IF(C16="","",COUNTIFS(Однолинейка!$AW$3:$AW$3000,"?*",Однолинейка!$AI$3:$AI$3000,C16,Однолинейка!$A$3:$A$3000,Щит_спец)),IF(A16="Клемма",IF(C16="","",IF(C16=$S$7,SUMIFS(Однолинейка!$BW$3:$BW$3000,Однолинейка!$A$3:$A$3000,Щит_спец),IF(C16=$S$8,SUMIFS(Однолинейка!$BX$3:$BX$3000,Однолинейка!$A$3:$A$3000,Щит_спец),""))),""))))</f>
        <v>0</v>
      </c>
      <c r="O16" s="74"/>
      <c r="P16" s="38">
        <f t="shared" si="0"/>
        <v>0</v>
      </c>
      <c r="R16" s="74" t="s">
        <v>441</v>
      </c>
      <c r="U16" s="38" t="str">
        <f t="shared" si="1"/>
        <v/>
      </c>
      <c r="V16" s="38" t="str">
        <f t="shared" si="2"/>
        <v/>
      </c>
      <c r="W16" s="38" t="str">
        <f>IF(AND(U16&lt;&gt;"",OR($S$4="(все)",B16=$S$4),IF($S$4="(все)",COUNTIF($U$4:U16,U16),COUNTIFS($U$4:U16,U16,$B$4:B16,B16))=1),MAX($W$3:W15)+1,"")</f>
        <v/>
      </c>
      <c r="X16" s="38" t="str">
        <f t="shared" si="3"/>
        <v/>
      </c>
      <c r="Y16" s="38">
        <f>IF(AND(A16="Аппарат",C16&lt;&gt;"",OR($S$5="(все)",B16=$S$5)),MAX($Y$3:Y15)+1,"")</f>
        <v>5</v>
      </c>
      <c r="Z16" s="38" t="str">
        <f t="shared" si="4"/>
        <v/>
      </c>
      <c r="AA16" s="38" t="str">
        <f>IF(AND(A16="Модуль",C16&lt;&gt;"",OR($S$6="(все)",B16=$S$6)),MAX($AA$3:AA15)+1,"")</f>
        <v/>
      </c>
      <c r="AB16" s="38" t="str">
        <f t="shared" si="5"/>
        <v/>
      </c>
      <c r="AC16" s="38" t="str">
        <f>IF(OR(B16="",COUNTIF($B$4:B16,B16)&gt;1),"",MAX($AC$3:AC15)+1)</f>
        <v/>
      </c>
      <c r="AD16" s="38" t="str">
        <f t="shared" si="6"/>
        <v/>
      </c>
      <c r="AE16" s="38" t="str">
        <f t="shared" si="7"/>
        <v/>
      </c>
      <c r="AF16" s="38" t="str">
        <f t="shared" si="8"/>
        <v/>
      </c>
      <c r="AG16" s="38" t="str">
        <f>IF(Спецификация_авто!$L$16="","",IF(IF($S$4="(все)",COUNTIF($U$4:$U$500,Спецификация_авто!$L$16),COUNTIF($V$4:$V$500,$S$4&amp;"|"&amp;Спецификация_авто!$L$16))=0,Спецификация_авто!$L$16,""))</f>
        <v/>
      </c>
      <c r="AH16" s="38" t="str">
        <f>IF(AG16="","",COUNTIF($AG$4:AG16,"?*"))</f>
        <v/>
      </c>
    </row>
    <row r="17" spans="1:34" x14ac:dyDescent="0.3">
      <c r="A17" s="74" t="s">
        <v>688</v>
      </c>
      <c r="B17" s="74" t="s">
        <v>301</v>
      </c>
      <c r="C17" s="74" t="s">
        <v>697</v>
      </c>
      <c r="D17" s="74"/>
      <c r="E17" s="74"/>
      <c r="F17" s="74"/>
      <c r="G17" s="74" t="s">
        <v>698</v>
      </c>
      <c r="H17" s="74" t="s">
        <v>369</v>
      </c>
      <c r="I17" s="74"/>
      <c r="J17" s="74"/>
      <c r="K17" s="74"/>
      <c r="L17" s="74"/>
      <c r="M17" s="74" t="s">
        <v>288</v>
      </c>
      <c r="N17" s="38">
        <f>IF(OR(A17="Автомат",A17="Дифавтомат"),IF(W17="","",COUNTIFS(Однолинейка!$H$3:$H$3000,U17,Однолинейка!$A$3:$A$3000,Щит_спец)),IF(A17="Аппарат",IF(C17="","",COUNTIFS(Однолинейка!$I$3:$I$3000,C17,Однолинейка!$A$3:$A$3000,Щит_спец)+COUNTIFS(Однолинейка!$J$3:$J$3000,C17,Однолинейка!$A$3:$A$3000,Щит_спец)+COUNTIFS(Однолинейка!$K$3:$K$3000,C17,Однолинейка!$A$3:$A$3000,Щит_спец)),IF(A17="Модуль",IF(C17="","",COUNTIFS(Однолинейка!$AW$3:$AW$3000,"?*",Однолинейка!$AI$3:$AI$3000,C17,Однолинейка!$A$3:$A$3000,Щит_спец)),IF(A17="Клемма",IF(C17="","",IF(C17=$S$7,SUMIFS(Однолинейка!$BW$3:$BW$3000,Однолинейка!$A$3:$A$3000,Щит_спец),IF(C17=$S$8,SUMIFS(Однолинейка!$BX$3:$BX$3000,Однолинейка!$A$3:$A$3000,Щит_спец),""))),""))))</f>
        <v>1</v>
      </c>
      <c r="O17" s="74"/>
      <c r="P17" s="38">
        <f t="shared" si="0"/>
        <v>1</v>
      </c>
      <c r="R17" s="74" t="s">
        <v>699</v>
      </c>
      <c r="U17" s="38" t="str">
        <f t="shared" si="1"/>
        <v/>
      </c>
      <c r="V17" s="38" t="str">
        <f t="shared" si="2"/>
        <v/>
      </c>
      <c r="W17" s="38" t="str">
        <f>IF(AND(U17&lt;&gt;"",OR($S$4="(все)",B17=$S$4),IF($S$4="(все)",COUNTIF($U$4:U17,U17),COUNTIFS($U$4:U17,U17,$B$4:B17,B17))=1),MAX($W$3:W16)+1,"")</f>
        <v/>
      </c>
      <c r="X17" s="38" t="str">
        <f t="shared" si="3"/>
        <v/>
      </c>
      <c r="Y17" s="38">
        <f>IF(AND(A17="Аппарат",C17&lt;&gt;"",OR($S$5="(все)",B17=$S$5)),MAX($Y$3:Y16)+1,"")</f>
        <v>6</v>
      </c>
      <c r="Z17" s="38" t="str">
        <f t="shared" si="4"/>
        <v/>
      </c>
      <c r="AA17" s="38" t="str">
        <f>IF(AND(A17="Модуль",C17&lt;&gt;"",OR($S$6="(все)",B17=$S$6)),MAX($AA$3:AA16)+1,"")</f>
        <v/>
      </c>
      <c r="AB17" s="38" t="str">
        <f t="shared" si="5"/>
        <v/>
      </c>
      <c r="AC17" s="38">
        <f>IF(OR(B17="",COUNTIF($B$4:B17,B17)&gt;1),"",MAX($AC$3:AC16)+1)</f>
        <v>3</v>
      </c>
      <c r="AD17" s="38" t="str">
        <f t="shared" si="6"/>
        <v/>
      </c>
      <c r="AE17" s="38">
        <f t="shared" si="7"/>
        <v>4017</v>
      </c>
      <c r="AF17" s="38">
        <f t="shared" si="8"/>
        <v>8</v>
      </c>
      <c r="AG17" s="38" t="str">
        <f>IF(Спецификация_авто!$L$17="","",IF(IF($S$4="(все)",COUNTIF($U$4:$U$500,Спецификация_авто!$L$17),COUNTIF($V$4:$V$500,$S$4&amp;"|"&amp;Спецификация_авто!$L$17))=0,Спецификация_авто!$L$17,""))</f>
        <v/>
      </c>
      <c r="AH17" s="38" t="str">
        <f>IF(AG17="","",COUNTIF($AG$4:AG17,"?*"))</f>
        <v/>
      </c>
    </row>
    <row r="18" spans="1:34" x14ac:dyDescent="0.3">
      <c r="A18" s="74" t="s">
        <v>688</v>
      </c>
      <c r="B18" s="74" t="s">
        <v>301</v>
      </c>
      <c r="C18" s="74" t="s">
        <v>700</v>
      </c>
      <c r="D18" s="74"/>
      <c r="E18" s="74"/>
      <c r="F18" s="74"/>
      <c r="G18" s="74" t="s">
        <v>412</v>
      </c>
      <c r="H18" s="74" t="s">
        <v>413</v>
      </c>
      <c r="I18" s="74"/>
      <c r="J18" s="74"/>
      <c r="K18" s="74"/>
      <c r="L18" s="74"/>
      <c r="M18" s="74" t="s">
        <v>288</v>
      </c>
      <c r="N18" s="38">
        <f>IF(OR(A18="Автомат",A18="Дифавтомат"),IF(W18="","",COUNTIFS(Однолинейка!$H$3:$H$3000,U18,Однолинейка!$A$3:$A$3000,Щит_спец)),IF(A18="Аппарат",IF(C18="","",COUNTIFS(Однолинейка!$I$3:$I$3000,C18,Однолинейка!$A$3:$A$3000,Щит_спец)+COUNTIFS(Однолинейка!$J$3:$J$3000,C18,Однолинейка!$A$3:$A$3000,Щит_спец)+COUNTIFS(Однолинейка!$K$3:$K$3000,C18,Однолинейка!$A$3:$A$3000,Щит_спец)),IF(A18="Модуль",IF(C18="","",COUNTIFS(Однолинейка!$AW$3:$AW$3000,"?*",Однолинейка!$AI$3:$AI$3000,C18,Однолинейка!$A$3:$A$3000,Щит_спец)),IF(A18="Клемма",IF(C18="","",IF(C18=$S$7,SUMIFS(Однолинейка!$BW$3:$BW$3000,Однолинейка!$A$3:$A$3000,Щит_спец),IF(C18=$S$8,SUMIFS(Однолинейка!$BX$3:$BX$3000,Однолинейка!$A$3:$A$3000,Щит_спец),""))),""))))</f>
        <v>2</v>
      </c>
      <c r="O18" s="74"/>
      <c r="P18" s="38">
        <f t="shared" si="0"/>
        <v>2</v>
      </c>
      <c r="R18" s="74" t="s">
        <v>444</v>
      </c>
      <c r="U18" s="38" t="str">
        <f t="shared" si="1"/>
        <v/>
      </c>
      <c r="V18" s="38" t="str">
        <f t="shared" si="2"/>
        <v/>
      </c>
      <c r="W18" s="38" t="str">
        <f>IF(AND(U18&lt;&gt;"",OR($S$4="(все)",B18=$S$4),IF($S$4="(все)",COUNTIF($U$4:U18,U18),COUNTIFS($U$4:U18,U18,$B$4:B18,B18))=1),MAX($W$3:W17)+1,"")</f>
        <v/>
      </c>
      <c r="X18" s="38" t="str">
        <f t="shared" si="3"/>
        <v/>
      </c>
      <c r="Y18" s="38">
        <f>IF(AND(A18="Аппарат",C18&lt;&gt;"",OR($S$5="(все)",B18=$S$5)),MAX($Y$3:Y17)+1,"")</f>
        <v>7</v>
      </c>
      <c r="Z18" s="38" t="str">
        <f t="shared" si="4"/>
        <v/>
      </c>
      <c r="AA18" s="38" t="str">
        <f>IF(AND(A18="Модуль",C18&lt;&gt;"",OR($S$6="(все)",B18=$S$6)),MAX($AA$3:AA17)+1,"")</f>
        <v/>
      </c>
      <c r="AB18" s="38" t="str">
        <f t="shared" si="5"/>
        <v/>
      </c>
      <c r="AC18" s="38" t="str">
        <f>IF(OR(B18="",COUNTIF($B$4:B18,B18)&gt;1),"",MAX($AC$3:AC17)+1)</f>
        <v/>
      </c>
      <c r="AD18" s="38" t="str">
        <f t="shared" si="6"/>
        <v/>
      </c>
      <c r="AE18" s="38">
        <f t="shared" si="7"/>
        <v>4018</v>
      </c>
      <c r="AF18" s="38">
        <f t="shared" si="8"/>
        <v>9</v>
      </c>
      <c r="AG18" s="38" t="str">
        <f>IF(Спецификация_авто!$L$18="","",IF(IF($S$4="(все)",COUNTIF($U$4:$U$500,Спецификация_авто!$L$18),COUNTIF($V$4:$V$500,$S$4&amp;"|"&amp;Спецификация_авто!$L$18))=0,Спецификация_авто!$L$18,""))</f>
        <v/>
      </c>
      <c r="AH18" s="38" t="str">
        <f>IF(AG18="","",COUNTIF($AG$4:AG18,"?*"))</f>
        <v/>
      </c>
    </row>
    <row r="19" spans="1:34" x14ac:dyDescent="0.3">
      <c r="A19" s="74" t="s">
        <v>688</v>
      </c>
      <c r="B19" s="74" t="s">
        <v>301</v>
      </c>
      <c r="C19" s="74" t="s">
        <v>701</v>
      </c>
      <c r="D19" s="74"/>
      <c r="E19" s="74"/>
      <c r="F19" s="74"/>
      <c r="G19" s="74" t="s">
        <v>414</v>
      </c>
      <c r="H19" s="74" t="s">
        <v>415</v>
      </c>
      <c r="I19" s="74"/>
      <c r="J19" s="74"/>
      <c r="K19" s="74"/>
      <c r="L19" s="74"/>
      <c r="M19" s="74" t="s">
        <v>288</v>
      </c>
      <c r="N19" s="38">
        <f>IF(OR(A19="Автомат",A19="Дифавтомат"),IF(W19="","",COUNTIFS(Однолинейка!$H$3:$H$3000,U19,Однолинейка!$A$3:$A$3000,Щит_спец)),IF(A19="Аппарат",IF(C19="","",COUNTIFS(Однолинейка!$I$3:$I$3000,C19,Однолинейка!$A$3:$A$3000,Щит_спец)+COUNTIFS(Однолинейка!$J$3:$J$3000,C19,Однолинейка!$A$3:$A$3000,Щит_спец)+COUNTIFS(Однолинейка!$K$3:$K$3000,C19,Однолинейка!$A$3:$A$3000,Щит_спец)),IF(A19="Модуль",IF(C19="","",COUNTIFS(Однолинейка!$AW$3:$AW$3000,"?*",Однолинейка!$AI$3:$AI$3000,C19,Однолинейка!$A$3:$A$3000,Щит_спец)),IF(A19="Клемма",IF(C19="","",IF(C19=$S$7,SUMIFS(Однолинейка!$BW$3:$BW$3000,Однолинейка!$A$3:$A$3000,Щит_спец),IF(C19=$S$8,SUMIFS(Однолинейка!$BX$3:$BX$3000,Однолинейка!$A$3:$A$3000,Щит_спец),""))),""))))</f>
        <v>0</v>
      </c>
      <c r="O19" s="74"/>
      <c r="P19" s="38">
        <f t="shared" si="0"/>
        <v>0</v>
      </c>
      <c r="R19" s="74" t="s">
        <v>702</v>
      </c>
      <c r="U19" s="38" t="str">
        <f t="shared" si="1"/>
        <v/>
      </c>
      <c r="V19" s="38" t="str">
        <f t="shared" si="2"/>
        <v/>
      </c>
      <c r="W19" s="38" t="str">
        <f>IF(AND(U19&lt;&gt;"",OR($S$4="(все)",B19=$S$4),IF($S$4="(все)",COUNTIF($U$4:U19,U19),COUNTIFS($U$4:U19,U19,$B$4:B19,B19))=1),MAX($W$3:W18)+1,"")</f>
        <v/>
      </c>
      <c r="X19" s="38" t="str">
        <f t="shared" si="3"/>
        <v/>
      </c>
      <c r="Y19" s="38">
        <f>IF(AND(A19="Аппарат",C19&lt;&gt;"",OR($S$5="(все)",B19=$S$5)),MAX($Y$3:Y18)+1,"")</f>
        <v>8</v>
      </c>
      <c r="Z19" s="38" t="str">
        <f t="shared" si="4"/>
        <v/>
      </c>
      <c r="AA19" s="38" t="str">
        <f>IF(AND(A19="Модуль",C19&lt;&gt;"",OR($S$6="(все)",B19=$S$6)),MAX($AA$3:AA18)+1,"")</f>
        <v/>
      </c>
      <c r="AB19" s="38" t="str">
        <f t="shared" si="5"/>
        <v/>
      </c>
      <c r="AC19" s="38" t="str">
        <f>IF(OR(B19="",COUNTIF($B$4:B19,B19)&gt;1),"",MAX($AC$3:AC18)+1)</f>
        <v/>
      </c>
      <c r="AD19" s="38" t="str">
        <f t="shared" si="6"/>
        <v/>
      </c>
      <c r="AE19" s="38" t="str">
        <f t="shared" si="7"/>
        <v/>
      </c>
      <c r="AF19" s="38" t="str">
        <f t="shared" si="8"/>
        <v/>
      </c>
      <c r="AG19" s="38" t="str">
        <f>IF(Спецификация_авто!$L$19="","",IF(IF($S$4="(все)",COUNTIF($U$4:$U$500,Спецификация_авто!$L$19),COUNTIF($V$4:$V$500,$S$4&amp;"|"&amp;Спецификация_авто!$L$19))=0,Спецификация_авто!$L$19,""))</f>
        <v/>
      </c>
      <c r="AH19" s="38" t="str">
        <f>IF(AG19="","",COUNTIF($AG$4:AG19,"?*"))</f>
        <v/>
      </c>
    </row>
    <row r="20" spans="1:34" x14ac:dyDescent="0.3">
      <c r="A20" s="74" t="s">
        <v>688</v>
      </c>
      <c r="B20" s="74" t="s">
        <v>301</v>
      </c>
      <c r="C20" s="74" t="s">
        <v>703</v>
      </c>
      <c r="D20" s="74"/>
      <c r="E20" s="74"/>
      <c r="F20" s="74"/>
      <c r="G20" s="74" t="s">
        <v>416</v>
      </c>
      <c r="H20" s="74" t="s">
        <v>417</v>
      </c>
      <c r="I20" s="74"/>
      <c r="J20" s="74"/>
      <c r="K20" s="74"/>
      <c r="L20" s="74"/>
      <c r="M20" s="74" t="s">
        <v>288</v>
      </c>
      <c r="N20" s="38">
        <f>IF(OR(A20="Автомат",A20="Дифавтомат"),IF(W20="","",COUNTIFS(Однолинейка!$H$3:$H$3000,U20,Однолинейка!$A$3:$A$3000,Щит_спец)),IF(A20="Аппарат",IF(C20="","",COUNTIFS(Однолинейка!$I$3:$I$3000,C20,Однолинейка!$A$3:$A$3000,Щит_спец)+COUNTIFS(Однолинейка!$J$3:$J$3000,C20,Однолинейка!$A$3:$A$3000,Щит_спец)+COUNTIFS(Однолинейка!$K$3:$K$3000,C20,Однолинейка!$A$3:$A$3000,Щит_спец)),IF(A20="Модуль",IF(C20="","",COUNTIFS(Однолинейка!$AW$3:$AW$3000,"?*",Однолинейка!$AI$3:$AI$3000,C20,Однолинейка!$A$3:$A$3000,Щит_спец)),IF(A20="Клемма",IF(C20="","",IF(C20=$S$7,SUMIFS(Однолинейка!$BW$3:$BW$3000,Однолинейка!$A$3:$A$3000,Щит_спец),IF(C20=$S$8,SUMIFS(Однолинейка!$BX$3:$BX$3000,Однолинейка!$A$3:$A$3000,Щит_спец),""))),""))))</f>
        <v>0</v>
      </c>
      <c r="O20" s="74"/>
      <c r="P20" s="38">
        <f t="shared" si="0"/>
        <v>0</v>
      </c>
      <c r="R20" s="74" t="s">
        <v>613</v>
      </c>
      <c r="U20" s="38" t="str">
        <f t="shared" si="1"/>
        <v/>
      </c>
      <c r="V20" s="38" t="str">
        <f t="shared" si="2"/>
        <v/>
      </c>
      <c r="W20" s="38" t="str">
        <f>IF(AND(U20&lt;&gt;"",OR($S$4="(все)",B20=$S$4),IF($S$4="(все)",COUNTIF($U$4:U20,U20),COUNTIFS($U$4:U20,U20,$B$4:B20,B20))=1),MAX($W$3:W19)+1,"")</f>
        <v/>
      </c>
      <c r="X20" s="38" t="str">
        <f t="shared" si="3"/>
        <v/>
      </c>
      <c r="Y20" s="38">
        <f>IF(AND(A20="Аппарат",C20&lt;&gt;"",OR($S$5="(все)",B20=$S$5)),MAX($Y$3:Y19)+1,"")</f>
        <v>9</v>
      </c>
      <c r="Z20" s="38" t="str">
        <f t="shared" si="4"/>
        <v/>
      </c>
      <c r="AA20" s="38" t="str">
        <f>IF(AND(A20="Модуль",C20&lt;&gt;"",OR($S$6="(все)",B20=$S$6)),MAX($AA$3:AA19)+1,"")</f>
        <v/>
      </c>
      <c r="AB20" s="38" t="str">
        <f t="shared" si="5"/>
        <v/>
      </c>
      <c r="AC20" s="38" t="str">
        <f>IF(OR(B20="",COUNTIF($B$4:B20,B20)&gt;1),"",MAX($AC$3:AC19)+1)</f>
        <v/>
      </c>
      <c r="AD20" s="38" t="str">
        <f t="shared" si="6"/>
        <v/>
      </c>
      <c r="AE20" s="38" t="str">
        <f t="shared" si="7"/>
        <v/>
      </c>
      <c r="AF20" s="38" t="str">
        <f t="shared" si="8"/>
        <v/>
      </c>
      <c r="AG20" s="38" t="str">
        <f>IF(Спецификация_авто!$L$20="","",IF(IF($S$4="(все)",COUNTIF($U$4:$U$500,Спецификация_авто!$L$20),COUNTIF($V$4:$V$500,$S$4&amp;"|"&amp;Спецификация_авто!$L$20))=0,Спецификация_авто!$L$20,""))</f>
        <v/>
      </c>
      <c r="AH20" s="38" t="str">
        <f>IF(AG20="","",COUNTIF($AG$4:AG20,"?*"))</f>
        <v/>
      </c>
    </row>
    <row r="21" spans="1:34" x14ac:dyDescent="0.3">
      <c r="A21" s="74" t="s">
        <v>688</v>
      </c>
      <c r="B21" s="74" t="s">
        <v>308</v>
      </c>
      <c r="C21" s="74" t="s">
        <v>307</v>
      </c>
      <c r="D21" s="74"/>
      <c r="E21" s="74"/>
      <c r="F21" s="74"/>
      <c r="G21" s="74" t="s">
        <v>704</v>
      </c>
      <c r="H21" s="74" t="s">
        <v>307</v>
      </c>
      <c r="I21" s="74"/>
      <c r="J21" s="74"/>
      <c r="K21" s="74"/>
      <c r="L21" s="74"/>
      <c r="M21" s="74" t="s">
        <v>288</v>
      </c>
      <c r="N21" s="38">
        <f>IF(OR(A21="Автомат",A21="Дифавтомат"),IF(W21="","",COUNTIFS(Однолинейка!$H$3:$H$3000,U21,Однолинейка!$A$3:$A$3000,Щит_спец)),IF(A21="Аппарат",IF(C21="","",COUNTIFS(Однолинейка!$I$3:$I$3000,C21,Однолинейка!$A$3:$A$3000,Щит_спец)+COUNTIFS(Однолинейка!$J$3:$J$3000,C21,Однолинейка!$A$3:$A$3000,Щит_спец)+COUNTIFS(Однолинейка!$K$3:$K$3000,C21,Однолинейка!$A$3:$A$3000,Щит_спец)),IF(A21="Модуль",IF(C21="","",COUNTIFS(Однолинейка!$AW$3:$AW$3000,"?*",Однолинейка!$AI$3:$AI$3000,C21,Однолинейка!$A$3:$A$3000,Щит_спец)),IF(A21="Клемма",IF(C21="","",IF(C21=$S$7,SUMIFS(Однолинейка!$BW$3:$BW$3000,Однолинейка!$A$3:$A$3000,Щит_спец),IF(C21=$S$8,SUMIFS(Однолинейка!$BX$3:$BX$3000,Однолинейка!$A$3:$A$3000,Щит_спец),""))),""))))</f>
        <v>0</v>
      </c>
      <c r="O21" s="74"/>
      <c r="P21" s="38">
        <f t="shared" si="0"/>
        <v>0</v>
      </c>
      <c r="R21" s="74"/>
      <c r="U21" s="38" t="str">
        <f t="shared" si="1"/>
        <v/>
      </c>
      <c r="V21" s="38" t="str">
        <f t="shared" si="2"/>
        <v/>
      </c>
      <c r="W21" s="38" t="str">
        <f>IF(AND(U21&lt;&gt;"",OR($S$4="(все)",B21=$S$4),IF($S$4="(все)",COUNTIF($U$4:U21,U21),COUNTIFS($U$4:U21,U21,$B$4:B21,B21))=1),MAX($W$3:W20)+1,"")</f>
        <v/>
      </c>
      <c r="X21" s="38" t="str">
        <f t="shared" si="3"/>
        <v/>
      </c>
      <c r="Y21" s="38">
        <f>IF(AND(A21="Аппарат",C21&lt;&gt;"",OR($S$5="(все)",B21=$S$5)),MAX($Y$3:Y20)+1,"")</f>
        <v>10</v>
      </c>
      <c r="Z21" s="38" t="str">
        <f t="shared" si="4"/>
        <v/>
      </c>
      <c r="AA21" s="38" t="str">
        <f>IF(AND(A21="Модуль",C21&lt;&gt;"",OR($S$6="(все)",B21=$S$6)),MAX($AA$3:AA20)+1,"")</f>
        <v/>
      </c>
      <c r="AB21" s="38" t="str">
        <f t="shared" si="5"/>
        <v/>
      </c>
      <c r="AC21" s="38">
        <f>IF(OR(B21="",COUNTIF($B$4:B21,B21)&gt;1),"",MAX($AC$3:AC20)+1)</f>
        <v>4</v>
      </c>
      <c r="AD21" s="38" t="str">
        <f t="shared" si="6"/>
        <v/>
      </c>
      <c r="AE21" s="38" t="str">
        <f t="shared" si="7"/>
        <v/>
      </c>
      <c r="AF21" s="38" t="str">
        <f t="shared" si="8"/>
        <v/>
      </c>
      <c r="AG21" s="38" t="str">
        <f>IF(Спецификация_авто!$L$21="","",IF(IF($S$4="(все)",COUNTIF($U$4:$U$500,Спецификация_авто!$L$21),COUNTIF($V$4:$V$500,$S$4&amp;"|"&amp;Спецификация_авто!$L$21))=0,Спецификация_авто!$L$21,""))</f>
        <v/>
      </c>
      <c r="AH21" s="38" t="str">
        <f>IF(AG21="","",COUNTIF($AG$4:AG21,"?*"))</f>
        <v/>
      </c>
    </row>
    <row r="22" spans="1:34" x14ac:dyDescent="0.3">
      <c r="A22" s="74" t="s">
        <v>441</v>
      </c>
      <c r="B22" s="74" t="s">
        <v>308</v>
      </c>
      <c r="C22" s="74" t="s">
        <v>310</v>
      </c>
      <c r="D22" s="74" t="s">
        <v>27</v>
      </c>
      <c r="E22" s="74">
        <v>24</v>
      </c>
      <c r="F22" s="74" t="s">
        <v>496</v>
      </c>
      <c r="G22" s="74" t="s">
        <v>309</v>
      </c>
      <c r="H22" s="74" t="s">
        <v>310</v>
      </c>
      <c r="I22" s="74"/>
      <c r="J22" s="74"/>
      <c r="K22" s="74"/>
      <c r="L22" s="74"/>
      <c r="M22" s="74" t="s">
        <v>288</v>
      </c>
      <c r="N22" s="38">
        <f>IF(OR(A22="Автомат",A22="Дифавтомат"),IF(W22="","",COUNTIFS(Однолинейка!$H$3:$H$3000,U22,Однолинейка!$A$3:$A$3000,Щит_спец)),IF(A22="Аппарат",IF(C22="","",COUNTIFS(Однолинейка!$I$3:$I$3000,C22,Однолинейка!$A$3:$A$3000,Щит_спец)+COUNTIFS(Однолинейка!$J$3:$J$3000,C22,Однолинейка!$A$3:$A$3000,Щит_спец)+COUNTIFS(Однолинейка!$K$3:$K$3000,C22,Однолинейка!$A$3:$A$3000,Щит_спец)),IF(A22="Модуль",IF(C22="","",COUNTIFS(Однолинейка!$AW$3:$AW$3000,"?*",Однолинейка!$AI$3:$AI$3000,C22,Однолинейка!$A$3:$A$3000,Щит_спец)),IF(A22="Клемма",IF(C22="","",IF(C22=$S$7,SUMIFS(Однолинейка!$BW$3:$BW$3000,Однолинейка!$A$3:$A$3000,Щит_спец),IF(C22=$S$8,SUMIFS(Однолинейка!$BX$3:$BX$3000,Однолинейка!$A$3:$A$3000,Щит_спец),""))),""))))</f>
        <v>0</v>
      </c>
      <c r="O22" s="74"/>
      <c r="P22" s="38">
        <f t="shared" si="0"/>
        <v>0</v>
      </c>
      <c r="R22" s="74"/>
      <c r="U22" s="38" t="str">
        <f t="shared" si="1"/>
        <v/>
      </c>
      <c r="V22" s="38" t="str">
        <f t="shared" si="2"/>
        <v/>
      </c>
      <c r="W22" s="38" t="str">
        <f>IF(AND(U22&lt;&gt;"",OR($S$4="(все)",B22=$S$4),IF($S$4="(все)",COUNTIF($U$4:U22,U22),COUNTIFS($U$4:U22,U22,$B$4:B22,B22))=1),MAX($W$3:W21)+1,"")</f>
        <v/>
      </c>
      <c r="X22" s="38" t="str">
        <f t="shared" si="3"/>
        <v/>
      </c>
      <c r="Y22" s="38" t="str">
        <f>IF(AND(A22="Аппарат",C22&lt;&gt;"",OR($S$5="(все)",B22=$S$5)),MAX($Y$3:Y21)+1,"")</f>
        <v/>
      </c>
      <c r="Z22" s="38" t="str">
        <f t="shared" si="4"/>
        <v/>
      </c>
      <c r="AA22" s="38">
        <f>IF(AND(A22="Модуль",C22&lt;&gt;"",OR($S$6="(все)",B22=$S$6)),MAX($AA$3:AA21)+1,"")</f>
        <v>1</v>
      </c>
      <c r="AB22" s="38" t="str">
        <f t="shared" si="5"/>
        <v/>
      </c>
      <c r="AC22" s="38" t="str">
        <f>IF(OR(B22="",COUNTIF($B$4:B22,B22)&gt;1),"",MAX($AC$3:AC21)+1)</f>
        <v/>
      </c>
      <c r="AD22" s="38" t="str">
        <f t="shared" si="6"/>
        <v/>
      </c>
      <c r="AE22" s="38" t="str">
        <f t="shared" si="7"/>
        <v/>
      </c>
      <c r="AF22" s="38" t="str">
        <f t="shared" si="8"/>
        <v/>
      </c>
      <c r="AG22" s="38" t="str">
        <f>IF(Спецификация_авто!$L$22="","",IF(IF($S$4="(все)",COUNTIF($U$4:$U$500,Спецификация_авто!$L$22),COUNTIF($V$4:$V$500,$S$4&amp;"|"&amp;Спецификация_авто!$L$22))=0,Спецификация_авто!$L$22,""))</f>
        <v/>
      </c>
      <c r="AH22" s="38" t="str">
        <f>IF(AG22="","",COUNTIF($AG$4:AG22,"?*"))</f>
        <v/>
      </c>
    </row>
    <row r="23" spans="1:34" x14ac:dyDescent="0.3">
      <c r="A23" s="74" t="s">
        <v>441</v>
      </c>
      <c r="B23" s="74" t="s">
        <v>308</v>
      </c>
      <c r="C23" s="74" t="s">
        <v>485</v>
      </c>
      <c r="D23" s="74" t="s">
        <v>27</v>
      </c>
      <c r="E23" s="74">
        <v>24</v>
      </c>
      <c r="F23" s="74" t="s">
        <v>496</v>
      </c>
      <c r="G23" s="74" t="s">
        <v>309</v>
      </c>
      <c r="H23" s="74" t="s">
        <v>485</v>
      </c>
      <c r="I23" s="74"/>
      <c r="J23" s="74"/>
      <c r="K23" s="74"/>
      <c r="L23" s="74"/>
      <c r="M23" s="74" t="s">
        <v>288</v>
      </c>
      <c r="N23" s="38">
        <f>IF(OR(A23="Автомат",A23="Дифавтомат"),IF(W23="","",COUNTIFS(Однолинейка!$H$3:$H$3000,U23,Однолинейка!$A$3:$A$3000,Щит_спец)),IF(A23="Аппарат",IF(C23="","",COUNTIFS(Однолинейка!$I$3:$I$3000,C23,Однолинейка!$A$3:$A$3000,Щит_спец)+COUNTIFS(Однолинейка!$J$3:$J$3000,C23,Однолинейка!$A$3:$A$3000,Щит_спец)+COUNTIFS(Однолинейка!$K$3:$K$3000,C23,Однолинейка!$A$3:$A$3000,Щит_спец)),IF(A23="Модуль",IF(C23="","",COUNTIFS(Однолинейка!$AW$3:$AW$3000,"?*",Однолинейка!$AI$3:$AI$3000,C23,Однолинейка!$A$3:$A$3000,Щит_спец)),IF(A23="Клемма",IF(C23="","",IF(C23=$S$7,SUMIFS(Однолинейка!$BW$3:$BW$3000,Однолинейка!$A$3:$A$3000,Щит_спец),IF(C23=$S$8,SUMIFS(Однолинейка!$BX$3:$BX$3000,Однолинейка!$A$3:$A$3000,Щит_спец),""))),""))))</f>
        <v>0</v>
      </c>
      <c r="O23" s="74"/>
      <c r="P23" s="38">
        <f t="shared" si="0"/>
        <v>0</v>
      </c>
      <c r="R23" s="74"/>
      <c r="U23" s="38" t="str">
        <f t="shared" si="1"/>
        <v/>
      </c>
      <c r="V23" s="38" t="str">
        <f t="shared" si="2"/>
        <v/>
      </c>
      <c r="W23" s="38" t="str">
        <f>IF(AND(U23&lt;&gt;"",OR($S$4="(все)",B23=$S$4),IF($S$4="(все)",COUNTIF($U$4:U23,U23),COUNTIFS($U$4:U23,U23,$B$4:B23,B23))=1),MAX($W$3:W22)+1,"")</f>
        <v/>
      </c>
      <c r="X23" s="38" t="str">
        <f t="shared" si="3"/>
        <v/>
      </c>
      <c r="Y23" s="38" t="str">
        <f>IF(AND(A23="Аппарат",C23&lt;&gt;"",OR($S$5="(все)",B23=$S$5)),MAX($Y$3:Y22)+1,"")</f>
        <v/>
      </c>
      <c r="Z23" s="38" t="str">
        <f t="shared" si="4"/>
        <v/>
      </c>
      <c r="AA23" s="38">
        <f>IF(AND(A23="Модуль",C23&lt;&gt;"",OR($S$6="(все)",B23=$S$6)),MAX($AA$3:AA22)+1,"")</f>
        <v>2</v>
      </c>
      <c r="AB23" s="38" t="str">
        <f t="shared" si="5"/>
        <v/>
      </c>
      <c r="AC23" s="38" t="str">
        <f>IF(OR(B23="",COUNTIF($B$4:B23,B23)&gt;1),"",MAX($AC$3:AC22)+1)</f>
        <v/>
      </c>
      <c r="AD23" s="38" t="str">
        <f t="shared" si="6"/>
        <v/>
      </c>
      <c r="AE23" s="38" t="str">
        <f t="shared" si="7"/>
        <v/>
      </c>
      <c r="AF23" s="38" t="str">
        <f t="shared" si="8"/>
        <v/>
      </c>
      <c r="AG23" s="38" t="str">
        <f>IF(Спецификация_авто!$L$23="","",IF(IF($S$4="(все)",COUNTIF($U$4:$U$500,Спецификация_авто!$L$23),COUNTIF($V$4:$V$500,$S$4&amp;"|"&amp;Спецификация_авто!$L$23))=0,Спецификация_авто!$L$23,""))</f>
        <v/>
      </c>
      <c r="AH23" s="38" t="str">
        <f>IF(AG23="","",COUNTIF($AG$4:AG23,"?*"))</f>
        <v/>
      </c>
    </row>
    <row r="24" spans="1:34" x14ac:dyDescent="0.3">
      <c r="A24" s="74" t="s">
        <v>441</v>
      </c>
      <c r="B24" s="74" t="s">
        <v>308</v>
      </c>
      <c r="C24" s="74" t="s">
        <v>495</v>
      </c>
      <c r="D24" s="74" t="s">
        <v>27</v>
      </c>
      <c r="E24" s="74">
        <v>16</v>
      </c>
      <c r="F24" s="74" t="s">
        <v>496</v>
      </c>
      <c r="G24" s="74" t="s">
        <v>309</v>
      </c>
      <c r="H24" s="74" t="s">
        <v>495</v>
      </c>
      <c r="I24" s="74"/>
      <c r="J24" s="74"/>
      <c r="K24" s="74"/>
      <c r="L24" s="74"/>
      <c r="M24" s="74" t="s">
        <v>288</v>
      </c>
      <c r="N24" s="38">
        <f>IF(OR(A24="Автомат",A24="Дифавтомат"),IF(W24="","",COUNTIFS(Однолинейка!$H$3:$H$3000,U24,Однолинейка!$A$3:$A$3000,Щит_спец)),IF(A24="Аппарат",IF(C24="","",COUNTIFS(Однолинейка!$I$3:$I$3000,C24,Однолинейка!$A$3:$A$3000,Щит_спец)+COUNTIFS(Однолинейка!$J$3:$J$3000,C24,Однолинейка!$A$3:$A$3000,Щит_спец)+COUNTIFS(Однолинейка!$K$3:$K$3000,C24,Однолинейка!$A$3:$A$3000,Щит_спец)),IF(A24="Модуль",IF(C24="","",COUNTIFS(Однолинейка!$AW$3:$AW$3000,"?*",Однолинейка!$AI$3:$AI$3000,C24,Однолинейка!$A$3:$A$3000,Щит_спец)),IF(A24="Клемма",IF(C24="","",IF(C24=$S$7,SUMIFS(Однолинейка!$BW$3:$BW$3000,Однолинейка!$A$3:$A$3000,Щит_спец),IF(C24=$S$8,SUMIFS(Однолинейка!$BX$3:$BX$3000,Однолинейка!$A$3:$A$3000,Щит_спец),""))),""))))</f>
        <v>1</v>
      </c>
      <c r="O24" s="74"/>
      <c r="P24" s="38">
        <f t="shared" si="0"/>
        <v>1</v>
      </c>
      <c r="R24" s="74"/>
      <c r="U24" s="38" t="str">
        <f t="shared" si="1"/>
        <v/>
      </c>
      <c r="V24" s="38" t="str">
        <f t="shared" si="2"/>
        <v/>
      </c>
      <c r="W24" s="38" t="str">
        <f>IF(AND(U24&lt;&gt;"",OR($S$4="(все)",B24=$S$4),IF($S$4="(все)",COUNTIF($U$4:U24,U24),COUNTIFS($U$4:U24,U24,$B$4:B24,B24))=1),MAX($W$3:W23)+1,"")</f>
        <v/>
      </c>
      <c r="X24" s="38" t="str">
        <f t="shared" si="3"/>
        <v/>
      </c>
      <c r="Y24" s="38" t="str">
        <f>IF(AND(A24="Аппарат",C24&lt;&gt;"",OR($S$5="(все)",B24=$S$5)),MAX($Y$3:Y23)+1,"")</f>
        <v/>
      </c>
      <c r="Z24" s="38" t="str">
        <f t="shared" si="4"/>
        <v/>
      </c>
      <c r="AA24" s="38">
        <f>IF(AND(A24="Модуль",C24&lt;&gt;"",OR($S$6="(все)",B24=$S$6)),MAX($AA$3:AA23)+1,"")</f>
        <v>3</v>
      </c>
      <c r="AB24" s="38" t="str">
        <f t="shared" si="5"/>
        <v/>
      </c>
      <c r="AC24" s="38" t="str">
        <f>IF(OR(B24="",COUNTIF($B$4:B24,B24)&gt;1),"",MAX($AC$3:AC23)+1)</f>
        <v/>
      </c>
      <c r="AD24" s="38" t="str">
        <f t="shared" si="6"/>
        <v/>
      </c>
      <c r="AE24" s="38">
        <f t="shared" si="7"/>
        <v>5024</v>
      </c>
      <c r="AF24" s="38">
        <f t="shared" si="8"/>
        <v>10</v>
      </c>
      <c r="AG24" s="38" t="str">
        <f>IF(Спецификация_авто!$L$27="","",IF(COUNTIF($C$4:$C$500,Спецификация_авто!$L$27)=0,Спецификация_авто!$L$27,""))</f>
        <v/>
      </c>
      <c r="AH24" s="38" t="str">
        <f>IF(AG24="","",COUNTIF($AG$4:AG24,"?*"))</f>
        <v/>
      </c>
    </row>
    <row r="25" spans="1:34" x14ac:dyDescent="0.3">
      <c r="A25" s="74" t="s">
        <v>441</v>
      </c>
      <c r="B25" s="74" t="s">
        <v>308</v>
      </c>
      <c r="C25" s="74" t="s">
        <v>486</v>
      </c>
      <c r="D25" s="74" t="s">
        <v>27</v>
      </c>
      <c r="E25" s="74">
        <v>8</v>
      </c>
      <c r="F25" s="74" t="s">
        <v>496</v>
      </c>
      <c r="G25" s="74" t="s">
        <v>309</v>
      </c>
      <c r="H25" s="74" t="s">
        <v>486</v>
      </c>
      <c r="I25" s="74"/>
      <c r="J25" s="74"/>
      <c r="K25" s="74"/>
      <c r="L25" s="74"/>
      <c r="M25" s="74" t="s">
        <v>288</v>
      </c>
      <c r="N25" s="38">
        <f>IF(OR(A25="Автомат",A25="Дифавтомат"),IF(W25="","",COUNTIFS(Однолинейка!$H$3:$H$3000,U25,Однолинейка!$A$3:$A$3000,Щит_спец)),IF(A25="Аппарат",IF(C25="","",COUNTIFS(Однолинейка!$I$3:$I$3000,C25,Однолинейка!$A$3:$A$3000,Щит_спец)+COUNTIFS(Однолинейка!$J$3:$J$3000,C25,Однолинейка!$A$3:$A$3000,Щит_спец)+COUNTIFS(Однолинейка!$K$3:$K$3000,C25,Однолинейка!$A$3:$A$3000,Щит_спец)),IF(A25="Модуль",IF(C25="","",COUNTIFS(Однолинейка!$AW$3:$AW$3000,"?*",Однолинейка!$AI$3:$AI$3000,C25,Однолинейка!$A$3:$A$3000,Щит_спец)),IF(A25="Клемма",IF(C25="","",IF(C25=$S$7,SUMIFS(Однолинейка!$BW$3:$BW$3000,Однолинейка!$A$3:$A$3000,Щит_спец),IF(C25=$S$8,SUMIFS(Однолинейка!$BX$3:$BX$3000,Однолинейка!$A$3:$A$3000,Щит_спец),""))),""))))</f>
        <v>0</v>
      </c>
      <c r="O25" s="74"/>
      <c r="P25" s="38">
        <f t="shared" si="0"/>
        <v>0</v>
      </c>
      <c r="R25" s="74"/>
      <c r="U25" s="38" t="str">
        <f t="shared" si="1"/>
        <v/>
      </c>
      <c r="V25" s="38" t="str">
        <f t="shared" si="2"/>
        <v/>
      </c>
      <c r="W25" s="38" t="str">
        <f>IF(AND(U25&lt;&gt;"",OR($S$4="(все)",B25=$S$4),IF($S$4="(все)",COUNTIF($U$4:U25,U25),COUNTIFS($U$4:U25,U25,$B$4:B25,B25))=1),MAX($W$3:W24)+1,"")</f>
        <v/>
      </c>
      <c r="X25" s="38" t="str">
        <f t="shared" si="3"/>
        <v/>
      </c>
      <c r="Y25" s="38" t="str">
        <f>IF(AND(A25="Аппарат",C25&lt;&gt;"",OR($S$5="(все)",B25=$S$5)),MAX($Y$3:Y24)+1,"")</f>
        <v/>
      </c>
      <c r="Z25" s="38" t="str">
        <f t="shared" si="4"/>
        <v/>
      </c>
      <c r="AA25" s="38">
        <f>IF(AND(A25="Модуль",C25&lt;&gt;"",OR($S$6="(все)",B25=$S$6)),MAX($AA$3:AA24)+1,"")</f>
        <v>4</v>
      </c>
      <c r="AB25" s="38" t="str">
        <f t="shared" si="5"/>
        <v/>
      </c>
      <c r="AC25" s="38" t="str">
        <f>IF(OR(B25="",COUNTIF($B$4:B25,B25)&gt;1),"",MAX($AC$3:AC24)+1)</f>
        <v/>
      </c>
      <c r="AD25" s="38" t="str">
        <f t="shared" si="6"/>
        <v/>
      </c>
      <c r="AE25" s="38" t="str">
        <f t="shared" si="7"/>
        <v/>
      </c>
      <c r="AF25" s="38" t="str">
        <f t="shared" si="8"/>
        <v/>
      </c>
      <c r="AG25" s="38" t="str">
        <f>IF(Спецификация_авто!$L$28="","",IF(COUNTIF($C$4:$C$500,Спецификация_авто!$L$28)=0,Спецификация_авто!$L$28,""))</f>
        <v/>
      </c>
      <c r="AH25" s="38" t="str">
        <f>IF(AG25="","",COUNTIF($AG$4:AG25,"?*"))</f>
        <v/>
      </c>
    </row>
    <row r="26" spans="1:34" x14ac:dyDescent="0.3">
      <c r="A26" s="74" t="s">
        <v>441</v>
      </c>
      <c r="B26" s="74" t="s">
        <v>308</v>
      </c>
      <c r="C26" s="74" t="s">
        <v>499</v>
      </c>
      <c r="D26" s="74" t="s">
        <v>27</v>
      </c>
      <c r="E26" s="74">
        <v>8</v>
      </c>
      <c r="F26" s="74" t="s">
        <v>500</v>
      </c>
      <c r="G26" s="74" t="s">
        <v>705</v>
      </c>
      <c r="H26" s="74" t="s">
        <v>499</v>
      </c>
      <c r="I26" s="74"/>
      <c r="J26" s="74"/>
      <c r="K26" s="74"/>
      <c r="L26" s="74"/>
      <c r="M26" s="74" t="s">
        <v>288</v>
      </c>
      <c r="N26" s="38">
        <f>IF(OR(A26="Автомат",A26="Дифавтомат"),IF(W26="","",COUNTIFS(Однолинейка!$H$3:$H$3000,U26,Однолинейка!$A$3:$A$3000,Щит_спец)),IF(A26="Аппарат",IF(C26="","",COUNTIFS(Однолинейка!$I$3:$I$3000,C26,Однолинейка!$A$3:$A$3000,Щит_спец)+COUNTIFS(Однолинейка!$J$3:$J$3000,C26,Однолинейка!$A$3:$A$3000,Щит_спец)+COUNTIFS(Однолинейка!$K$3:$K$3000,C26,Однолинейка!$A$3:$A$3000,Щит_спец)),IF(A26="Модуль",IF(C26="","",COUNTIFS(Однолинейка!$AW$3:$AW$3000,"?*",Однолинейка!$AI$3:$AI$3000,C26,Однолинейка!$A$3:$A$3000,Щит_спец)),IF(A26="Клемма",IF(C26="","",IF(C26=$S$7,SUMIFS(Однолинейка!$BW$3:$BW$3000,Однолинейка!$A$3:$A$3000,Щит_спец),IF(C26=$S$8,SUMIFS(Однолинейка!$BX$3:$BX$3000,Однолинейка!$A$3:$A$3000,Щит_спец),""))),""))))</f>
        <v>0</v>
      </c>
      <c r="O26" s="74"/>
      <c r="P26" s="38">
        <f t="shared" si="0"/>
        <v>0</v>
      </c>
      <c r="U26" s="38" t="str">
        <f t="shared" si="1"/>
        <v/>
      </c>
      <c r="V26" s="38" t="str">
        <f t="shared" si="2"/>
        <v/>
      </c>
      <c r="W26" s="38" t="str">
        <f>IF(AND(U26&lt;&gt;"",OR($S$4="(все)",B26=$S$4),IF($S$4="(все)",COUNTIF($U$4:U26,U26),COUNTIFS($U$4:U26,U26,$B$4:B26,B26))=1),MAX($W$3:W25)+1,"")</f>
        <v/>
      </c>
      <c r="X26" s="38" t="str">
        <f t="shared" si="3"/>
        <v/>
      </c>
      <c r="Y26" s="38" t="str">
        <f>IF(AND(A26="Аппарат",C26&lt;&gt;"",OR($S$5="(все)",B26=$S$5)),MAX($Y$3:Y25)+1,"")</f>
        <v/>
      </c>
      <c r="Z26" s="38" t="str">
        <f t="shared" si="4"/>
        <v/>
      </c>
      <c r="AA26" s="38">
        <f>IF(AND(A26="Модуль",C26&lt;&gt;"",OR($S$6="(все)",B26=$S$6)),MAX($AA$3:AA25)+1,"")</f>
        <v>5</v>
      </c>
      <c r="AB26" s="38" t="str">
        <f t="shared" si="5"/>
        <v/>
      </c>
      <c r="AC26" s="38" t="str">
        <f>IF(OR(B26="",COUNTIF($B$4:B26,B26)&gt;1),"",MAX($AC$3:AC25)+1)</f>
        <v/>
      </c>
      <c r="AD26" s="38" t="str">
        <f t="shared" si="6"/>
        <v/>
      </c>
      <c r="AE26" s="38" t="str">
        <f t="shared" si="7"/>
        <v/>
      </c>
      <c r="AF26" s="38" t="str">
        <f t="shared" si="8"/>
        <v/>
      </c>
      <c r="AG26" s="38" t="str">
        <f>IF(Спецификация_авто!$L$29="","",IF(COUNTIF($C$4:$C$500,Спецификация_авто!$L$29)=0,Спецификация_авто!$L$29,""))</f>
        <v/>
      </c>
      <c r="AH26" s="38" t="str">
        <f>IF(AG26="","",COUNTIF($AG$4:AG26,"?*"))</f>
        <v/>
      </c>
    </row>
    <row r="27" spans="1:34" ht="27.6" x14ac:dyDescent="0.3">
      <c r="A27" s="74" t="s">
        <v>441</v>
      </c>
      <c r="B27" s="74" t="s">
        <v>308</v>
      </c>
      <c r="C27" s="74" t="s">
        <v>311</v>
      </c>
      <c r="D27" s="74" t="s">
        <v>503</v>
      </c>
      <c r="E27" s="74">
        <v>4</v>
      </c>
      <c r="F27" s="74" t="s">
        <v>504</v>
      </c>
      <c r="G27" s="74" t="s">
        <v>706</v>
      </c>
      <c r="H27" s="74" t="s">
        <v>311</v>
      </c>
      <c r="I27" s="74"/>
      <c r="J27" s="74"/>
      <c r="K27" s="74"/>
      <c r="L27" s="74"/>
      <c r="M27" s="74" t="s">
        <v>288</v>
      </c>
      <c r="N27" s="38">
        <f>IF(OR(A27="Автомат",A27="Дифавтомат"),IF(W27="","",COUNTIFS(Однолинейка!$H$3:$H$3000,U27,Однолинейка!$A$3:$A$3000,Щит_спец)),IF(A27="Аппарат",IF(C27="","",COUNTIFS(Однолинейка!$I$3:$I$3000,C27,Однолинейка!$A$3:$A$3000,Щит_спец)+COUNTIFS(Однолинейка!$J$3:$J$3000,C27,Однолинейка!$A$3:$A$3000,Щит_спец)+COUNTIFS(Однолинейка!$K$3:$K$3000,C27,Однолинейка!$A$3:$A$3000,Щит_спец)),IF(A27="Модуль",IF(C27="","",COUNTIFS(Однолинейка!$AW$3:$AW$3000,"?*",Однолинейка!$AI$3:$AI$3000,C27,Однолинейка!$A$3:$A$3000,Щит_спец)),IF(A27="Клемма",IF(C27="","",IF(C27=$S$7,SUMIFS(Однолинейка!$BW$3:$BW$3000,Однолинейка!$A$3:$A$3000,Щит_спец),IF(C27=$S$8,SUMIFS(Однолинейка!$BX$3:$BX$3000,Однолинейка!$A$3:$A$3000,Щит_спец),""))),""))))</f>
        <v>0</v>
      </c>
      <c r="O27" s="74"/>
      <c r="P27" s="38">
        <f t="shared" si="0"/>
        <v>0</v>
      </c>
      <c r="R27" s="35" t="s">
        <v>707</v>
      </c>
      <c r="S27" s="35"/>
      <c r="U27" s="38" t="str">
        <f t="shared" si="1"/>
        <v/>
      </c>
      <c r="V27" s="38" t="str">
        <f t="shared" si="2"/>
        <v/>
      </c>
      <c r="W27" s="38" t="str">
        <f>IF(AND(U27&lt;&gt;"",OR($S$4="(все)",B27=$S$4),IF($S$4="(все)",COUNTIF($U$4:U27,U27),COUNTIFS($U$4:U27,U27,$B$4:B27,B27))=1),MAX($W$3:W26)+1,"")</f>
        <v/>
      </c>
      <c r="X27" s="38" t="str">
        <f t="shared" si="3"/>
        <v/>
      </c>
      <c r="Y27" s="38" t="str">
        <f>IF(AND(A27="Аппарат",C27&lt;&gt;"",OR($S$5="(все)",B27=$S$5)),MAX($Y$3:Y26)+1,"")</f>
        <v/>
      </c>
      <c r="Z27" s="38" t="str">
        <f t="shared" si="4"/>
        <v/>
      </c>
      <c r="AA27" s="38">
        <f>IF(AND(A27="Модуль",C27&lt;&gt;"",OR($S$6="(все)",B27=$S$6)),MAX($AA$3:AA26)+1,"")</f>
        <v>6</v>
      </c>
      <c r="AB27" s="38" t="str">
        <f t="shared" si="5"/>
        <v/>
      </c>
      <c r="AC27" s="38" t="str">
        <f>IF(OR(B27="",COUNTIF($B$4:B27,B27)&gt;1),"",MAX($AC$3:AC26)+1)</f>
        <v/>
      </c>
      <c r="AD27" s="38" t="str">
        <f t="shared" si="6"/>
        <v/>
      </c>
      <c r="AE27" s="38" t="str">
        <f t="shared" si="7"/>
        <v/>
      </c>
      <c r="AF27" s="38" t="str">
        <f t="shared" si="8"/>
        <v/>
      </c>
      <c r="AG27" s="38" t="str">
        <f>IF(Спецификация_авто!$L$30="","",IF(COUNTIF($C$4:$C$500,Спецификация_авто!$L$30)=0,Спецификация_авто!$L$30,""))</f>
        <v/>
      </c>
      <c r="AH27" s="38" t="str">
        <f>IF(AG27="","",COUNTIF($AG$4:AG27,"?*"))</f>
        <v/>
      </c>
    </row>
    <row r="28" spans="1:34" x14ac:dyDescent="0.3">
      <c r="A28" s="74" t="s">
        <v>441</v>
      </c>
      <c r="B28" s="74" t="s">
        <v>308</v>
      </c>
      <c r="C28" s="74" t="s">
        <v>313</v>
      </c>
      <c r="D28" s="74" t="s">
        <v>505</v>
      </c>
      <c r="E28" s="74">
        <v>2</v>
      </c>
      <c r="F28" s="74" t="s">
        <v>230</v>
      </c>
      <c r="G28" s="74" t="s">
        <v>312</v>
      </c>
      <c r="H28" s="74" t="s">
        <v>313</v>
      </c>
      <c r="I28" s="74"/>
      <c r="J28" s="74"/>
      <c r="K28" s="74"/>
      <c r="L28" s="74"/>
      <c r="M28" s="74" t="s">
        <v>288</v>
      </c>
      <c r="N28" s="38">
        <f>IF(OR(A28="Автомат",A28="Дифавтомат"),IF(W28="","",COUNTIFS(Однолинейка!$H$3:$H$3000,U28,Однолинейка!$A$3:$A$3000,Щит_спец)),IF(A28="Аппарат",IF(C28="","",COUNTIFS(Однолинейка!$I$3:$I$3000,C28,Однолинейка!$A$3:$A$3000,Щит_спец)+COUNTIFS(Однолинейка!$J$3:$J$3000,C28,Однолинейка!$A$3:$A$3000,Щит_спец)+COUNTIFS(Однолинейка!$K$3:$K$3000,C28,Однолинейка!$A$3:$A$3000,Щит_спец)),IF(A28="Модуль",IF(C28="","",COUNTIFS(Однолинейка!$AW$3:$AW$3000,"?*",Однолинейка!$AI$3:$AI$3000,C28,Однолинейка!$A$3:$A$3000,Щит_спец)),IF(A28="Клемма",IF(C28="","",IF(C28=$S$7,SUMIFS(Однолинейка!$BW$3:$BW$3000,Однолинейка!$A$3:$A$3000,Щит_спец),IF(C28=$S$8,SUMIFS(Однолинейка!$BX$3:$BX$3000,Однолинейка!$A$3:$A$3000,Щит_спец),""))),""))))</f>
        <v>0</v>
      </c>
      <c r="O28" s="74"/>
      <c r="P28" s="38">
        <f t="shared" si="0"/>
        <v>0</v>
      </c>
      <c r="R28" s="38" t="str">
        <f>IFERROR(INDEX($AG$4:$AG$43,MATCH(1,$AH$4:$AH$43,0)),"")</f>
        <v>1P С6А</v>
      </c>
      <c r="U28" s="38" t="str">
        <f t="shared" si="1"/>
        <v/>
      </c>
      <c r="V28" s="38" t="str">
        <f t="shared" si="2"/>
        <v/>
      </c>
      <c r="W28" s="38" t="str">
        <f>IF(AND(U28&lt;&gt;"",OR($S$4="(все)",B28=$S$4),IF($S$4="(все)",COUNTIF($U$4:U28,U28),COUNTIFS($U$4:U28,U28,$B$4:B28,B28))=1),MAX($W$3:W27)+1,"")</f>
        <v/>
      </c>
      <c r="X28" s="38" t="str">
        <f t="shared" si="3"/>
        <v/>
      </c>
      <c r="Y28" s="38" t="str">
        <f>IF(AND(A28="Аппарат",C28&lt;&gt;"",OR($S$5="(все)",B28=$S$5)),MAX($Y$3:Y27)+1,"")</f>
        <v/>
      </c>
      <c r="Z28" s="38" t="str">
        <f t="shared" si="4"/>
        <v/>
      </c>
      <c r="AA28" s="38">
        <f>IF(AND(A28="Модуль",C28&lt;&gt;"",OR($S$6="(все)",B28=$S$6)),MAX($AA$3:AA27)+1,"")</f>
        <v>7</v>
      </c>
      <c r="AB28" s="38" t="str">
        <f t="shared" si="5"/>
        <v/>
      </c>
      <c r="AC28" s="38" t="str">
        <f>IF(OR(B28="",COUNTIF($B$4:B28,B28)&gt;1),"",MAX($AC$3:AC27)+1)</f>
        <v/>
      </c>
      <c r="AD28" s="38" t="str">
        <f t="shared" si="6"/>
        <v/>
      </c>
      <c r="AE28" s="38" t="str">
        <f t="shared" si="7"/>
        <v/>
      </c>
      <c r="AF28" s="38" t="str">
        <f t="shared" si="8"/>
        <v/>
      </c>
      <c r="AG28" s="38" t="str">
        <f>IF(Спецификация_авто!$L$31="","",IF(COUNTIF($C$4:$C$500,Спецификация_авто!$L$31)=0,Спецификация_авто!$L$31,""))</f>
        <v>УЗО 2P 40А 30мА</v>
      </c>
      <c r="AH28" s="38">
        <f>IF(AG28="","",COUNTIF($AG$4:AG28,"?*"))</f>
        <v>8</v>
      </c>
    </row>
    <row r="29" spans="1:34" x14ac:dyDescent="0.3">
      <c r="A29" s="74" t="s">
        <v>441</v>
      </c>
      <c r="B29" s="74" t="s">
        <v>308</v>
      </c>
      <c r="C29" s="74" t="s">
        <v>315</v>
      </c>
      <c r="D29" s="74" t="s">
        <v>708</v>
      </c>
      <c r="E29" s="74">
        <v>8</v>
      </c>
      <c r="F29" s="74" t="s">
        <v>709</v>
      </c>
      <c r="G29" s="74" t="s">
        <v>314</v>
      </c>
      <c r="H29" s="74" t="s">
        <v>315</v>
      </c>
      <c r="I29" s="74"/>
      <c r="J29" s="74"/>
      <c r="K29" s="74"/>
      <c r="L29" s="74"/>
      <c r="M29" s="74" t="s">
        <v>288</v>
      </c>
      <c r="N29" s="38">
        <f>IF(OR(A29="Автомат",A29="Дифавтомат"),IF(W29="","",COUNTIFS(Однолинейка!$H$3:$H$3000,U29,Однолинейка!$A$3:$A$3000,Щит_спец)),IF(A29="Аппарат",IF(C29="","",COUNTIFS(Однолинейка!$I$3:$I$3000,C29,Однолинейка!$A$3:$A$3000,Щит_спец)+COUNTIFS(Однолинейка!$J$3:$J$3000,C29,Однолинейка!$A$3:$A$3000,Щит_спец)+COUNTIFS(Однолинейка!$K$3:$K$3000,C29,Однолинейка!$A$3:$A$3000,Щит_спец)),IF(A29="Модуль",IF(C29="","",COUNTIFS(Однолинейка!$AW$3:$AW$3000,"?*",Однолинейка!$AI$3:$AI$3000,C29,Однолинейка!$A$3:$A$3000,Щит_спец)),IF(A29="Клемма",IF(C29="","",IF(C29=$S$7,SUMIFS(Однолинейка!$BW$3:$BW$3000,Однолинейка!$A$3:$A$3000,Щит_спец),IF(C29=$S$8,SUMIFS(Однолинейка!$BX$3:$BX$3000,Однолинейка!$A$3:$A$3000,Щит_спец),""))),""))))</f>
        <v>0</v>
      </c>
      <c r="O29" s="74"/>
      <c r="P29" s="38">
        <f t="shared" si="0"/>
        <v>0</v>
      </c>
      <c r="R29" s="38" t="str">
        <f>IFERROR(INDEX($AG$4:$AG$43,MATCH(2,$AH$4:$AH$43,0)),"")</f>
        <v>3P С40А</v>
      </c>
      <c r="U29" s="38" t="str">
        <f t="shared" si="1"/>
        <v/>
      </c>
      <c r="V29" s="38" t="str">
        <f t="shared" si="2"/>
        <v/>
      </c>
      <c r="W29" s="38" t="str">
        <f>IF(AND(U29&lt;&gt;"",OR($S$4="(все)",B29=$S$4),IF($S$4="(все)",COUNTIF($U$4:U29,U29),COUNTIFS($U$4:U29,U29,$B$4:B29,B29))=1),MAX($W$3:W28)+1,"")</f>
        <v/>
      </c>
      <c r="X29" s="38" t="str">
        <f t="shared" si="3"/>
        <v/>
      </c>
      <c r="Y29" s="38" t="str">
        <f>IF(AND(A29="Аппарат",C29&lt;&gt;"",OR($S$5="(все)",B29=$S$5)),MAX($Y$3:Y28)+1,"")</f>
        <v/>
      </c>
      <c r="Z29" s="38" t="str">
        <f t="shared" si="4"/>
        <v/>
      </c>
      <c r="AA29" s="38">
        <f>IF(AND(A29="Модуль",C29&lt;&gt;"",OR($S$6="(все)",B29=$S$6)),MAX($AA$3:AA28)+1,"")</f>
        <v>8</v>
      </c>
      <c r="AB29" s="38" t="str">
        <f t="shared" si="5"/>
        <v/>
      </c>
      <c r="AC29" s="38" t="str">
        <f>IF(OR(B29="",COUNTIF($B$4:B29,B29)&gt;1),"",MAX($AC$3:AC28)+1)</f>
        <v/>
      </c>
      <c r="AD29" s="38" t="str">
        <f t="shared" si="6"/>
        <v/>
      </c>
      <c r="AE29" s="38" t="str">
        <f t="shared" si="7"/>
        <v/>
      </c>
      <c r="AF29" s="38" t="str">
        <f t="shared" si="8"/>
        <v/>
      </c>
      <c r="AG29" s="38" t="str">
        <f>IF(Спецификация_авто!$L$32="","",IF(COUNTIF($C$4:$C$500,Спецификация_авто!$L$32)=0,Спецификация_авто!$L$32,""))</f>
        <v/>
      </c>
      <c r="AH29" s="38" t="str">
        <f>IF(AG29="","",COUNTIF($AG$4:AG29,"?*"))</f>
        <v/>
      </c>
    </row>
    <row r="30" spans="1:34" x14ac:dyDescent="0.3">
      <c r="A30" s="74" t="s">
        <v>441</v>
      </c>
      <c r="B30" s="74" t="s">
        <v>301</v>
      </c>
      <c r="C30" s="74" t="s">
        <v>710</v>
      </c>
      <c r="D30" s="74" t="s">
        <v>503</v>
      </c>
      <c r="E30" s="74">
        <v>4</v>
      </c>
      <c r="F30" s="74" t="s">
        <v>711</v>
      </c>
      <c r="G30" s="74" t="s">
        <v>712</v>
      </c>
      <c r="H30" s="74" t="s">
        <v>302</v>
      </c>
      <c r="I30" s="74"/>
      <c r="J30" s="74"/>
      <c r="K30" s="74"/>
      <c r="L30" s="74"/>
      <c r="M30" s="74" t="s">
        <v>288</v>
      </c>
      <c r="N30" s="38">
        <f>IF(OR(A30="Автомат",A30="Дифавтомат"),IF(W30="","",COUNTIFS(Однолинейка!$H$3:$H$3000,U30,Однолинейка!$A$3:$A$3000,Щит_спец)),IF(A30="Аппарат",IF(C30="","",COUNTIFS(Однолинейка!$I$3:$I$3000,C30,Однолинейка!$A$3:$A$3000,Щит_спец)+COUNTIFS(Однолинейка!$J$3:$J$3000,C30,Однолинейка!$A$3:$A$3000,Щит_спец)+COUNTIFS(Однолинейка!$K$3:$K$3000,C30,Однолинейка!$A$3:$A$3000,Щит_спец)),IF(A30="Модуль",IF(C30="","",COUNTIFS(Однолинейка!$AW$3:$AW$3000,"?*",Однолинейка!$AI$3:$AI$3000,C30,Однолинейка!$A$3:$A$3000,Щит_спец)),IF(A30="Клемма",IF(C30="","",IF(C30=$S$7,SUMIFS(Однолинейка!$BW$3:$BW$3000,Однолинейка!$A$3:$A$3000,Щит_спец),IF(C30=$S$8,SUMIFS(Однолинейка!$BX$3:$BX$3000,Однолинейка!$A$3:$A$3000,Щит_спец),""))),""))))</f>
        <v>1</v>
      </c>
      <c r="O30" s="74"/>
      <c r="P30" s="38">
        <f t="shared" si="0"/>
        <v>1</v>
      </c>
      <c r="Q30">
        <v>5</v>
      </c>
      <c r="R30" s="38" t="str">
        <f>IFERROR(INDEX($AG$4:$AG$43,MATCH(3,$AH$4:$AH$43,0)),"")</f>
        <v>3P С25А</v>
      </c>
      <c r="U30" s="38" t="str">
        <f t="shared" si="1"/>
        <v/>
      </c>
      <c r="V30" s="38" t="str">
        <f t="shared" si="2"/>
        <v/>
      </c>
      <c r="W30" s="38" t="str">
        <f>IF(AND(U30&lt;&gt;"",OR($S$4="(все)",B30=$S$4),IF($S$4="(все)",COUNTIF($U$4:U30,U30),COUNTIFS($U$4:U30,U30,$B$4:B30,B30))=1),MAX($W$3:W29)+1,"")</f>
        <v/>
      </c>
      <c r="X30" s="38" t="str">
        <f t="shared" si="3"/>
        <v/>
      </c>
      <c r="Y30" s="38" t="str">
        <f>IF(AND(A30="Аппарат",C30&lt;&gt;"",OR($S$5="(все)",B30=$S$5)),MAX($Y$3:Y29)+1,"")</f>
        <v/>
      </c>
      <c r="Z30" s="38" t="str">
        <f t="shared" si="4"/>
        <v/>
      </c>
      <c r="AA30" s="38">
        <f>IF(AND(A30="Модуль",C30&lt;&gt;"",OR($S$6="(все)",B30=$S$6)),MAX($AA$3:AA29)+1,"")</f>
        <v>9</v>
      </c>
      <c r="AB30" s="38" t="str">
        <f t="shared" si="5"/>
        <v/>
      </c>
      <c r="AC30" s="38" t="str">
        <f>IF(OR(B30="",COUNTIF($B$4:B30,B30)&gt;1),"",MAX($AC$3:AC29)+1)</f>
        <v/>
      </c>
      <c r="AD30" s="38" t="str">
        <f t="shared" si="6"/>
        <v/>
      </c>
      <c r="AE30" s="38">
        <f t="shared" si="7"/>
        <v>5030</v>
      </c>
      <c r="AF30" s="38">
        <f t="shared" si="8"/>
        <v>11</v>
      </c>
      <c r="AG30" s="38" t="str">
        <f>IF(Спецификация_авто!$L$33="","",IF(COUNTIF($C$4:$C$500,Спецификация_авто!$L$33)=0,Спецификация_авто!$L$33,""))</f>
        <v/>
      </c>
      <c r="AH30" s="38" t="str">
        <f>IF(AG30="","",COUNTIF($AG$4:AG30,"?*"))</f>
        <v/>
      </c>
    </row>
    <row r="31" spans="1:34" x14ac:dyDescent="0.3">
      <c r="A31" s="74" t="s">
        <v>441</v>
      </c>
      <c r="B31" s="74" t="s">
        <v>713</v>
      </c>
      <c r="C31" s="74" t="s">
        <v>488</v>
      </c>
      <c r="D31" s="74" t="s">
        <v>27</v>
      </c>
      <c r="E31" s="74">
        <v>24</v>
      </c>
      <c r="F31" s="74" t="s">
        <v>496</v>
      </c>
      <c r="G31" s="74" t="s">
        <v>714</v>
      </c>
      <c r="H31" s="74"/>
      <c r="I31" s="74"/>
      <c r="J31" s="74"/>
      <c r="K31" s="74"/>
      <c r="L31" s="74"/>
      <c r="M31" s="74" t="s">
        <v>288</v>
      </c>
      <c r="N31" s="38">
        <f>IF(OR(A31="Автомат",A31="Дифавтомат"),IF(W31="","",COUNTIFS(Однолинейка!$H$3:$H$3000,U31,Однолинейка!$A$3:$A$3000,Щит_спец)),IF(A31="Аппарат",IF(C31="","",COUNTIFS(Однолинейка!$I$3:$I$3000,C31,Однолинейка!$A$3:$A$3000,Щит_спец)+COUNTIFS(Однолинейка!$J$3:$J$3000,C31,Однолинейка!$A$3:$A$3000,Щит_спец)+COUNTIFS(Однолинейка!$K$3:$K$3000,C31,Однолинейка!$A$3:$A$3000,Щит_спец)),IF(A31="Модуль",IF(C31="","",COUNTIFS(Однолинейка!$AW$3:$AW$3000,"?*",Однолинейка!$AI$3:$AI$3000,C31,Однолинейка!$A$3:$A$3000,Щит_спец)),IF(A31="Клемма",IF(C31="","",IF(C31=$S$7,SUMIFS(Однолинейка!$BW$3:$BW$3000,Однолинейка!$A$3:$A$3000,Щит_спец),IF(C31=$S$8,SUMIFS(Однолинейка!$BX$3:$BX$3000,Однолинейка!$A$3:$A$3000,Щит_спец),""))),""))))</f>
        <v>0</v>
      </c>
      <c r="O31" s="74"/>
      <c r="P31" s="38">
        <f t="shared" si="0"/>
        <v>0</v>
      </c>
      <c r="R31" s="38" t="str">
        <f>IFERROR(INDEX($AG$4:$AG$43,MATCH(4,$AH$4:$AH$43,0)),"")</f>
        <v>3P С6А</v>
      </c>
      <c r="U31" s="38" t="str">
        <f t="shared" si="1"/>
        <v/>
      </c>
      <c r="V31" s="38" t="str">
        <f t="shared" si="2"/>
        <v/>
      </c>
      <c r="W31" s="38" t="str">
        <f>IF(AND(U31&lt;&gt;"",OR($S$4="(все)",B31=$S$4),IF($S$4="(все)",COUNTIF($U$4:U31,U31),COUNTIFS($U$4:U31,U31,$B$4:B31,B31))=1),MAX($W$3:W30)+1,"")</f>
        <v/>
      </c>
      <c r="X31" s="38" t="str">
        <f t="shared" si="3"/>
        <v/>
      </c>
      <c r="Y31" s="38" t="str">
        <f>IF(AND(A31="Аппарат",C31&lt;&gt;"",OR($S$5="(все)",B31=$S$5)),MAX($Y$3:Y30)+1,"")</f>
        <v/>
      </c>
      <c r="Z31" s="38" t="str">
        <f t="shared" si="4"/>
        <v/>
      </c>
      <c r="AA31" s="38">
        <f>IF(AND(A31="Модуль",C31&lt;&gt;"",OR($S$6="(все)",B31=$S$6)),MAX($AA$3:AA30)+1,"")</f>
        <v>10</v>
      </c>
      <c r="AB31" s="38" t="str">
        <f t="shared" si="5"/>
        <v/>
      </c>
      <c r="AC31" s="38">
        <f>IF(OR(B31="",COUNTIF($B$4:B31,B31)&gt;1),"",MAX($AC$3:AC30)+1)</f>
        <v>5</v>
      </c>
      <c r="AD31" s="38" t="str">
        <f t="shared" si="6"/>
        <v/>
      </c>
      <c r="AE31" s="38" t="str">
        <f t="shared" si="7"/>
        <v/>
      </c>
      <c r="AF31" s="38" t="str">
        <f t="shared" si="8"/>
        <v/>
      </c>
      <c r="AG31" s="38" t="str">
        <f>IF(Спецификация_авто!$L$34="","",IF(COUNTIF($C$4:$C$500,Спецификация_авто!$L$34)=0,Спецификация_авто!$L$34,""))</f>
        <v/>
      </c>
      <c r="AH31" s="38" t="str">
        <f>IF(AG31="","",COUNTIF($AG$4:AG31,"?*"))</f>
        <v/>
      </c>
    </row>
    <row r="32" spans="1:34" x14ac:dyDescent="0.3">
      <c r="A32" s="74" t="s">
        <v>441</v>
      </c>
      <c r="B32" s="74" t="s">
        <v>713</v>
      </c>
      <c r="C32" s="74" t="s">
        <v>487</v>
      </c>
      <c r="D32" s="74" t="s">
        <v>506</v>
      </c>
      <c r="E32" s="74">
        <v>8</v>
      </c>
      <c r="F32" s="74" t="s">
        <v>715</v>
      </c>
      <c r="G32" s="74" t="s">
        <v>714</v>
      </c>
      <c r="H32" s="74"/>
      <c r="I32" s="74"/>
      <c r="J32" s="74"/>
      <c r="K32" s="74"/>
      <c r="L32" s="74"/>
      <c r="M32" s="74" t="s">
        <v>288</v>
      </c>
      <c r="N32" s="38">
        <f>IF(OR(A32="Автомат",A32="Дифавтомат"),IF(W32="","",COUNTIFS(Однолинейка!$H$3:$H$3000,U32,Однолинейка!$A$3:$A$3000,Щит_спец)),IF(A32="Аппарат",IF(C32="","",COUNTIFS(Однолинейка!$I$3:$I$3000,C32,Однолинейка!$A$3:$A$3000,Щит_спец)+COUNTIFS(Однолинейка!$J$3:$J$3000,C32,Однолинейка!$A$3:$A$3000,Щит_спец)+COUNTIFS(Однолинейка!$K$3:$K$3000,C32,Однолинейка!$A$3:$A$3000,Щит_спец)),IF(A32="Модуль",IF(C32="","",COUNTIFS(Однолинейка!$AW$3:$AW$3000,"?*",Однолинейка!$AI$3:$AI$3000,C32,Однолинейка!$A$3:$A$3000,Щит_спец)),IF(A32="Клемма",IF(C32="","",IF(C32=$S$7,SUMIFS(Однолинейка!$BW$3:$BW$3000,Однолинейка!$A$3:$A$3000,Щит_спец),IF(C32=$S$8,SUMIFS(Однолинейка!$BX$3:$BX$3000,Однолинейка!$A$3:$A$3000,Щит_спец),""))),""))))</f>
        <v>0</v>
      </c>
      <c r="O32" s="74"/>
      <c r="P32" s="38">
        <f t="shared" si="0"/>
        <v>0</v>
      </c>
      <c r="R32" s="38" t="str">
        <f>IFERROR(INDEX($AG$4:$AG$43,MATCH(5,$AH$4:$AH$43,0)),"")</f>
        <v>2P С16А 10мА</v>
      </c>
      <c r="U32" s="38" t="str">
        <f t="shared" si="1"/>
        <v/>
      </c>
      <c r="V32" s="38" t="str">
        <f t="shared" si="2"/>
        <v/>
      </c>
      <c r="W32" s="38" t="str">
        <f>IF(AND(U32&lt;&gt;"",OR($S$4="(все)",B32=$S$4),IF($S$4="(все)",COUNTIF($U$4:U32,U32),COUNTIFS($U$4:U32,U32,$B$4:B32,B32))=1),MAX($W$3:W31)+1,"")</f>
        <v/>
      </c>
      <c r="X32" s="38" t="str">
        <f t="shared" si="3"/>
        <v/>
      </c>
      <c r="Y32" s="38" t="str">
        <f>IF(AND(A32="Аппарат",C32&lt;&gt;"",OR($S$5="(все)",B32=$S$5)),MAX($Y$3:Y31)+1,"")</f>
        <v/>
      </c>
      <c r="Z32" s="38" t="str">
        <f t="shared" si="4"/>
        <v/>
      </c>
      <c r="AA32" s="38">
        <f>IF(AND(A32="Модуль",C32&lt;&gt;"",OR($S$6="(все)",B32=$S$6)),MAX($AA$3:AA31)+1,"")</f>
        <v>11</v>
      </c>
      <c r="AB32" s="38" t="str">
        <f t="shared" si="5"/>
        <v/>
      </c>
      <c r="AC32" s="38" t="str">
        <f>IF(OR(B32="",COUNTIF($B$4:B32,B32)&gt;1),"",MAX($AC$3:AC31)+1)</f>
        <v/>
      </c>
      <c r="AD32" s="38" t="str">
        <f t="shared" si="6"/>
        <v/>
      </c>
      <c r="AE32" s="38" t="str">
        <f t="shared" si="7"/>
        <v/>
      </c>
      <c r="AF32" s="38" t="str">
        <f t="shared" si="8"/>
        <v/>
      </c>
      <c r="AG32" s="38" t="str">
        <f>IF(Спецификация_авто!$L$35="","",IF(COUNTIF($C$4:$C$500,Спецификация_авто!$L$35)=0,Спецификация_авто!$L$35,""))</f>
        <v/>
      </c>
      <c r="AH32" s="38" t="str">
        <f>IF(AG32="","",COUNTIF($AG$4:AG32,"?*"))</f>
        <v/>
      </c>
    </row>
    <row r="33" spans="1:34" x14ac:dyDescent="0.3">
      <c r="A33" s="74" t="s">
        <v>444</v>
      </c>
      <c r="B33" s="74" t="s">
        <v>285</v>
      </c>
      <c r="C33" s="74" t="s">
        <v>323</v>
      </c>
      <c r="D33" s="74"/>
      <c r="E33" s="74"/>
      <c r="F33" s="74"/>
      <c r="G33" s="74" t="s">
        <v>716</v>
      </c>
      <c r="H33" s="74" t="s">
        <v>323</v>
      </c>
      <c r="I33" s="74"/>
      <c r="J33" s="74"/>
      <c r="K33" s="74"/>
      <c r="L33" s="74"/>
      <c r="M33" s="74" t="s">
        <v>288</v>
      </c>
      <c r="N33" s="38">
        <f>IF(OR(A33="Автомат",A33="Дифавтомат"),IF(W33="","",COUNTIFS(Однолинейка!$H$3:$H$3000,U33,Однолинейка!$A$3:$A$3000,Щит_спец)),IF(A33="Аппарат",IF(C33="","",COUNTIFS(Однолинейка!$I$3:$I$3000,C33,Однолинейка!$A$3:$A$3000,Щит_спец)+COUNTIFS(Однолинейка!$J$3:$J$3000,C33,Однолинейка!$A$3:$A$3000,Щит_спец)+COUNTIFS(Однолинейка!$K$3:$K$3000,C33,Однолинейка!$A$3:$A$3000,Щит_спец)),IF(A33="Модуль",IF(C33="","",COUNTIFS(Однолинейка!$AW$3:$AW$3000,"?*",Однолинейка!$AI$3:$AI$3000,C33,Однолинейка!$A$3:$A$3000,Щит_спец)),IF(A33="Клемма",IF(C33="","",IF(C33=$S$7,SUMIFS(Однолинейка!$BW$3:$BW$3000,Однолинейка!$A$3:$A$3000,Щит_спец),IF(C33=$S$8,SUMIFS(Однолинейка!$BX$3:$BX$3000,Однолинейка!$A$3:$A$3000,Щит_спец),""))),""))))</f>
        <v>43</v>
      </c>
      <c r="O33" s="74"/>
      <c r="P33" s="38">
        <f t="shared" si="0"/>
        <v>43</v>
      </c>
      <c r="R33" s="38" t="str">
        <f>IFERROR(INDEX($AG$4:$AG$43,MATCH(6,$AH$4:$AH$43,0)),"")</f>
        <v>3P С10А</v>
      </c>
      <c r="U33" s="38" t="str">
        <f t="shared" si="1"/>
        <v/>
      </c>
      <c r="V33" s="38" t="str">
        <f t="shared" si="2"/>
        <v/>
      </c>
      <c r="W33" s="38" t="str">
        <f>IF(AND(U33&lt;&gt;"",OR($S$4="(все)",B33=$S$4),IF($S$4="(все)",COUNTIF($U$4:U33,U33),COUNTIFS($U$4:U33,U33,$B$4:B33,B33))=1),MAX($W$3:W32)+1,"")</f>
        <v/>
      </c>
      <c r="X33" s="38" t="str">
        <f t="shared" si="3"/>
        <v/>
      </c>
      <c r="Y33" s="38" t="str">
        <f>IF(AND(A33="Аппарат",C33&lt;&gt;"",OR($S$5="(все)",B33=$S$5)),MAX($Y$3:Y32)+1,"")</f>
        <v/>
      </c>
      <c r="Z33" s="38" t="str">
        <f t="shared" si="4"/>
        <v/>
      </c>
      <c r="AA33" s="38" t="str">
        <f>IF(AND(A33="Модуль",C33&lt;&gt;"",OR($S$6="(все)",B33=$S$6)),MAX($AA$3:AA32)+1,"")</f>
        <v/>
      </c>
      <c r="AB33" s="38" t="str">
        <f t="shared" si="5"/>
        <v/>
      </c>
      <c r="AC33" s="38">
        <f>IF(OR(B33="",COUNTIF($B$4:B33,B33)&gt;1),"",MAX($AC$3:AC32)+1)</f>
        <v>6</v>
      </c>
      <c r="AD33" s="38" t="str">
        <f t="shared" si="6"/>
        <v/>
      </c>
      <c r="AE33" s="38">
        <f t="shared" si="7"/>
        <v>7033</v>
      </c>
      <c r="AF33" s="38">
        <f t="shared" si="8"/>
        <v>12</v>
      </c>
      <c r="AG33" s="38" t="str">
        <f>IF(Спецификация_авто!$L$36="","",IF(COUNTIF($C$4:$C$500,Спецификация_авто!$L$36)=0,Спецификация_авто!$L$36,""))</f>
        <v/>
      </c>
      <c r="AH33" s="38" t="str">
        <f>IF(AG33="","",COUNTIF($AG$4:AG33,"?*"))</f>
        <v/>
      </c>
    </row>
    <row r="34" spans="1:34" x14ac:dyDescent="0.3">
      <c r="A34" s="74" t="s">
        <v>444</v>
      </c>
      <c r="B34" s="74" t="s">
        <v>285</v>
      </c>
      <c r="C34" s="74" t="s">
        <v>405</v>
      </c>
      <c r="D34" s="74"/>
      <c r="E34" s="74"/>
      <c r="F34" s="74"/>
      <c r="G34" s="74" t="s">
        <v>717</v>
      </c>
      <c r="H34" s="74" t="s">
        <v>405</v>
      </c>
      <c r="I34" s="74"/>
      <c r="J34" s="74"/>
      <c r="K34" s="74"/>
      <c r="L34" s="74"/>
      <c r="M34" s="74" t="s">
        <v>288</v>
      </c>
      <c r="N34" s="38">
        <f>IF(OR(A34="Автомат",A34="Дифавтомат"),IF(W34="","",COUNTIFS(Однолинейка!$H$3:$H$3000,U34,Однолинейка!$A$3:$A$3000,Щит_спец)),IF(A34="Аппарат",IF(C34="","",COUNTIFS(Однолинейка!$I$3:$I$3000,C34,Однолинейка!$A$3:$A$3000,Щит_спец)+COUNTIFS(Однолинейка!$J$3:$J$3000,C34,Однолинейка!$A$3:$A$3000,Щит_спец)+COUNTIFS(Однолинейка!$K$3:$K$3000,C34,Однолинейка!$A$3:$A$3000,Щит_спец)),IF(A34="Модуль",IF(C34="","",COUNTIFS(Однолинейка!$AW$3:$AW$3000,"?*",Однолинейка!$AI$3:$AI$3000,C34,Однолинейка!$A$3:$A$3000,Щит_спец)),IF(A34="Клемма",IF(C34="","",IF(C34=$S$7,SUMIFS(Однолинейка!$BW$3:$BW$3000,Однолинейка!$A$3:$A$3000,Щит_спец),IF(C34=$S$8,SUMIFS(Однолинейка!$BX$3:$BX$3000,Однолинейка!$A$3:$A$3000,Щит_спец),""))),""))))</f>
        <v>14</v>
      </c>
      <c r="O34" s="74"/>
      <c r="P34" s="38">
        <f t="shared" si="0"/>
        <v>14</v>
      </c>
      <c r="R34" s="38" t="str">
        <f>IFERROR(INDEX($AG$4:$AG$43,MATCH(7,$AH$4:$AH$43,0)),"")</f>
        <v>3P С16А</v>
      </c>
      <c r="U34" s="38" t="str">
        <f t="shared" si="1"/>
        <v/>
      </c>
      <c r="V34" s="38" t="str">
        <f t="shared" si="2"/>
        <v/>
      </c>
      <c r="W34" s="38" t="str">
        <f>IF(AND(U34&lt;&gt;"",OR($S$4="(все)",B34=$S$4),IF($S$4="(все)",COUNTIF($U$4:U34,U34),COUNTIFS($U$4:U34,U34,$B$4:B34,B34))=1),MAX($W$3:W33)+1,"")</f>
        <v/>
      </c>
      <c r="X34" s="38" t="str">
        <f t="shared" si="3"/>
        <v/>
      </c>
      <c r="Y34" s="38" t="str">
        <f>IF(AND(A34="Аппарат",C34&lt;&gt;"",OR($S$5="(все)",B34=$S$5)),MAX($Y$3:Y33)+1,"")</f>
        <v/>
      </c>
      <c r="Z34" s="38" t="str">
        <f t="shared" si="4"/>
        <v/>
      </c>
      <c r="AA34" s="38" t="str">
        <f>IF(AND(A34="Модуль",C34&lt;&gt;"",OR($S$6="(все)",B34=$S$6)),MAX($AA$3:AA33)+1,"")</f>
        <v/>
      </c>
      <c r="AB34" s="38" t="str">
        <f t="shared" si="5"/>
        <v/>
      </c>
      <c r="AC34" s="38" t="str">
        <f>IF(OR(B34="",COUNTIF($B$4:B34,B34)&gt;1),"",MAX($AC$3:AC33)+1)</f>
        <v/>
      </c>
      <c r="AD34" s="38" t="str">
        <f t="shared" si="6"/>
        <v/>
      </c>
      <c r="AE34" s="38">
        <f t="shared" si="7"/>
        <v>7034</v>
      </c>
      <c r="AF34" s="38">
        <f t="shared" si="8"/>
        <v>13</v>
      </c>
      <c r="AG34" s="38" t="str">
        <f>IF(Спецификация_авто!$L$39="","",IF(COUNTIF($C$4:$C$500,Спецификация_авто!$L$39)=0,Спецификация_авто!$L$39,""))</f>
        <v/>
      </c>
      <c r="AH34" s="38" t="str">
        <f>IF(AG34="","",COUNTIF($AG$4:AG34,"?*"))</f>
        <v/>
      </c>
    </row>
    <row r="35" spans="1:34" x14ac:dyDescent="0.3">
      <c r="A35" s="74" t="s">
        <v>444</v>
      </c>
      <c r="B35" s="74" t="s">
        <v>285</v>
      </c>
      <c r="C35" s="74" t="s">
        <v>325</v>
      </c>
      <c r="D35" s="74"/>
      <c r="E35" s="74"/>
      <c r="F35" s="74"/>
      <c r="G35" s="74" t="s">
        <v>324</v>
      </c>
      <c r="H35" s="74" t="s">
        <v>325</v>
      </c>
      <c r="I35" s="74"/>
      <c r="J35" s="74"/>
      <c r="K35" s="74"/>
      <c r="L35" s="74"/>
      <c r="M35" s="74" t="s">
        <v>288</v>
      </c>
      <c r="N35" s="38" t="str">
        <f>IF(OR(A35="Автомат",A35="Дифавтомат"),IF(W35="","",COUNTIFS(Однолинейка!$H$3:$H$3000,U35,Однолинейка!$A$3:$A$3000,Щит_спец)),IF(A35="Аппарат",IF(C35="","",COUNTIFS(Однолинейка!$I$3:$I$3000,C35,Однолинейка!$A$3:$A$3000,Щит_спец)+COUNTIFS(Однолинейка!$J$3:$J$3000,C35,Однолинейка!$A$3:$A$3000,Щит_спец)+COUNTIFS(Однолинейка!$K$3:$K$3000,C35,Однолинейка!$A$3:$A$3000,Щит_спец)),IF(A35="Модуль",IF(C35="","",COUNTIFS(Однолинейка!$AW$3:$AW$3000,"?*",Однолинейка!$AI$3:$AI$3000,C35,Однолинейка!$A$3:$A$3000,Щит_спец)),IF(A35="Клемма",IF(C35="","",IF(C35=$S$7,SUMIFS(Однолинейка!$BW$3:$BW$3000,Однолинейка!$A$3:$A$3000,Щит_спец),IF(C35=$S$8,SUMIFS(Однолинейка!$BX$3:$BX$3000,Однолинейка!$A$3:$A$3000,Щит_спец),""))),""))))</f>
        <v/>
      </c>
      <c r="O35" s="74"/>
      <c r="P35" s="38" t="str">
        <f t="shared" si="0"/>
        <v/>
      </c>
      <c r="R35" s="38" t="str">
        <f>IFERROR(INDEX($AG$4:$AG$43,MATCH(8,$AH$4:$AH$43,0)),"")</f>
        <v>УЗО 2P 40А 30мА</v>
      </c>
      <c r="U35" s="38" t="str">
        <f t="shared" si="1"/>
        <v/>
      </c>
      <c r="V35" s="38" t="str">
        <f t="shared" si="2"/>
        <v/>
      </c>
      <c r="W35" s="38" t="str">
        <f>IF(AND(U35&lt;&gt;"",OR($S$4="(все)",B35=$S$4),IF($S$4="(все)",COUNTIF($U$4:U35,U35),COUNTIFS($U$4:U35,U35,$B$4:B35,B35))=1),MAX($W$3:W34)+1,"")</f>
        <v/>
      </c>
      <c r="X35" s="38" t="str">
        <f t="shared" si="3"/>
        <v/>
      </c>
      <c r="Y35" s="38" t="str">
        <f>IF(AND(A35="Аппарат",C35&lt;&gt;"",OR($S$5="(все)",B35=$S$5)),MAX($Y$3:Y34)+1,"")</f>
        <v/>
      </c>
      <c r="Z35" s="38" t="str">
        <f t="shared" si="4"/>
        <v/>
      </c>
      <c r="AA35" s="38" t="str">
        <f>IF(AND(A35="Модуль",C35&lt;&gt;"",OR($S$6="(все)",B35=$S$6)),MAX($AA$3:AA34)+1,"")</f>
        <v/>
      </c>
      <c r="AB35" s="38" t="str">
        <f t="shared" si="5"/>
        <v/>
      </c>
      <c r="AC35" s="38" t="str">
        <f>IF(OR(B35="",COUNTIF($B$4:B35,B35)&gt;1),"",MAX($AC$3:AC34)+1)</f>
        <v/>
      </c>
      <c r="AD35" s="38" t="str">
        <f t="shared" si="6"/>
        <v/>
      </c>
      <c r="AE35" s="38" t="str">
        <f t="shared" si="7"/>
        <v/>
      </c>
      <c r="AF35" s="38" t="str">
        <f t="shared" si="8"/>
        <v/>
      </c>
      <c r="AG35" s="38" t="str">
        <f>IF(Спецификация_авто!$L$40="","",IF(COUNTIF($C$4:$C$500,Спецификация_авто!$L$40)=0,Спецификация_авто!$L$40,""))</f>
        <v/>
      </c>
      <c r="AH35" s="38" t="str">
        <f>IF(AG35="","",COUNTIF($AG$4:AG35,"?*"))</f>
        <v/>
      </c>
    </row>
    <row r="36" spans="1:34" x14ac:dyDescent="0.3">
      <c r="A36" s="74" t="s">
        <v>444</v>
      </c>
      <c r="B36" s="74" t="s">
        <v>285</v>
      </c>
      <c r="C36" s="74" t="s">
        <v>316</v>
      </c>
      <c r="D36" s="74"/>
      <c r="E36" s="74"/>
      <c r="F36" s="74"/>
      <c r="G36" s="74" t="s">
        <v>718</v>
      </c>
      <c r="H36" s="74" t="s">
        <v>316</v>
      </c>
      <c r="I36" s="74"/>
      <c r="J36" s="74"/>
      <c r="K36" s="74"/>
      <c r="L36" s="74"/>
      <c r="M36" s="74" t="s">
        <v>288</v>
      </c>
      <c r="N36" s="38" t="str">
        <f>IF(OR(A36="Автомат",A36="Дифавтомат"),IF(W36="","",COUNTIFS(Однолинейка!$H$3:$H$3000,U36,Однолинейка!$A$3:$A$3000,Щит_спец)),IF(A36="Аппарат",IF(C36="","",COUNTIFS(Однолинейка!$I$3:$I$3000,C36,Однолинейка!$A$3:$A$3000,Щит_спец)+COUNTIFS(Однолинейка!$J$3:$J$3000,C36,Однолинейка!$A$3:$A$3000,Щит_спец)+COUNTIFS(Однолинейка!$K$3:$K$3000,C36,Однолинейка!$A$3:$A$3000,Щит_спец)),IF(A36="Модуль",IF(C36="","",COUNTIFS(Однолинейка!$AW$3:$AW$3000,"?*",Однолинейка!$AI$3:$AI$3000,C36,Однолинейка!$A$3:$A$3000,Щит_спец)),IF(A36="Клемма",IF(C36="","",IF(C36=$S$7,SUMIFS(Однолинейка!$BW$3:$BW$3000,Однолинейка!$A$3:$A$3000,Щит_спец),IF(C36=$S$8,SUMIFS(Однолинейка!$BX$3:$BX$3000,Однолинейка!$A$3:$A$3000,Щит_спец),""))),""))))</f>
        <v/>
      </c>
      <c r="O36" s="74"/>
      <c r="P36" s="38" t="str">
        <f t="shared" si="0"/>
        <v/>
      </c>
      <c r="R36" s="38" t="str">
        <f>IFERROR(INDEX($AG$4:$AG$43,MATCH(9,$AH$4:$AH$43,0)),"")</f>
        <v/>
      </c>
      <c r="U36" s="38" t="str">
        <f t="shared" si="1"/>
        <v/>
      </c>
      <c r="V36" s="38" t="str">
        <f t="shared" si="2"/>
        <v/>
      </c>
      <c r="W36" s="38" t="str">
        <f>IF(AND(U36&lt;&gt;"",OR($S$4="(все)",B36=$S$4),IF($S$4="(все)",COUNTIF($U$4:U36,U36),COUNTIFS($U$4:U36,U36,$B$4:B36,B36))=1),MAX($W$3:W35)+1,"")</f>
        <v/>
      </c>
      <c r="X36" s="38" t="str">
        <f t="shared" si="3"/>
        <v/>
      </c>
      <c r="Y36" s="38" t="str">
        <f>IF(AND(A36="Аппарат",C36&lt;&gt;"",OR($S$5="(все)",B36=$S$5)),MAX($Y$3:Y35)+1,"")</f>
        <v/>
      </c>
      <c r="Z36" s="38" t="str">
        <f t="shared" si="4"/>
        <v/>
      </c>
      <c r="AA36" s="38" t="str">
        <f>IF(AND(A36="Модуль",C36&lt;&gt;"",OR($S$6="(все)",B36=$S$6)),MAX($AA$3:AA35)+1,"")</f>
        <v/>
      </c>
      <c r="AB36" s="38" t="str">
        <f t="shared" si="5"/>
        <v/>
      </c>
      <c r="AC36" s="38" t="str">
        <f>IF(OR(B36="",COUNTIF($B$4:B36,B36)&gt;1),"",MAX($AC$3:AC35)+1)</f>
        <v/>
      </c>
      <c r="AD36" s="38" t="str">
        <f t="shared" si="6"/>
        <v/>
      </c>
      <c r="AE36" s="38" t="str">
        <f t="shared" si="7"/>
        <v/>
      </c>
      <c r="AF36" s="38" t="str">
        <f t="shared" si="8"/>
        <v/>
      </c>
      <c r="AG36" s="38" t="str">
        <f>IF(Спецификация_авто!$L$41="","",IF(COUNTIF($C$4:$C$500,Спецификация_авто!$L$41)=0,Спецификация_авто!$L$41,""))</f>
        <v/>
      </c>
      <c r="AH36" s="38" t="str">
        <f>IF(AG36="","",COUNTIF($AG$4:AG36,"?*"))</f>
        <v/>
      </c>
    </row>
    <row r="37" spans="1:34" x14ac:dyDescent="0.3">
      <c r="A37" s="74" t="s">
        <v>444</v>
      </c>
      <c r="B37" s="74" t="s">
        <v>285</v>
      </c>
      <c r="C37" s="74" t="s">
        <v>391</v>
      </c>
      <c r="D37" s="74"/>
      <c r="E37" s="74"/>
      <c r="F37" s="74"/>
      <c r="G37" s="74" t="s">
        <v>719</v>
      </c>
      <c r="H37" s="74" t="s">
        <v>391</v>
      </c>
      <c r="I37" s="74"/>
      <c r="J37" s="74"/>
      <c r="K37" s="74"/>
      <c r="L37" s="74"/>
      <c r="M37" s="74" t="s">
        <v>288</v>
      </c>
      <c r="N37" s="38" t="str">
        <f>IF(OR(A37="Автомат",A37="Дифавтомат"),IF(W37="","",COUNTIFS(Однолинейка!$H$3:$H$3000,U37,Однолинейка!$A$3:$A$3000,Щит_спец)),IF(A37="Аппарат",IF(C37="","",COUNTIFS(Однолинейка!$I$3:$I$3000,C37,Однолинейка!$A$3:$A$3000,Щит_спец)+COUNTIFS(Однолинейка!$J$3:$J$3000,C37,Однолинейка!$A$3:$A$3000,Щит_спец)+COUNTIFS(Однолинейка!$K$3:$K$3000,C37,Однолинейка!$A$3:$A$3000,Щит_спец)),IF(A37="Модуль",IF(C37="","",COUNTIFS(Однолинейка!$AW$3:$AW$3000,"?*",Однолинейка!$AI$3:$AI$3000,C37,Однолинейка!$A$3:$A$3000,Щит_спец)),IF(A37="Клемма",IF(C37="","",IF(C37=$S$7,SUMIFS(Однолинейка!$BW$3:$BW$3000,Однолинейка!$A$3:$A$3000,Щит_спец),IF(C37=$S$8,SUMIFS(Однолинейка!$BX$3:$BX$3000,Однолинейка!$A$3:$A$3000,Щит_спец),""))),""))))</f>
        <v/>
      </c>
      <c r="O37" s="74"/>
      <c r="P37" s="38" t="str">
        <f t="shared" si="0"/>
        <v/>
      </c>
      <c r="R37" s="38" t="str">
        <f>IFERROR(INDEX($AG$4:$AG$43,MATCH(10,$AH$4:$AH$43,0)),"")</f>
        <v/>
      </c>
      <c r="U37" s="38" t="str">
        <f t="shared" si="1"/>
        <v/>
      </c>
      <c r="V37" s="38" t="str">
        <f t="shared" si="2"/>
        <v/>
      </c>
      <c r="W37" s="38" t="str">
        <f>IF(AND(U37&lt;&gt;"",OR($S$4="(все)",B37=$S$4),IF($S$4="(все)",COUNTIF($U$4:U37,U37),COUNTIFS($U$4:U37,U37,$B$4:B37,B37))=1),MAX($W$3:W36)+1,"")</f>
        <v/>
      </c>
      <c r="X37" s="38" t="str">
        <f t="shared" si="3"/>
        <v/>
      </c>
      <c r="Y37" s="38" t="str">
        <f>IF(AND(A37="Аппарат",C37&lt;&gt;"",OR($S$5="(все)",B37=$S$5)),MAX($Y$3:Y36)+1,"")</f>
        <v/>
      </c>
      <c r="Z37" s="38" t="str">
        <f t="shared" si="4"/>
        <v/>
      </c>
      <c r="AA37" s="38" t="str">
        <f>IF(AND(A37="Модуль",C37&lt;&gt;"",OR($S$6="(все)",B37=$S$6)),MAX($AA$3:AA36)+1,"")</f>
        <v/>
      </c>
      <c r="AB37" s="38" t="str">
        <f t="shared" si="5"/>
        <v/>
      </c>
      <c r="AC37" s="38" t="str">
        <f>IF(OR(B37="",COUNTIF($B$4:B37,B37)&gt;1),"",MAX($AC$3:AC36)+1)</f>
        <v/>
      </c>
      <c r="AD37" s="38" t="str">
        <f t="shared" si="6"/>
        <v/>
      </c>
      <c r="AE37" s="38" t="str">
        <f t="shared" si="7"/>
        <v/>
      </c>
      <c r="AF37" s="38" t="str">
        <f t="shared" si="8"/>
        <v/>
      </c>
      <c r="AG37" s="38" t="str">
        <f>IF(Спецификация_авто!$L$42="","",IF(COUNTIF($C$4:$C$500,Спецификация_авто!$L$42)=0,Спецификация_авто!$L$42,""))</f>
        <v/>
      </c>
      <c r="AH37" s="38" t="str">
        <f>IF(AG37="","",COUNTIF($AG$4:AG37,"?*"))</f>
        <v/>
      </c>
    </row>
    <row r="38" spans="1:34" x14ac:dyDescent="0.3">
      <c r="A38" s="74" t="s">
        <v>444</v>
      </c>
      <c r="B38" s="74" t="s">
        <v>285</v>
      </c>
      <c r="C38" s="74" t="s">
        <v>398</v>
      </c>
      <c r="D38" s="74"/>
      <c r="E38" s="74"/>
      <c r="F38" s="74"/>
      <c r="G38" s="74" t="s">
        <v>720</v>
      </c>
      <c r="H38" s="74" t="s">
        <v>398</v>
      </c>
      <c r="I38" s="74"/>
      <c r="J38" s="74"/>
      <c r="K38" s="74"/>
      <c r="L38" s="74"/>
      <c r="M38" s="74" t="s">
        <v>288</v>
      </c>
      <c r="N38" s="38" t="str">
        <f>IF(OR(A38="Автомат",A38="Дифавтомат"),IF(W38="","",COUNTIFS(Однолинейка!$H$3:$H$3000,U38,Однолинейка!$A$3:$A$3000,Щит_спец)),IF(A38="Аппарат",IF(C38="","",COUNTIFS(Однолинейка!$I$3:$I$3000,C38,Однолинейка!$A$3:$A$3000,Щит_спец)+COUNTIFS(Однолинейка!$J$3:$J$3000,C38,Однолинейка!$A$3:$A$3000,Щит_спец)+COUNTIFS(Однолинейка!$K$3:$K$3000,C38,Однолинейка!$A$3:$A$3000,Щит_спец)),IF(A38="Модуль",IF(C38="","",COUNTIFS(Однолинейка!$AW$3:$AW$3000,"?*",Однолинейка!$AI$3:$AI$3000,C38,Однолинейка!$A$3:$A$3000,Щит_спец)),IF(A38="Клемма",IF(C38="","",IF(C38=$S$7,SUMIFS(Однолинейка!$BW$3:$BW$3000,Однолинейка!$A$3:$A$3000,Щит_спец),IF(C38=$S$8,SUMIFS(Однолинейка!$BX$3:$BX$3000,Однолинейка!$A$3:$A$3000,Щит_спец),""))),""))))</f>
        <v/>
      </c>
      <c r="O38" s="74"/>
      <c r="P38" s="38" t="str">
        <f t="shared" si="0"/>
        <v/>
      </c>
      <c r="U38" s="38" t="str">
        <f t="shared" si="1"/>
        <v/>
      </c>
      <c r="V38" s="38" t="str">
        <f t="shared" si="2"/>
        <v/>
      </c>
      <c r="W38" s="38" t="str">
        <f>IF(AND(U38&lt;&gt;"",OR($S$4="(все)",B38=$S$4),IF($S$4="(все)",COUNTIF($U$4:U38,U38),COUNTIFS($U$4:U38,U38,$B$4:B38,B38))=1),MAX($W$3:W37)+1,"")</f>
        <v/>
      </c>
      <c r="X38" s="38" t="str">
        <f t="shared" si="3"/>
        <v/>
      </c>
      <c r="Y38" s="38" t="str">
        <f>IF(AND(A38="Аппарат",C38&lt;&gt;"",OR($S$5="(все)",B38=$S$5)),MAX($Y$3:Y37)+1,"")</f>
        <v/>
      </c>
      <c r="Z38" s="38" t="str">
        <f t="shared" si="4"/>
        <v/>
      </c>
      <c r="AA38" s="38" t="str">
        <f>IF(AND(A38="Модуль",C38&lt;&gt;"",OR($S$6="(все)",B38=$S$6)),MAX($AA$3:AA37)+1,"")</f>
        <v/>
      </c>
      <c r="AB38" s="38" t="str">
        <f t="shared" si="5"/>
        <v/>
      </c>
      <c r="AC38" s="38" t="str">
        <f>IF(OR(B38="",COUNTIF($B$4:B38,B38)&gt;1),"",MAX($AC$3:AC37)+1)</f>
        <v/>
      </c>
      <c r="AD38" s="38" t="str">
        <f t="shared" si="6"/>
        <v/>
      </c>
      <c r="AE38" s="38" t="str">
        <f t="shared" si="7"/>
        <v/>
      </c>
      <c r="AF38" s="38" t="str">
        <f t="shared" si="8"/>
        <v/>
      </c>
      <c r="AG38" s="38" t="str">
        <f>IF(Спецификация_авто!$L$43="","",IF(COUNTIF($C$4:$C$500,Спецификация_авто!$L$43)=0,Спецификация_авто!$L$43,""))</f>
        <v/>
      </c>
      <c r="AH38" s="38" t="str">
        <f>IF(AG38="","",COUNTIF($AG$4:AG38,"?*"))</f>
        <v/>
      </c>
    </row>
    <row r="39" spans="1:34" x14ac:dyDescent="0.3">
      <c r="A39" s="74" t="s">
        <v>689</v>
      </c>
      <c r="B39" s="74" t="s">
        <v>285</v>
      </c>
      <c r="C39" s="74" t="s">
        <v>275</v>
      </c>
      <c r="D39" s="74"/>
      <c r="E39" s="74"/>
      <c r="F39" s="74"/>
      <c r="G39" s="74" t="s">
        <v>260</v>
      </c>
      <c r="H39" s="74" t="s">
        <v>275</v>
      </c>
      <c r="I39" s="74"/>
      <c r="J39" s="74"/>
      <c r="K39" s="74"/>
      <c r="L39" s="74"/>
      <c r="M39" s="74" t="s">
        <v>266</v>
      </c>
      <c r="N39" s="38" t="str">
        <f>IF(OR(A39="Автомат",A39="Дифавтомат"),IF(W39="","",COUNTIFS(Однолинейка!$H$3:$H$3000,U39,Однолинейка!$A$3:$A$3000,Щит_спец)),IF(A39="Аппарат",IF(C39="","",COUNTIFS(Однолинейка!$I$3:$I$3000,C39,Однолинейка!$A$3:$A$3000,Щит_спец)+COUNTIFS(Однолинейка!$J$3:$J$3000,C39,Однолинейка!$A$3:$A$3000,Щит_спец)+COUNTIFS(Однолинейка!$K$3:$K$3000,C39,Однолинейка!$A$3:$A$3000,Щит_спец)),IF(A39="Модуль",IF(C39="","",COUNTIFS(Однолинейка!$AW$3:$AW$3000,"?*",Однолинейка!$AI$3:$AI$3000,C39,Однолинейка!$A$3:$A$3000,Щит_спец)),IF(A39="Клемма",IF(C39="","",IF(C39=$S$7,SUMIFS(Однолинейка!$BW$3:$BW$3000,Однолинейка!$A$3:$A$3000,Щит_спец),IF(C39=$S$8,SUMIFS(Однолинейка!$BX$3:$BX$3000,Однолинейка!$A$3:$A$3000,Щит_спец),""))),""))))</f>
        <v/>
      </c>
      <c r="O39" s="74"/>
      <c r="P39" s="38" t="str">
        <f t="shared" si="0"/>
        <v/>
      </c>
      <c r="U39" s="38" t="str">
        <f t="shared" si="1"/>
        <v/>
      </c>
      <c r="V39" s="38" t="str">
        <f t="shared" si="2"/>
        <v/>
      </c>
      <c r="W39" s="38" t="str">
        <f>IF(AND(U39&lt;&gt;"",OR($S$4="(все)",B39=$S$4),IF($S$4="(все)",COUNTIF($U$4:U39,U39),COUNTIFS($U$4:U39,U39,$B$4:B39,B39))=1),MAX($W$3:W38)+1,"")</f>
        <v/>
      </c>
      <c r="X39" s="38" t="str">
        <f t="shared" si="3"/>
        <v/>
      </c>
      <c r="Y39" s="38" t="str">
        <f>IF(AND(A39="Аппарат",C39&lt;&gt;"",OR($S$5="(все)",B39=$S$5)),MAX($Y$3:Y38)+1,"")</f>
        <v/>
      </c>
      <c r="Z39" s="38" t="str">
        <f t="shared" si="4"/>
        <v/>
      </c>
      <c r="AA39" s="38" t="str">
        <f>IF(AND(A39="Модуль",C39&lt;&gt;"",OR($S$6="(все)",B39=$S$6)),MAX($AA$3:AA38)+1,"")</f>
        <v/>
      </c>
      <c r="AB39" s="38" t="str">
        <f t="shared" si="5"/>
        <v/>
      </c>
      <c r="AC39" s="38" t="str">
        <f>IF(OR(B39="",COUNTIF($B$4:B39,B39)&gt;1),"",MAX($AC$3:AC38)+1)</f>
        <v/>
      </c>
      <c r="AD39" s="38" t="str">
        <f t="shared" si="6"/>
        <v/>
      </c>
      <c r="AE39" s="38" t="str">
        <f t="shared" si="7"/>
        <v/>
      </c>
      <c r="AF39" s="38" t="str">
        <f t="shared" si="8"/>
        <v/>
      </c>
      <c r="AG39" s="38" t="str">
        <f>IF(Спецификация_авто!$L$44="","",IF(COUNTIF($C$4:$C$500,Спецификация_авто!$L$44)=0,Спецификация_авто!$L$44,""))</f>
        <v/>
      </c>
      <c r="AH39" s="38" t="str">
        <f>IF(AG39="","",COUNTIF($AG$4:AG39,"?*"))</f>
        <v/>
      </c>
    </row>
    <row r="40" spans="1:34" x14ac:dyDescent="0.3">
      <c r="A40" s="74" t="s">
        <v>689</v>
      </c>
      <c r="B40" s="74" t="s">
        <v>285</v>
      </c>
      <c r="C40" s="74" t="s">
        <v>276</v>
      </c>
      <c r="D40" s="74"/>
      <c r="E40" s="74"/>
      <c r="F40" s="74"/>
      <c r="G40" s="74" t="s">
        <v>261</v>
      </c>
      <c r="H40" s="74" t="s">
        <v>276</v>
      </c>
      <c r="I40" s="74"/>
      <c r="J40" s="74"/>
      <c r="K40" s="74"/>
      <c r="L40" s="74"/>
      <c r="M40" s="74" t="s">
        <v>266</v>
      </c>
      <c r="N40" s="38" t="str">
        <f>IF(OR(A40="Автомат",A40="Дифавтомат"),IF(W40="","",COUNTIFS(Однолинейка!$H$3:$H$3000,U40,Однолинейка!$A$3:$A$3000,Щит_спец)),IF(A40="Аппарат",IF(C40="","",COUNTIFS(Однолинейка!$I$3:$I$3000,C40,Однолинейка!$A$3:$A$3000,Щит_спец)+COUNTIFS(Однолинейка!$J$3:$J$3000,C40,Однолинейка!$A$3:$A$3000,Щит_спец)+COUNTIFS(Однолинейка!$K$3:$K$3000,C40,Однолинейка!$A$3:$A$3000,Щит_спец)),IF(A40="Модуль",IF(C40="","",COUNTIFS(Однолинейка!$AW$3:$AW$3000,"?*",Однолинейка!$AI$3:$AI$3000,C40,Однолинейка!$A$3:$A$3000,Щит_спец)),IF(A40="Клемма",IF(C40="","",IF(C40=$S$7,SUMIFS(Однолинейка!$BW$3:$BW$3000,Однолинейка!$A$3:$A$3000,Щит_спец),IF(C40=$S$8,SUMIFS(Однолинейка!$BX$3:$BX$3000,Однолинейка!$A$3:$A$3000,Щит_спец),""))),""))))</f>
        <v/>
      </c>
      <c r="O40" s="74"/>
      <c r="P40" s="38" t="str">
        <f t="shared" si="0"/>
        <v/>
      </c>
      <c r="U40" s="38" t="str">
        <f t="shared" si="1"/>
        <v/>
      </c>
      <c r="V40" s="38" t="str">
        <f t="shared" si="2"/>
        <v/>
      </c>
      <c r="W40" s="38" t="str">
        <f>IF(AND(U40&lt;&gt;"",OR($S$4="(все)",B40=$S$4),IF($S$4="(все)",COUNTIF($U$4:U40,U40),COUNTIFS($U$4:U40,U40,$B$4:B40,B40))=1),MAX($W$3:W39)+1,"")</f>
        <v/>
      </c>
      <c r="X40" s="38" t="str">
        <f t="shared" si="3"/>
        <v/>
      </c>
      <c r="Y40" s="38" t="str">
        <f>IF(AND(A40="Аппарат",C40&lt;&gt;"",OR($S$5="(все)",B40=$S$5)),MAX($Y$3:Y39)+1,"")</f>
        <v/>
      </c>
      <c r="Z40" s="38" t="str">
        <f t="shared" si="4"/>
        <v/>
      </c>
      <c r="AA40" s="38" t="str">
        <f>IF(AND(A40="Модуль",C40&lt;&gt;"",OR($S$6="(все)",B40=$S$6)),MAX($AA$3:AA39)+1,"")</f>
        <v/>
      </c>
      <c r="AB40" s="38" t="str">
        <f t="shared" si="5"/>
        <v/>
      </c>
      <c r="AC40" s="38" t="str">
        <f>IF(OR(B40="",COUNTIF($B$4:B40,B40)&gt;1),"",MAX($AC$3:AC39)+1)</f>
        <v/>
      </c>
      <c r="AD40" s="38" t="str">
        <f t="shared" si="6"/>
        <v/>
      </c>
      <c r="AE40" s="38" t="str">
        <f t="shared" si="7"/>
        <v/>
      </c>
      <c r="AF40" s="38" t="str">
        <f t="shared" si="8"/>
        <v/>
      </c>
      <c r="AG40" s="38" t="str">
        <f>IF(Спецификация_авто!$L$45="","",IF(COUNTIF($C$4:$C$500,Спецификация_авто!$L$45)=0,Спецификация_авто!$L$45,""))</f>
        <v/>
      </c>
      <c r="AH40" s="38" t="str">
        <f>IF(AG40="","",COUNTIF($AG$4:AG40,"?*"))</f>
        <v/>
      </c>
    </row>
    <row r="41" spans="1:34" x14ac:dyDescent="0.3">
      <c r="A41" s="74" t="s">
        <v>689</v>
      </c>
      <c r="B41" s="74" t="s">
        <v>285</v>
      </c>
      <c r="C41" s="74" t="s">
        <v>407</v>
      </c>
      <c r="D41" s="74"/>
      <c r="E41" s="74"/>
      <c r="F41" s="74"/>
      <c r="G41" s="74" t="s">
        <v>406</v>
      </c>
      <c r="H41" s="74" t="s">
        <v>407</v>
      </c>
      <c r="I41" s="74"/>
      <c r="J41" s="74"/>
      <c r="K41" s="74"/>
      <c r="L41" s="74"/>
      <c r="M41" s="74" t="s">
        <v>266</v>
      </c>
      <c r="N41" s="38" t="str">
        <f>IF(OR(A41="Автомат",A41="Дифавтомат"),IF(W41="","",COUNTIFS(Однолинейка!$H$3:$H$3000,U41,Однолинейка!$A$3:$A$3000,Щит_спец)),IF(A41="Аппарат",IF(C41="","",COUNTIFS(Однолинейка!$I$3:$I$3000,C41,Однолинейка!$A$3:$A$3000,Щит_спец)+COUNTIFS(Однолинейка!$J$3:$J$3000,C41,Однолинейка!$A$3:$A$3000,Щит_спец)+COUNTIFS(Однолинейка!$K$3:$K$3000,C41,Однолинейка!$A$3:$A$3000,Щит_спец)),IF(A41="Модуль",IF(C41="","",COUNTIFS(Однолинейка!$AW$3:$AW$3000,"?*",Однолинейка!$AI$3:$AI$3000,C41,Однолинейка!$A$3:$A$3000,Щит_спец)),IF(A41="Клемма",IF(C41="","",IF(C41=$S$7,SUMIFS(Однолинейка!$BW$3:$BW$3000,Однолинейка!$A$3:$A$3000,Щит_спец),IF(C41=$S$8,SUMIFS(Однолинейка!$BX$3:$BX$3000,Однолинейка!$A$3:$A$3000,Щит_спец),""))),""))))</f>
        <v/>
      </c>
      <c r="O41" s="74"/>
      <c r="P41" s="38" t="str">
        <f t="shared" si="0"/>
        <v/>
      </c>
      <c r="U41" s="38" t="str">
        <f t="shared" si="1"/>
        <v/>
      </c>
      <c r="V41" s="38" t="str">
        <f t="shared" si="2"/>
        <v/>
      </c>
      <c r="W41" s="38" t="str">
        <f>IF(AND(U41&lt;&gt;"",OR($S$4="(все)",B41=$S$4),IF($S$4="(все)",COUNTIF($U$4:U41,U41),COUNTIFS($U$4:U41,U41,$B$4:B41,B41))=1),MAX($W$3:W40)+1,"")</f>
        <v/>
      </c>
      <c r="X41" s="38" t="str">
        <f t="shared" si="3"/>
        <v/>
      </c>
      <c r="Y41" s="38" t="str">
        <f>IF(AND(A41="Аппарат",C41&lt;&gt;"",OR($S$5="(все)",B41=$S$5)),MAX($Y$3:Y40)+1,"")</f>
        <v/>
      </c>
      <c r="Z41" s="38" t="str">
        <f t="shared" si="4"/>
        <v/>
      </c>
      <c r="AA41" s="38" t="str">
        <f>IF(AND(A41="Модуль",C41&lt;&gt;"",OR($S$6="(все)",B41=$S$6)),MAX($AA$3:AA40)+1,"")</f>
        <v/>
      </c>
      <c r="AB41" s="38" t="str">
        <f t="shared" si="5"/>
        <v/>
      </c>
      <c r="AC41" s="38" t="str">
        <f>IF(OR(B41="",COUNTIF($B$4:B41,B41)&gt;1),"",MAX($AC$3:AC40)+1)</f>
        <v/>
      </c>
      <c r="AD41" s="38" t="str">
        <f t="shared" si="6"/>
        <v/>
      </c>
      <c r="AE41" s="38" t="str">
        <f t="shared" si="7"/>
        <v/>
      </c>
      <c r="AF41" s="38" t="str">
        <f t="shared" si="8"/>
        <v/>
      </c>
      <c r="AG41" s="38" t="str">
        <f>IF(Спецификация_авто!$L$46="","",IF(COUNTIF($C$4:$C$500,Спецификация_авто!$L$46)=0,Спецификация_авто!$L$46,""))</f>
        <v/>
      </c>
      <c r="AH41" s="38" t="str">
        <f>IF(AG41="","",COUNTIF($AG$4:AG41,"?*"))</f>
        <v/>
      </c>
    </row>
    <row r="42" spans="1:34" x14ac:dyDescent="0.3">
      <c r="A42" s="74" t="s">
        <v>689</v>
      </c>
      <c r="B42" s="74" t="s">
        <v>285</v>
      </c>
      <c r="C42" s="74" t="s">
        <v>277</v>
      </c>
      <c r="D42" s="74"/>
      <c r="E42" s="74"/>
      <c r="F42" s="74"/>
      <c r="G42" s="74" t="s">
        <v>262</v>
      </c>
      <c r="H42" s="74" t="s">
        <v>277</v>
      </c>
      <c r="I42" s="74"/>
      <c r="J42" s="74"/>
      <c r="K42" s="74"/>
      <c r="L42" s="74"/>
      <c r="M42" s="74" t="s">
        <v>266</v>
      </c>
      <c r="N42" s="38" t="str">
        <f>IF(OR(A42="Автомат",A42="Дифавтомат"),IF(W42="","",COUNTIFS(Однолинейка!$H$3:$H$3000,U42,Однолинейка!$A$3:$A$3000,Щит_спец)),IF(A42="Аппарат",IF(C42="","",COUNTIFS(Однолинейка!$I$3:$I$3000,C42,Однолинейка!$A$3:$A$3000,Щит_спец)+COUNTIFS(Однолинейка!$J$3:$J$3000,C42,Однолинейка!$A$3:$A$3000,Щит_спец)+COUNTIFS(Однолинейка!$K$3:$K$3000,C42,Однолинейка!$A$3:$A$3000,Щит_спец)),IF(A42="Модуль",IF(C42="","",COUNTIFS(Однолинейка!$AW$3:$AW$3000,"?*",Однолинейка!$AI$3:$AI$3000,C42,Однолинейка!$A$3:$A$3000,Щит_спец)),IF(A42="Клемма",IF(C42="","",IF(C42=$S$7,SUMIFS(Однолинейка!$BW$3:$BW$3000,Однолинейка!$A$3:$A$3000,Щит_спец),IF(C42=$S$8,SUMIFS(Однолинейка!$BX$3:$BX$3000,Однолинейка!$A$3:$A$3000,Щит_спец),""))),""))))</f>
        <v/>
      </c>
      <c r="O42" s="74"/>
      <c r="P42" s="38" t="str">
        <f t="shared" si="0"/>
        <v/>
      </c>
      <c r="U42" s="38" t="str">
        <f t="shared" si="1"/>
        <v/>
      </c>
      <c r="V42" s="38" t="str">
        <f t="shared" si="2"/>
        <v/>
      </c>
      <c r="W42" s="38" t="str">
        <f>IF(AND(U42&lt;&gt;"",OR($S$4="(все)",B42=$S$4),IF($S$4="(все)",COUNTIF($U$4:U42,U42),COUNTIFS($U$4:U42,U42,$B$4:B42,B42))=1),MAX($W$3:W41)+1,"")</f>
        <v/>
      </c>
      <c r="X42" s="38" t="str">
        <f t="shared" si="3"/>
        <v/>
      </c>
      <c r="Y42" s="38" t="str">
        <f>IF(AND(A42="Аппарат",C42&lt;&gt;"",OR($S$5="(все)",B42=$S$5)),MAX($Y$3:Y41)+1,"")</f>
        <v/>
      </c>
      <c r="Z42" s="38" t="str">
        <f t="shared" si="4"/>
        <v/>
      </c>
      <c r="AA42" s="38" t="str">
        <f>IF(AND(A42="Модуль",C42&lt;&gt;"",OR($S$6="(все)",B42=$S$6)),MAX($AA$3:AA41)+1,"")</f>
        <v/>
      </c>
      <c r="AB42" s="38" t="str">
        <f t="shared" si="5"/>
        <v/>
      </c>
      <c r="AC42" s="38" t="str">
        <f>IF(OR(B42="",COUNTIF($B$4:B42,B42)&gt;1),"",MAX($AC$3:AC41)+1)</f>
        <v/>
      </c>
      <c r="AD42" s="38" t="str">
        <f t="shared" si="6"/>
        <v/>
      </c>
      <c r="AE42" s="38" t="str">
        <f t="shared" si="7"/>
        <v/>
      </c>
      <c r="AF42" s="38" t="str">
        <f t="shared" si="8"/>
        <v/>
      </c>
      <c r="AG42" s="38" t="str">
        <f>IF(Спецификация_авто!$L$47="","",IF(COUNTIF($C$4:$C$500,Спецификация_авто!$L$47)=0,Спецификация_авто!$L$47,""))</f>
        <v/>
      </c>
      <c r="AH42" s="38" t="str">
        <f>IF(AG42="","",COUNTIF($AG$4:AG42,"?*"))</f>
        <v/>
      </c>
    </row>
    <row r="43" spans="1:34" x14ac:dyDescent="0.3">
      <c r="A43" s="74" t="s">
        <v>689</v>
      </c>
      <c r="B43" s="74" t="s">
        <v>285</v>
      </c>
      <c r="C43" s="74" t="s">
        <v>278</v>
      </c>
      <c r="D43" s="74"/>
      <c r="E43" s="74"/>
      <c r="F43" s="74"/>
      <c r="G43" s="74" t="s">
        <v>263</v>
      </c>
      <c r="H43" s="74" t="s">
        <v>278</v>
      </c>
      <c r="I43" s="74"/>
      <c r="J43" s="74"/>
      <c r="K43" s="74"/>
      <c r="L43" s="74"/>
      <c r="M43" s="74" t="s">
        <v>266</v>
      </c>
      <c r="N43" s="38" t="str">
        <f>IF(OR(A43="Автомат",A43="Дифавтомат"),IF(W43="","",COUNTIFS(Однолинейка!$H$3:$H$3000,U43,Однолинейка!$A$3:$A$3000,Щит_спец)),IF(A43="Аппарат",IF(C43="","",COUNTIFS(Однолинейка!$I$3:$I$3000,C43,Однолинейка!$A$3:$A$3000,Щит_спец)+COUNTIFS(Однолинейка!$J$3:$J$3000,C43,Однолинейка!$A$3:$A$3000,Щит_спец)+COUNTIFS(Однолинейка!$K$3:$K$3000,C43,Однолинейка!$A$3:$A$3000,Щит_спец)),IF(A43="Модуль",IF(C43="","",COUNTIFS(Однолинейка!$AW$3:$AW$3000,"?*",Однолинейка!$AI$3:$AI$3000,C43,Однолинейка!$A$3:$A$3000,Щит_спец)),IF(A43="Клемма",IF(C43="","",IF(C43=$S$7,SUMIFS(Однолинейка!$BW$3:$BW$3000,Однолинейка!$A$3:$A$3000,Щит_спец),IF(C43=$S$8,SUMIFS(Однолинейка!$BX$3:$BX$3000,Однолинейка!$A$3:$A$3000,Щит_спец),""))),""))))</f>
        <v/>
      </c>
      <c r="O43" s="74"/>
      <c r="P43" s="38" t="str">
        <f t="shared" si="0"/>
        <v/>
      </c>
      <c r="U43" s="38" t="str">
        <f t="shared" si="1"/>
        <v/>
      </c>
      <c r="V43" s="38" t="str">
        <f t="shared" si="2"/>
        <v/>
      </c>
      <c r="W43" s="38" t="str">
        <f>IF(AND(U43&lt;&gt;"",OR($S$4="(все)",B43=$S$4),IF($S$4="(все)",COUNTIF($U$4:U43,U43),COUNTIFS($U$4:U43,U43,$B$4:B43,B43))=1),MAX($W$3:W42)+1,"")</f>
        <v/>
      </c>
      <c r="X43" s="38" t="str">
        <f t="shared" si="3"/>
        <v/>
      </c>
      <c r="Y43" s="38" t="str">
        <f>IF(AND(A43="Аппарат",C43&lt;&gt;"",OR($S$5="(все)",B43=$S$5)),MAX($Y$3:Y42)+1,"")</f>
        <v/>
      </c>
      <c r="Z43" s="38" t="str">
        <f t="shared" si="4"/>
        <v/>
      </c>
      <c r="AA43" s="38" t="str">
        <f>IF(AND(A43="Модуль",C43&lt;&gt;"",OR($S$6="(все)",B43=$S$6)),MAX($AA$3:AA42)+1,"")</f>
        <v/>
      </c>
      <c r="AB43" s="38" t="str">
        <f t="shared" si="5"/>
        <v/>
      </c>
      <c r="AC43" s="38" t="str">
        <f>IF(OR(B43="",COUNTIF($B$4:B43,B43)&gt;1),"",MAX($AC$3:AC42)+1)</f>
        <v/>
      </c>
      <c r="AD43" s="38" t="str">
        <f t="shared" si="6"/>
        <v/>
      </c>
      <c r="AE43" s="38" t="str">
        <f t="shared" si="7"/>
        <v/>
      </c>
      <c r="AF43" s="38" t="str">
        <f t="shared" si="8"/>
        <v/>
      </c>
      <c r="AG43" s="38" t="str">
        <f>IF(Спецификация_авто!$L$48="","",IF(COUNTIF($C$4:$C$500,Спецификация_авто!$L$48)=0,Спецификация_авто!$L$48,""))</f>
        <v/>
      </c>
      <c r="AH43" s="38" t="str">
        <f>IF(AG43="","",COUNTIF($AG$4:AG43,"?*"))</f>
        <v/>
      </c>
    </row>
    <row r="44" spans="1:34" x14ac:dyDescent="0.3">
      <c r="A44" s="74" t="s">
        <v>689</v>
      </c>
      <c r="B44" s="74" t="s">
        <v>285</v>
      </c>
      <c r="C44" s="74" t="s">
        <v>279</v>
      </c>
      <c r="D44" s="74"/>
      <c r="E44" s="74"/>
      <c r="F44" s="74"/>
      <c r="G44" s="74" t="s">
        <v>264</v>
      </c>
      <c r="H44" s="74" t="s">
        <v>279</v>
      </c>
      <c r="I44" s="74"/>
      <c r="J44" s="74"/>
      <c r="K44" s="74"/>
      <c r="L44" s="74"/>
      <c r="M44" s="74" t="s">
        <v>266</v>
      </c>
      <c r="N44" s="38" t="str">
        <f>IF(OR(A44="Автомат",A44="Дифавтомат"),IF(W44="","",COUNTIFS(Однолинейка!$H$3:$H$3000,U44,Однолинейка!$A$3:$A$3000,Щит_спец)),IF(A44="Аппарат",IF(C44="","",COUNTIFS(Однолинейка!$I$3:$I$3000,C44,Однолинейка!$A$3:$A$3000,Щит_спец)+COUNTIFS(Однолинейка!$J$3:$J$3000,C44,Однолинейка!$A$3:$A$3000,Щит_спец)+COUNTIFS(Однолинейка!$K$3:$K$3000,C44,Однолинейка!$A$3:$A$3000,Щит_спец)),IF(A44="Модуль",IF(C44="","",COUNTIFS(Однолинейка!$AW$3:$AW$3000,"?*",Однолинейка!$AI$3:$AI$3000,C44,Однолинейка!$A$3:$A$3000,Щит_спец)),IF(A44="Клемма",IF(C44="","",IF(C44=$S$7,SUMIFS(Однолинейка!$BW$3:$BW$3000,Однолинейка!$A$3:$A$3000,Щит_спец),IF(C44=$S$8,SUMIFS(Однолинейка!$BX$3:$BX$3000,Однолинейка!$A$3:$A$3000,Щит_спец),""))),""))))</f>
        <v/>
      </c>
      <c r="O44" s="74"/>
      <c r="P44" s="38" t="str">
        <f t="shared" si="0"/>
        <v/>
      </c>
      <c r="U44" s="38" t="str">
        <f t="shared" si="1"/>
        <v/>
      </c>
      <c r="V44" s="38" t="str">
        <f t="shared" si="2"/>
        <v/>
      </c>
      <c r="W44" s="38" t="str">
        <f>IF(AND(U44&lt;&gt;"",OR($S$4="(все)",B44=$S$4),IF($S$4="(все)",COUNTIF($U$4:U44,U44),COUNTIFS($U$4:U44,U44,$B$4:B44,B44))=1),MAX($W$3:W43)+1,"")</f>
        <v/>
      </c>
      <c r="X44" s="38" t="str">
        <f t="shared" si="3"/>
        <v/>
      </c>
      <c r="Y44" s="38" t="str">
        <f>IF(AND(A44="Аппарат",C44&lt;&gt;"",OR($S$5="(все)",B44=$S$5)),MAX($Y$3:Y43)+1,"")</f>
        <v/>
      </c>
      <c r="Z44" s="38" t="str">
        <f t="shared" si="4"/>
        <v/>
      </c>
      <c r="AA44" s="38" t="str">
        <f>IF(AND(A44="Модуль",C44&lt;&gt;"",OR($S$6="(все)",B44=$S$6)),MAX($AA$3:AA43)+1,"")</f>
        <v/>
      </c>
      <c r="AB44" s="38" t="str">
        <f t="shared" si="5"/>
        <v/>
      </c>
      <c r="AC44" s="38" t="str">
        <f>IF(OR(B44="",COUNTIF($B$4:B44,B44)&gt;1),"",MAX($AC$3:AC43)+1)</f>
        <v/>
      </c>
      <c r="AD44" s="38" t="str">
        <f t="shared" si="6"/>
        <v/>
      </c>
      <c r="AE44" s="38" t="str">
        <f t="shared" si="7"/>
        <v/>
      </c>
      <c r="AF44" s="38" t="str">
        <f t="shared" si="8"/>
        <v/>
      </c>
    </row>
    <row r="45" spans="1:34" x14ac:dyDescent="0.3">
      <c r="A45" s="74" t="s">
        <v>689</v>
      </c>
      <c r="B45" s="74" t="s">
        <v>285</v>
      </c>
      <c r="C45" s="74" t="s">
        <v>280</v>
      </c>
      <c r="D45" s="74"/>
      <c r="E45" s="74"/>
      <c r="F45" s="74"/>
      <c r="G45" s="74" t="s">
        <v>265</v>
      </c>
      <c r="H45" s="74" t="s">
        <v>280</v>
      </c>
      <c r="I45" s="74"/>
      <c r="J45" s="74"/>
      <c r="K45" s="74"/>
      <c r="L45" s="74"/>
      <c r="M45" s="74" t="s">
        <v>266</v>
      </c>
      <c r="N45" s="38" t="str">
        <f>IF(OR(A45="Автомат",A45="Дифавтомат"),IF(W45="","",COUNTIFS(Однолинейка!$H$3:$H$3000,U45,Однолинейка!$A$3:$A$3000,Щит_спец)),IF(A45="Аппарат",IF(C45="","",COUNTIFS(Однолинейка!$I$3:$I$3000,C45,Однолинейка!$A$3:$A$3000,Щит_спец)+COUNTIFS(Однолинейка!$J$3:$J$3000,C45,Однолинейка!$A$3:$A$3000,Щит_спец)+COUNTIFS(Однолинейка!$K$3:$K$3000,C45,Однолинейка!$A$3:$A$3000,Щит_спец)),IF(A45="Модуль",IF(C45="","",COUNTIFS(Однолинейка!$AW$3:$AW$3000,"?*",Однолинейка!$AI$3:$AI$3000,C45,Однолинейка!$A$3:$A$3000,Щит_спец)),IF(A45="Клемма",IF(C45="","",IF(C45=$S$7,SUMIFS(Однолинейка!$BW$3:$BW$3000,Однолинейка!$A$3:$A$3000,Щит_спец),IF(C45=$S$8,SUMIFS(Однолинейка!$BX$3:$BX$3000,Однолинейка!$A$3:$A$3000,Щит_спец),""))),""))))</f>
        <v/>
      </c>
      <c r="O45" s="74"/>
      <c r="P45" s="38" t="str">
        <f t="shared" si="0"/>
        <v/>
      </c>
      <c r="U45" s="38" t="str">
        <f t="shared" si="1"/>
        <v/>
      </c>
      <c r="V45" s="38" t="str">
        <f t="shared" si="2"/>
        <v/>
      </c>
      <c r="W45" s="38" t="str">
        <f>IF(AND(U45&lt;&gt;"",OR($S$4="(все)",B45=$S$4),IF($S$4="(все)",COUNTIF($U$4:U45,U45),COUNTIFS($U$4:U45,U45,$B$4:B45,B45))=1),MAX($W$3:W44)+1,"")</f>
        <v/>
      </c>
      <c r="X45" s="38" t="str">
        <f t="shared" si="3"/>
        <v/>
      </c>
      <c r="Y45" s="38" t="str">
        <f>IF(AND(A45="Аппарат",C45&lt;&gt;"",OR($S$5="(все)",B45=$S$5)),MAX($Y$3:Y44)+1,"")</f>
        <v/>
      </c>
      <c r="Z45" s="38" t="str">
        <f t="shared" si="4"/>
        <v/>
      </c>
      <c r="AA45" s="38" t="str">
        <f>IF(AND(A45="Модуль",C45&lt;&gt;"",OR($S$6="(все)",B45=$S$6)),MAX($AA$3:AA44)+1,"")</f>
        <v/>
      </c>
      <c r="AB45" s="38" t="str">
        <f t="shared" si="5"/>
        <v/>
      </c>
      <c r="AC45" s="38" t="str">
        <f>IF(OR(B45="",COUNTIF($B$4:B45,B45)&gt;1),"",MAX($AC$3:AC44)+1)</f>
        <v/>
      </c>
      <c r="AD45" s="38" t="str">
        <f t="shared" si="6"/>
        <v/>
      </c>
      <c r="AE45" s="38" t="str">
        <f t="shared" si="7"/>
        <v/>
      </c>
      <c r="AF45" s="38" t="str">
        <f t="shared" si="8"/>
        <v/>
      </c>
    </row>
    <row r="46" spans="1:34" x14ac:dyDescent="0.3">
      <c r="A46" s="74" t="s">
        <v>689</v>
      </c>
      <c r="B46" s="74" t="s">
        <v>285</v>
      </c>
      <c r="C46" s="74" t="s">
        <v>281</v>
      </c>
      <c r="D46" s="74"/>
      <c r="E46" s="74"/>
      <c r="F46" s="74"/>
      <c r="G46" s="74" t="s">
        <v>267</v>
      </c>
      <c r="H46" s="74" t="s">
        <v>281</v>
      </c>
      <c r="I46" s="74"/>
      <c r="J46" s="74"/>
      <c r="K46" s="74"/>
      <c r="L46" s="74"/>
      <c r="M46" s="74" t="s">
        <v>271</v>
      </c>
      <c r="N46" s="38" t="str">
        <f>IF(OR(A46="Автомат",A46="Дифавтомат"),IF(W46="","",COUNTIFS(Однолинейка!$H$3:$H$3000,U46,Однолинейка!$A$3:$A$3000,Щит_спец)),IF(A46="Аппарат",IF(C46="","",COUNTIFS(Однолинейка!$I$3:$I$3000,C46,Однолинейка!$A$3:$A$3000,Щит_спец)+COUNTIFS(Однолинейка!$J$3:$J$3000,C46,Однолинейка!$A$3:$A$3000,Щит_спец)+COUNTIFS(Однолинейка!$K$3:$K$3000,C46,Однолинейка!$A$3:$A$3000,Щит_спец)),IF(A46="Модуль",IF(C46="","",COUNTIFS(Однолинейка!$AW$3:$AW$3000,"?*",Однолинейка!$AI$3:$AI$3000,C46,Однолинейка!$A$3:$A$3000,Щит_спец)),IF(A46="Клемма",IF(C46="","",IF(C46=$S$7,SUMIFS(Однолинейка!$BW$3:$BW$3000,Однолинейка!$A$3:$A$3000,Щит_спец),IF(C46=$S$8,SUMIFS(Однолинейка!$BX$3:$BX$3000,Однолинейка!$A$3:$A$3000,Щит_спец),""))),""))))</f>
        <v/>
      </c>
      <c r="O46" s="74"/>
      <c r="P46" s="38" t="str">
        <f t="shared" si="0"/>
        <v/>
      </c>
      <c r="U46" s="38" t="str">
        <f t="shared" si="1"/>
        <v/>
      </c>
      <c r="V46" s="38" t="str">
        <f t="shared" si="2"/>
        <v/>
      </c>
      <c r="W46" s="38" t="str">
        <f>IF(AND(U46&lt;&gt;"",OR($S$4="(все)",B46=$S$4),IF($S$4="(все)",COUNTIF($U$4:U46,U46),COUNTIFS($U$4:U46,U46,$B$4:B46,B46))=1),MAX($W$3:W45)+1,"")</f>
        <v/>
      </c>
      <c r="X46" s="38" t="str">
        <f t="shared" si="3"/>
        <v/>
      </c>
      <c r="Y46" s="38" t="str">
        <f>IF(AND(A46="Аппарат",C46&lt;&gt;"",OR($S$5="(все)",B46=$S$5)),MAX($Y$3:Y45)+1,"")</f>
        <v/>
      </c>
      <c r="Z46" s="38" t="str">
        <f t="shared" si="4"/>
        <v/>
      </c>
      <c r="AA46" s="38" t="str">
        <f>IF(AND(A46="Модуль",C46&lt;&gt;"",OR($S$6="(все)",B46=$S$6)),MAX($AA$3:AA45)+1,"")</f>
        <v/>
      </c>
      <c r="AB46" s="38" t="str">
        <f t="shared" si="5"/>
        <v/>
      </c>
      <c r="AC46" s="38" t="str">
        <f>IF(OR(B46="",COUNTIF($B$4:B46,B46)&gt;1),"",MAX($AC$3:AC45)+1)</f>
        <v/>
      </c>
      <c r="AD46" s="38" t="str">
        <f t="shared" si="6"/>
        <v/>
      </c>
      <c r="AE46" s="38" t="str">
        <f t="shared" si="7"/>
        <v/>
      </c>
      <c r="AF46" s="38" t="str">
        <f t="shared" si="8"/>
        <v/>
      </c>
    </row>
    <row r="47" spans="1:34" x14ac:dyDescent="0.3">
      <c r="A47" s="74" t="s">
        <v>689</v>
      </c>
      <c r="B47" s="74" t="s">
        <v>285</v>
      </c>
      <c r="C47" s="74" t="s">
        <v>282</v>
      </c>
      <c r="D47" s="74"/>
      <c r="E47" s="74"/>
      <c r="F47" s="74"/>
      <c r="G47" s="74" t="s">
        <v>268</v>
      </c>
      <c r="H47" s="74" t="s">
        <v>282</v>
      </c>
      <c r="I47" s="74"/>
      <c r="J47" s="74"/>
      <c r="K47" s="74"/>
      <c r="L47" s="74"/>
      <c r="M47" s="74" t="s">
        <v>271</v>
      </c>
      <c r="N47" s="38" t="str">
        <f>IF(OR(A47="Автомат",A47="Дифавтомат"),IF(W47="","",COUNTIFS(Однолинейка!$H$3:$H$3000,U47,Однолинейка!$A$3:$A$3000,Щит_спец)),IF(A47="Аппарат",IF(C47="","",COUNTIFS(Однолинейка!$I$3:$I$3000,C47,Однолинейка!$A$3:$A$3000,Щит_спец)+COUNTIFS(Однолинейка!$J$3:$J$3000,C47,Однолинейка!$A$3:$A$3000,Щит_спец)+COUNTIFS(Однолинейка!$K$3:$K$3000,C47,Однолинейка!$A$3:$A$3000,Щит_спец)),IF(A47="Модуль",IF(C47="","",COUNTIFS(Однолинейка!$AW$3:$AW$3000,"?*",Однолинейка!$AI$3:$AI$3000,C47,Однолинейка!$A$3:$A$3000,Щит_спец)),IF(A47="Клемма",IF(C47="","",IF(C47=$S$7,SUMIFS(Однолинейка!$BW$3:$BW$3000,Однолинейка!$A$3:$A$3000,Щит_спец),IF(C47=$S$8,SUMIFS(Однолинейка!$BX$3:$BX$3000,Однолинейка!$A$3:$A$3000,Щит_спец),""))),""))))</f>
        <v/>
      </c>
      <c r="O47" s="74"/>
      <c r="P47" s="38" t="str">
        <f t="shared" si="0"/>
        <v/>
      </c>
      <c r="U47" s="38" t="str">
        <f t="shared" si="1"/>
        <v/>
      </c>
      <c r="V47" s="38" t="str">
        <f t="shared" si="2"/>
        <v/>
      </c>
      <c r="W47" s="38" t="str">
        <f>IF(AND(U47&lt;&gt;"",OR($S$4="(все)",B47=$S$4),IF($S$4="(все)",COUNTIF($U$4:U47,U47),COUNTIFS($U$4:U47,U47,$B$4:B47,B47))=1),MAX($W$3:W46)+1,"")</f>
        <v/>
      </c>
      <c r="X47" s="38" t="str">
        <f t="shared" si="3"/>
        <v/>
      </c>
      <c r="Y47" s="38" t="str">
        <f>IF(AND(A47="Аппарат",C47&lt;&gt;"",OR($S$5="(все)",B47=$S$5)),MAX($Y$3:Y46)+1,"")</f>
        <v/>
      </c>
      <c r="Z47" s="38" t="str">
        <f t="shared" si="4"/>
        <v/>
      </c>
      <c r="AA47" s="38" t="str">
        <f>IF(AND(A47="Модуль",C47&lt;&gt;"",OR($S$6="(все)",B47=$S$6)),MAX($AA$3:AA46)+1,"")</f>
        <v/>
      </c>
      <c r="AB47" s="38" t="str">
        <f t="shared" si="5"/>
        <v/>
      </c>
      <c r="AC47" s="38" t="str">
        <f>IF(OR(B47="",COUNTIF($B$4:B47,B47)&gt;1),"",MAX($AC$3:AC46)+1)</f>
        <v/>
      </c>
      <c r="AD47" s="38" t="str">
        <f t="shared" si="6"/>
        <v/>
      </c>
      <c r="AE47" s="38" t="str">
        <f t="shared" si="7"/>
        <v/>
      </c>
      <c r="AF47" s="38" t="str">
        <f t="shared" si="8"/>
        <v/>
      </c>
    </row>
    <row r="48" spans="1:34" x14ac:dyDescent="0.3">
      <c r="A48" s="74" t="s">
        <v>689</v>
      </c>
      <c r="B48" s="74" t="s">
        <v>285</v>
      </c>
      <c r="C48" s="74" t="s">
        <v>274</v>
      </c>
      <c r="D48" s="74"/>
      <c r="E48" s="74"/>
      <c r="F48" s="74"/>
      <c r="G48" s="74" t="s">
        <v>273</v>
      </c>
      <c r="H48" s="74" t="s">
        <v>274</v>
      </c>
      <c r="I48" s="74"/>
      <c r="J48" s="74"/>
      <c r="K48" s="74"/>
      <c r="L48" s="74"/>
      <c r="M48" s="74" t="s">
        <v>266</v>
      </c>
      <c r="N48" s="38" t="str">
        <f>IF(OR(A48="Автомат",A48="Дифавтомат"),IF(W48="","",COUNTIFS(Однолинейка!$H$3:$H$3000,U48,Однолинейка!$A$3:$A$3000,Щит_спец)),IF(A48="Аппарат",IF(C48="","",COUNTIFS(Однолинейка!$I$3:$I$3000,C48,Однолинейка!$A$3:$A$3000,Щит_спец)+COUNTIFS(Однолинейка!$J$3:$J$3000,C48,Однолинейка!$A$3:$A$3000,Щит_спец)+COUNTIFS(Однолинейка!$K$3:$K$3000,C48,Однолинейка!$A$3:$A$3000,Щит_спец)),IF(A48="Модуль",IF(C48="","",COUNTIFS(Однолинейка!$AW$3:$AW$3000,"?*",Однолинейка!$AI$3:$AI$3000,C48,Однолинейка!$A$3:$A$3000,Щит_спец)),IF(A48="Клемма",IF(C48="","",IF(C48=$S$7,SUMIFS(Однолинейка!$BW$3:$BW$3000,Однолинейка!$A$3:$A$3000,Щит_спец),IF(C48=$S$8,SUMIFS(Однолинейка!$BX$3:$BX$3000,Однолинейка!$A$3:$A$3000,Щит_спец),""))),""))))</f>
        <v/>
      </c>
      <c r="O48" s="74"/>
      <c r="P48" s="38" t="str">
        <f t="shared" si="0"/>
        <v/>
      </c>
      <c r="U48" s="38" t="str">
        <f t="shared" si="1"/>
        <v/>
      </c>
      <c r="V48" s="38" t="str">
        <f t="shared" si="2"/>
        <v/>
      </c>
      <c r="W48" s="38" t="str">
        <f>IF(AND(U48&lt;&gt;"",OR($S$4="(все)",B48=$S$4),IF($S$4="(все)",COUNTIF($U$4:U48,U48),COUNTIFS($U$4:U48,U48,$B$4:B48,B48))=1),MAX($W$3:W47)+1,"")</f>
        <v/>
      </c>
      <c r="X48" s="38" t="str">
        <f t="shared" si="3"/>
        <v/>
      </c>
      <c r="Y48" s="38" t="str">
        <f>IF(AND(A48="Аппарат",C48&lt;&gt;"",OR($S$5="(все)",B48=$S$5)),MAX($Y$3:Y47)+1,"")</f>
        <v/>
      </c>
      <c r="Z48" s="38" t="str">
        <f t="shared" si="4"/>
        <v/>
      </c>
      <c r="AA48" s="38" t="str">
        <f>IF(AND(A48="Модуль",C48&lt;&gt;"",OR($S$6="(все)",B48=$S$6)),MAX($AA$3:AA47)+1,"")</f>
        <v/>
      </c>
      <c r="AB48" s="38" t="str">
        <f t="shared" si="5"/>
        <v/>
      </c>
      <c r="AC48" s="38" t="str">
        <f>IF(OR(B48="",COUNTIF($B$4:B48,B48)&gt;1),"",MAX($AC$3:AC47)+1)</f>
        <v/>
      </c>
      <c r="AD48" s="38" t="str">
        <f t="shared" si="6"/>
        <v/>
      </c>
      <c r="AE48" s="38" t="str">
        <f t="shared" si="7"/>
        <v/>
      </c>
      <c r="AF48" s="38" t="str">
        <f t="shared" si="8"/>
        <v/>
      </c>
    </row>
    <row r="49" spans="1:32" x14ac:dyDescent="0.3">
      <c r="A49" s="74" t="s">
        <v>689</v>
      </c>
      <c r="B49" s="74" t="s">
        <v>285</v>
      </c>
      <c r="C49" s="74" t="s">
        <v>283</v>
      </c>
      <c r="D49" s="74"/>
      <c r="E49" s="74"/>
      <c r="F49" s="74"/>
      <c r="G49" s="74" t="s">
        <v>269</v>
      </c>
      <c r="H49" s="74" t="s">
        <v>283</v>
      </c>
      <c r="I49" s="74"/>
      <c r="J49" s="74"/>
      <c r="K49" s="74"/>
      <c r="L49" s="74"/>
      <c r="M49" s="74" t="s">
        <v>266</v>
      </c>
      <c r="N49" s="38" t="str">
        <f>IF(OR(A49="Автомат",A49="Дифавтомат"),IF(W49="","",COUNTIFS(Однолинейка!$H$3:$H$3000,U49,Однолинейка!$A$3:$A$3000,Щит_спец)),IF(A49="Аппарат",IF(C49="","",COUNTIFS(Однолинейка!$I$3:$I$3000,C49,Однолинейка!$A$3:$A$3000,Щит_спец)+COUNTIFS(Однолинейка!$J$3:$J$3000,C49,Однолинейка!$A$3:$A$3000,Щит_спец)+COUNTIFS(Однолинейка!$K$3:$K$3000,C49,Однолинейка!$A$3:$A$3000,Щит_спец)),IF(A49="Модуль",IF(C49="","",COUNTIFS(Однолинейка!$AW$3:$AW$3000,"?*",Однолинейка!$AI$3:$AI$3000,C49,Однолинейка!$A$3:$A$3000,Щит_спец)),IF(A49="Клемма",IF(C49="","",IF(C49=$S$7,SUMIFS(Однолинейка!$BW$3:$BW$3000,Однолинейка!$A$3:$A$3000,Щит_спец),IF(C49=$S$8,SUMIFS(Однолинейка!$BX$3:$BX$3000,Однолинейка!$A$3:$A$3000,Щит_спец),""))),""))))</f>
        <v/>
      </c>
      <c r="O49" s="74"/>
      <c r="P49" s="38" t="str">
        <f t="shared" si="0"/>
        <v/>
      </c>
      <c r="U49" s="38" t="str">
        <f t="shared" si="1"/>
        <v/>
      </c>
      <c r="V49" s="38" t="str">
        <f t="shared" si="2"/>
        <v/>
      </c>
      <c r="W49" s="38" t="str">
        <f>IF(AND(U49&lt;&gt;"",OR($S$4="(все)",B49=$S$4),IF($S$4="(все)",COUNTIF($U$4:U49,U49),COUNTIFS($U$4:U49,U49,$B$4:B49,B49))=1),MAX($W$3:W48)+1,"")</f>
        <v/>
      </c>
      <c r="X49" s="38" t="str">
        <f t="shared" si="3"/>
        <v/>
      </c>
      <c r="Y49" s="38" t="str">
        <f>IF(AND(A49="Аппарат",C49&lt;&gt;"",OR($S$5="(все)",B49=$S$5)),MAX($Y$3:Y48)+1,"")</f>
        <v/>
      </c>
      <c r="Z49" s="38" t="str">
        <f t="shared" si="4"/>
        <v/>
      </c>
      <c r="AA49" s="38" t="str">
        <f>IF(AND(A49="Модуль",C49&lt;&gt;"",OR($S$6="(все)",B49=$S$6)),MAX($AA$3:AA48)+1,"")</f>
        <v/>
      </c>
      <c r="AB49" s="38" t="str">
        <f t="shared" si="5"/>
        <v/>
      </c>
      <c r="AC49" s="38" t="str">
        <f>IF(OR(B49="",COUNTIF($B$4:B49,B49)&gt;1),"",MAX($AC$3:AC48)+1)</f>
        <v/>
      </c>
      <c r="AD49" s="38" t="str">
        <f t="shared" si="6"/>
        <v/>
      </c>
      <c r="AE49" s="38" t="str">
        <f t="shared" si="7"/>
        <v/>
      </c>
      <c r="AF49" s="38" t="str">
        <f t="shared" si="8"/>
        <v/>
      </c>
    </row>
    <row r="50" spans="1:32" x14ac:dyDescent="0.3">
      <c r="A50" s="74" t="s">
        <v>689</v>
      </c>
      <c r="B50" s="74" t="s">
        <v>285</v>
      </c>
      <c r="C50" s="74" t="s">
        <v>284</v>
      </c>
      <c r="D50" s="74"/>
      <c r="E50" s="74"/>
      <c r="F50" s="74"/>
      <c r="G50" s="74" t="s">
        <v>270</v>
      </c>
      <c r="H50" s="74" t="s">
        <v>284</v>
      </c>
      <c r="I50" s="74"/>
      <c r="J50" s="74"/>
      <c r="K50" s="74"/>
      <c r="L50" s="74"/>
      <c r="M50" s="74" t="s">
        <v>272</v>
      </c>
      <c r="N50" s="38" t="str">
        <f>IF(OR(A50="Автомат",A50="Дифавтомат"),IF(W50="","",COUNTIFS(Однолинейка!$H$3:$H$3000,U50,Однолинейка!$A$3:$A$3000,Щит_спец)),IF(A50="Аппарат",IF(C50="","",COUNTIFS(Однолинейка!$I$3:$I$3000,C50,Однолинейка!$A$3:$A$3000,Щит_спец)+COUNTIFS(Однолинейка!$J$3:$J$3000,C50,Однолинейка!$A$3:$A$3000,Щит_спец)+COUNTIFS(Однолинейка!$K$3:$K$3000,C50,Однолинейка!$A$3:$A$3000,Щит_спец)),IF(A50="Модуль",IF(C50="","",COUNTIFS(Однолинейка!$AW$3:$AW$3000,"?*",Однолинейка!$AI$3:$AI$3000,C50,Однолинейка!$A$3:$A$3000,Щит_спец)),IF(A50="Клемма",IF(C50="","",IF(C50=$S$7,SUMIFS(Однолинейка!$BW$3:$BW$3000,Однолинейка!$A$3:$A$3000,Щит_спец),IF(C50=$S$8,SUMIFS(Однолинейка!$BX$3:$BX$3000,Однолинейка!$A$3:$A$3000,Щит_спец),""))),""))))</f>
        <v/>
      </c>
      <c r="O50" s="74"/>
      <c r="P50" s="38" t="str">
        <f t="shared" si="0"/>
        <v/>
      </c>
      <c r="U50" s="38" t="str">
        <f t="shared" si="1"/>
        <v/>
      </c>
      <c r="V50" s="38" t="str">
        <f t="shared" si="2"/>
        <v/>
      </c>
      <c r="W50" s="38" t="str">
        <f>IF(AND(U50&lt;&gt;"",OR($S$4="(все)",B50=$S$4),IF($S$4="(все)",COUNTIF($U$4:U50,U50),COUNTIFS($U$4:U50,U50,$B$4:B50,B50))=1),MAX($W$3:W49)+1,"")</f>
        <v/>
      </c>
      <c r="X50" s="38" t="str">
        <f t="shared" si="3"/>
        <v/>
      </c>
      <c r="Y50" s="38" t="str">
        <f>IF(AND(A50="Аппарат",C50&lt;&gt;"",OR($S$5="(все)",B50=$S$5)),MAX($Y$3:Y49)+1,"")</f>
        <v/>
      </c>
      <c r="Z50" s="38" t="str">
        <f t="shared" si="4"/>
        <v/>
      </c>
      <c r="AA50" s="38" t="str">
        <f>IF(AND(A50="Модуль",C50&lt;&gt;"",OR($S$6="(все)",B50=$S$6)),MAX($AA$3:AA49)+1,"")</f>
        <v/>
      </c>
      <c r="AB50" s="38" t="str">
        <f t="shared" si="5"/>
        <v/>
      </c>
      <c r="AC50" s="38" t="str">
        <f>IF(OR(B50="",COUNTIF($B$4:B50,B50)&gt;1),"",MAX($AC$3:AC49)+1)</f>
        <v/>
      </c>
      <c r="AD50" s="38" t="str">
        <f t="shared" si="6"/>
        <v/>
      </c>
      <c r="AE50" s="38" t="str">
        <f t="shared" si="7"/>
        <v/>
      </c>
      <c r="AF50" s="38" t="str">
        <f t="shared" si="8"/>
        <v/>
      </c>
    </row>
    <row r="51" spans="1:32" x14ac:dyDescent="0.3">
      <c r="A51" s="74" t="s">
        <v>689</v>
      </c>
      <c r="B51" s="74" t="s">
        <v>285</v>
      </c>
      <c r="C51" s="74" t="s">
        <v>287</v>
      </c>
      <c r="D51" s="74"/>
      <c r="E51" s="74"/>
      <c r="F51" s="74"/>
      <c r="G51" s="74" t="s">
        <v>286</v>
      </c>
      <c r="H51" s="74" t="s">
        <v>287</v>
      </c>
      <c r="I51" s="74"/>
      <c r="J51" s="74"/>
      <c r="K51" s="74"/>
      <c r="L51" s="74"/>
      <c r="M51" s="74" t="s">
        <v>288</v>
      </c>
      <c r="N51" s="38" t="str">
        <f>IF(OR(A51="Автомат",A51="Дифавтомат"),IF(W51="","",COUNTIFS(Однолинейка!$H$3:$H$3000,U51,Однолинейка!$A$3:$A$3000,Щит_спец)),IF(A51="Аппарат",IF(C51="","",COUNTIFS(Однолинейка!$I$3:$I$3000,C51,Однолинейка!$A$3:$A$3000,Щит_спец)+COUNTIFS(Однолинейка!$J$3:$J$3000,C51,Однолинейка!$A$3:$A$3000,Щит_спец)+COUNTIFS(Однолинейка!$K$3:$K$3000,C51,Однолинейка!$A$3:$A$3000,Щит_спец)),IF(A51="Модуль",IF(C51="","",COUNTIFS(Однолинейка!$AW$3:$AW$3000,"?*",Однолинейка!$AI$3:$AI$3000,C51,Однолинейка!$A$3:$A$3000,Щит_спец)),IF(A51="Клемма",IF(C51="","",IF(C51=$S$7,SUMIFS(Однолинейка!$BW$3:$BW$3000,Однолинейка!$A$3:$A$3000,Щит_спец),IF(C51=$S$8,SUMIFS(Однолинейка!$BX$3:$BX$3000,Однолинейка!$A$3:$A$3000,Щит_спец),""))),""))))</f>
        <v/>
      </c>
      <c r="O51" s="74"/>
      <c r="P51" s="38" t="str">
        <f t="shared" si="0"/>
        <v/>
      </c>
      <c r="U51" s="38" t="str">
        <f t="shared" si="1"/>
        <v/>
      </c>
      <c r="V51" s="38" t="str">
        <f t="shared" si="2"/>
        <v/>
      </c>
      <c r="W51" s="38" t="str">
        <f>IF(AND(U51&lt;&gt;"",OR($S$4="(все)",B51=$S$4),IF($S$4="(все)",COUNTIF($U$4:U51,U51),COUNTIFS($U$4:U51,U51,$B$4:B51,B51))=1),MAX($W$3:W50)+1,"")</f>
        <v/>
      </c>
      <c r="X51" s="38" t="str">
        <f t="shared" si="3"/>
        <v/>
      </c>
      <c r="Y51" s="38" t="str">
        <f>IF(AND(A51="Аппарат",C51&lt;&gt;"",OR($S$5="(все)",B51=$S$5)),MAX($Y$3:Y50)+1,"")</f>
        <v/>
      </c>
      <c r="Z51" s="38" t="str">
        <f t="shared" si="4"/>
        <v/>
      </c>
      <c r="AA51" s="38" t="str">
        <f>IF(AND(A51="Модуль",C51&lt;&gt;"",OR($S$6="(все)",B51=$S$6)),MAX($AA$3:AA50)+1,"")</f>
        <v/>
      </c>
      <c r="AB51" s="38" t="str">
        <f t="shared" si="5"/>
        <v/>
      </c>
      <c r="AC51" s="38" t="str">
        <f>IF(OR(B51="",COUNTIF($B$4:B51,B51)&gt;1),"",MAX($AC$3:AC50)+1)</f>
        <v/>
      </c>
      <c r="AD51" s="38" t="str">
        <f t="shared" si="6"/>
        <v/>
      </c>
      <c r="AE51" s="38" t="str">
        <f t="shared" si="7"/>
        <v/>
      </c>
      <c r="AF51" s="38" t="str">
        <f t="shared" si="8"/>
        <v/>
      </c>
    </row>
    <row r="52" spans="1:32" x14ac:dyDescent="0.3">
      <c r="A52" s="74" t="s">
        <v>689</v>
      </c>
      <c r="B52" s="74" t="s">
        <v>291</v>
      </c>
      <c r="C52" s="74" t="s">
        <v>290</v>
      </c>
      <c r="D52" s="74"/>
      <c r="E52" s="74"/>
      <c r="F52" s="74"/>
      <c r="G52" s="74" t="s">
        <v>289</v>
      </c>
      <c r="H52" s="74" t="s">
        <v>290</v>
      </c>
      <c r="I52" s="74"/>
      <c r="J52" s="74"/>
      <c r="K52" s="74"/>
      <c r="L52" s="74"/>
      <c r="M52" s="74" t="s">
        <v>288</v>
      </c>
      <c r="N52" s="38" t="str">
        <f>IF(OR(A52="Автомат",A52="Дифавтомат"),IF(W52="","",COUNTIFS(Однолинейка!$H$3:$H$3000,U52,Однолинейка!$A$3:$A$3000,Щит_спец)),IF(A52="Аппарат",IF(C52="","",COUNTIFS(Однолинейка!$I$3:$I$3000,C52,Однолинейка!$A$3:$A$3000,Щит_спец)+COUNTIFS(Однолинейка!$J$3:$J$3000,C52,Однолинейка!$A$3:$A$3000,Щит_спец)+COUNTIFS(Однолинейка!$K$3:$K$3000,C52,Однолинейка!$A$3:$A$3000,Щит_спец)),IF(A52="Модуль",IF(C52="","",COUNTIFS(Однолинейка!$AW$3:$AW$3000,"?*",Однолинейка!$AI$3:$AI$3000,C52,Однолинейка!$A$3:$A$3000,Щит_спец)),IF(A52="Клемма",IF(C52="","",IF(C52=$S$7,SUMIFS(Однолинейка!$BW$3:$BW$3000,Однолинейка!$A$3:$A$3000,Щит_спец),IF(C52=$S$8,SUMIFS(Однолинейка!$BX$3:$BX$3000,Однолинейка!$A$3:$A$3000,Щит_спец),""))),""))))</f>
        <v/>
      </c>
      <c r="O52" s="74"/>
      <c r="P52" s="38" t="str">
        <f t="shared" si="0"/>
        <v/>
      </c>
      <c r="U52" s="38" t="str">
        <f t="shared" si="1"/>
        <v/>
      </c>
      <c r="V52" s="38" t="str">
        <f t="shared" si="2"/>
        <v/>
      </c>
      <c r="W52" s="38" t="str">
        <f>IF(AND(U52&lt;&gt;"",OR($S$4="(все)",B52=$S$4),IF($S$4="(все)",COUNTIF($U$4:U52,U52),COUNTIFS($U$4:U52,U52,$B$4:B52,B52))=1),MAX($W$3:W51)+1,"")</f>
        <v/>
      </c>
      <c r="X52" s="38" t="str">
        <f t="shared" si="3"/>
        <v/>
      </c>
      <c r="Y52" s="38" t="str">
        <f>IF(AND(A52="Аппарат",C52&lt;&gt;"",OR($S$5="(все)",B52=$S$5)),MAX($Y$3:Y51)+1,"")</f>
        <v/>
      </c>
      <c r="Z52" s="38" t="str">
        <f t="shared" si="4"/>
        <v/>
      </c>
      <c r="AA52" s="38" t="str">
        <f>IF(AND(A52="Модуль",C52&lt;&gt;"",OR($S$6="(все)",B52=$S$6)),MAX($AA$3:AA51)+1,"")</f>
        <v/>
      </c>
      <c r="AB52" s="38" t="str">
        <f t="shared" si="5"/>
        <v/>
      </c>
      <c r="AC52" s="38" t="str">
        <f>IF(OR(B52="",COUNTIF($B$4:B52,B52)&gt;1),"",MAX($AC$3:AC51)+1)</f>
        <v/>
      </c>
      <c r="AD52" s="38" t="str">
        <f t="shared" si="6"/>
        <v/>
      </c>
      <c r="AE52" s="38" t="str">
        <f t="shared" si="7"/>
        <v/>
      </c>
      <c r="AF52" s="38" t="str">
        <f t="shared" si="8"/>
        <v/>
      </c>
    </row>
    <row r="53" spans="1:32" x14ac:dyDescent="0.3">
      <c r="A53" s="74" t="s">
        <v>689</v>
      </c>
      <c r="B53" s="74" t="s">
        <v>291</v>
      </c>
      <c r="C53" s="74" t="s">
        <v>410</v>
      </c>
      <c r="D53" s="74"/>
      <c r="E53" s="74"/>
      <c r="F53" s="74"/>
      <c r="G53" s="74" t="s">
        <v>408</v>
      </c>
      <c r="H53" s="74" t="s">
        <v>410</v>
      </c>
      <c r="I53" s="74"/>
      <c r="J53" s="74"/>
      <c r="K53" s="74"/>
      <c r="L53" s="74"/>
      <c r="M53" s="74" t="s">
        <v>288</v>
      </c>
      <c r="N53" s="38" t="str">
        <f>IF(OR(A53="Автомат",A53="Дифавтомат"),IF(W53="","",COUNTIFS(Однолинейка!$H$3:$H$3000,U53,Однолинейка!$A$3:$A$3000,Щит_спец)),IF(A53="Аппарат",IF(C53="","",COUNTIFS(Однолинейка!$I$3:$I$3000,C53,Однолинейка!$A$3:$A$3000,Щит_спец)+COUNTIFS(Однолинейка!$J$3:$J$3000,C53,Однолинейка!$A$3:$A$3000,Щит_спец)+COUNTIFS(Однолинейка!$K$3:$K$3000,C53,Однолинейка!$A$3:$A$3000,Щит_спец)),IF(A53="Модуль",IF(C53="","",COUNTIFS(Однолинейка!$AW$3:$AW$3000,"?*",Однолинейка!$AI$3:$AI$3000,C53,Однолинейка!$A$3:$A$3000,Щит_спец)),IF(A53="Клемма",IF(C53="","",IF(C53=$S$7,SUMIFS(Однолинейка!$BW$3:$BW$3000,Однолинейка!$A$3:$A$3000,Щит_спец),IF(C53=$S$8,SUMIFS(Однолинейка!$BX$3:$BX$3000,Однолинейка!$A$3:$A$3000,Щит_спец),""))),""))))</f>
        <v/>
      </c>
      <c r="O53" s="74"/>
      <c r="P53" s="38" t="str">
        <f t="shared" si="0"/>
        <v/>
      </c>
      <c r="U53" s="38" t="str">
        <f t="shared" si="1"/>
        <v/>
      </c>
      <c r="V53" s="38" t="str">
        <f t="shared" si="2"/>
        <v/>
      </c>
      <c r="W53" s="38" t="str">
        <f>IF(AND(U53&lt;&gt;"",OR($S$4="(все)",B53=$S$4),IF($S$4="(все)",COUNTIF($U$4:U53,U53),COUNTIFS($U$4:U53,U53,$B$4:B53,B53))=1),MAX($W$3:W52)+1,"")</f>
        <v/>
      </c>
      <c r="X53" s="38" t="str">
        <f t="shared" si="3"/>
        <v/>
      </c>
      <c r="Y53" s="38" t="str">
        <f>IF(AND(A53="Аппарат",C53&lt;&gt;"",OR($S$5="(все)",B53=$S$5)),MAX($Y$3:Y52)+1,"")</f>
        <v/>
      </c>
      <c r="Z53" s="38" t="str">
        <f t="shared" si="4"/>
        <v/>
      </c>
      <c r="AA53" s="38" t="str">
        <f>IF(AND(A53="Модуль",C53&lt;&gt;"",OR($S$6="(все)",B53=$S$6)),MAX($AA$3:AA52)+1,"")</f>
        <v/>
      </c>
      <c r="AB53" s="38" t="str">
        <f t="shared" si="5"/>
        <v/>
      </c>
      <c r="AC53" s="38" t="str">
        <f>IF(OR(B53="",COUNTIF($B$4:B53,B53)&gt;1),"",MAX($AC$3:AC52)+1)</f>
        <v/>
      </c>
      <c r="AD53" s="38" t="str">
        <f t="shared" si="6"/>
        <v/>
      </c>
      <c r="AE53" s="38" t="str">
        <f t="shared" si="7"/>
        <v/>
      </c>
      <c r="AF53" s="38" t="str">
        <f t="shared" si="8"/>
        <v/>
      </c>
    </row>
    <row r="54" spans="1:32" x14ac:dyDescent="0.3">
      <c r="A54" s="74" t="s">
        <v>689</v>
      </c>
      <c r="B54" s="74" t="s">
        <v>291</v>
      </c>
      <c r="C54" s="74" t="s">
        <v>411</v>
      </c>
      <c r="D54" s="74"/>
      <c r="E54" s="74"/>
      <c r="F54" s="74"/>
      <c r="G54" s="74" t="s">
        <v>409</v>
      </c>
      <c r="H54" s="74" t="s">
        <v>411</v>
      </c>
      <c r="I54" s="74"/>
      <c r="J54" s="74"/>
      <c r="K54" s="74"/>
      <c r="L54" s="74"/>
      <c r="M54" s="74" t="s">
        <v>288</v>
      </c>
      <c r="N54" s="38" t="str">
        <f>IF(OR(A54="Автомат",A54="Дифавтомат"),IF(W54="","",COUNTIFS(Однолинейка!$H$3:$H$3000,U54,Однолинейка!$A$3:$A$3000,Щит_спец)),IF(A54="Аппарат",IF(C54="","",COUNTIFS(Однолинейка!$I$3:$I$3000,C54,Однолинейка!$A$3:$A$3000,Щит_спец)+COUNTIFS(Однолинейка!$J$3:$J$3000,C54,Однолинейка!$A$3:$A$3000,Щит_спец)+COUNTIFS(Однолинейка!$K$3:$K$3000,C54,Однолинейка!$A$3:$A$3000,Щит_спец)),IF(A54="Модуль",IF(C54="","",COUNTIFS(Однолинейка!$AW$3:$AW$3000,"?*",Однолинейка!$AI$3:$AI$3000,C54,Однолинейка!$A$3:$A$3000,Щит_спец)),IF(A54="Клемма",IF(C54="","",IF(C54=$S$7,SUMIFS(Однолинейка!$BW$3:$BW$3000,Однолинейка!$A$3:$A$3000,Щит_спец),IF(C54=$S$8,SUMIFS(Однолинейка!$BX$3:$BX$3000,Однолинейка!$A$3:$A$3000,Щит_спец),""))),""))))</f>
        <v/>
      </c>
      <c r="O54" s="74"/>
      <c r="P54" s="38" t="str">
        <f t="shared" si="0"/>
        <v/>
      </c>
      <c r="U54" s="38" t="str">
        <f t="shared" si="1"/>
        <v/>
      </c>
      <c r="V54" s="38" t="str">
        <f t="shared" si="2"/>
        <v/>
      </c>
      <c r="W54" s="38" t="str">
        <f>IF(AND(U54&lt;&gt;"",OR($S$4="(все)",B54=$S$4),IF($S$4="(все)",COUNTIF($U$4:U54,U54),COUNTIFS($U$4:U54,U54,$B$4:B54,B54))=1),MAX($W$3:W53)+1,"")</f>
        <v/>
      </c>
      <c r="X54" s="38" t="str">
        <f t="shared" si="3"/>
        <v/>
      </c>
      <c r="Y54" s="38" t="str">
        <f>IF(AND(A54="Аппарат",C54&lt;&gt;"",OR($S$5="(все)",B54=$S$5)),MAX($Y$3:Y53)+1,"")</f>
        <v/>
      </c>
      <c r="Z54" s="38" t="str">
        <f t="shared" si="4"/>
        <v/>
      </c>
      <c r="AA54" s="38" t="str">
        <f>IF(AND(A54="Модуль",C54&lt;&gt;"",OR($S$6="(все)",B54=$S$6)),MAX($AA$3:AA53)+1,"")</f>
        <v/>
      </c>
      <c r="AB54" s="38" t="str">
        <f t="shared" si="5"/>
        <v/>
      </c>
      <c r="AC54" s="38" t="str">
        <f>IF(OR(B54="",COUNTIF($B$4:B54,B54)&gt;1),"",MAX($AC$3:AC53)+1)</f>
        <v/>
      </c>
      <c r="AD54" s="38" t="str">
        <f t="shared" si="6"/>
        <v/>
      </c>
      <c r="AE54" s="38" t="str">
        <f t="shared" si="7"/>
        <v/>
      </c>
      <c r="AF54" s="38" t="str">
        <f t="shared" si="8"/>
        <v/>
      </c>
    </row>
    <row r="55" spans="1:32" x14ac:dyDescent="0.3">
      <c r="A55" s="74" t="s">
        <v>699</v>
      </c>
      <c r="B55" s="74" t="s">
        <v>293</v>
      </c>
      <c r="C55" s="74" t="s">
        <v>376</v>
      </c>
      <c r="D55" s="74"/>
      <c r="E55" s="74"/>
      <c r="F55" s="74"/>
      <c r="G55" s="74" t="s">
        <v>375</v>
      </c>
      <c r="H55" s="74" t="s">
        <v>376</v>
      </c>
      <c r="I55" s="74"/>
      <c r="J55" s="74"/>
      <c r="K55" s="74"/>
      <c r="L55" s="74"/>
      <c r="M55" s="74" t="s">
        <v>288</v>
      </c>
      <c r="N55" s="38" t="str">
        <f>IF(OR(A55="Автомат",A55="Дифавтомат"),IF(W55="","",COUNTIFS(Однолинейка!$H$3:$H$3000,U55,Однолинейка!$A$3:$A$3000,Щит_спец)),IF(A55="Аппарат",IF(C55="","",COUNTIFS(Однолинейка!$I$3:$I$3000,C55,Однолинейка!$A$3:$A$3000,Щит_спец)+COUNTIFS(Однолинейка!$J$3:$J$3000,C55,Однолинейка!$A$3:$A$3000,Щит_спец)+COUNTIFS(Однолинейка!$K$3:$K$3000,C55,Однолинейка!$A$3:$A$3000,Щит_спец)),IF(A55="Модуль",IF(C55="","",COUNTIFS(Однолинейка!$AW$3:$AW$3000,"?*",Однолинейка!$AI$3:$AI$3000,C55,Однолинейка!$A$3:$A$3000,Щит_спец)),IF(A55="Клемма",IF(C55="","",IF(C55=$S$7,SUMIFS(Однолинейка!$BW$3:$BW$3000,Однолинейка!$A$3:$A$3000,Щит_спец),IF(C55=$S$8,SUMIFS(Однолинейка!$BX$3:$BX$3000,Однолинейка!$A$3:$A$3000,Щит_спец),""))),""))))</f>
        <v/>
      </c>
      <c r="O55" s="74"/>
      <c r="P55" s="38" t="str">
        <f t="shared" si="0"/>
        <v/>
      </c>
      <c r="U55" s="38" t="str">
        <f t="shared" si="1"/>
        <v/>
      </c>
      <c r="V55" s="38" t="str">
        <f t="shared" si="2"/>
        <v/>
      </c>
      <c r="W55" s="38" t="str">
        <f>IF(AND(U55&lt;&gt;"",OR($S$4="(все)",B55=$S$4),IF($S$4="(все)",COUNTIF($U$4:U55,U55),COUNTIFS($U$4:U55,U55,$B$4:B55,B55))=1),MAX($W$3:W54)+1,"")</f>
        <v/>
      </c>
      <c r="X55" s="38" t="str">
        <f t="shared" si="3"/>
        <v/>
      </c>
      <c r="Y55" s="38" t="str">
        <f>IF(AND(A55="Аппарат",C55&lt;&gt;"",OR($S$5="(все)",B55=$S$5)),MAX($Y$3:Y54)+1,"")</f>
        <v/>
      </c>
      <c r="Z55" s="38" t="str">
        <f t="shared" si="4"/>
        <v/>
      </c>
      <c r="AA55" s="38" t="str">
        <f>IF(AND(A55="Модуль",C55&lt;&gt;"",OR($S$6="(все)",B55=$S$6)),MAX($AA$3:AA54)+1,"")</f>
        <v/>
      </c>
      <c r="AB55" s="38" t="str">
        <f t="shared" si="5"/>
        <v/>
      </c>
      <c r="AC55" s="38">
        <f>IF(OR(B55="",COUNTIF($B$4:B55,B55)&gt;1),"",MAX($AC$3:AC54)+1)</f>
        <v>7</v>
      </c>
      <c r="AD55" s="38" t="str">
        <f t="shared" si="6"/>
        <v/>
      </c>
      <c r="AE55" s="38" t="str">
        <f t="shared" si="7"/>
        <v/>
      </c>
      <c r="AF55" s="38" t="str">
        <f t="shared" si="8"/>
        <v/>
      </c>
    </row>
    <row r="56" spans="1:32" x14ac:dyDescent="0.3">
      <c r="A56" s="74" t="s">
        <v>699</v>
      </c>
      <c r="B56" s="74" t="s">
        <v>293</v>
      </c>
      <c r="C56" s="74" t="s">
        <v>378</v>
      </c>
      <c r="D56" s="74"/>
      <c r="E56" s="74"/>
      <c r="F56" s="74"/>
      <c r="G56" s="74" t="s">
        <v>377</v>
      </c>
      <c r="H56" s="74" t="s">
        <v>378</v>
      </c>
      <c r="I56" s="74"/>
      <c r="J56" s="74"/>
      <c r="K56" s="74"/>
      <c r="L56" s="74"/>
      <c r="M56" s="74" t="s">
        <v>288</v>
      </c>
      <c r="N56" s="38" t="str">
        <f>IF(OR(A56="Автомат",A56="Дифавтомат"),IF(W56="","",COUNTIFS(Однолинейка!$H$3:$H$3000,U56,Однолинейка!$A$3:$A$3000,Щит_спец)),IF(A56="Аппарат",IF(C56="","",COUNTIFS(Однолинейка!$I$3:$I$3000,C56,Однолинейка!$A$3:$A$3000,Щит_спец)+COUNTIFS(Однолинейка!$J$3:$J$3000,C56,Однолинейка!$A$3:$A$3000,Щит_спец)+COUNTIFS(Однолинейка!$K$3:$K$3000,C56,Однолинейка!$A$3:$A$3000,Щит_спец)),IF(A56="Модуль",IF(C56="","",COUNTIFS(Однолинейка!$AW$3:$AW$3000,"?*",Однолинейка!$AI$3:$AI$3000,C56,Однолинейка!$A$3:$A$3000,Щит_спец)),IF(A56="Клемма",IF(C56="","",IF(C56=$S$7,SUMIFS(Однолинейка!$BW$3:$BW$3000,Однолинейка!$A$3:$A$3000,Щит_спец),IF(C56=$S$8,SUMIFS(Однолинейка!$BX$3:$BX$3000,Однолинейка!$A$3:$A$3000,Щит_спец),""))),""))))</f>
        <v/>
      </c>
      <c r="O56" s="74"/>
      <c r="P56" s="38" t="str">
        <f t="shared" si="0"/>
        <v/>
      </c>
      <c r="U56" s="38" t="str">
        <f t="shared" si="1"/>
        <v/>
      </c>
      <c r="V56" s="38" t="str">
        <f t="shared" si="2"/>
        <v/>
      </c>
      <c r="W56" s="38" t="str">
        <f>IF(AND(U56&lt;&gt;"",OR($S$4="(все)",B56=$S$4),IF($S$4="(все)",COUNTIF($U$4:U56,U56),COUNTIFS($U$4:U56,U56,$B$4:B56,B56))=1),MAX($W$3:W55)+1,"")</f>
        <v/>
      </c>
      <c r="X56" s="38" t="str">
        <f t="shared" si="3"/>
        <v/>
      </c>
      <c r="Y56" s="38" t="str">
        <f>IF(AND(A56="Аппарат",C56&lt;&gt;"",OR($S$5="(все)",B56=$S$5)),MAX($Y$3:Y55)+1,"")</f>
        <v/>
      </c>
      <c r="Z56" s="38" t="str">
        <f t="shared" si="4"/>
        <v/>
      </c>
      <c r="AA56" s="38" t="str">
        <f>IF(AND(A56="Модуль",C56&lt;&gt;"",OR($S$6="(все)",B56=$S$6)),MAX($AA$3:AA55)+1,"")</f>
        <v/>
      </c>
      <c r="AB56" s="38" t="str">
        <f t="shared" si="5"/>
        <v/>
      </c>
      <c r="AC56" s="38" t="str">
        <f>IF(OR(B56="",COUNTIF($B$4:B56,B56)&gt;1),"",MAX($AC$3:AC55)+1)</f>
        <v/>
      </c>
      <c r="AD56" s="38" t="str">
        <f t="shared" si="6"/>
        <v/>
      </c>
      <c r="AE56" s="38" t="str">
        <f t="shared" si="7"/>
        <v/>
      </c>
      <c r="AF56" s="38" t="str">
        <f t="shared" si="8"/>
        <v/>
      </c>
    </row>
    <row r="57" spans="1:32" x14ac:dyDescent="0.3">
      <c r="A57" s="74" t="s">
        <v>444</v>
      </c>
      <c r="B57" s="74" t="s">
        <v>285</v>
      </c>
      <c r="C57" s="74" t="s">
        <v>318</v>
      </c>
      <c r="D57" s="74"/>
      <c r="E57" s="74"/>
      <c r="F57" s="74"/>
      <c r="G57" s="74" t="s">
        <v>317</v>
      </c>
      <c r="H57" s="74" t="s">
        <v>318</v>
      </c>
      <c r="I57" s="74"/>
      <c r="J57" s="74"/>
      <c r="K57" s="74"/>
      <c r="L57" s="74"/>
      <c r="M57" s="74" t="s">
        <v>288</v>
      </c>
      <c r="N57" s="38" t="str">
        <f>IF(OR(A57="Автомат",A57="Дифавтомат"),IF(W57="","",COUNTIFS(Однолинейка!$H$3:$H$3000,U57,Однолинейка!$A$3:$A$3000,Щит_спец)),IF(A57="Аппарат",IF(C57="","",COUNTIFS(Однолинейка!$I$3:$I$3000,C57,Однолинейка!$A$3:$A$3000,Щит_спец)+COUNTIFS(Однолинейка!$J$3:$J$3000,C57,Однолинейка!$A$3:$A$3000,Щит_спец)+COUNTIFS(Однолинейка!$K$3:$K$3000,C57,Однолинейка!$A$3:$A$3000,Щит_спец)),IF(A57="Модуль",IF(C57="","",COUNTIFS(Однолинейка!$AW$3:$AW$3000,"?*",Однолинейка!$AI$3:$AI$3000,C57,Однолинейка!$A$3:$A$3000,Щит_спец)),IF(A57="Клемма",IF(C57="","",IF(C57=$S$7,SUMIFS(Однолинейка!$BW$3:$BW$3000,Однолинейка!$A$3:$A$3000,Щит_спец),IF(C57=$S$8,SUMIFS(Однолинейка!$BX$3:$BX$3000,Однолинейка!$A$3:$A$3000,Щит_спец),""))),""))))</f>
        <v/>
      </c>
      <c r="O57" s="74"/>
      <c r="P57" s="38" t="str">
        <f t="shared" si="0"/>
        <v/>
      </c>
      <c r="U57" s="38" t="str">
        <f t="shared" si="1"/>
        <v/>
      </c>
      <c r="V57" s="38" t="str">
        <f t="shared" si="2"/>
        <v/>
      </c>
      <c r="W57" s="38" t="str">
        <f>IF(AND(U57&lt;&gt;"",OR($S$4="(все)",B57=$S$4),IF($S$4="(все)",COUNTIF($U$4:U57,U57),COUNTIFS($U$4:U57,U57,$B$4:B57,B57))=1),MAX($W$3:W56)+1,"")</f>
        <v/>
      </c>
      <c r="X57" s="38" t="str">
        <f t="shared" si="3"/>
        <v/>
      </c>
      <c r="Y57" s="38" t="str">
        <f>IF(AND(A57="Аппарат",C57&lt;&gt;"",OR($S$5="(все)",B57=$S$5)),MAX($Y$3:Y56)+1,"")</f>
        <v/>
      </c>
      <c r="Z57" s="38" t="str">
        <f t="shared" si="4"/>
        <v/>
      </c>
      <c r="AA57" s="38" t="str">
        <f>IF(AND(A57="Модуль",C57&lt;&gt;"",OR($S$6="(все)",B57=$S$6)),MAX($AA$3:AA56)+1,"")</f>
        <v/>
      </c>
      <c r="AB57" s="38" t="str">
        <f t="shared" si="5"/>
        <v/>
      </c>
      <c r="AC57" s="38" t="str">
        <f>IF(OR(B57="",COUNTIF($B$4:B57,B57)&gt;1),"",MAX($AC$3:AC56)+1)</f>
        <v/>
      </c>
      <c r="AD57" s="38" t="str">
        <f t="shared" si="6"/>
        <v/>
      </c>
      <c r="AE57" s="38" t="str">
        <f t="shared" si="7"/>
        <v/>
      </c>
      <c r="AF57" s="38" t="str">
        <f t="shared" si="8"/>
        <v/>
      </c>
    </row>
    <row r="58" spans="1:32" x14ac:dyDescent="0.3">
      <c r="A58" s="74" t="s">
        <v>444</v>
      </c>
      <c r="B58" s="74" t="s">
        <v>285</v>
      </c>
      <c r="C58" s="74" t="s">
        <v>320</v>
      </c>
      <c r="D58" s="74"/>
      <c r="E58" s="74"/>
      <c r="F58" s="74"/>
      <c r="G58" s="74" t="s">
        <v>319</v>
      </c>
      <c r="H58" s="74" t="s">
        <v>320</v>
      </c>
      <c r="I58" s="74"/>
      <c r="J58" s="74"/>
      <c r="K58" s="74"/>
      <c r="L58" s="74"/>
      <c r="M58" s="74" t="s">
        <v>288</v>
      </c>
      <c r="N58" s="38" t="str">
        <f>IF(OR(A58="Автомат",A58="Дифавтомат"),IF(W58="","",COUNTIFS(Однолинейка!$H$3:$H$3000,U58,Однолинейка!$A$3:$A$3000,Щит_спец)),IF(A58="Аппарат",IF(C58="","",COUNTIFS(Однолинейка!$I$3:$I$3000,C58,Однолинейка!$A$3:$A$3000,Щит_спец)+COUNTIFS(Однолинейка!$J$3:$J$3000,C58,Однолинейка!$A$3:$A$3000,Щит_спец)+COUNTIFS(Однолинейка!$K$3:$K$3000,C58,Однолинейка!$A$3:$A$3000,Щит_спец)),IF(A58="Модуль",IF(C58="","",COUNTIFS(Однолинейка!$AW$3:$AW$3000,"?*",Однолинейка!$AI$3:$AI$3000,C58,Однолинейка!$A$3:$A$3000,Щит_спец)),IF(A58="Клемма",IF(C58="","",IF(C58=$S$7,SUMIFS(Однолинейка!$BW$3:$BW$3000,Однолинейка!$A$3:$A$3000,Щит_спец),IF(C58=$S$8,SUMIFS(Однолинейка!$BX$3:$BX$3000,Однолинейка!$A$3:$A$3000,Щит_спец),""))),""))))</f>
        <v/>
      </c>
      <c r="O58" s="74"/>
      <c r="P58" s="38" t="str">
        <f t="shared" si="0"/>
        <v/>
      </c>
      <c r="U58" s="38" t="str">
        <f t="shared" si="1"/>
        <v/>
      </c>
      <c r="V58" s="38" t="str">
        <f t="shared" si="2"/>
        <v/>
      </c>
      <c r="W58" s="38" t="str">
        <f>IF(AND(U58&lt;&gt;"",OR($S$4="(все)",B58=$S$4),IF($S$4="(все)",COUNTIF($U$4:U58,U58),COUNTIFS($U$4:U58,U58,$B$4:B58,B58))=1),MAX($W$3:W57)+1,"")</f>
        <v/>
      </c>
      <c r="X58" s="38" t="str">
        <f t="shared" si="3"/>
        <v/>
      </c>
      <c r="Y58" s="38" t="str">
        <f>IF(AND(A58="Аппарат",C58&lt;&gt;"",OR($S$5="(все)",B58=$S$5)),MAX($Y$3:Y57)+1,"")</f>
        <v/>
      </c>
      <c r="Z58" s="38" t="str">
        <f t="shared" si="4"/>
        <v/>
      </c>
      <c r="AA58" s="38" t="str">
        <f>IF(AND(A58="Модуль",C58&lt;&gt;"",OR($S$6="(все)",B58=$S$6)),MAX($AA$3:AA57)+1,"")</f>
        <v/>
      </c>
      <c r="AB58" s="38" t="str">
        <f t="shared" si="5"/>
        <v/>
      </c>
      <c r="AC58" s="38" t="str">
        <f>IF(OR(B58="",COUNTIF($B$4:B58,B58)&gt;1),"",MAX($AC$3:AC57)+1)</f>
        <v/>
      </c>
      <c r="AD58" s="38" t="str">
        <f t="shared" si="6"/>
        <v/>
      </c>
      <c r="AE58" s="38" t="str">
        <f t="shared" si="7"/>
        <v/>
      </c>
      <c r="AF58" s="38" t="str">
        <f t="shared" si="8"/>
        <v/>
      </c>
    </row>
    <row r="59" spans="1:32" x14ac:dyDescent="0.3">
      <c r="A59" s="74" t="s">
        <v>444</v>
      </c>
      <c r="B59" s="74" t="s">
        <v>285</v>
      </c>
      <c r="C59" s="74" t="s">
        <v>322</v>
      </c>
      <c r="D59" s="74"/>
      <c r="E59" s="74"/>
      <c r="F59" s="74"/>
      <c r="G59" s="74" t="s">
        <v>321</v>
      </c>
      <c r="H59" s="74" t="s">
        <v>322</v>
      </c>
      <c r="I59" s="74"/>
      <c r="J59" s="74"/>
      <c r="K59" s="74"/>
      <c r="L59" s="74"/>
      <c r="M59" s="74" t="s">
        <v>288</v>
      </c>
      <c r="N59" s="38" t="str">
        <f>IF(OR(A59="Автомат",A59="Дифавтомат"),IF(W59="","",COUNTIFS(Однолинейка!$H$3:$H$3000,U59,Однолинейка!$A$3:$A$3000,Щит_спец)),IF(A59="Аппарат",IF(C59="","",COUNTIFS(Однолинейка!$I$3:$I$3000,C59,Однолинейка!$A$3:$A$3000,Щит_спец)+COUNTIFS(Однолинейка!$J$3:$J$3000,C59,Однолинейка!$A$3:$A$3000,Щит_спец)+COUNTIFS(Однолинейка!$K$3:$K$3000,C59,Однолинейка!$A$3:$A$3000,Щит_спец)),IF(A59="Модуль",IF(C59="","",COUNTIFS(Однолинейка!$AW$3:$AW$3000,"?*",Однолинейка!$AI$3:$AI$3000,C59,Однолинейка!$A$3:$A$3000,Щит_спец)),IF(A59="Клемма",IF(C59="","",IF(C59=$S$7,SUMIFS(Однолинейка!$BW$3:$BW$3000,Однолинейка!$A$3:$A$3000,Щит_спец),IF(C59=$S$8,SUMIFS(Однолинейка!$BX$3:$BX$3000,Однолинейка!$A$3:$A$3000,Щит_спец),""))),""))))</f>
        <v/>
      </c>
      <c r="O59" s="74"/>
      <c r="P59" s="38" t="str">
        <f t="shared" si="0"/>
        <v/>
      </c>
      <c r="U59" s="38" t="str">
        <f t="shared" si="1"/>
        <v/>
      </c>
      <c r="V59" s="38" t="str">
        <f t="shared" si="2"/>
        <v/>
      </c>
      <c r="W59" s="38" t="str">
        <f>IF(AND(U59&lt;&gt;"",OR($S$4="(все)",B59=$S$4),IF($S$4="(все)",COUNTIF($U$4:U59,U59),COUNTIFS($U$4:U59,U59,$B$4:B59,B59))=1),MAX($W$3:W58)+1,"")</f>
        <v/>
      </c>
      <c r="X59" s="38" t="str">
        <f t="shared" si="3"/>
        <v/>
      </c>
      <c r="Y59" s="38" t="str">
        <f>IF(AND(A59="Аппарат",C59&lt;&gt;"",OR($S$5="(все)",B59=$S$5)),MAX($Y$3:Y58)+1,"")</f>
        <v/>
      </c>
      <c r="Z59" s="38" t="str">
        <f t="shared" si="4"/>
        <v/>
      </c>
      <c r="AA59" s="38" t="str">
        <f>IF(AND(A59="Модуль",C59&lt;&gt;"",OR($S$6="(все)",B59=$S$6)),MAX($AA$3:AA58)+1,"")</f>
        <v/>
      </c>
      <c r="AB59" s="38" t="str">
        <f t="shared" si="5"/>
        <v/>
      </c>
      <c r="AC59" s="38" t="str">
        <f>IF(OR(B59="",COUNTIF($B$4:B59,B59)&gt;1),"",MAX($AC$3:AC58)+1)</f>
        <v/>
      </c>
      <c r="AD59" s="38" t="str">
        <f t="shared" si="6"/>
        <v/>
      </c>
      <c r="AE59" s="38" t="str">
        <f t="shared" si="7"/>
        <v/>
      </c>
      <c r="AF59" s="38" t="str">
        <f t="shared" si="8"/>
        <v/>
      </c>
    </row>
    <row r="60" spans="1:32" x14ac:dyDescent="0.3">
      <c r="A60" s="74" t="s">
        <v>444</v>
      </c>
      <c r="B60" s="74" t="s">
        <v>285</v>
      </c>
      <c r="C60" s="74" t="s">
        <v>393</v>
      </c>
      <c r="D60" s="74"/>
      <c r="E60" s="74"/>
      <c r="F60" s="74"/>
      <c r="G60" s="74" t="s">
        <v>392</v>
      </c>
      <c r="H60" s="74" t="s">
        <v>393</v>
      </c>
      <c r="I60" s="74"/>
      <c r="J60" s="74"/>
      <c r="K60" s="74"/>
      <c r="L60" s="74"/>
      <c r="M60" s="74" t="s">
        <v>288</v>
      </c>
      <c r="N60" s="38" t="str">
        <f>IF(OR(A60="Автомат",A60="Дифавтомат"),IF(W60="","",COUNTIFS(Однолинейка!$H$3:$H$3000,U60,Однолинейка!$A$3:$A$3000,Щит_спец)),IF(A60="Аппарат",IF(C60="","",COUNTIFS(Однолинейка!$I$3:$I$3000,C60,Однолинейка!$A$3:$A$3000,Щит_спец)+COUNTIFS(Однолинейка!$J$3:$J$3000,C60,Однолинейка!$A$3:$A$3000,Щит_спец)+COUNTIFS(Однолинейка!$K$3:$K$3000,C60,Однолинейка!$A$3:$A$3000,Щит_спец)),IF(A60="Модуль",IF(C60="","",COUNTIFS(Однолинейка!$AW$3:$AW$3000,"?*",Однолинейка!$AI$3:$AI$3000,C60,Однолинейка!$A$3:$A$3000,Щит_спец)),IF(A60="Клемма",IF(C60="","",IF(C60=$S$7,SUMIFS(Однолинейка!$BW$3:$BW$3000,Однолинейка!$A$3:$A$3000,Щит_спец),IF(C60=$S$8,SUMIFS(Однолинейка!$BX$3:$BX$3000,Однолинейка!$A$3:$A$3000,Щит_спец),""))),""))))</f>
        <v/>
      </c>
      <c r="O60" s="74"/>
      <c r="P60" s="38" t="str">
        <f t="shared" si="0"/>
        <v/>
      </c>
      <c r="U60" s="38" t="str">
        <f t="shared" si="1"/>
        <v/>
      </c>
      <c r="V60" s="38" t="str">
        <f t="shared" si="2"/>
        <v/>
      </c>
      <c r="W60" s="38" t="str">
        <f>IF(AND(U60&lt;&gt;"",OR($S$4="(все)",B60=$S$4),IF($S$4="(все)",COUNTIF($U$4:U60,U60),COUNTIFS($U$4:U60,U60,$B$4:B60,B60))=1),MAX($W$3:W59)+1,"")</f>
        <v/>
      </c>
      <c r="X60" s="38" t="str">
        <f t="shared" si="3"/>
        <v/>
      </c>
      <c r="Y60" s="38" t="str">
        <f>IF(AND(A60="Аппарат",C60&lt;&gt;"",OR($S$5="(все)",B60=$S$5)),MAX($Y$3:Y59)+1,"")</f>
        <v/>
      </c>
      <c r="Z60" s="38" t="str">
        <f t="shared" si="4"/>
        <v/>
      </c>
      <c r="AA60" s="38" t="str">
        <f>IF(AND(A60="Модуль",C60&lt;&gt;"",OR($S$6="(все)",B60=$S$6)),MAX($AA$3:AA59)+1,"")</f>
        <v/>
      </c>
      <c r="AB60" s="38" t="str">
        <f t="shared" si="5"/>
        <v/>
      </c>
      <c r="AC60" s="38" t="str">
        <f>IF(OR(B60="",COUNTIF($B$4:B60,B60)&gt;1),"",MAX($AC$3:AC59)+1)</f>
        <v/>
      </c>
      <c r="AD60" s="38" t="str">
        <f t="shared" si="6"/>
        <v/>
      </c>
      <c r="AE60" s="38" t="str">
        <f t="shared" si="7"/>
        <v/>
      </c>
      <c r="AF60" s="38" t="str">
        <f t="shared" si="8"/>
        <v/>
      </c>
    </row>
    <row r="61" spans="1:32" x14ac:dyDescent="0.3">
      <c r="A61" s="74" t="s">
        <v>444</v>
      </c>
      <c r="B61" s="74" t="s">
        <v>285</v>
      </c>
      <c r="C61" s="74" t="s">
        <v>395</v>
      </c>
      <c r="D61" s="74"/>
      <c r="E61" s="74"/>
      <c r="F61" s="74"/>
      <c r="G61" s="74" t="s">
        <v>394</v>
      </c>
      <c r="H61" s="74" t="s">
        <v>395</v>
      </c>
      <c r="I61" s="74"/>
      <c r="J61" s="74"/>
      <c r="K61" s="74"/>
      <c r="L61" s="74"/>
      <c r="M61" s="74" t="s">
        <v>288</v>
      </c>
      <c r="N61" s="38" t="str">
        <f>IF(OR(A61="Автомат",A61="Дифавтомат"),IF(W61="","",COUNTIFS(Однолинейка!$H$3:$H$3000,U61,Однолинейка!$A$3:$A$3000,Щит_спец)),IF(A61="Аппарат",IF(C61="","",COUNTIFS(Однолинейка!$I$3:$I$3000,C61,Однолинейка!$A$3:$A$3000,Щит_спец)+COUNTIFS(Однолинейка!$J$3:$J$3000,C61,Однолинейка!$A$3:$A$3000,Щит_спец)+COUNTIFS(Однолинейка!$K$3:$K$3000,C61,Однолинейка!$A$3:$A$3000,Щит_спец)),IF(A61="Модуль",IF(C61="","",COUNTIFS(Однолинейка!$AW$3:$AW$3000,"?*",Однолинейка!$AI$3:$AI$3000,C61,Однолинейка!$A$3:$A$3000,Щит_спец)),IF(A61="Клемма",IF(C61="","",IF(C61=$S$7,SUMIFS(Однолинейка!$BW$3:$BW$3000,Однолинейка!$A$3:$A$3000,Щит_спец),IF(C61=$S$8,SUMIFS(Однолинейка!$BX$3:$BX$3000,Однолинейка!$A$3:$A$3000,Щит_спец),""))),""))))</f>
        <v/>
      </c>
      <c r="O61" s="74"/>
      <c r="P61" s="38" t="str">
        <f t="shared" si="0"/>
        <v/>
      </c>
      <c r="U61" s="38" t="str">
        <f t="shared" si="1"/>
        <v/>
      </c>
      <c r="V61" s="38" t="str">
        <f t="shared" si="2"/>
        <v/>
      </c>
      <c r="W61" s="38" t="str">
        <f>IF(AND(U61&lt;&gt;"",OR($S$4="(все)",B61=$S$4),IF($S$4="(все)",COUNTIF($U$4:U61,U61),COUNTIFS($U$4:U61,U61,$B$4:B61,B61))=1),MAX($W$3:W60)+1,"")</f>
        <v/>
      </c>
      <c r="X61" s="38" t="str">
        <f t="shared" si="3"/>
        <v/>
      </c>
      <c r="Y61" s="38" t="str">
        <f>IF(AND(A61="Аппарат",C61&lt;&gt;"",OR($S$5="(все)",B61=$S$5)),MAX($Y$3:Y60)+1,"")</f>
        <v/>
      </c>
      <c r="Z61" s="38" t="str">
        <f t="shared" si="4"/>
        <v/>
      </c>
      <c r="AA61" s="38" t="str">
        <f>IF(AND(A61="Модуль",C61&lt;&gt;"",OR($S$6="(все)",B61=$S$6)),MAX($AA$3:AA60)+1,"")</f>
        <v/>
      </c>
      <c r="AB61" s="38" t="str">
        <f t="shared" si="5"/>
        <v/>
      </c>
      <c r="AC61" s="38" t="str">
        <f>IF(OR(B61="",COUNTIF($B$4:B61,B61)&gt;1),"",MAX($AC$3:AC60)+1)</f>
        <v/>
      </c>
      <c r="AD61" s="38" t="str">
        <f t="shared" si="6"/>
        <v/>
      </c>
      <c r="AE61" s="38" t="str">
        <f t="shared" si="7"/>
        <v/>
      </c>
      <c r="AF61" s="38" t="str">
        <f t="shared" si="8"/>
        <v/>
      </c>
    </row>
    <row r="62" spans="1:32" x14ac:dyDescent="0.3">
      <c r="A62" s="74" t="s">
        <v>444</v>
      </c>
      <c r="B62" s="74" t="s">
        <v>285</v>
      </c>
      <c r="C62" s="74" t="s">
        <v>397</v>
      </c>
      <c r="D62" s="74"/>
      <c r="E62" s="74"/>
      <c r="F62" s="74"/>
      <c r="G62" s="74" t="s">
        <v>396</v>
      </c>
      <c r="H62" s="74" t="s">
        <v>397</v>
      </c>
      <c r="I62" s="74"/>
      <c r="J62" s="74"/>
      <c r="K62" s="74"/>
      <c r="L62" s="74"/>
      <c r="M62" s="74" t="s">
        <v>288</v>
      </c>
      <c r="N62" s="38" t="str">
        <f>IF(OR(A62="Автомат",A62="Дифавтомат"),IF(W62="","",COUNTIFS(Однолинейка!$H$3:$H$3000,U62,Однолинейка!$A$3:$A$3000,Щит_спец)),IF(A62="Аппарат",IF(C62="","",COUNTIFS(Однолинейка!$I$3:$I$3000,C62,Однолинейка!$A$3:$A$3000,Щит_спец)+COUNTIFS(Однолинейка!$J$3:$J$3000,C62,Однолинейка!$A$3:$A$3000,Щит_спец)+COUNTIFS(Однолинейка!$K$3:$K$3000,C62,Однолинейка!$A$3:$A$3000,Щит_спец)),IF(A62="Модуль",IF(C62="","",COUNTIFS(Однолинейка!$AW$3:$AW$3000,"?*",Однолинейка!$AI$3:$AI$3000,C62,Однолинейка!$A$3:$A$3000,Щит_спец)),IF(A62="Клемма",IF(C62="","",IF(C62=$S$7,SUMIFS(Однолинейка!$BW$3:$BW$3000,Однолинейка!$A$3:$A$3000,Щит_спец),IF(C62=$S$8,SUMIFS(Однолинейка!$BX$3:$BX$3000,Однолинейка!$A$3:$A$3000,Щит_спец),""))),""))))</f>
        <v/>
      </c>
      <c r="O62" s="74"/>
      <c r="P62" s="38" t="str">
        <f t="shared" si="0"/>
        <v/>
      </c>
      <c r="U62" s="38" t="str">
        <f t="shared" si="1"/>
        <v/>
      </c>
      <c r="V62" s="38" t="str">
        <f t="shared" si="2"/>
        <v/>
      </c>
      <c r="W62" s="38" t="str">
        <f>IF(AND(U62&lt;&gt;"",OR($S$4="(все)",B62=$S$4),IF($S$4="(все)",COUNTIF($U$4:U62,U62),COUNTIFS($U$4:U62,U62,$B$4:B62,B62))=1),MAX($W$3:W61)+1,"")</f>
        <v/>
      </c>
      <c r="X62" s="38" t="str">
        <f t="shared" si="3"/>
        <v/>
      </c>
      <c r="Y62" s="38" t="str">
        <f>IF(AND(A62="Аппарат",C62&lt;&gt;"",OR($S$5="(все)",B62=$S$5)),MAX($Y$3:Y61)+1,"")</f>
        <v/>
      </c>
      <c r="Z62" s="38" t="str">
        <f t="shared" si="4"/>
        <v/>
      </c>
      <c r="AA62" s="38" t="str">
        <f>IF(AND(A62="Модуль",C62&lt;&gt;"",OR($S$6="(все)",B62=$S$6)),MAX($AA$3:AA61)+1,"")</f>
        <v/>
      </c>
      <c r="AB62" s="38" t="str">
        <f t="shared" si="5"/>
        <v/>
      </c>
      <c r="AC62" s="38" t="str">
        <f>IF(OR(B62="",COUNTIF($B$4:B62,B62)&gt;1),"",MAX($AC$3:AC61)+1)</f>
        <v/>
      </c>
      <c r="AD62" s="38" t="str">
        <f t="shared" si="6"/>
        <v/>
      </c>
      <c r="AE62" s="38" t="str">
        <f t="shared" si="7"/>
        <v/>
      </c>
      <c r="AF62" s="38" t="str">
        <f t="shared" si="8"/>
        <v/>
      </c>
    </row>
    <row r="63" spans="1:32" x14ac:dyDescent="0.3">
      <c r="A63" s="74" t="s">
        <v>444</v>
      </c>
      <c r="B63" s="74" t="s">
        <v>285</v>
      </c>
      <c r="C63" s="74" t="s">
        <v>400</v>
      </c>
      <c r="D63" s="74"/>
      <c r="E63" s="74"/>
      <c r="F63" s="74"/>
      <c r="G63" s="74" t="s">
        <v>399</v>
      </c>
      <c r="H63" s="74" t="s">
        <v>400</v>
      </c>
      <c r="I63" s="74"/>
      <c r="J63" s="74"/>
      <c r="K63" s="74"/>
      <c r="L63" s="74"/>
      <c r="M63" s="74" t="s">
        <v>288</v>
      </c>
      <c r="N63" s="38" t="str">
        <f>IF(OR(A63="Автомат",A63="Дифавтомат"),IF(W63="","",COUNTIFS(Однолинейка!$H$3:$H$3000,U63,Однолинейка!$A$3:$A$3000,Щит_спец)),IF(A63="Аппарат",IF(C63="","",COUNTIFS(Однолинейка!$I$3:$I$3000,C63,Однолинейка!$A$3:$A$3000,Щит_спец)+COUNTIFS(Однолинейка!$J$3:$J$3000,C63,Однолинейка!$A$3:$A$3000,Щит_спец)+COUNTIFS(Однолинейка!$K$3:$K$3000,C63,Однолинейка!$A$3:$A$3000,Щит_спец)),IF(A63="Модуль",IF(C63="","",COUNTIFS(Однолинейка!$AW$3:$AW$3000,"?*",Однолинейка!$AI$3:$AI$3000,C63,Однолинейка!$A$3:$A$3000,Щит_спец)),IF(A63="Клемма",IF(C63="","",IF(C63=$S$7,SUMIFS(Однолинейка!$BW$3:$BW$3000,Однолинейка!$A$3:$A$3000,Щит_спец),IF(C63=$S$8,SUMIFS(Однолинейка!$BX$3:$BX$3000,Однолинейка!$A$3:$A$3000,Щит_спец),""))),""))))</f>
        <v/>
      </c>
      <c r="O63" s="74"/>
      <c r="P63" s="38" t="str">
        <f t="shared" si="0"/>
        <v/>
      </c>
      <c r="U63" s="38" t="str">
        <f t="shared" si="1"/>
        <v/>
      </c>
      <c r="V63" s="38" t="str">
        <f t="shared" si="2"/>
        <v/>
      </c>
      <c r="W63" s="38" t="str">
        <f>IF(AND(U63&lt;&gt;"",OR($S$4="(все)",B63=$S$4),IF($S$4="(все)",COUNTIF($U$4:U63,U63),COUNTIFS($U$4:U63,U63,$B$4:B63,B63))=1),MAX($W$3:W62)+1,"")</f>
        <v/>
      </c>
      <c r="X63" s="38" t="str">
        <f t="shared" si="3"/>
        <v/>
      </c>
      <c r="Y63" s="38" t="str">
        <f>IF(AND(A63="Аппарат",C63&lt;&gt;"",OR($S$5="(все)",B63=$S$5)),MAX($Y$3:Y62)+1,"")</f>
        <v/>
      </c>
      <c r="Z63" s="38" t="str">
        <f t="shared" si="4"/>
        <v/>
      </c>
      <c r="AA63" s="38" t="str">
        <f>IF(AND(A63="Модуль",C63&lt;&gt;"",OR($S$6="(все)",B63=$S$6)),MAX($AA$3:AA62)+1,"")</f>
        <v/>
      </c>
      <c r="AB63" s="38" t="str">
        <f t="shared" si="5"/>
        <v/>
      </c>
      <c r="AC63" s="38" t="str">
        <f>IF(OR(B63="",COUNTIF($B$4:B63,B63)&gt;1),"",MAX($AC$3:AC62)+1)</f>
        <v/>
      </c>
      <c r="AD63" s="38" t="str">
        <f t="shared" si="6"/>
        <v/>
      </c>
      <c r="AE63" s="38" t="str">
        <f t="shared" si="7"/>
        <v/>
      </c>
      <c r="AF63" s="38" t="str">
        <f t="shared" si="8"/>
        <v/>
      </c>
    </row>
    <row r="64" spans="1:32" x14ac:dyDescent="0.3">
      <c r="A64" s="74" t="s">
        <v>444</v>
      </c>
      <c r="B64" s="74" t="s">
        <v>285</v>
      </c>
      <c r="C64" s="74" t="s">
        <v>402</v>
      </c>
      <c r="D64" s="74"/>
      <c r="E64" s="74"/>
      <c r="F64" s="74"/>
      <c r="G64" s="74" t="s">
        <v>401</v>
      </c>
      <c r="H64" s="74" t="s">
        <v>402</v>
      </c>
      <c r="I64" s="74"/>
      <c r="J64" s="74"/>
      <c r="K64" s="74"/>
      <c r="L64" s="74"/>
      <c r="M64" s="74" t="s">
        <v>288</v>
      </c>
      <c r="N64" s="38" t="str">
        <f>IF(OR(A64="Автомат",A64="Дифавтомат"),IF(W64="","",COUNTIFS(Однолинейка!$H$3:$H$3000,U64,Однолинейка!$A$3:$A$3000,Щит_спец)),IF(A64="Аппарат",IF(C64="","",COUNTIFS(Однолинейка!$I$3:$I$3000,C64,Однолинейка!$A$3:$A$3000,Щит_спец)+COUNTIFS(Однолинейка!$J$3:$J$3000,C64,Однолинейка!$A$3:$A$3000,Щит_спец)+COUNTIFS(Однолинейка!$K$3:$K$3000,C64,Однолинейка!$A$3:$A$3000,Щит_спец)),IF(A64="Модуль",IF(C64="","",COUNTIFS(Однолинейка!$AW$3:$AW$3000,"?*",Однолинейка!$AI$3:$AI$3000,C64,Однолинейка!$A$3:$A$3000,Щит_спец)),IF(A64="Клемма",IF(C64="","",IF(C64=$S$7,SUMIFS(Однолинейка!$BW$3:$BW$3000,Однолинейка!$A$3:$A$3000,Щит_спец),IF(C64=$S$8,SUMIFS(Однолинейка!$BX$3:$BX$3000,Однолинейка!$A$3:$A$3000,Щит_спец),""))),""))))</f>
        <v/>
      </c>
      <c r="O64" s="74"/>
      <c r="P64" s="38" t="str">
        <f t="shared" si="0"/>
        <v/>
      </c>
      <c r="U64" s="38" t="str">
        <f t="shared" si="1"/>
        <v/>
      </c>
      <c r="V64" s="38" t="str">
        <f t="shared" si="2"/>
        <v/>
      </c>
      <c r="W64" s="38" t="str">
        <f>IF(AND(U64&lt;&gt;"",OR($S$4="(все)",B64=$S$4),IF($S$4="(все)",COUNTIF($U$4:U64,U64),COUNTIFS($U$4:U64,U64,$B$4:B64,B64))=1),MAX($W$3:W63)+1,"")</f>
        <v/>
      </c>
      <c r="X64" s="38" t="str">
        <f t="shared" si="3"/>
        <v/>
      </c>
      <c r="Y64" s="38" t="str">
        <f>IF(AND(A64="Аппарат",C64&lt;&gt;"",OR($S$5="(все)",B64=$S$5)),MAX($Y$3:Y63)+1,"")</f>
        <v/>
      </c>
      <c r="Z64" s="38" t="str">
        <f t="shared" si="4"/>
        <v/>
      </c>
      <c r="AA64" s="38" t="str">
        <f>IF(AND(A64="Модуль",C64&lt;&gt;"",OR($S$6="(все)",B64=$S$6)),MAX($AA$3:AA63)+1,"")</f>
        <v/>
      </c>
      <c r="AB64" s="38" t="str">
        <f t="shared" si="5"/>
        <v/>
      </c>
      <c r="AC64" s="38" t="str">
        <f>IF(OR(B64="",COUNTIF($B$4:B64,B64)&gt;1),"",MAX($AC$3:AC63)+1)</f>
        <v/>
      </c>
      <c r="AD64" s="38" t="str">
        <f t="shared" si="6"/>
        <v/>
      </c>
      <c r="AE64" s="38" t="str">
        <f t="shared" si="7"/>
        <v/>
      </c>
      <c r="AF64" s="38" t="str">
        <f t="shared" si="8"/>
        <v/>
      </c>
    </row>
    <row r="65" spans="1:32" x14ac:dyDescent="0.3">
      <c r="A65" s="74" t="s">
        <v>444</v>
      </c>
      <c r="B65" s="74" t="s">
        <v>285</v>
      </c>
      <c r="C65" s="74" t="s">
        <v>404</v>
      </c>
      <c r="D65" s="74"/>
      <c r="E65" s="74"/>
      <c r="F65" s="74"/>
      <c r="G65" s="74" t="s">
        <v>403</v>
      </c>
      <c r="H65" s="74" t="s">
        <v>404</v>
      </c>
      <c r="I65" s="74"/>
      <c r="J65" s="74"/>
      <c r="K65" s="74"/>
      <c r="L65" s="74"/>
      <c r="M65" s="74" t="s">
        <v>288</v>
      </c>
      <c r="N65" s="38" t="str">
        <f>IF(OR(A65="Автомат",A65="Дифавтомат"),IF(W65="","",COUNTIFS(Однолинейка!$H$3:$H$3000,U65,Однолинейка!$A$3:$A$3000,Щит_спец)),IF(A65="Аппарат",IF(C65="","",COUNTIFS(Однолинейка!$I$3:$I$3000,C65,Однолинейка!$A$3:$A$3000,Щит_спец)+COUNTIFS(Однолинейка!$J$3:$J$3000,C65,Однолинейка!$A$3:$A$3000,Щит_спец)+COUNTIFS(Однолинейка!$K$3:$K$3000,C65,Однолинейка!$A$3:$A$3000,Щит_спец)),IF(A65="Модуль",IF(C65="","",COUNTIFS(Однолинейка!$AW$3:$AW$3000,"?*",Однолинейка!$AI$3:$AI$3000,C65,Однолинейка!$A$3:$A$3000,Щит_спец)),IF(A65="Клемма",IF(C65="","",IF(C65=$S$7,SUMIFS(Однолинейка!$BW$3:$BW$3000,Однолинейка!$A$3:$A$3000,Щит_спец),IF(C65=$S$8,SUMIFS(Однолинейка!$BX$3:$BX$3000,Однолинейка!$A$3:$A$3000,Щит_спец),""))),""))))</f>
        <v/>
      </c>
      <c r="O65" s="74"/>
      <c r="P65" s="38" t="str">
        <f t="shared" si="0"/>
        <v/>
      </c>
      <c r="U65" s="38" t="str">
        <f t="shared" si="1"/>
        <v/>
      </c>
      <c r="V65" s="38" t="str">
        <f t="shared" si="2"/>
        <v/>
      </c>
      <c r="W65" s="38" t="str">
        <f>IF(AND(U65&lt;&gt;"",OR($S$4="(все)",B65=$S$4),IF($S$4="(все)",COUNTIF($U$4:U65,U65),COUNTIFS($U$4:U65,U65,$B$4:B65,B65))=1),MAX($W$3:W64)+1,"")</f>
        <v/>
      </c>
      <c r="X65" s="38" t="str">
        <f t="shared" si="3"/>
        <v/>
      </c>
      <c r="Y65" s="38" t="str">
        <f>IF(AND(A65="Аппарат",C65&lt;&gt;"",OR($S$5="(все)",B65=$S$5)),MAX($Y$3:Y64)+1,"")</f>
        <v/>
      </c>
      <c r="Z65" s="38" t="str">
        <f t="shared" si="4"/>
        <v/>
      </c>
      <c r="AA65" s="38" t="str">
        <f>IF(AND(A65="Модуль",C65&lt;&gt;"",OR($S$6="(все)",B65=$S$6)),MAX($AA$3:AA64)+1,"")</f>
        <v/>
      </c>
      <c r="AB65" s="38" t="str">
        <f t="shared" si="5"/>
        <v/>
      </c>
      <c r="AC65" s="38" t="str">
        <f>IF(OR(B65="",COUNTIF($B$4:B65,B65)&gt;1),"",MAX($AC$3:AC64)+1)</f>
        <v/>
      </c>
      <c r="AD65" s="38" t="str">
        <f t="shared" si="6"/>
        <v/>
      </c>
      <c r="AE65" s="38" t="str">
        <f t="shared" si="7"/>
        <v/>
      </c>
      <c r="AF65" s="38" t="str">
        <f t="shared" si="8"/>
        <v/>
      </c>
    </row>
    <row r="66" spans="1:32" x14ac:dyDescent="0.3">
      <c r="A66" s="74" t="s">
        <v>444</v>
      </c>
      <c r="B66" s="74" t="s">
        <v>285</v>
      </c>
      <c r="C66" s="74" t="s">
        <v>327</v>
      </c>
      <c r="D66" s="74"/>
      <c r="E66" s="74"/>
      <c r="F66" s="74"/>
      <c r="G66" s="74" t="s">
        <v>326</v>
      </c>
      <c r="H66" s="74" t="s">
        <v>327</v>
      </c>
      <c r="I66" s="74"/>
      <c r="J66" s="74"/>
      <c r="K66" s="74"/>
      <c r="L66" s="74"/>
      <c r="M66" s="74" t="s">
        <v>288</v>
      </c>
      <c r="N66" s="38" t="str">
        <f>IF(OR(A66="Автомат",A66="Дифавтомат"),IF(W66="","",COUNTIFS(Однолинейка!$H$3:$H$3000,U66,Однолинейка!$A$3:$A$3000,Щит_спец)),IF(A66="Аппарат",IF(C66="","",COUNTIFS(Однолинейка!$I$3:$I$3000,C66,Однолинейка!$A$3:$A$3000,Щит_спец)+COUNTIFS(Однолинейка!$J$3:$J$3000,C66,Однолинейка!$A$3:$A$3000,Щит_спец)+COUNTIFS(Однолинейка!$K$3:$K$3000,C66,Однолинейка!$A$3:$A$3000,Щит_спец)),IF(A66="Модуль",IF(C66="","",COUNTIFS(Однолинейка!$AW$3:$AW$3000,"?*",Однолинейка!$AI$3:$AI$3000,C66,Однолинейка!$A$3:$A$3000,Щит_спец)),IF(A66="Клемма",IF(C66="","",IF(C66=$S$7,SUMIFS(Однолинейка!$BW$3:$BW$3000,Однолинейка!$A$3:$A$3000,Щит_спец),IF(C66=$S$8,SUMIFS(Однолинейка!$BX$3:$BX$3000,Однолинейка!$A$3:$A$3000,Щит_спец),""))),""))))</f>
        <v/>
      </c>
      <c r="O66" s="74"/>
      <c r="P66" s="38" t="str">
        <f t="shared" si="0"/>
        <v/>
      </c>
      <c r="U66" s="38" t="str">
        <f t="shared" si="1"/>
        <v/>
      </c>
      <c r="V66" s="38" t="str">
        <f t="shared" si="2"/>
        <v/>
      </c>
      <c r="W66" s="38" t="str">
        <f>IF(AND(U66&lt;&gt;"",OR($S$4="(все)",B66=$S$4),IF($S$4="(все)",COUNTIF($U$4:U66,U66),COUNTIFS($U$4:U66,U66,$B$4:B66,B66))=1),MAX($W$3:W65)+1,"")</f>
        <v/>
      </c>
      <c r="X66" s="38" t="str">
        <f t="shared" si="3"/>
        <v/>
      </c>
      <c r="Y66" s="38" t="str">
        <f>IF(AND(A66="Аппарат",C66&lt;&gt;"",OR($S$5="(все)",B66=$S$5)),MAX($Y$3:Y65)+1,"")</f>
        <v/>
      </c>
      <c r="Z66" s="38" t="str">
        <f t="shared" si="4"/>
        <v/>
      </c>
      <c r="AA66" s="38" t="str">
        <f>IF(AND(A66="Модуль",C66&lt;&gt;"",OR($S$6="(все)",B66=$S$6)),MAX($AA$3:AA65)+1,"")</f>
        <v/>
      </c>
      <c r="AB66" s="38" t="str">
        <f t="shared" si="5"/>
        <v/>
      </c>
      <c r="AC66" s="38" t="str">
        <f>IF(OR(B66="",COUNTIF($B$4:B66,B66)&gt;1),"",MAX($AC$3:AC65)+1)</f>
        <v/>
      </c>
      <c r="AD66" s="38" t="str">
        <f t="shared" si="6"/>
        <v/>
      </c>
      <c r="AE66" s="38" t="str">
        <f t="shared" si="7"/>
        <v/>
      </c>
      <c r="AF66" s="38" t="str">
        <f t="shared" si="8"/>
        <v/>
      </c>
    </row>
    <row r="67" spans="1:32" x14ac:dyDescent="0.3">
      <c r="A67" s="74" t="s">
        <v>444</v>
      </c>
      <c r="B67" s="74" t="s">
        <v>285</v>
      </c>
      <c r="C67" s="74" t="s">
        <v>329</v>
      </c>
      <c r="D67" s="74"/>
      <c r="E67" s="74"/>
      <c r="F67" s="74"/>
      <c r="G67" s="74" t="s">
        <v>328</v>
      </c>
      <c r="H67" s="74" t="s">
        <v>329</v>
      </c>
      <c r="I67" s="74"/>
      <c r="J67" s="74"/>
      <c r="K67" s="74"/>
      <c r="L67" s="74"/>
      <c r="M67" s="74" t="s">
        <v>288</v>
      </c>
      <c r="N67" s="38" t="str">
        <f>IF(OR(A67="Автомат",A67="Дифавтомат"),IF(W67="","",COUNTIFS(Однолинейка!$H$3:$H$3000,U67,Однолинейка!$A$3:$A$3000,Щит_спец)),IF(A67="Аппарат",IF(C67="","",COUNTIFS(Однолинейка!$I$3:$I$3000,C67,Однолинейка!$A$3:$A$3000,Щит_спец)+COUNTIFS(Однолинейка!$J$3:$J$3000,C67,Однолинейка!$A$3:$A$3000,Щит_спец)+COUNTIFS(Однолинейка!$K$3:$K$3000,C67,Однолинейка!$A$3:$A$3000,Щит_спец)),IF(A67="Модуль",IF(C67="","",COUNTIFS(Однолинейка!$AW$3:$AW$3000,"?*",Однолинейка!$AI$3:$AI$3000,C67,Однолинейка!$A$3:$A$3000,Щит_спец)),IF(A67="Клемма",IF(C67="","",IF(C67=$S$7,SUMIFS(Однолинейка!$BW$3:$BW$3000,Однолинейка!$A$3:$A$3000,Щит_спец),IF(C67=$S$8,SUMIFS(Однолинейка!$BX$3:$BX$3000,Однолинейка!$A$3:$A$3000,Щит_спец),""))),""))))</f>
        <v/>
      </c>
      <c r="O67" s="74"/>
      <c r="P67" s="38" t="str">
        <f t="shared" si="0"/>
        <v/>
      </c>
      <c r="U67" s="38" t="str">
        <f t="shared" si="1"/>
        <v/>
      </c>
      <c r="V67" s="38" t="str">
        <f t="shared" si="2"/>
        <v/>
      </c>
      <c r="W67" s="38" t="str">
        <f>IF(AND(U67&lt;&gt;"",OR($S$4="(все)",B67=$S$4),IF($S$4="(все)",COUNTIF($U$4:U67,U67),COUNTIFS($U$4:U67,U67,$B$4:B67,B67))=1),MAX($W$3:W66)+1,"")</f>
        <v/>
      </c>
      <c r="X67" s="38" t="str">
        <f t="shared" si="3"/>
        <v/>
      </c>
      <c r="Y67" s="38" t="str">
        <f>IF(AND(A67="Аппарат",C67&lt;&gt;"",OR($S$5="(все)",B67=$S$5)),MAX($Y$3:Y66)+1,"")</f>
        <v/>
      </c>
      <c r="Z67" s="38" t="str">
        <f t="shared" si="4"/>
        <v/>
      </c>
      <c r="AA67" s="38" t="str">
        <f>IF(AND(A67="Модуль",C67&lt;&gt;"",OR($S$6="(все)",B67=$S$6)),MAX($AA$3:AA66)+1,"")</f>
        <v/>
      </c>
      <c r="AB67" s="38" t="str">
        <f t="shared" si="5"/>
        <v/>
      </c>
      <c r="AC67" s="38" t="str">
        <f>IF(OR(B67="",COUNTIF($B$4:B67,B67)&gt;1),"",MAX($AC$3:AC66)+1)</f>
        <v/>
      </c>
      <c r="AD67" s="38" t="str">
        <f t="shared" si="6"/>
        <v/>
      </c>
      <c r="AE67" s="38" t="str">
        <f t="shared" si="7"/>
        <v/>
      </c>
      <c r="AF67" s="38" t="str">
        <f t="shared" si="8"/>
        <v/>
      </c>
    </row>
    <row r="68" spans="1:32" x14ac:dyDescent="0.3">
      <c r="A68" s="74" t="s">
        <v>702</v>
      </c>
      <c r="B68" s="74" t="s">
        <v>332</v>
      </c>
      <c r="C68" s="74" t="s">
        <v>331</v>
      </c>
      <c r="D68" s="74"/>
      <c r="E68" s="74"/>
      <c r="F68" s="74"/>
      <c r="G68" s="74" t="s">
        <v>330</v>
      </c>
      <c r="H68" s="74" t="s">
        <v>331</v>
      </c>
      <c r="I68" s="74"/>
      <c r="J68" s="74"/>
      <c r="K68" s="74"/>
      <c r="L68" s="74"/>
      <c r="M68" s="74" t="s">
        <v>333</v>
      </c>
      <c r="N68" s="38" t="str">
        <f>IF(OR(A68="Автомат",A68="Дифавтомат"),IF(W68="","",COUNTIFS(Однолинейка!$H$3:$H$3000,U68,Однолинейка!$A$3:$A$3000,Щит_спец)),IF(A68="Аппарат",IF(C68="","",COUNTIFS(Однолинейка!$I$3:$I$3000,C68,Однолинейка!$A$3:$A$3000,Щит_спец)+COUNTIFS(Однолинейка!$J$3:$J$3000,C68,Однолинейка!$A$3:$A$3000,Щит_спец)+COUNTIFS(Однолинейка!$K$3:$K$3000,C68,Однолинейка!$A$3:$A$3000,Щит_спец)),IF(A68="Модуль",IF(C68="","",COUNTIFS(Однолинейка!$AW$3:$AW$3000,"?*",Однолинейка!$AI$3:$AI$3000,C68,Однолинейка!$A$3:$A$3000,Щит_спец)),IF(A68="Клемма",IF(C68="","",IF(C68=$S$7,SUMIFS(Однолинейка!$BW$3:$BW$3000,Однолинейка!$A$3:$A$3000,Щит_спец),IF(C68=$S$8,SUMIFS(Однолинейка!$BX$3:$BX$3000,Однолинейка!$A$3:$A$3000,Щит_спец),""))),""))))</f>
        <v/>
      </c>
      <c r="O68" s="74"/>
      <c r="P68" s="38" t="str">
        <f t="shared" ref="P68:P131" si="9">IF(COUNT(N68,O68)=0,"",SUM(N68,O68))</f>
        <v/>
      </c>
      <c r="U68" s="38" t="str">
        <f t="shared" ref="U68:U131" si="10">IF(OR(A68="Автомат",A68="Дифавтомат"),I68&amp;" С"&amp;J68&amp;"А"&amp;IF(K68="да"," 30мА",IF(ISNUMBER(K68)," "&amp;K68&amp;"мА","")),"")</f>
        <v/>
      </c>
      <c r="V68" s="38" t="str">
        <f t="shared" ref="V68:V131" si="11">IF(U68="","",B68&amp;"|"&amp;U68)</f>
        <v/>
      </c>
      <c r="W68" s="38" t="str">
        <f>IF(AND(U68&lt;&gt;"",OR($S$4="(все)",B68=$S$4),IF($S$4="(все)",COUNTIF($U$4:U68,U68),COUNTIFS($U$4:U68,U68,$B$4:B68,B68))=1),MAX($W$3:W67)+1,"")</f>
        <v/>
      </c>
      <c r="X68" s="38" t="str">
        <f t="shared" ref="X68:X131" si="12">IFERROR(INDEX($U$4:$U$500,MATCH(ROW()-3,$W$4:$W$500,0)),"")</f>
        <v/>
      </c>
      <c r="Y68" s="38" t="str">
        <f>IF(AND(A68="Аппарат",C68&lt;&gt;"",OR($S$5="(все)",B68=$S$5)),MAX($Y$3:Y67)+1,"")</f>
        <v/>
      </c>
      <c r="Z68" s="38" t="str">
        <f t="shared" ref="Z68:Z131" si="13">IFERROR(INDEX($C$4:$C$500,MATCH(ROW()-3,$Y$4:$Y$500,0)),"")</f>
        <v/>
      </c>
      <c r="AA68" s="38" t="str">
        <f>IF(AND(A68="Модуль",C68&lt;&gt;"",OR($S$6="(все)",B68=$S$6)),MAX($AA$3:AA67)+1,"")</f>
        <v/>
      </c>
      <c r="AB68" s="38" t="str">
        <f t="shared" ref="AB68:AB131" si="14">IFERROR(INDEX($C$4:$C$500,MATCH(ROW()-3,$AA$4:$AA$500,0)),"")</f>
        <v/>
      </c>
      <c r="AC68" s="38">
        <f>IF(OR(B68="",COUNTIF($B$4:B68,B68)&gt;1),"",MAX($AC$3:AC67)+1)</f>
        <v>8</v>
      </c>
      <c r="AD68" s="38" t="str">
        <f t="shared" ref="AD68:AD131" si="15">IFERROR(INDEX($B$4:$B$500,MATCH(ROW()-3,$AC$4:$AC$500,0)),"")</f>
        <v/>
      </c>
      <c r="AE68" s="38" t="str">
        <f t="shared" ref="AE68:AE131" si="16">IF(AND(A68&lt;&gt;"",N(P68)&gt;0),IFERROR(MATCH(A68,$R$12:$R$25,0),99)*1000+ROW(),"")</f>
        <v/>
      </c>
      <c r="AF68" s="38" t="str">
        <f t="shared" ref="AF68:AF131" si="17">IF(AE68="","",COUNTIF($AE$4:$AE$500,"&lt;="&amp;AE68))</f>
        <v/>
      </c>
    </row>
    <row r="69" spans="1:32" x14ac:dyDescent="0.3">
      <c r="A69" s="74" t="s">
        <v>702</v>
      </c>
      <c r="B69" s="74" t="s">
        <v>332</v>
      </c>
      <c r="C69" s="74" t="s">
        <v>331</v>
      </c>
      <c r="D69" s="74"/>
      <c r="E69" s="74"/>
      <c r="F69" s="74"/>
      <c r="G69" s="74" t="s">
        <v>334</v>
      </c>
      <c r="H69" s="74" t="s">
        <v>331</v>
      </c>
      <c r="I69" s="74"/>
      <c r="J69" s="74"/>
      <c r="K69" s="74"/>
      <c r="L69" s="74"/>
      <c r="M69" s="74" t="s">
        <v>333</v>
      </c>
      <c r="N69" s="38" t="str">
        <f>IF(OR(A69="Автомат",A69="Дифавтомат"),IF(W69="","",COUNTIFS(Однолинейка!$H$3:$H$3000,U69,Однолинейка!$A$3:$A$3000,Щит_спец)),IF(A69="Аппарат",IF(C69="","",COUNTIFS(Однолинейка!$I$3:$I$3000,C69,Однолинейка!$A$3:$A$3000,Щит_спец)+COUNTIFS(Однолинейка!$J$3:$J$3000,C69,Однолинейка!$A$3:$A$3000,Щит_спец)+COUNTIFS(Однолинейка!$K$3:$K$3000,C69,Однолинейка!$A$3:$A$3000,Щит_спец)),IF(A69="Модуль",IF(C69="","",COUNTIFS(Однолинейка!$AW$3:$AW$3000,"?*",Однолинейка!$AI$3:$AI$3000,C69,Однолинейка!$A$3:$A$3000,Щит_спец)),IF(A69="Клемма",IF(C69="","",IF(C69=$S$7,SUMIFS(Однолинейка!$BW$3:$BW$3000,Однолинейка!$A$3:$A$3000,Щит_спец),IF(C69=$S$8,SUMIFS(Однолинейка!$BX$3:$BX$3000,Однолинейка!$A$3:$A$3000,Щит_спец),""))),""))))</f>
        <v/>
      </c>
      <c r="O69" s="74"/>
      <c r="P69" s="38" t="str">
        <f t="shared" si="9"/>
        <v/>
      </c>
      <c r="U69" s="38" t="str">
        <f t="shared" si="10"/>
        <v/>
      </c>
      <c r="V69" s="38" t="str">
        <f t="shared" si="11"/>
        <v/>
      </c>
      <c r="W69" s="38" t="str">
        <f>IF(AND(U69&lt;&gt;"",OR($S$4="(все)",B69=$S$4),IF($S$4="(все)",COUNTIF($U$4:U69,U69),COUNTIFS($U$4:U69,U69,$B$4:B69,B69))=1),MAX($W$3:W68)+1,"")</f>
        <v/>
      </c>
      <c r="X69" s="38" t="str">
        <f t="shared" si="12"/>
        <v/>
      </c>
      <c r="Y69" s="38" t="str">
        <f>IF(AND(A69="Аппарат",C69&lt;&gt;"",OR($S$5="(все)",B69=$S$5)),MAX($Y$3:Y68)+1,"")</f>
        <v/>
      </c>
      <c r="Z69" s="38" t="str">
        <f t="shared" si="13"/>
        <v/>
      </c>
      <c r="AA69" s="38" t="str">
        <f>IF(AND(A69="Модуль",C69&lt;&gt;"",OR($S$6="(все)",B69=$S$6)),MAX($AA$3:AA68)+1,"")</f>
        <v/>
      </c>
      <c r="AB69" s="38" t="str">
        <f t="shared" si="14"/>
        <v/>
      </c>
      <c r="AC69" s="38" t="str">
        <f>IF(OR(B69="",COUNTIF($B$4:B69,B69)&gt;1),"",MAX($AC$3:AC68)+1)</f>
        <v/>
      </c>
      <c r="AD69" s="38" t="str">
        <f t="shared" si="15"/>
        <v/>
      </c>
      <c r="AE69" s="38" t="str">
        <f t="shared" si="16"/>
        <v/>
      </c>
      <c r="AF69" s="38" t="str">
        <f t="shared" si="17"/>
        <v/>
      </c>
    </row>
    <row r="70" spans="1:32" x14ac:dyDescent="0.3">
      <c r="A70" s="74" t="s">
        <v>702</v>
      </c>
      <c r="B70" s="74" t="s">
        <v>332</v>
      </c>
      <c r="C70" s="74" t="s">
        <v>331</v>
      </c>
      <c r="D70" s="74"/>
      <c r="E70" s="74"/>
      <c r="F70" s="74"/>
      <c r="G70" s="74" t="s">
        <v>335</v>
      </c>
      <c r="H70" s="74" t="s">
        <v>331</v>
      </c>
      <c r="I70" s="74"/>
      <c r="J70" s="74"/>
      <c r="K70" s="74"/>
      <c r="L70" s="74"/>
      <c r="M70" s="74" t="s">
        <v>333</v>
      </c>
      <c r="N70" s="38" t="str">
        <f>IF(OR(A70="Автомат",A70="Дифавтомат"),IF(W70="","",COUNTIFS(Однолинейка!$H$3:$H$3000,U70,Однолинейка!$A$3:$A$3000,Щит_спец)),IF(A70="Аппарат",IF(C70="","",COUNTIFS(Однолинейка!$I$3:$I$3000,C70,Однолинейка!$A$3:$A$3000,Щит_спец)+COUNTIFS(Однолинейка!$J$3:$J$3000,C70,Однолинейка!$A$3:$A$3000,Щит_спец)+COUNTIFS(Однолинейка!$K$3:$K$3000,C70,Однолинейка!$A$3:$A$3000,Щит_спец)),IF(A70="Модуль",IF(C70="","",COUNTIFS(Однолинейка!$AW$3:$AW$3000,"?*",Однолинейка!$AI$3:$AI$3000,C70,Однолинейка!$A$3:$A$3000,Щит_спец)),IF(A70="Клемма",IF(C70="","",IF(C70=$S$7,SUMIFS(Однолинейка!$BW$3:$BW$3000,Однолинейка!$A$3:$A$3000,Щит_спец),IF(C70=$S$8,SUMIFS(Однолинейка!$BX$3:$BX$3000,Однолинейка!$A$3:$A$3000,Щит_спец),""))),""))))</f>
        <v/>
      </c>
      <c r="O70" s="74"/>
      <c r="P70" s="38" t="str">
        <f t="shared" si="9"/>
        <v/>
      </c>
      <c r="U70" s="38" t="str">
        <f t="shared" si="10"/>
        <v/>
      </c>
      <c r="V70" s="38" t="str">
        <f t="shared" si="11"/>
        <v/>
      </c>
      <c r="W70" s="38" t="str">
        <f>IF(AND(U70&lt;&gt;"",OR($S$4="(все)",B70=$S$4),IF($S$4="(все)",COUNTIF($U$4:U70,U70),COUNTIFS($U$4:U70,U70,$B$4:B70,B70))=1),MAX($W$3:W69)+1,"")</f>
        <v/>
      </c>
      <c r="X70" s="38" t="str">
        <f t="shared" si="12"/>
        <v/>
      </c>
      <c r="Y70" s="38" t="str">
        <f>IF(AND(A70="Аппарат",C70&lt;&gt;"",OR($S$5="(все)",B70=$S$5)),MAX($Y$3:Y69)+1,"")</f>
        <v/>
      </c>
      <c r="Z70" s="38" t="str">
        <f t="shared" si="13"/>
        <v/>
      </c>
      <c r="AA70" s="38" t="str">
        <f>IF(AND(A70="Модуль",C70&lt;&gt;"",OR($S$6="(все)",B70=$S$6)),MAX($AA$3:AA69)+1,"")</f>
        <v/>
      </c>
      <c r="AB70" s="38" t="str">
        <f t="shared" si="14"/>
        <v/>
      </c>
      <c r="AC70" s="38" t="str">
        <f>IF(OR(B70="",COUNTIF($B$4:B70,B70)&gt;1),"",MAX($AC$3:AC69)+1)</f>
        <v/>
      </c>
      <c r="AD70" s="38" t="str">
        <f t="shared" si="15"/>
        <v/>
      </c>
      <c r="AE70" s="38" t="str">
        <f t="shared" si="16"/>
        <v/>
      </c>
      <c r="AF70" s="38" t="str">
        <f t="shared" si="17"/>
        <v/>
      </c>
    </row>
    <row r="71" spans="1:32" x14ac:dyDescent="0.3">
      <c r="A71" s="74" t="s">
        <v>702</v>
      </c>
      <c r="B71" s="74" t="s">
        <v>332</v>
      </c>
      <c r="C71" s="74" t="s">
        <v>331</v>
      </c>
      <c r="D71" s="74"/>
      <c r="E71" s="74"/>
      <c r="F71" s="74"/>
      <c r="G71" s="74" t="s">
        <v>336</v>
      </c>
      <c r="H71" s="74" t="s">
        <v>331</v>
      </c>
      <c r="I71" s="74"/>
      <c r="J71" s="74"/>
      <c r="K71" s="74"/>
      <c r="L71" s="74"/>
      <c r="M71" s="74" t="s">
        <v>333</v>
      </c>
      <c r="N71" s="38" t="str">
        <f>IF(OR(A71="Автомат",A71="Дифавтомат"),IF(W71="","",COUNTIFS(Однолинейка!$H$3:$H$3000,U71,Однолинейка!$A$3:$A$3000,Щит_спец)),IF(A71="Аппарат",IF(C71="","",COUNTIFS(Однолинейка!$I$3:$I$3000,C71,Однолинейка!$A$3:$A$3000,Щит_спец)+COUNTIFS(Однолинейка!$J$3:$J$3000,C71,Однолинейка!$A$3:$A$3000,Щит_спец)+COUNTIFS(Однолинейка!$K$3:$K$3000,C71,Однолинейка!$A$3:$A$3000,Щит_спец)),IF(A71="Модуль",IF(C71="","",COUNTIFS(Однолинейка!$AW$3:$AW$3000,"?*",Однолинейка!$AI$3:$AI$3000,C71,Однолинейка!$A$3:$A$3000,Щит_спец)),IF(A71="Клемма",IF(C71="","",IF(C71=$S$7,SUMIFS(Однолинейка!$BW$3:$BW$3000,Однолинейка!$A$3:$A$3000,Щит_спец),IF(C71=$S$8,SUMIFS(Однолинейка!$BX$3:$BX$3000,Однолинейка!$A$3:$A$3000,Щит_спец),""))),""))))</f>
        <v/>
      </c>
      <c r="O71" s="74"/>
      <c r="P71" s="38" t="str">
        <f t="shared" si="9"/>
        <v/>
      </c>
      <c r="U71" s="38" t="str">
        <f t="shared" si="10"/>
        <v/>
      </c>
      <c r="V71" s="38" t="str">
        <f t="shared" si="11"/>
        <v/>
      </c>
      <c r="W71" s="38" t="str">
        <f>IF(AND(U71&lt;&gt;"",OR($S$4="(все)",B71=$S$4),IF($S$4="(все)",COUNTIF($U$4:U71,U71),COUNTIFS($U$4:U71,U71,$B$4:B71,B71))=1),MAX($W$3:W70)+1,"")</f>
        <v/>
      </c>
      <c r="X71" s="38" t="str">
        <f t="shared" si="12"/>
        <v/>
      </c>
      <c r="Y71" s="38" t="str">
        <f>IF(AND(A71="Аппарат",C71&lt;&gt;"",OR($S$5="(все)",B71=$S$5)),MAX($Y$3:Y70)+1,"")</f>
        <v/>
      </c>
      <c r="Z71" s="38" t="str">
        <f t="shared" si="13"/>
        <v/>
      </c>
      <c r="AA71" s="38" t="str">
        <f>IF(AND(A71="Модуль",C71&lt;&gt;"",OR($S$6="(все)",B71=$S$6)),MAX($AA$3:AA70)+1,"")</f>
        <v/>
      </c>
      <c r="AB71" s="38" t="str">
        <f t="shared" si="14"/>
        <v/>
      </c>
      <c r="AC71" s="38" t="str">
        <f>IF(OR(B71="",COUNTIF($B$4:B71,B71)&gt;1),"",MAX($AC$3:AC70)+1)</f>
        <v/>
      </c>
      <c r="AD71" s="38" t="str">
        <f t="shared" si="15"/>
        <v/>
      </c>
      <c r="AE71" s="38" t="str">
        <f t="shared" si="16"/>
        <v/>
      </c>
      <c r="AF71" s="38" t="str">
        <f t="shared" si="17"/>
        <v/>
      </c>
    </row>
    <row r="72" spans="1:32" x14ac:dyDescent="0.3">
      <c r="A72" s="74" t="s">
        <v>702</v>
      </c>
      <c r="B72" s="74" t="s">
        <v>332</v>
      </c>
      <c r="C72" s="74" t="s">
        <v>331</v>
      </c>
      <c r="D72" s="74"/>
      <c r="E72" s="74"/>
      <c r="F72" s="74"/>
      <c r="G72" s="74" t="s">
        <v>379</v>
      </c>
      <c r="H72" s="74" t="s">
        <v>331</v>
      </c>
      <c r="I72" s="74"/>
      <c r="J72" s="74"/>
      <c r="K72" s="74"/>
      <c r="L72" s="74"/>
      <c r="M72" s="74" t="s">
        <v>333</v>
      </c>
      <c r="N72" s="38" t="str">
        <f>IF(OR(A72="Автомат",A72="Дифавтомат"),IF(W72="","",COUNTIFS(Однолинейка!$H$3:$H$3000,U72,Однолинейка!$A$3:$A$3000,Щит_спец)),IF(A72="Аппарат",IF(C72="","",COUNTIFS(Однолинейка!$I$3:$I$3000,C72,Однолинейка!$A$3:$A$3000,Щит_спец)+COUNTIFS(Однолинейка!$J$3:$J$3000,C72,Однолинейка!$A$3:$A$3000,Щит_спец)+COUNTIFS(Однолинейка!$K$3:$K$3000,C72,Однолинейка!$A$3:$A$3000,Щит_спец)),IF(A72="Модуль",IF(C72="","",COUNTIFS(Однолинейка!$AW$3:$AW$3000,"?*",Однолинейка!$AI$3:$AI$3000,C72,Однолинейка!$A$3:$A$3000,Щит_спец)),IF(A72="Клемма",IF(C72="","",IF(C72=$S$7,SUMIFS(Однолинейка!$BW$3:$BW$3000,Однолинейка!$A$3:$A$3000,Щит_спец),IF(C72=$S$8,SUMIFS(Однолинейка!$BX$3:$BX$3000,Однолинейка!$A$3:$A$3000,Щит_спец),""))),""))))</f>
        <v/>
      </c>
      <c r="O72" s="74"/>
      <c r="P72" s="38" t="str">
        <f t="shared" si="9"/>
        <v/>
      </c>
      <c r="U72" s="38" t="str">
        <f t="shared" si="10"/>
        <v/>
      </c>
      <c r="V72" s="38" t="str">
        <f t="shared" si="11"/>
        <v/>
      </c>
      <c r="W72" s="38" t="str">
        <f>IF(AND(U72&lt;&gt;"",OR($S$4="(все)",B72=$S$4),IF($S$4="(все)",COUNTIF($U$4:U72,U72),COUNTIFS($U$4:U72,U72,$B$4:B72,B72))=1),MAX($W$3:W71)+1,"")</f>
        <v/>
      </c>
      <c r="X72" s="38" t="str">
        <f t="shared" si="12"/>
        <v/>
      </c>
      <c r="Y72" s="38" t="str">
        <f>IF(AND(A72="Аппарат",C72&lt;&gt;"",OR($S$5="(все)",B72=$S$5)),MAX($Y$3:Y71)+1,"")</f>
        <v/>
      </c>
      <c r="Z72" s="38" t="str">
        <f t="shared" si="13"/>
        <v/>
      </c>
      <c r="AA72" s="38" t="str">
        <f>IF(AND(A72="Модуль",C72&lt;&gt;"",OR($S$6="(все)",B72=$S$6)),MAX($AA$3:AA71)+1,"")</f>
        <v/>
      </c>
      <c r="AB72" s="38" t="str">
        <f t="shared" si="14"/>
        <v/>
      </c>
      <c r="AC72" s="38" t="str">
        <f>IF(OR(B72="",COUNTIF($B$4:B72,B72)&gt;1),"",MAX($AC$3:AC71)+1)</f>
        <v/>
      </c>
      <c r="AD72" s="38" t="str">
        <f t="shared" si="15"/>
        <v/>
      </c>
      <c r="AE72" s="38" t="str">
        <f t="shared" si="16"/>
        <v/>
      </c>
      <c r="AF72" s="38" t="str">
        <f t="shared" si="17"/>
        <v/>
      </c>
    </row>
    <row r="73" spans="1:32" x14ac:dyDescent="0.3">
      <c r="A73" s="74" t="s">
        <v>702</v>
      </c>
      <c r="B73" s="74" t="s">
        <v>332</v>
      </c>
      <c r="C73" s="74" t="s">
        <v>338</v>
      </c>
      <c r="D73" s="74"/>
      <c r="E73" s="74"/>
      <c r="F73" s="74"/>
      <c r="G73" s="74" t="s">
        <v>337</v>
      </c>
      <c r="H73" s="74" t="s">
        <v>338</v>
      </c>
      <c r="I73" s="74"/>
      <c r="J73" s="74"/>
      <c r="K73" s="74"/>
      <c r="L73" s="74"/>
      <c r="M73" s="74" t="s">
        <v>333</v>
      </c>
      <c r="N73" s="38" t="str">
        <f>IF(OR(A73="Автомат",A73="Дифавтомат"),IF(W73="","",COUNTIFS(Однолинейка!$H$3:$H$3000,U73,Однолинейка!$A$3:$A$3000,Щит_спец)),IF(A73="Аппарат",IF(C73="","",COUNTIFS(Однолинейка!$I$3:$I$3000,C73,Однолинейка!$A$3:$A$3000,Щит_спец)+COUNTIFS(Однолинейка!$J$3:$J$3000,C73,Однолинейка!$A$3:$A$3000,Щит_спец)+COUNTIFS(Однолинейка!$K$3:$K$3000,C73,Однолинейка!$A$3:$A$3000,Щит_спец)),IF(A73="Модуль",IF(C73="","",COUNTIFS(Однолинейка!$AW$3:$AW$3000,"?*",Однолинейка!$AI$3:$AI$3000,C73,Однолинейка!$A$3:$A$3000,Щит_спец)),IF(A73="Клемма",IF(C73="","",IF(C73=$S$7,SUMIFS(Однолинейка!$BW$3:$BW$3000,Однолинейка!$A$3:$A$3000,Щит_спец),IF(C73=$S$8,SUMIFS(Однолинейка!$BX$3:$BX$3000,Однолинейка!$A$3:$A$3000,Щит_спец),""))),""))))</f>
        <v/>
      </c>
      <c r="O73" s="74"/>
      <c r="P73" s="38" t="str">
        <f t="shared" si="9"/>
        <v/>
      </c>
      <c r="U73" s="38" t="str">
        <f t="shared" si="10"/>
        <v/>
      </c>
      <c r="V73" s="38" t="str">
        <f t="shared" si="11"/>
        <v/>
      </c>
      <c r="W73" s="38" t="str">
        <f>IF(AND(U73&lt;&gt;"",OR($S$4="(все)",B73=$S$4),IF($S$4="(все)",COUNTIF($U$4:U73,U73),COUNTIFS($U$4:U73,U73,$B$4:B73,B73))=1),MAX($W$3:W72)+1,"")</f>
        <v/>
      </c>
      <c r="X73" s="38" t="str">
        <f t="shared" si="12"/>
        <v/>
      </c>
      <c r="Y73" s="38" t="str">
        <f>IF(AND(A73="Аппарат",C73&lt;&gt;"",OR($S$5="(все)",B73=$S$5)),MAX($Y$3:Y72)+1,"")</f>
        <v/>
      </c>
      <c r="Z73" s="38" t="str">
        <f t="shared" si="13"/>
        <v/>
      </c>
      <c r="AA73" s="38" t="str">
        <f>IF(AND(A73="Модуль",C73&lt;&gt;"",OR($S$6="(все)",B73=$S$6)),MAX($AA$3:AA72)+1,"")</f>
        <v/>
      </c>
      <c r="AB73" s="38" t="str">
        <f t="shared" si="14"/>
        <v/>
      </c>
      <c r="AC73" s="38" t="str">
        <f>IF(OR(B73="",COUNTIF($B$4:B73,B73)&gt;1),"",MAX($AC$3:AC72)+1)</f>
        <v/>
      </c>
      <c r="AD73" s="38" t="str">
        <f t="shared" si="15"/>
        <v/>
      </c>
      <c r="AE73" s="38" t="str">
        <f t="shared" si="16"/>
        <v/>
      </c>
      <c r="AF73" s="38" t="str">
        <f t="shared" si="17"/>
        <v/>
      </c>
    </row>
    <row r="74" spans="1:32" x14ac:dyDescent="0.3">
      <c r="A74" s="74" t="s">
        <v>702</v>
      </c>
      <c r="B74" s="74" t="s">
        <v>332</v>
      </c>
      <c r="C74" s="74" t="s">
        <v>338</v>
      </c>
      <c r="D74" s="74"/>
      <c r="E74" s="74"/>
      <c r="F74" s="74"/>
      <c r="G74" s="74" t="s">
        <v>339</v>
      </c>
      <c r="H74" s="74" t="s">
        <v>338</v>
      </c>
      <c r="I74" s="74"/>
      <c r="J74" s="74"/>
      <c r="K74" s="74"/>
      <c r="L74" s="74"/>
      <c r="M74" s="74" t="s">
        <v>333</v>
      </c>
      <c r="N74" s="38" t="str">
        <f>IF(OR(A74="Автомат",A74="Дифавтомат"),IF(W74="","",COUNTIFS(Однолинейка!$H$3:$H$3000,U74,Однолинейка!$A$3:$A$3000,Щит_спец)),IF(A74="Аппарат",IF(C74="","",COUNTIFS(Однолинейка!$I$3:$I$3000,C74,Однолинейка!$A$3:$A$3000,Щит_спец)+COUNTIFS(Однолинейка!$J$3:$J$3000,C74,Однолинейка!$A$3:$A$3000,Щит_спец)+COUNTIFS(Однолинейка!$K$3:$K$3000,C74,Однолинейка!$A$3:$A$3000,Щит_спец)),IF(A74="Модуль",IF(C74="","",COUNTIFS(Однолинейка!$AW$3:$AW$3000,"?*",Однолинейка!$AI$3:$AI$3000,C74,Однолинейка!$A$3:$A$3000,Щит_спец)),IF(A74="Клемма",IF(C74="","",IF(C74=$S$7,SUMIFS(Однолинейка!$BW$3:$BW$3000,Однолинейка!$A$3:$A$3000,Щит_спец),IF(C74=$S$8,SUMIFS(Однолинейка!$BX$3:$BX$3000,Однолинейка!$A$3:$A$3000,Щит_спец),""))),""))))</f>
        <v/>
      </c>
      <c r="O74" s="74"/>
      <c r="P74" s="38" t="str">
        <f t="shared" si="9"/>
        <v/>
      </c>
      <c r="U74" s="38" t="str">
        <f t="shared" si="10"/>
        <v/>
      </c>
      <c r="V74" s="38" t="str">
        <f t="shared" si="11"/>
        <v/>
      </c>
      <c r="W74" s="38" t="str">
        <f>IF(AND(U74&lt;&gt;"",OR($S$4="(все)",B74=$S$4),IF($S$4="(все)",COUNTIF($U$4:U74,U74),COUNTIFS($U$4:U74,U74,$B$4:B74,B74))=1),MAX($W$3:W73)+1,"")</f>
        <v/>
      </c>
      <c r="X74" s="38" t="str">
        <f t="shared" si="12"/>
        <v/>
      </c>
      <c r="Y74" s="38" t="str">
        <f>IF(AND(A74="Аппарат",C74&lt;&gt;"",OR($S$5="(все)",B74=$S$5)),MAX($Y$3:Y73)+1,"")</f>
        <v/>
      </c>
      <c r="Z74" s="38" t="str">
        <f t="shared" si="13"/>
        <v/>
      </c>
      <c r="AA74" s="38" t="str">
        <f>IF(AND(A74="Модуль",C74&lt;&gt;"",OR($S$6="(все)",B74=$S$6)),MAX($AA$3:AA73)+1,"")</f>
        <v/>
      </c>
      <c r="AB74" s="38" t="str">
        <f t="shared" si="14"/>
        <v/>
      </c>
      <c r="AC74" s="38" t="str">
        <f>IF(OR(B74="",COUNTIF($B$4:B74,B74)&gt;1),"",MAX($AC$3:AC73)+1)</f>
        <v/>
      </c>
      <c r="AD74" s="38" t="str">
        <f t="shared" si="15"/>
        <v/>
      </c>
      <c r="AE74" s="38" t="str">
        <f t="shared" si="16"/>
        <v/>
      </c>
      <c r="AF74" s="38" t="str">
        <f t="shared" si="17"/>
        <v/>
      </c>
    </row>
    <row r="75" spans="1:32" x14ac:dyDescent="0.3">
      <c r="A75" s="74" t="s">
        <v>702</v>
      </c>
      <c r="B75" s="74" t="s">
        <v>332</v>
      </c>
      <c r="C75" s="74" t="s">
        <v>338</v>
      </c>
      <c r="D75" s="74"/>
      <c r="E75" s="74"/>
      <c r="F75" s="74"/>
      <c r="G75" s="74" t="s">
        <v>340</v>
      </c>
      <c r="H75" s="74" t="s">
        <v>338</v>
      </c>
      <c r="I75" s="74"/>
      <c r="J75" s="74"/>
      <c r="K75" s="74"/>
      <c r="L75" s="74"/>
      <c r="M75" s="74" t="s">
        <v>333</v>
      </c>
      <c r="N75" s="38" t="str">
        <f>IF(OR(A75="Автомат",A75="Дифавтомат"),IF(W75="","",COUNTIFS(Однолинейка!$H$3:$H$3000,U75,Однолинейка!$A$3:$A$3000,Щит_спец)),IF(A75="Аппарат",IF(C75="","",COUNTIFS(Однолинейка!$I$3:$I$3000,C75,Однолинейка!$A$3:$A$3000,Щит_спец)+COUNTIFS(Однолинейка!$J$3:$J$3000,C75,Однолинейка!$A$3:$A$3000,Щит_спец)+COUNTIFS(Однолинейка!$K$3:$K$3000,C75,Однолинейка!$A$3:$A$3000,Щит_спец)),IF(A75="Модуль",IF(C75="","",COUNTIFS(Однолинейка!$AW$3:$AW$3000,"?*",Однолинейка!$AI$3:$AI$3000,C75,Однолинейка!$A$3:$A$3000,Щит_спец)),IF(A75="Клемма",IF(C75="","",IF(C75=$S$7,SUMIFS(Однолинейка!$BW$3:$BW$3000,Однолинейка!$A$3:$A$3000,Щит_спец),IF(C75=$S$8,SUMIFS(Однолинейка!$BX$3:$BX$3000,Однолинейка!$A$3:$A$3000,Щит_спец),""))),""))))</f>
        <v/>
      </c>
      <c r="O75" s="74"/>
      <c r="P75" s="38" t="str">
        <f t="shared" si="9"/>
        <v/>
      </c>
      <c r="U75" s="38" t="str">
        <f t="shared" si="10"/>
        <v/>
      </c>
      <c r="V75" s="38" t="str">
        <f t="shared" si="11"/>
        <v/>
      </c>
      <c r="W75" s="38" t="str">
        <f>IF(AND(U75&lt;&gt;"",OR($S$4="(все)",B75=$S$4),IF($S$4="(все)",COUNTIF($U$4:U75,U75),COUNTIFS($U$4:U75,U75,$B$4:B75,B75))=1),MAX($W$3:W74)+1,"")</f>
        <v/>
      </c>
      <c r="X75" s="38" t="str">
        <f t="shared" si="12"/>
        <v/>
      </c>
      <c r="Y75" s="38" t="str">
        <f>IF(AND(A75="Аппарат",C75&lt;&gt;"",OR($S$5="(все)",B75=$S$5)),MAX($Y$3:Y74)+1,"")</f>
        <v/>
      </c>
      <c r="Z75" s="38" t="str">
        <f t="shared" si="13"/>
        <v/>
      </c>
      <c r="AA75" s="38" t="str">
        <f>IF(AND(A75="Модуль",C75&lt;&gt;"",OR($S$6="(все)",B75=$S$6)),MAX($AA$3:AA74)+1,"")</f>
        <v/>
      </c>
      <c r="AB75" s="38" t="str">
        <f t="shared" si="14"/>
        <v/>
      </c>
      <c r="AC75" s="38" t="str">
        <f>IF(OR(B75="",COUNTIF($B$4:B75,B75)&gt;1),"",MAX($AC$3:AC74)+1)</f>
        <v/>
      </c>
      <c r="AD75" s="38" t="str">
        <f t="shared" si="15"/>
        <v/>
      </c>
      <c r="AE75" s="38" t="str">
        <f t="shared" si="16"/>
        <v/>
      </c>
      <c r="AF75" s="38" t="str">
        <f t="shared" si="17"/>
        <v/>
      </c>
    </row>
    <row r="76" spans="1:32" x14ac:dyDescent="0.3">
      <c r="A76" s="74" t="s">
        <v>702</v>
      </c>
      <c r="B76" s="74" t="s">
        <v>332</v>
      </c>
      <c r="C76" s="74" t="s">
        <v>338</v>
      </c>
      <c r="D76" s="74"/>
      <c r="E76" s="74"/>
      <c r="F76" s="74"/>
      <c r="G76" s="74" t="s">
        <v>341</v>
      </c>
      <c r="H76" s="74" t="s">
        <v>338</v>
      </c>
      <c r="I76" s="74"/>
      <c r="J76" s="74"/>
      <c r="K76" s="74"/>
      <c r="L76" s="74"/>
      <c r="M76" s="74" t="s">
        <v>333</v>
      </c>
      <c r="N76" s="38" t="str">
        <f>IF(OR(A76="Автомат",A76="Дифавтомат"),IF(W76="","",COUNTIFS(Однолинейка!$H$3:$H$3000,U76,Однолинейка!$A$3:$A$3000,Щит_спец)),IF(A76="Аппарат",IF(C76="","",COUNTIFS(Однолинейка!$I$3:$I$3000,C76,Однолинейка!$A$3:$A$3000,Щит_спец)+COUNTIFS(Однолинейка!$J$3:$J$3000,C76,Однолинейка!$A$3:$A$3000,Щит_спец)+COUNTIFS(Однолинейка!$K$3:$K$3000,C76,Однолинейка!$A$3:$A$3000,Щит_спец)),IF(A76="Модуль",IF(C76="","",COUNTIFS(Однолинейка!$AW$3:$AW$3000,"?*",Однолинейка!$AI$3:$AI$3000,C76,Однолинейка!$A$3:$A$3000,Щит_спец)),IF(A76="Клемма",IF(C76="","",IF(C76=$S$7,SUMIFS(Однолинейка!$BW$3:$BW$3000,Однолинейка!$A$3:$A$3000,Щит_спец),IF(C76=$S$8,SUMIFS(Однолинейка!$BX$3:$BX$3000,Однолинейка!$A$3:$A$3000,Щит_спец),""))),""))))</f>
        <v/>
      </c>
      <c r="O76" s="74"/>
      <c r="P76" s="38" t="str">
        <f t="shared" si="9"/>
        <v/>
      </c>
      <c r="U76" s="38" t="str">
        <f t="shared" si="10"/>
        <v/>
      </c>
      <c r="V76" s="38" t="str">
        <f t="shared" si="11"/>
        <v/>
      </c>
      <c r="W76" s="38" t="str">
        <f>IF(AND(U76&lt;&gt;"",OR($S$4="(все)",B76=$S$4),IF($S$4="(все)",COUNTIF($U$4:U76,U76),COUNTIFS($U$4:U76,U76,$B$4:B76,B76))=1),MAX($W$3:W75)+1,"")</f>
        <v/>
      </c>
      <c r="X76" s="38" t="str">
        <f t="shared" si="12"/>
        <v/>
      </c>
      <c r="Y76" s="38" t="str">
        <f>IF(AND(A76="Аппарат",C76&lt;&gt;"",OR($S$5="(все)",B76=$S$5)),MAX($Y$3:Y75)+1,"")</f>
        <v/>
      </c>
      <c r="Z76" s="38" t="str">
        <f t="shared" si="13"/>
        <v/>
      </c>
      <c r="AA76" s="38" t="str">
        <f>IF(AND(A76="Модуль",C76&lt;&gt;"",OR($S$6="(все)",B76=$S$6)),MAX($AA$3:AA75)+1,"")</f>
        <v/>
      </c>
      <c r="AB76" s="38" t="str">
        <f t="shared" si="14"/>
        <v/>
      </c>
      <c r="AC76" s="38" t="str">
        <f>IF(OR(B76="",COUNTIF($B$4:B76,B76)&gt;1),"",MAX($AC$3:AC75)+1)</f>
        <v/>
      </c>
      <c r="AD76" s="38" t="str">
        <f t="shared" si="15"/>
        <v/>
      </c>
      <c r="AE76" s="38" t="str">
        <f t="shared" si="16"/>
        <v/>
      </c>
      <c r="AF76" s="38" t="str">
        <f t="shared" si="17"/>
        <v/>
      </c>
    </row>
    <row r="77" spans="1:32" x14ac:dyDescent="0.3">
      <c r="A77" s="74" t="s">
        <v>702</v>
      </c>
      <c r="B77" s="74" t="s">
        <v>332</v>
      </c>
      <c r="C77" s="74" t="s">
        <v>338</v>
      </c>
      <c r="D77" s="74"/>
      <c r="E77" s="74"/>
      <c r="F77" s="74"/>
      <c r="G77" s="74" t="s">
        <v>380</v>
      </c>
      <c r="H77" s="74" t="s">
        <v>338</v>
      </c>
      <c r="I77" s="74"/>
      <c r="J77" s="74"/>
      <c r="K77" s="74"/>
      <c r="L77" s="74"/>
      <c r="M77" s="74" t="s">
        <v>333</v>
      </c>
      <c r="N77" s="38" t="str">
        <f>IF(OR(A77="Автомат",A77="Дифавтомат"),IF(W77="","",COUNTIFS(Однолинейка!$H$3:$H$3000,U77,Однолинейка!$A$3:$A$3000,Щит_спец)),IF(A77="Аппарат",IF(C77="","",COUNTIFS(Однолинейка!$I$3:$I$3000,C77,Однолинейка!$A$3:$A$3000,Щит_спец)+COUNTIFS(Однолинейка!$J$3:$J$3000,C77,Однолинейка!$A$3:$A$3000,Щит_спец)+COUNTIFS(Однолинейка!$K$3:$K$3000,C77,Однолинейка!$A$3:$A$3000,Щит_спец)),IF(A77="Модуль",IF(C77="","",COUNTIFS(Однолинейка!$AW$3:$AW$3000,"?*",Однолинейка!$AI$3:$AI$3000,C77,Однолинейка!$A$3:$A$3000,Щит_спец)),IF(A77="Клемма",IF(C77="","",IF(C77=$S$7,SUMIFS(Однолинейка!$BW$3:$BW$3000,Однолинейка!$A$3:$A$3000,Щит_спец),IF(C77=$S$8,SUMIFS(Однолинейка!$BX$3:$BX$3000,Однолинейка!$A$3:$A$3000,Щит_спец),""))),""))))</f>
        <v/>
      </c>
      <c r="O77" s="74"/>
      <c r="P77" s="38" t="str">
        <f t="shared" si="9"/>
        <v/>
      </c>
      <c r="U77" s="38" t="str">
        <f t="shared" si="10"/>
        <v/>
      </c>
      <c r="V77" s="38" t="str">
        <f t="shared" si="11"/>
        <v/>
      </c>
      <c r="W77" s="38" t="str">
        <f>IF(AND(U77&lt;&gt;"",OR($S$4="(все)",B77=$S$4),IF($S$4="(все)",COUNTIF($U$4:U77,U77),COUNTIFS($U$4:U77,U77,$B$4:B77,B77))=1),MAX($W$3:W76)+1,"")</f>
        <v/>
      </c>
      <c r="X77" s="38" t="str">
        <f t="shared" si="12"/>
        <v/>
      </c>
      <c r="Y77" s="38" t="str">
        <f>IF(AND(A77="Аппарат",C77&lt;&gt;"",OR($S$5="(все)",B77=$S$5)),MAX($Y$3:Y76)+1,"")</f>
        <v/>
      </c>
      <c r="Z77" s="38" t="str">
        <f t="shared" si="13"/>
        <v/>
      </c>
      <c r="AA77" s="38" t="str">
        <f>IF(AND(A77="Модуль",C77&lt;&gt;"",OR($S$6="(все)",B77=$S$6)),MAX($AA$3:AA76)+1,"")</f>
        <v/>
      </c>
      <c r="AB77" s="38" t="str">
        <f t="shared" si="14"/>
        <v/>
      </c>
      <c r="AC77" s="38" t="str">
        <f>IF(OR(B77="",COUNTIF($B$4:B77,B77)&gt;1),"",MAX($AC$3:AC76)+1)</f>
        <v/>
      </c>
      <c r="AD77" s="38" t="str">
        <f t="shared" si="15"/>
        <v/>
      </c>
      <c r="AE77" s="38" t="str">
        <f t="shared" si="16"/>
        <v/>
      </c>
      <c r="AF77" s="38" t="str">
        <f t="shared" si="17"/>
        <v/>
      </c>
    </row>
    <row r="78" spans="1:32" x14ac:dyDescent="0.3">
      <c r="A78" s="74" t="s">
        <v>702</v>
      </c>
      <c r="B78" s="74" t="s">
        <v>332</v>
      </c>
      <c r="C78" s="74" t="s">
        <v>343</v>
      </c>
      <c r="D78" s="74"/>
      <c r="E78" s="74"/>
      <c r="F78" s="74"/>
      <c r="G78" s="74" t="s">
        <v>342</v>
      </c>
      <c r="H78" s="74" t="s">
        <v>343</v>
      </c>
      <c r="I78" s="74"/>
      <c r="J78" s="74"/>
      <c r="K78" s="74"/>
      <c r="L78" s="74"/>
      <c r="M78" s="74" t="s">
        <v>333</v>
      </c>
      <c r="N78" s="38" t="str">
        <f>IF(OR(A78="Автомат",A78="Дифавтомат"),IF(W78="","",COUNTIFS(Однолинейка!$H$3:$H$3000,U78,Однолинейка!$A$3:$A$3000,Щит_спец)),IF(A78="Аппарат",IF(C78="","",COUNTIFS(Однолинейка!$I$3:$I$3000,C78,Однолинейка!$A$3:$A$3000,Щит_спец)+COUNTIFS(Однолинейка!$J$3:$J$3000,C78,Однолинейка!$A$3:$A$3000,Щит_спец)+COUNTIFS(Однолинейка!$K$3:$K$3000,C78,Однолинейка!$A$3:$A$3000,Щит_спец)),IF(A78="Модуль",IF(C78="","",COUNTIFS(Однолинейка!$AW$3:$AW$3000,"?*",Однолинейка!$AI$3:$AI$3000,C78,Однолинейка!$A$3:$A$3000,Щит_спец)),IF(A78="Клемма",IF(C78="","",IF(C78=$S$7,SUMIFS(Однолинейка!$BW$3:$BW$3000,Однолинейка!$A$3:$A$3000,Щит_спец),IF(C78=$S$8,SUMIFS(Однолинейка!$BX$3:$BX$3000,Однолинейка!$A$3:$A$3000,Щит_спец),""))),""))))</f>
        <v/>
      </c>
      <c r="O78" s="74"/>
      <c r="P78" s="38" t="str">
        <f t="shared" si="9"/>
        <v/>
      </c>
      <c r="U78" s="38" t="str">
        <f t="shared" si="10"/>
        <v/>
      </c>
      <c r="V78" s="38" t="str">
        <f t="shared" si="11"/>
        <v/>
      </c>
      <c r="W78" s="38" t="str">
        <f>IF(AND(U78&lt;&gt;"",OR($S$4="(все)",B78=$S$4),IF($S$4="(все)",COUNTIF($U$4:U78,U78),COUNTIFS($U$4:U78,U78,$B$4:B78,B78))=1),MAX($W$3:W77)+1,"")</f>
        <v/>
      </c>
      <c r="X78" s="38" t="str">
        <f t="shared" si="12"/>
        <v/>
      </c>
      <c r="Y78" s="38" t="str">
        <f>IF(AND(A78="Аппарат",C78&lt;&gt;"",OR($S$5="(все)",B78=$S$5)),MAX($Y$3:Y77)+1,"")</f>
        <v/>
      </c>
      <c r="Z78" s="38" t="str">
        <f t="shared" si="13"/>
        <v/>
      </c>
      <c r="AA78" s="38" t="str">
        <f>IF(AND(A78="Модуль",C78&lt;&gt;"",OR($S$6="(все)",B78=$S$6)),MAX($AA$3:AA77)+1,"")</f>
        <v/>
      </c>
      <c r="AB78" s="38" t="str">
        <f t="shared" si="14"/>
        <v/>
      </c>
      <c r="AC78" s="38" t="str">
        <f>IF(OR(B78="",COUNTIF($B$4:B78,B78)&gt;1),"",MAX($AC$3:AC77)+1)</f>
        <v/>
      </c>
      <c r="AD78" s="38" t="str">
        <f t="shared" si="15"/>
        <v/>
      </c>
      <c r="AE78" s="38" t="str">
        <f t="shared" si="16"/>
        <v/>
      </c>
      <c r="AF78" s="38" t="str">
        <f t="shared" si="17"/>
        <v/>
      </c>
    </row>
    <row r="79" spans="1:32" x14ac:dyDescent="0.3">
      <c r="A79" s="74" t="s">
        <v>702</v>
      </c>
      <c r="B79" s="74" t="s">
        <v>332</v>
      </c>
      <c r="C79" s="74" t="s">
        <v>343</v>
      </c>
      <c r="D79" s="74"/>
      <c r="E79" s="74"/>
      <c r="F79" s="74"/>
      <c r="G79" s="74" t="s">
        <v>344</v>
      </c>
      <c r="H79" s="74" t="s">
        <v>343</v>
      </c>
      <c r="I79" s="74"/>
      <c r="J79" s="74"/>
      <c r="K79" s="74"/>
      <c r="L79" s="74"/>
      <c r="M79" s="74" t="s">
        <v>333</v>
      </c>
      <c r="N79" s="38" t="str">
        <f>IF(OR(A79="Автомат",A79="Дифавтомат"),IF(W79="","",COUNTIFS(Однолинейка!$H$3:$H$3000,U79,Однолинейка!$A$3:$A$3000,Щит_спец)),IF(A79="Аппарат",IF(C79="","",COUNTIFS(Однолинейка!$I$3:$I$3000,C79,Однолинейка!$A$3:$A$3000,Щит_спец)+COUNTIFS(Однолинейка!$J$3:$J$3000,C79,Однолинейка!$A$3:$A$3000,Щит_спец)+COUNTIFS(Однолинейка!$K$3:$K$3000,C79,Однолинейка!$A$3:$A$3000,Щит_спец)),IF(A79="Модуль",IF(C79="","",COUNTIFS(Однолинейка!$AW$3:$AW$3000,"?*",Однолинейка!$AI$3:$AI$3000,C79,Однолинейка!$A$3:$A$3000,Щит_спец)),IF(A79="Клемма",IF(C79="","",IF(C79=$S$7,SUMIFS(Однолинейка!$BW$3:$BW$3000,Однолинейка!$A$3:$A$3000,Щит_спец),IF(C79=$S$8,SUMIFS(Однолинейка!$BX$3:$BX$3000,Однолинейка!$A$3:$A$3000,Щит_спец),""))),""))))</f>
        <v/>
      </c>
      <c r="O79" s="74"/>
      <c r="P79" s="38" t="str">
        <f t="shared" si="9"/>
        <v/>
      </c>
      <c r="U79" s="38" t="str">
        <f t="shared" si="10"/>
        <v/>
      </c>
      <c r="V79" s="38" t="str">
        <f t="shared" si="11"/>
        <v/>
      </c>
      <c r="W79" s="38" t="str">
        <f>IF(AND(U79&lt;&gt;"",OR($S$4="(все)",B79=$S$4),IF($S$4="(все)",COUNTIF($U$4:U79,U79),COUNTIFS($U$4:U79,U79,$B$4:B79,B79))=1),MAX($W$3:W78)+1,"")</f>
        <v/>
      </c>
      <c r="X79" s="38" t="str">
        <f t="shared" si="12"/>
        <v/>
      </c>
      <c r="Y79" s="38" t="str">
        <f>IF(AND(A79="Аппарат",C79&lt;&gt;"",OR($S$5="(все)",B79=$S$5)),MAX($Y$3:Y78)+1,"")</f>
        <v/>
      </c>
      <c r="Z79" s="38" t="str">
        <f t="shared" si="13"/>
        <v/>
      </c>
      <c r="AA79" s="38" t="str">
        <f>IF(AND(A79="Модуль",C79&lt;&gt;"",OR($S$6="(все)",B79=$S$6)),MAX($AA$3:AA78)+1,"")</f>
        <v/>
      </c>
      <c r="AB79" s="38" t="str">
        <f t="shared" si="14"/>
        <v/>
      </c>
      <c r="AC79" s="38" t="str">
        <f>IF(OR(B79="",COUNTIF($B$4:B79,B79)&gt;1),"",MAX($AC$3:AC78)+1)</f>
        <v/>
      </c>
      <c r="AD79" s="38" t="str">
        <f t="shared" si="15"/>
        <v/>
      </c>
      <c r="AE79" s="38" t="str">
        <f t="shared" si="16"/>
        <v/>
      </c>
      <c r="AF79" s="38" t="str">
        <f t="shared" si="17"/>
        <v/>
      </c>
    </row>
    <row r="80" spans="1:32" x14ac:dyDescent="0.3">
      <c r="A80" s="74" t="s">
        <v>702</v>
      </c>
      <c r="B80" s="74" t="s">
        <v>332</v>
      </c>
      <c r="C80" s="74" t="s">
        <v>343</v>
      </c>
      <c r="D80" s="74"/>
      <c r="E80" s="74"/>
      <c r="F80" s="74"/>
      <c r="G80" s="74" t="s">
        <v>345</v>
      </c>
      <c r="H80" s="74" t="s">
        <v>343</v>
      </c>
      <c r="I80" s="74"/>
      <c r="J80" s="74"/>
      <c r="K80" s="74"/>
      <c r="L80" s="74"/>
      <c r="M80" s="74" t="s">
        <v>333</v>
      </c>
      <c r="N80" s="38" t="str">
        <f>IF(OR(A80="Автомат",A80="Дифавтомат"),IF(W80="","",COUNTIFS(Однолинейка!$H$3:$H$3000,U80,Однолинейка!$A$3:$A$3000,Щит_спец)),IF(A80="Аппарат",IF(C80="","",COUNTIFS(Однолинейка!$I$3:$I$3000,C80,Однолинейка!$A$3:$A$3000,Щит_спец)+COUNTIFS(Однолинейка!$J$3:$J$3000,C80,Однолинейка!$A$3:$A$3000,Щит_спец)+COUNTIFS(Однолинейка!$K$3:$K$3000,C80,Однолинейка!$A$3:$A$3000,Щит_спец)),IF(A80="Модуль",IF(C80="","",COUNTIFS(Однолинейка!$AW$3:$AW$3000,"?*",Однолинейка!$AI$3:$AI$3000,C80,Однолинейка!$A$3:$A$3000,Щит_спец)),IF(A80="Клемма",IF(C80="","",IF(C80=$S$7,SUMIFS(Однолинейка!$BW$3:$BW$3000,Однолинейка!$A$3:$A$3000,Щит_спец),IF(C80=$S$8,SUMIFS(Однолинейка!$BX$3:$BX$3000,Однолинейка!$A$3:$A$3000,Щит_спец),""))),""))))</f>
        <v/>
      </c>
      <c r="O80" s="74"/>
      <c r="P80" s="38" t="str">
        <f t="shared" si="9"/>
        <v/>
      </c>
      <c r="U80" s="38" t="str">
        <f t="shared" si="10"/>
        <v/>
      </c>
      <c r="V80" s="38" t="str">
        <f t="shared" si="11"/>
        <v/>
      </c>
      <c r="W80" s="38" t="str">
        <f>IF(AND(U80&lt;&gt;"",OR($S$4="(все)",B80=$S$4),IF($S$4="(все)",COUNTIF($U$4:U80,U80),COUNTIFS($U$4:U80,U80,$B$4:B80,B80))=1),MAX($W$3:W79)+1,"")</f>
        <v/>
      </c>
      <c r="X80" s="38" t="str">
        <f t="shared" si="12"/>
        <v/>
      </c>
      <c r="Y80" s="38" t="str">
        <f>IF(AND(A80="Аппарат",C80&lt;&gt;"",OR($S$5="(все)",B80=$S$5)),MAX($Y$3:Y79)+1,"")</f>
        <v/>
      </c>
      <c r="Z80" s="38" t="str">
        <f t="shared" si="13"/>
        <v/>
      </c>
      <c r="AA80" s="38" t="str">
        <f>IF(AND(A80="Модуль",C80&lt;&gt;"",OR($S$6="(все)",B80=$S$6)),MAX($AA$3:AA79)+1,"")</f>
        <v/>
      </c>
      <c r="AB80" s="38" t="str">
        <f t="shared" si="14"/>
        <v/>
      </c>
      <c r="AC80" s="38" t="str">
        <f>IF(OR(B80="",COUNTIF($B$4:B80,B80)&gt;1),"",MAX($AC$3:AC79)+1)</f>
        <v/>
      </c>
      <c r="AD80" s="38" t="str">
        <f t="shared" si="15"/>
        <v/>
      </c>
      <c r="AE80" s="38" t="str">
        <f t="shared" si="16"/>
        <v/>
      </c>
      <c r="AF80" s="38" t="str">
        <f t="shared" si="17"/>
        <v/>
      </c>
    </row>
    <row r="81" spans="1:32" x14ac:dyDescent="0.3">
      <c r="A81" s="74" t="s">
        <v>702</v>
      </c>
      <c r="B81" s="74" t="s">
        <v>332</v>
      </c>
      <c r="C81" s="74" t="s">
        <v>343</v>
      </c>
      <c r="D81" s="74"/>
      <c r="E81" s="74"/>
      <c r="F81" s="74"/>
      <c r="G81" s="74" t="s">
        <v>346</v>
      </c>
      <c r="H81" s="74" t="s">
        <v>343</v>
      </c>
      <c r="I81" s="74"/>
      <c r="J81" s="74"/>
      <c r="K81" s="74"/>
      <c r="L81" s="74"/>
      <c r="M81" s="74" t="s">
        <v>333</v>
      </c>
      <c r="N81" s="38" t="str">
        <f>IF(OR(A81="Автомат",A81="Дифавтомат"),IF(W81="","",COUNTIFS(Однолинейка!$H$3:$H$3000,U81,Однолинейка!$A$3:$A$3000,Щит_спец)),IF(A81="Аппарат",IF(C81="","",COUNTIFS(Однолинейка!$I$3:$I$3000,C81,Однолинейка!$A$3:$A$3000,Щит_спец)+COUNTIFS(Однолинейка!$J$3:$J$3000,C81,Однолинейка!$A$3:$A$3000,Щит_спец)+COUNTIFS(Однолинейка!$K$3:$K$3000,C81,Однолинейка!$A$3:$A$3000,Щит_спец)),IF(A81="Модуль",IF(C81="","",COUNTIFS(Однолинейка!$AW$3:$AW$3000,"?*",Однолинейка!$AI$3:$AI$3000,C81,Однолинейка!$A$3:$A$3000,Щит_спец)),IF(A81="Клемма",IF(C81="","",IF(C81=$S$7,SUMIFS(Однолинейка!$BW$3:$BW$3000,Однолинейка!$A$3:$A$3000,Щит_спец),IF(C81=$S$8,SUMIFS(Однолинейка!$BX$3:$BX$3000,Однолинейка!$A$3:$A$3000,Щит_спец),""))),""))))</f>
        <v/>
      </c>
      <c r="O81" s="74"/>
      <c r="P81" s="38" t="str">
        <f t="shared" si="9"/>
        <v/>
      </c>
      <c r="U81" s="38" t="str">
        <f t="shared" si="10"/>
        <v/>
      </c>
      <c r="V81" s="38" t="str">
        <f t="shared" si="11"/>
        <v/>
      </c>
      <c r="W81" s="38" t="str">
        <f>IF(AND(U81&lt;&gt;"",OR($S$4="(все)",B81=$S$4),IF($S$4="(все)",COUNTIF($U$4:U81,U81),COUNTIFS($U$4:U81,U81,$B$4:B81,B81))=1),MAX($W$3:W80)+1,"")</f>
        <v/>
      </c>
      <c r="X81" s="38" t="str">
        <f t="shared" si="12"/>
        <v/>
      </c>
      <c r="Y81" s="38" t="str">
        <f>IF(AND(A81="Аппарат",C81&lt;&gt;"",OR($S$5="(все)",B81=$S$5)),MAX($Y$3:Y80)+1,"")</f>
        <v/>
      </c>
      <c r="Z81" s="38" t="str">
        <f t="shared" si="13"/>
        <v/>
      </c>
      <c r="AA81" s="38" t="str">
        <f>IF(AND(A81="Модуль",C81&lt;&gt;"",OR($S$6="(все)",B81=$S$6)),MAX($AA$3:AA80)+1,"")</f>
        <v/>
      </c>
      <c r="AB81" s="38" t="str">
        <f t="shared" si="14"/>
        <v/>
      </c>
      <c r="AC81" s="38" t="str">
        <f>IF(OR(B81="",COUNTIF($B$4:B81,B81)&gt;1),"",MAX($AC$3:AC80)+1)</f>
        <v/>
      </c>
      <c r="AD81" s="38" t="str">
        <f t="shared" si="15"/>
        <v/>
      </c>
      <c r="AE81" s="38" t="str">
        <f t="shared" si="16"/>
        <v/>
      </c>
      <c r="AF81" s="38" t="str">
        <f t="shared" si="17"/>
        <v/>
      </c>
    </row>
    <row r="82" spans="1:32" x14ac:dyDescent="0.3">
      <c r="A82" s="74" t="s">
        <v>702</v>
      </c>
      <c r="B82" s="74" t="s">
        <v>332</v>
      </c>
      <c r="C82" s="74" t="s">
        <v>343</v>
      </c>
      <c r="D82" s="74"/>
      <c r="E82" s="74"/>
      <c r="F82" s="74"/>
      <c r="G82" s="74" t="s">
        <v>381</v>
      </c>
      <c r="H82" s="74" t="s">
        <v>343</v>
      </c>
      <c r="I82" s="74"/>
      <c r="J82" s="74"/>
      <c r="K82" s="74"/>
      <c r="L82" s="74"/>
      <c r="M82" s="74" t="s">
        <v>333</v>
      </c>
      <c r="N82" s="38" t="str">
        <f>IF(OR(A82="Автомат",A82="Дифавтомат"),IF(W82="","",COUNTIFS(Однолинейка!$H$3:$H$3000,U82,Однолинейка!$A$3:$A$3000,Щит_спец)),IF(A82="Аппарат",IF(C82="","",COUNTIFS(Однолинейка!$I$3:$I$3000,C82,Однолинейка!$A$3:$A$3000,Щит_спец)+COUNTIFS(Однолинейка!$J$3:$J$3000,C82,Однолинейка!$A$3:$A$3000,Щит_спец)+COUNTIFS(Однолинейка!$K$3:$K$3000,C82,Однолинейка!$A$3:$A$3000,Щит_спец)),IF(A82="Модуль",IF(C82="","",COUNTIFS(Однолинейка!$AW$3:$AW$3000,"?*",Однолинейка!$AI$3:$AI$3000,C82,Однолинейка!$A$3:$A$3000,Щит_спец)),IF(A82="Клемма",IF(C82="","",IF(C82=$S$7,SUMIFS(Однолинейка!$BW$3:$BW$3000,Однолинейка!$A$3:$A$3000,Щит_спец),IF(C82=$S$8,SUMIFS(Однолинейка!$BX$3:$BX$3000,Однолинейка!$A$3:$A$3000,Щит_спец),""))),""))))</f>
        <v/>
      </c>
      <c r="O82" s="74"/>
      <c r="P82" s="38" t="str">
        <f t="shared" si="9"/>
        <v/>
      </c>
      <c r="U82" s="38" t="str">
        <f t="shared" si="10"/>
        <v/>
      </c>
      <c r="V82" s="38" t="str">
        <f t="shared" si="11"/>
        <v/>
      </c>
      <c r="W82" s="38" t="str">
        <f>IF(AND(U82&lt;&gt;"",OR($S$4="(все)",B82=$S$4),IF($S$4="(все)",COUNTIF($U$4:U82,U82),COUNTIFS($U$4:U82,U82,$B$4:B82,B82))=1),MAX($W$3:W81)+1,"")</f>
        <v/>
      </c>
      <c r="X82" s="38" t="str">
        <f t="shared" si="12"/>
        <v/>
      </c>
      <c r="Y82" s="38" t="str">
        <f>IF(AND(A82="Аппарат",C82&lt;&gt;"",OR($S$5="(все)",B82=$S$5)),MAX($Y$3:Y81)+1,"")</f>
        <v/>
      </c>
      <c r="Z82" s="38" t="str">
        <f t="shared" si="13"/>
        <v/>
      </c>
      <c r="AA82" s="38" t="str">
        <f>IF(AND(A82="Модуль",C82&lt;&gt;"",OR($S$6="(все)",B82=$S$6)),MAX($AA$3:AA81)+1,"")</f>
        <v/>
      </c>
      <c r="AB82" s="38" t="str">
        <f t="shared" si="14"/>
        <v/>
      </c>
      <c r="AC82" s="38" t="str">
        <f>IF(OR(B82="",COUNTIF($B$4:B82,B82)&gt;1),"",MAX($AC$3:AC81)+1)</f>
        <v/>
      </c>
      <c r="AD82" s="38" t="str">
        <f t="shared" si="15"/>
        <v/>
      </c>
      <c r="AE82" s="38" t="str">
        <f t="shared" si="16"/>
        <v/>
      </c>
      <c r="AF82" s="38" t="str">
        <f t="shared" si="17"/>
        <v/>
      </c>
    </row>
    <row r="83" spans="1:32" x14ac:dyDescent="0.3">
      <c r="A83" s="74" t="s">
        <v>702</v>
      </c>
      <c r="B83" s="74" t="s">
        <v>332</v>
      </c>
      <c r="C83" s="74" t="s">
        <v>387</v>
      </c>
      <c r="D83" s="74"/>
      <c r="E83" s="74"/>
      <c r="F83" s="74"/>
      <c r="G83" s="74" t="s">
        <v>382</v>
      </c>
      <c r="H83" s="74" t="s">
        <v>387</v>
      </c>
      <c r="I83" s="74"/>
      <c r="J83" s="74"/>
      <c r="K83" s="74"/>
      <c r="L83" s="74"/>
      <c r="M83" s="74" t="s">
        <v>333</v>
      </c>
      <c r="N83" s="38" t="str">
        <f>IF(OR(A83="Автомат",A83="Дифавтомат"),IF(W83="","",COUNTIFS(Однолинейка!$H$3:$H$3000,U83,Однолинейка!$A$3:$A$3000,Щит_спец)),IF(A83="Аппарат",IF(C83="","",COUNTIFS(Однолинейка!$I$3:$I$3000,C83,Однолинейка!$A$3:$A$3000,Щит_спец)+COUNTIFS(Однолинейка!$J$3:$J$3000,C83,Однолинейка!$A$3:$A$3000,Щит_спец)+COUNTIFS(Однолинейка!$K$3:$K$3000,C83,Однолинейка!$A$3:$A$3000,Щит_спец)),IF(A83="Модуль",IF(C83="","",COUNTIFS(Однолинейка!$AW$3:$AW$3000,"?*",Однолинейка!$AI$3:$AI$3000,C83,Однолинейка!$A$3:$A$3000,Щит_спец)),IF(A83="Клемма",IF(C83="","",IF(C83=$S$7,SUMIFS(Однолинейка!$BW$3:$BW$3000,Однолинейка!$A$3:$A$3000,Щит_спец),IF(C83=$S$8,SUMIFS(Однолинейка!$BX$3:$BX$3000,Однолинейка!$A$3:$A$3000,Щит_спец),""))),""))))</f>
        <v/>
      </c>
      <c r="O83" s="74"/>
      <c r="P83" s="38" t="str">
        <f t="shared" si="9"/>
        <v/>
      </c>
      <c r="U83" s="38" t="str">
        <f t="shared" si="10"/>
        <v/>
      </c>
      <c r="V83" s="38" t="str">
        <f t="shared" si="11"/>
        <v/>
      </c>
      <c r="W83" s="38" t="str">
        <f>IF(AND(U83&lt;&gt;"",OR($S$4="(все)",B83=$S$4),IF($S$4="(все)",COUNTIF($U$4:U83,U83),COUNTIFS($U$4:U83,U83,$B$4:B83,B83))=1),MAX($W$3:W82)+1,"")</f>
        <v/>
      </c>
      <c r="X83" s="38" t="str">
        <f t="shared" si="12"/>
        <v/>
      </c>
      <c r="Y83" s="38" t="str">
        <f>IF(AND(A83="Аппарат",C83&lt;&gt;"",OR($S$5="(все)",B83=$S$5)),MAX($Y$3:Y82)+1,"")</f>
        <v/>
      </c>
      <c r="Z83" s="38" t="str">
        <f t="shared" si="13"/>
        <v/>
      </c>
      <c r="AA83" s="38" t="str">
        <f>IF(AND(A83="Модуль",C83&lt;&gt;"",OR($S$6="(все)",B83=$S$6)),MAX($AA$3:AA82)+1,"")</f>
        <v/>
      </c>
      <c r="AB83" s="38" t="str">
        <f t="shared" si="14"/>
        <v/>
      </c>
      <c r="AC83" s="38" t="str">
        <f>IF(OR(B83="",COUNTIF($B$4:B83,B83)&gt;1),"",MAX($AC$3:AC82)+1)</f>
        <v/>
      </c>
      <c r="AD83" s="38" t="str">
        <f t="shared" si="15"/>
        <v/>
      </c>
      <c r="AE83" s="38" t="str">
        <f t="shared" si="16"/>
        <v/>
      </c>
      <c r="AF83" s="38" t="str">
        <f t="shared" si="17"/>
        <v/>
      </c>
    </row>
    <row r="84" spans="1:32" x14ac:dyDescent="0.3">
      <c r="A84" s="74" t="s">
        <v>702</v>
      </c>
      <c r="B84" s="74" t="s">
        <v>332</v>
      </c>
      <c r="C84" s="74" t="s">
        <v>387</v>
      </c>
      <c r="D84" s="74"/>
      <c r="E84" s="74"/>
      <c r="F84" s="74"/>
      <c r="G84" s="74" t="s">
        <v>383</v>
      </c>
      <c r="H84" s="74" t="s">
        <v>387</v>
      </c>
      <c r="I84" s="74"/>
      <c r="J84" s="74"/>
      <c r="K84" s="74"/>
      <c r="L84" s="74"/>
      <c r="M84" s="74" t="s">
        <v>333</v>
      </c>
      <c r="N84" s="38" t="str">
        <f>IF(OR(A84="Автомат",A84="Дифавтомат"),IF(W84="","",COUNTIFS(Однолинейка!$H$3:$H$3000,U84,Однолинейка!$A$3:$A$3000,Щит_спец)),IF(A84="Аппарат",IF(C84="","",COUNTIFS(Однолинейка!$I$3:$I$3000,C84,Однолинейка!$A$3:$A$3000,Щит_спец)+COUNTIFS(Однолинейка!$J$3:$J$3000,C84,Однолинейка!$A$3:$A$3000,Щит_спец)+COUNTIFS(Однолинейка!$K$3:$K$3000,C84,Однолинейка!$A$3:$A$3000,Щит_спец)),IF(A84="Модуль",IF(C84="","",COUNTIFS(Однолинейка!$AW$3:$AW$3000,"?*",Однолинейка!$AI$3:$AI$3000,C84,Однолинейка!$A$3:$A$3000,Щит_спец)),IF(A84="Клемма",IF(C84="","",IF(C84=$S$7,SUMIFS(Однолинейка!$BW$3:$BW$3000,Однолинейка!$A$3:$A$3000,Щит_спец),IF(C84=$S$8,SUMIFS(Однолинейка!$BX$3:$BX$3000,Однолинейка!$A$3:$A$3000,Щит_спец),""))),""))))</f>
        <v/>
      </c>
      <c r="O84" s="74"/>
      <c r="P84" s="38" t="str">
        <f t="shared" si="9"/>
        <v/>
      </c>
      <c r="U84" s="38" t="str">
        <f t="shared" si="10"/>
        <v/>
      </c>
      <c r="V84" s="38" t="str">
        <f t="shared" si="11"/>
        <v/>
      </c>
      <c r="W84" s="38" t="str">
        <f>IF(AND(U84&lt;&gt;"",OR($S$4="(все)",B84=$S$4),IF($S$4="(все)",COUNTIF($U$4:U84,U84),COUNTIFS($U$4:U84,U84,$B$4:B84,B84))=1),MAX($W$3:W83)+1,"")</f>
        <v/>
      </c>
      <c r="X84" s="38" t="str">
        <f t="shared" si="12"/>
        <v/>
      </c>
      <c r="Y84" s="38" t="str">
        <f>IF(AND(A84="Аппарат",C84&lt;&gt;"",OR($S$5="(все)",B84=$S$5)),MAX($Y$3:Y83)+1,"")</f>
        <v/>
      </c>
      <c r="Z84" s="38" t="str">
        <f t="shared" si="13"/>
        <v/>
      </c>
      <c r="AA84" s="38" t="str">
        <f>IF(AND(A84="Модуль",C84&lt;&gt;"",OR($S$6="(все)",B84=$S$6)),MAX($AA$3:AA83)+1,"")</f>
        <v/>
      </c>
      <c r="AB84" s="38" t="str">
        <f t="shared" si="14"/>
        <v/>
      </c>
      <c r="AC84" s="38" t="str">
        <f>IF(OR(B84="",COUNTIF($B$4:B84,B84)&gt;1),"",MAX($AC$3:AC83)+1)</f>
        <v/>
      </c>
      <c r="AD84" s="38" t="str">
        <f t="shared" si="15"/>
        <v/>
      </c>
      <c r="AE84" s="38" t="str">
        <f t="shared" si="16"/>
        <v/>
      </c>
      <c r="AF84" s="38" t="str">
        <f t="shared" si="17"/>
        <v/>
      </c>
    </row>
    <row r="85" spans="1:32" x14ac:dyDescent="0.3">
      <c r="A85" s="74" t="s">
        <v>702</v>
      </c>
      <c r="B85" s="74" t="s">
        <v>332</v>
      </c>
      <c r="C85" s="74" t="s">
        <v>387</v>
      </c>
      <c r="D85" s="74"/>
      <c r="E85" s="74"/>
      <c r="F85" s="74"/>
      <c r="G85" s="74" t="s">
        <v>384</v>
      </c>
      <c r="H85" s="74" t="s">
        <v>387</v>
      </c>
      <c r="I85" s="74"/>
      <c r="J85" s="74"/>
      <c r="K85" s="74"/>
      <c r="L85" s="74"/>
      <c r="M85" s="74" t="s">
        <v>333</v>
      </c>
      <c r="N85" s="38" t="str">
        <f>IF(OR(A85="Автомат",A85="Дифавтомат"),IF(W85="","",COUNTIFS(Однолинейка!$H$3:$H$3000,U85,Однолинейка!$A$3:$A$3000,Щит_спец)),IF(A85="Аппарат",IF(C85="","",COUNTIFS(Однолинейка!$I$3:$I$3000,C85,Однолинейка!$A$3:$A$3000,Щит_спец)+COUNTIFS(Однолинейка!$J$3:$J$3000,C85,Однолинейка!$A$3:$A$3000,Щит_спец)+COUNTIFS(Однолинейка!$K$3:$K$3000,C85,Однолинейка!$A$3:$A$3000,Щит_спец)),IF(A85="Модуль",IF(C85="","",COUNTIFS(Однолинейка!$AW$3:$AW$3000,"?*",Однолинейка!$AI$3:$AI$3000,C85,Однолинейка!$A$3:$A$3000,Щит_спец)),IF(A85="Клемма",IF(C85="","",IF(C85=$S$7,SUMIFS(Однолинейка!$BW$3:$BW$3000,Однолинейка!$A$3:$A$3000,Щит_спец),IF(C85=$S$8,SUMIFS(Однолинейка!$BX$3:$BX$3000,Однолинейка!$A$3:$A$3000,Щит_спец),""))),""))))</f>
        <v/>
      </c>
      <c r="O85" s="74"/>
      <c r="P85" s="38" t="str">
        <f t="shared" si="9"/>
        <v/>
      </c>
      <c r="U85" s="38" t="str">
        <f t="shared" si="10"/>
        <v/>
      </c>
      <c r="V85" s="38" t="str">
        <f t="shared" si="11"/>
        <v/>
      </c>
      <c r="W85" s="38" t="str">
        <f>IF(AND(U85&lt;&gt;"",OR($S$4="(все)",B85=$S$4),IF($S$4="(все)",COUNTIF($U$4:U85,U85),COUNTIFS($U$4:U85,U85,$B$4:B85,B85))=1),MAX($W$3:W84)+1,"")</f>
        <v/>
      </c>
      <c r="X85" s="38" t="str">
        <f t="shared" si="12"/>
        <v/>
      </c>
      <c r="Y85" s="38" t="str">
        <f>IF(AND(A85="Аппарат",C85&lt;&gt;"",OR($S$5="(все)",B85=$S$5)),MAX($Y$3:Y84)+1,"")</f>
        <v/>
      </c>
      <c r="Z85" s="38" t="str">
        <f t="shared" si="13"/>
        <v/>
      </c>
      <c r="AA85" s="38" t="str">
        <f>IF(AND(A85="Модуль",C85&lt;&gt;"",OR($S$6="(все)",B85=$S$6)),MAX($AA$3:AA84)+1,"")</f>
        <v/>
      </c>
      <c r="AB85" s="38" t="str">
        <f t="shared" si="14"/>
        <v/>
      </c>
      <c r="AC85" s="38" t="str">
        <f>IF(OR(B85="",COUNTIF($B$4:B85,B85)&gt;1),"",MAX($AC$3:AC84)+1)</f>
        <v/>
      </c>
      <c r="AD85" s="38" t="str">
        <f t="shared" si="15"/>
        <v/>
      </c>
      <c r="AE85" s="38" t="str">
        <f t="shared" si="16"/>
        <v/>
      </c>
      <c r="AF85" s="38" t="str">
        <f t="shared" si="17"/>
        <v/>
      </c>
    </row>
    <row r="86" spans="1:32" x14ac:dyDescent="0.3">
      <c r="A86" s="74" t="s">
        <v>702</v>
      </c>
      <c r="B86" s="74" t="s">
        <v>332</v>
      </c>
      <c r="C86" s="74" t="s">
        <v>387</v>
      </c>
      <c r="D86" s="74"/>
      <c r="E86" s="74"/>
      <c r="F86" s="74"/>
      <c r="G86" s="74" t="s">
        <v>385</v>
      </c>
      <c r="H86" s="74" t="s">
        <v>387</v>
      </c>
      <c r="I86" s="74"/>
      <c r="J86" s="74"/>
      <c r="K86" s="74"/>
      <c r="L86" s="74"/>
      <c r="M86" s="74" t="s">
        <v>333</v>
      </c>
      <c r="N86" s="38" t="str">
        <f>IF(OR(A86="Автомат",A86="Дифавтомат"),IF(W86="","",COUNTIFS(Однолинейка!$H$3:$H$3000,U86,Однолинейка!$A$3:$A$3000,Щит_спец)),IF(A86="Аппарат",IF(C86="","",COUNTIFS(Однолинейка!$I$3:$I$3000,C86,Однолинейка!$A$3:$A$3000,Щит_спец)+COUNTIFS(Однолинейка!$J$3:$J$3000,C86,Однолинейка!$A$3:$A$3000,Щит_спец)+COUNTIFS(Однолинейка!$K$3:$K$3000,C86,Однолинейка!$A$3:$A$3000,Щит_спец)),IF(A86="Модуль",IF(C86="","",COUNTIFS(Однолинейка!$AW$3:$AW$3000,"?*",Однолинейка!$AI$3:$AI$3000,C86,Однолинейка!$A$3:$A$3000,Щит_спец)),IF(A86="Клемма",IF(C86="","",IF(C86=$S$7,SUMIFS(Однолинейка!$BW$3:$BW$3000,Однолинейка!$A$3:$A$3000,Щит_спец),IF(C86=$S$8,SUMIFS(Однолинейка!$BX$3:$BX$3000,Однолинейка!$A$3:$A$3000,Щит_спец),""))),""))))</f>
        <v/>
      </c>
      <c r="O86" s="74"/>
      <c r="P86" s="38" t="str">
        <f t="shared" si="9"/>
        <v/>
      </c>
      <c r="U86" s="38" t="str">
        <f t="shared" si="10"/>
        <v/>
      </c>
      <c r="V86" s="38" t="str">
        <f t="shared" si="11"/>
        <v/>
      </c>
      <c r="W86" s="38" t="str">
        <f>IF(AND(U86&lt;&gt;"",OR($S$4="(все)",B86=$S$4),IF($S$4="(все)",COUNTIF($U$4:U86,U86),COUNTIFS($U$4:U86,U86,$B$4:B86,B86))=1),MAX($W$3:W85)+1,"")</f>
        <v/>
      </c>
      <c r="X86" s="38" t="str">
        <f t="shared" si="12"/>
        <v/>
      </c>
      <c r="Y86" s="38" t="str">
        <f>IF(AND(A86="Аппарат",C86&lt;&gt;"",OR($S$5="(все)",B86=$S$5)),MAX($Y$3:Y85)+1,"")</f>
        <v/>
      </c>
      <c r="Z86" s="38" t="str">
        <f t="shared" si="13"/>
        <v/>
      </c>
      <c r="AA86" s="38" t="str">
        <f>IF(AND(A86="Модуль",C86&lt;&gt;"",OR($S$6="(все)",B86=$S$6)),MAX($AA$3:AA85)+1,"")</f>
        <v/>
      </c>
      <c r="AB86" s="38" t="str">
        <f t="shared" si="14"/>
        <v/>
      </c>
      <c r="AC86" s="38" t="str">
        <f>IF(OR(B86="",COUNTIF($B$4:B86,B86)&gt;1),"",MAX($AC$3:AC85)+1)</f>
        <v/>
      </c>
      <c r="AD86" s="38" t="str">
        <f t="shared" si="15"/>
        <v/>
      </c>
      <c r="AE86" s="38" t="str">
        <f t="shared" si="16"/>
        <v/>
      </c>
      <c r="AF86" s="38" t="str">
        <f t="shared" si="17"/>
        <v/>
      </c>
    </row>
    <row r="87" spans="1:32" x14ac:dyDescent="0.3">
      <c r="A87" s="74" t="s">
        <v>702</v>
      </c>
      <c r="B87" s="74" t="s">
        <v>332</v>
      </c>
      <c r="C87" s="74" t="s">
        <v>387</v>
      </c>
      <c r="D87" s="74"/>
      <c r="E87" s="74"/>
      <c r="F87" s="74"/>
      <c r="G87" s="74" t="s">
        <v>386</v>
      </c>
      <c r="H87" s="74" t="s">
        <v>387</v>
      </c>
      <c r="I87" s="74"/>
      <c r="J87" s="74"/>
      <c r="K87" s="74"/>
      <c r="L87" s="74"/>
      <c r="M87" s="74" t="s">
        <v>333</v>
      </c>
      <c r="N87" s="38" t="str">
        <f>IF(OR(A87="Автомат",A87="Дифавтомат"),IF(W87="","",COUNTIFS(Однолинейка!$H$3:$H$3000,U87,Однолинейка!$A$3:$A$3000,Щит_спец)),IF(A87="Аппарат",IF(C87="","",COUNTIFS(Однолинейка!$I$3:$I$3000,C87,Однолинейка!$A$3:$A$3000,Щит_спец)+COUNTIFS(Однолинейка!$J$3:$J$3000,C87,Однолинейка!$A$3:$A$3000,Щит_спец)+COUNTIFS(Однолинейка!$K$3:$K$3000,C87,Однолинейка!$A$3:$A$3000,Щит_спец)),IF(A87="Модуль",IF(C87="","",COUNTIFS(Однолинейка!$AW$3:$AW$3000,"?*",Однолинейка!$AI$3:$AI$3000,C87,Однолинейка!$A$3:$A$3000,Щит_спец)),IF(A87="Клемма",IF(C87="","",IF(C87=$S$7,SUMIFS(Однолинейка!$BW$3:$BW$3000,Однолинейка!$A$3:$A$3000,Щит_спец),IF(C87=$S$8,SUMIFS(Однолинейка!$BX$3:$BX$3000,Однолинейка!$A$3:$A$3000,Щит_спец),""))),""))))</f>
        <v/>
      </c>
      <c r="O87" s="74"/>
      <c r="P87" s="38" t="str">
        <f t="shared" si="9"/>
        <v/>
      </c>
      <c r="U87" s="38" t="str">
        <f t="shared" si="10"/>
        <v/>
      </c>
      <c r="V87" s="38" t="str">
        <f t="shared" si="11"/>
        <v/>
      </c>
      <c r="W87" s="38" t="str">
        <f>IF(AND(U87&lt;&gt;"",OR($S$4="(все)",B87=$S$4),IF($S$4="(все)",COUNTIF($U$4:U87,U87),COUNTIFS($U$4:U87,U87,$B$4:B87,B87))=1),MAX($W$3:W86)+1,"")</f>
        <v/>
      </c>
      <c r="X87" s="38" t="str">
        <f t="shared" si="12"/>
        <v/>
      </c>
      <c r="Y87" s="38" t="str">
        <f>IF(AND(A87="Аппарат",C87&lt;&gt;"",OR($S$5="(все)",B87=$S$5)),MAX($Y$3:Y86)+1,"")</f>
        <v/>
      </c>
      <c r="Z87" s="38" t="str">
        <f t="shared" si="13"/>
        <v/>
      </c>
      <c r="AA87" s="38" t="str">
        <f>IF(AND(A87="Модуль",C87&lt;&gt;"",OR($S$6="(все)",B87=$S$6)),MAX($AA$3:AA86)+1,"")</f>
        <v/>
      </c>
      <c r="AB87" s="38" t="str">
        <f t="shared" si="14"/>
        <v/>
      </c>
      <c r="AC87" s="38" t="str">
        <f>IF(OR(B87="",COUNTIF($B$4:B87,B87)&gt;1),"",MAX($AC$3:AC86)+1)</f>
        <v/>
      </c>
      <c r="AD87" s="38" t="str">
        <f t="shared" si="15"/>
        <v/>
      </c>
      <c r="AE87" s="38" t="str">
        <f t="shared" si="16"/>
        <v/>
      </c>
      <c r="AF87" s="38" t="str">
        <f t="shared" si="17"/>
        <v/>
      </c>
    </row>
    <row r="88" spans="1:32" x14ac:dyDescent="0.3">
      <c r="A88" s="74" t="s">
        <v>613</v>
      </c>
      <c r="B88" s="74" t="s">
        <v>349</v>
      </c>
      <c r="C88" s="74" t="s">
        <v>348</v>
      </c>
      <c r="D88" s="74"/>
      <c r="E88" s="74"/>
      <c r="F88" s="74"/>
      <c r="G88" s="74" t="s">
        <v>347</v>
      </c>
      <c r="H88" s="74" t="s">
        <v>348</v>
      </c>
      <c r="I88" s="74"/>
      <c r="J88" s="74"/>
      <c r="K88" s="74"/>
      <c r="L88" s="74"/>
      <c r="M88" s="74" t="s">
        <v>350</v>
      </c>
      <c r="N88" s="38" t="str">
        <f>IF(OR(A88="Автомат",A88="Дифавтомат"),IF(W88="","",COUNTIFS(Однолинейка!$H$3:$H$3000,U88,Однолинейка!$A$3:$A$3000,Щит_спец)),IF(A88="Аппарат",IF(C88="","",COUNTIFS(Однолинейка!$I$3:$I$3000,C88,Однолинейка!$A$3:$A$3000,Щит_спец)+COUNTIFS(Однолинейка!$J$3:$J$3000,C88,Однолинейка!$A$3:$A$3000,Щит_спец)+COUNTIFS(Однолинейка!$K$3:$K$3000,C88,Однолинейка!$A$3:$A$3000,Щит_спец)),IF(A88="Модуль",IF(C88="","",COUNTIFS(Однолинейка!$AW$3:$AW$3000,"?*",Однолинейка!$AI$3:$AI$3000,C88,Однолинейка!$A$3:$A$3000,Щит_спец)),IF(A88="Клемма",IF(C88="","",IF(C88=$S$7,SUMIFS(Однолинейка!$BW$3:$BW$3000,Однолинейка!$A$3:$A$3000,Щит_спец),IF(C88=$S$8,SUMIFS(Однолинейка!$BX$3:$BX$3000,Однолинейка!$A$3:$A$3000,Щит_спец),""))),""))))</f>
        <v/>
      </c>
      <c r="O88" s="74"/>
      <c r="P88" s="38" t="str">
        <f t="shared" si="9"/>
        <v/>
      </c>
      <c r="U88" s="38" t="str">
        <f t="shared" si="10"/>
        <v/>
      </c>
      <c r="V88" s="38" t="str">
        <f t="shared" si="11"/>
        <v/>
      </c>
      <c r="W88" s="38" t="str">
        <f>IF(AND(U88&lt;&gt;"",OR($S$4="(все)",B88=$S$4),IF($S$4="(все)",COUNTIF($U$4:U88,U88),COUNTIFS($U$4:U88,U88,$B$4:B88,B88))=1),MAX($W$3:W87)+1,"")</f>
        <v/>
      </c>
      <c r="X88" s="38" t="str">
        <f t="shared" si="12"/>
        <v/>
      </c>
      <c r="Y88" s="38" t="str">
        <f>IF(AND(A88="Аппарат",C88&lt;&gt;"",OR($S$5="(все)",B88=$S$5)),MAX($Y$3:Y87)+1,"")</f>
        <v/>
      </c>
      <c r="Z88" s="38" t="str">
        <f t="shared" si="13"/>
        <v/>
      </c>
      <c r="AA88" s="38" t="str">
        <f>IF(AND(A88="Модуль",C88&lt;&gt;"",OR($S$6="(все)",B88=$S$6)),MAX($AA$3:AA87)+1,"")</f>
        <v/>
      </c>
      <c r="AB88" s="38" t="str">
        <f t="shared" si="14"/>
        <v/>
      </c>
      <c r="AC88" s="38">
        <f>IF(OR(B88="",COUNTIF($B$4:B88,B88)&gt;1),"",MAX($AC$3:AC87)+1)</f>
        <v>9</v>
      </c>
      <c r="AD88" s="38" t="str">
        <f t="shared" si="15"/>
        <v/>
      </c>
      <c r="AE88" s="38" t="str">
        <f t="shared" si="16"/>
        <v/>
      </c>
      <c r="AF88" s="38" t="str">
        <f t="shared" si="17"/>
        <v/>
      </c>
    </row>
    <row r="89" spans="1:32" x14ac:dyDescent="0.3">
      <c r="A89" s="74" t="s">
        <v>613</v>
      </c>
      <c r="B89" s="74" t="s">
        <v>349</v>
      </c>
      <c r="C89" s="74" t="s">
        <v>721</v>
      </c>
      <c r="D89" s="74"/>
      <c r="E89" s="74"/>
      <c r="F89" s="74"/>
      <c r="G89" s="74" t="s">
        <v>351</v>
      </c>
      <c r="H89" s="74" t="s">
        <v>721</v>
      </c>
      <c r="I89" s="74"/>
      <c r="J89" s="74"/>
      <c r="K89" s="74"/>
      <c r="L89" s="74"/>
      <c r="M89" s="74" t="s">
        <v>350</v>
      </c>
      <c r="N89" s="38" t="str">
        <f>IF(OR(A89="Автомат",A89="Дифавтомат"),IF(W89="","",COUNTIFS(Однолинейка!$H$3:$H$3000,U89,Однолинейка!$A$3:$A$3000,Щит_спец)),IF(A89="Аппарат",IF(C89="","",COUNTIFS(Однолинейка!$I$3:$I$3000,C89,Однолинейка!$A$3:$A$3000,Щит_спец)+COUNTIFS(Однолинейка!$J$3:$J$3000,C89,Однолинейка!$A$3:$A$3000,Щит_спец)+COUNTIFS(Однолинейка!$K$3:$K$3000,C89,Однолинейка!$A$3:$A$3000,Щит_спец)),IF(A89="Модуль",IF(C89="","",COUNTIFS(Однолинейка!$AW$3:$AW$3000,"?*",Однолинейка!$AI$3:$AI$3000,C89,Однолинейка!$A$3:$A$3000,Щит_спец)),IF(A89="Клемма",IF(C89="","",IF(C89=$S$7,SUMIFS(Однолинейка!$BW$3:$BW$3000,Однолинейка!$A$3:$A$3000,Щит_спец),IF(C89=$S$8,SUMIFS(Однолинейка!$BX$3:$BX$3000,Однолинейка!$A$3:$A$3000,Щит_спец),""))),""))))</f>
        <v/>
      </c>
      <c r="O89" s="74"/>
      <c r="P89" s="38" t="str">
        <f t="shared" si="9"/>
        <v/>
      </c>
      <c r="U89" s="38" t="str">
        <f t="shared" si="10"/>
        <v/>
      </c>
      <c r="V89" s="38" t="str">
        <f t="shared" si="11"/>
        <v/>
      </c>
      <c r="W89" s="38" t="str">
        <f>IF(AND(U89&lt;&gt;"",OR($S$4="(все)",B89=$S$4),IF($S$4="(все)",COUNTIF($U$4:U89,U89),COUNTIFS($U$4:U89,U89,$B$4:B89,B89))=1),MAX($W$3:W88)+1,"")</f>
        <v/>
      </c>
      <c r="X89" s="38" t="str">
        <f t="shared" si="12"/>
        <v/>
      </c>
      <c r="Y89" s="38" t="str">
        <f>IF(AND(A89="Аппарат",C89&lt;&gt;"",OR($S$5="(все)",B89=$S$5)),MAX($Y$3:Y88)+1,"")</f>
        <v/>
      </c>
      <c r="Z89" s="38" t="str">
        <f t="shared" si="13"/>
        <v/>
      </c>
      <c r="AA89" s="38" t="str">
        <f>IF(AND(A89="Модуль",C89&lt;&gt;"",OR($S$6="(все)",B89=$S$6)),MAX($AA$3:AA88)+1,"")</f>
        <v/>
      </c>
      <c r="AB89" s="38" t="str">
        <f t="shared" si="14"/>
        <v/>
      </c>
      <c r="AC89" s="38" t="str">
        <f>IF(OR(B89="",COUNTIF($B$4:B89,B89)&gt;1),"",MAX($AC$3:AC88)+1)</f>
        <v/>
      </c>
      <c r="AD89" s="38" t="str">
        <f t="shared" si="15"/>
        <v/>
      </c>
      <c r="AE89" s="38" t="str">
        <f t="shared" si="16"/>
        <v/>
      </c>
      <c r="AF89" s="38" t="str">
        <f t="shared" si="17"/>
        <v/>
      </c>
    </row>
    <row r="90" spans="1:32" x14ac:dyDescent="0.3">
      <c r="A90" s="74" t="s">
        <v>613</v>
      </c>
      <c r="B90" s="74" t="s">
        <v>349</v>
      </c>
      <c r="C90" s="74" t="s">
        <v>722</v>
      </c>
      <c r="D90" s="74"/>
      <c r="E90" s="74"/>
      <c r="F90" s="74"/>
      <c r="G90" s="74" t="s">
        <v>352</v>
      </c>
      <c r="H90" s="74" t="s">
        <v>722</v>
      </c>
      <c r="I90" s="74"/>
      <c r="J90" s="74"/>
      <c r="K90" s="74"/>
      <c r="L90" s="74"/>
      <c r="M90" s="74" t="s">
        <v>350</v>
      </c>
      <c r="N90" s="38" t="str">
        <f>IF(OR(A90="Автомат",A90="Дифавтомат"),IF(W90="","",COUNTIFS(Однолинейка!$H$3:$H$3000,U90,Однолинейка!$A$3:$A$3000,Щит_спец)),IF(A90="Аппарат",IF(C90="","",COUNTIFS(Однолинейка!$I$3:$I$3000,C90,Однолинейка!$A$3:$A$3000,Щит_спец)+COUNTIFS(Однолинейка!$J$3:$J$3000,C90,Однолинейка!$A$3:$A$3000,Щит_спец)+COUNTIFS(Однолинейка!$K$3:$K$3000,C90,Однолинейка!$A$3:$A$3000,Щит_спец)),IF(A90="Модуль",IF(C90="","",COUNTIFS(Однолинейка!$AW$3:$AW$3000,"?*",Однолинейка!$AI$3:$AI$3000,C90,Однолинейка!$A$3:$A$3000,Щит_спец)),IF(A90="Клемма",IF(C90="","",IF(C90=$S$7,SUMIFS(Однолинейка!$BW$3:$BW$3000,Однолинейка!$A$3:$A$3000,Щит_спец),IF(C90=$S$8,SUMIFS(Однолинейка!$BX$3:$BX$3000,Однолинейка!$A$3:$A$3000,Щит_спец),""))),""))))</f>
        <v/>
      </c>
      <c r="O90" s="74"/>
      <c r="P90" s="38" t="str">
        <f t="shared" si="9"/>
        <v/>
      </c>
      <c r="U90" s="38" t="str">
        <f t="shared" si="10"/>
        <v/>
      </c>
      <c r="V90" s="38" t="str">
        <f t="shared" si="11"/>
        <v/>
      </c>
      <c r="W90" s="38" t="str">
        <f>IF(AND(U90&lt;&gt;"",OR($S$4="(все)",B90=$S$4),IF($S$4="(все)",COUNTIF($U$4:U90,U90),COUNTIFS($U$4:U90,U90,$B$4:B90,B90))=1),MAX($W$3:W89)+1,"")</f>
        <v/>
      </c>
      <c r="X90" s="38" t="str">
        <f t="shared" si="12"/>
        <v/>
      </c>
      <c r="Y90" s="38" t="str">
        <f>IF(AND(A90="Аппарат",C90&lt;&gt;"",OR($S$5="(все)",B90=$S$5)),MAX($Y$3:Y89)+1,"")</f>
        <v/>
      </c>
      <c r="Z90" s="38" t="str">
        <f t="shared" si="13"/>
        <v/>
      </c>
      <c r="AA90" s="38" t="str">
        <f>IF(AND(A90="Модуль",C90&lt;&gt;"",OR($S$6="(все)",B90=$S$6)),MAX($AA$3:AA89)+1,"")</f>
        <v/>
      </c>
      <c r="AB90" s="38" t="str">
        <f t="shared" si="14"/>
        <v/>
      </c>
      <c r="AC90" s="38" t="str">
        <f>IF(OR(B90="",COUNTIF($B$4:B90,B90)&gt;1),"",MAX($AC$3:AC89)+1)</f>
        <v/>
      </c>
      <c r="AD90" s="38" t="str">
        <f t="shared" si="15"/>
        <v/>
      </c>
      <c r="AE90" s="38" t="str">
        <f t="shared" si="16"/>
        <v/>
      </c>
      <c r="AF90" s="38" t="str">
        <f t="shared" si="17"/>
        <v/>
      </c>
    </row>
    <row r="91" spans="1:32" x14ac:dyDescent="0.3">
      <c r="A91" s="74" t="s">
        <v>613</v>
      </c>
      <c r="B91" s="74" t="s">
        <v>349</v>
      </c>
      <c r="C91" s="74" t="s">
        <v>354</v>
      </c>
      <c r="D91" s="74"/>
      <c r="E91" s="74"/>
      <c r="F91" s="74"/>
      <c r="G91" s="74" t="s">
        <v>353</v>
      </c>
      <c r="H91" s="74" t="s">
        <v>354</v>
      </c>
      <c r="I91" s="74"/>
      <c r="J91" s="74"/>
      <c r="K91" s="74"/>
      <c r="L91" s="74"/>
      <c r="M91" s="74" t="s">
        <v>350</v>
      </c>
      <c r="N91" s="38" t="str">
        <f>IF(OR(A91="Автомат",A91="Дифавтомат"),IF(W91="","",COUNTIFS(Однолинейка!$H$3:$H$3000,U91,Однолинейка!$A$3:$A$3000,Щит_спец)),IF(A91="Аппарат",IF(C91="","",COUNTIFS(Однолинейка!$I$3:$I$3000,C91,Однолинейка!$A$3:$A$3000,Щит_спец)+COUNTIFS(Однолинейка!$J$3:$J$3000,C91,Однолинейка!$A$3:$A$3000,Щит_спец)+COUNTIFS(Однолинейка!$K$3:$K$3000,C91,Однолинейка!$A$3:$A$3000,Щит_спец)),IF(A91="Модуль",IF(C91="","",COUNTIFS(Однолинейка!$AW$3:$AW$3000,"?*",Однолинейка!$AI$3:$AI$3000,C91,Однолинейка!$A$3:$A$3000,Щит_спец)),IF(A91="Клемма",IF(C91="","",IF(C91=$S$7,SUMIFS(Однолинейка!$BW$3:$BW$3000,Однолинейка!$A$3:$A$3000,Щит_спец),IF(C91=$S$8,SUMIFS(Однолинейка!$BX$3:$BX$3000,Однолинейка!$A$3:$A$3000,Щит_спец),""))),""))))</f>
        <v/>
      </c>
      <c r="O91" s="74"/>
      <c r="P91" s="38" t="str">
        <f t="shared" si="9"/>
        <v/>
      </c>
      <c r="U91" s="38" t="str">
        <f t="shared" si="10"/>
        <v/>
      </c>
      <c r="V91" s="38" t="str">
        <f t="shared" si="11"/>
        <v/>
      </c>
      <c r="W91" s="38" t="str">
        <f>IF(AND(U91&lt;&gt;"",OR($S$4="(все)",B91=$S$4),IF($S$4="(все)",COUNTIF($U$4:U91,U91),COUNTIFS($U$4:U91,U91,$B$4:B91,B91))=1),MAX($W$3:W90)+1,"")</f>
        <v/>
      </c>
      <c r="X91" s="38" t="str">
        <f t="shared" si="12"/>
        <v/>
      </c>
      <c r="Y91" s="38" t="str">
        <f>IF(AND(A91="Аппарат",C91&lt;&gt;"",OR($S$5="(все)",B91=$S$5)),MAX($Y$3:Y90)+1,"")</f>
        <v/>
      </c>
      <c r="Z91" s="38" t="str">
        <f t="shared" si="13"/>
        <v/>
      </c>
      <c r="AA91" s="38" t="str">
        <f>IF(AND(A91="Модуль",C91&lt;&gt;"",OR($S$6="(все)",B91=$S$6)),MAX($AA$3:AA90)+1,"")</f>
        <v/>
      </c>
      <c r="AB91" s="38" t="str">
        <f t="shared" si="14"/>
        <v/>
      </c>
      <c r="AC91" s="38" t="str">
        <f>IF(OR(B91="",COUNTIF($B$4:B91,B91)&gt;1),"",MAX($AC$3:AC90)+1)</f>
        <v/>
      </c>
      <c r="AD91" s="38" t="str">
        <f t="shared" si="15"/>
        <v/>
      </c>
      <c r="AE91" s="38" t="str">
        <f t="shared" si="16"/>
        <v/>
      </c>
      <c r="AF91" s="38" t="str">
        <f t="shared" si="17"/>
        <v/>
      </c>
    </row>
    <row r="92" spans="1:32" x14ac:dyDescent="0.3">
      <c r="A92" s="74" t="s">
        <v>613</v>
      </c>
      <c r="B92" s="74" t="s">
        <v>349</v>
      </c>
      <c r="C92" s="74" t="s">
        <v>356</v>
      </c>
      <c r="D92" s="74"/>
      <c r="E92" s="74"/>
      <c r="F92" s="74"/>
      <c r="G92" s="74" t="s">
        <v>355</v>
      </c>
      <c r="H92" s="74" t="s">
        <v>356</v>
      </c>
      <c r="I92" s="74"/>
      <c r="J92" s="74"/>
      <c r="K92" s="74"/>
      <c r="L92" s="74"/>
      <c r="M92" s="74" t="s">
        <v>350</v>
      </c>
      <c r="N92" s="38" t="str">
        <f>IF(OR(A92="Автомат",A92="Дифавтомат"),IF(W92="","",COUNTIFS(Однолинейка!$H$3:$H$3000,U92,Однолинейка!$A$3:$A$3000,Щит_спец)),IF(A92="Аппарат",IF(C92="","",COUNTIFS(Однолинейка!$I$3:$I$3000,C92,Однолинейка!$A$3:$A$3000,Щит_спец)+COUNTIFS(Однолинейка!$J$3:$J$3000,C92,Однолинейка!$A$3:$A$3000,Щит_спец)+COUNTIFS(Однолинейка!$K$3:$K$3000,C92,Однолинейка!$A$3:$A$3000,Щит_спец)),IF(A92="Модуль",IF(C92="","",COUNTIFS(Однолинейка!$AW$3:$AW$3000,"?*",Однолинейка!$AI$3:$AI$3000,C92,Однолинейка!$A$3:$A$3000,Щит_спец)),IF(A92="Клемма",IF(C92="","",IF(C92=$S$7,SUMIFS(Однолинейка!$BW$3:$BW$3000,Однолинейка!$A$3:$A$3000,Щит_спец),IF(C92=$S$8,SUMIFS(Однолинейка!$BX$3:$BX$3000,Однолинейка!$A$3:$A$3000,Щит_спец),""))),""))))</f>
        <v/>
      </c>
      <c r="O92" s="74"/>
      <c r="P92" s="38" t="str">
        <f t="shared" si="9"/>
        <v/>
      </c>
      <c r="U92" s="38" t="str">
        <f t="shared" si="10"/>
        <v/>
      </c>
      <c r="V92" s="38" t="str">
        <f t="shared" si="11"/>
        <v/>
      </c>
      <c r="W92" s="38" t="str">
        <f>IF(AND(U92&lt;&gt;"",OR($S$4="(все)",B92=$S$4),IF($S$4="(все)",COUNTIF($U$4:U92,U92),COUNTIFS($U$4:U92,U92,$B$4:B92,B92))=1),MAX($W$3:W91)+1,"")</f>
        <v/>
      </c>
      <c r="X92" s="38" t="str">
        <f t="shared" si="12"/>
        <v/>
      </c>
      <c r="Y92" s="38" t="str">
        <f>IF(AND(A92="Аппарат",C92&lt;&gt;"",OR($S$5="(все)",B92=$S$5)),MAX($Y$3:Y91)+1,"")</f>
        <v/>
      </c>
      <c r="Z92" s="38" t="str">
        <f t="shared" si="13"/>
        <v/>
      </c>
      <c r="AA92" s="38" t="str">
        <f>IF(AND(A92="Модуль",C92&lt;&gt;"",OR($S$6="(все)",B92=$S$6)),MAX($AA$3:AA91)+1,"")</f>
        <v/>
      </c>
      <c r="AB92" s="38" t="str">
        <f t="shared" si="14"/>
        <v/>
      </c>
      <c r="AC92" s="38" t="str">
        <f>IF(OR(B92="",COUNTIF($B$4:B92,B92)&gt;1),"",MAX($AC$3:AC91)+1)</f>
        <v/>
      </c>
      <c r="AD92" s="38" t="str">
        <f t="shared" si="15"/>
        <v/>
      </c>
      <c r="AE92" s="38" t="str">
        <f t="shared" si="16"/>
        <v/>
      </c>
      <c r="AF92" s="38" t="str">
        <f t="shared" si="17"/>
        <v/>
      </c>
    </row>
    <row r="93" spans="1:32" x14ac:dyDescent="0.3">
      <c r="A93" s="74" t="s">
        <v>613</v>
      </c>
      <c r="B93" s="74" t="s">
        <v>349</v>
      </c>
      <c r="C93" s="74" t="s">
        <v>358</v>
      </c>
      <c r="D93" s="74"/>
      <c r="E93" s="74"/>
      <c r="F93" s="74"/>
      <c r="G93" s="74" t="s">
        <v>357</v>
      </c>
      <c r="H93" s="74" t="s">
        <v>358</v>
      </c>
      <c r="I93" s="74"/>
      <c r="J93" s="74"/>
      <c r="K93" s="74"/>
      <c r="L93" s="74"/>
      <c r="M93" s="74" t="s">
        <v>350</v>
      </c>
      <c r="N93" s="38" t="str">
        <f>IF(OR(A93="Автомат",A93="Дифавтомат"),IF(W93="","",COUNTIFS(Однолинейка!$H$3:$H$3000,U93,Однолинейка!$A$3:$A$3000,Щит_спец)),IF(A93="Аппарат",IF(C93="","",COUNTIFS(Однолинейка!$I$3:$I$3000,C93,Однолинейка!$A$3:$A$3000,Щит_спец)+COUNTIFS(Однолинейка!$J$3:$J$3000,C93,Однолинейка!$A$3:$A$3000,Щит_спец)+COUNTIFS(Однолинейка!$K$3:$K$3000,C93,Однолинейка!$A$3:$A$3000,Щит_спец)),IF(A93="Модуль",IF(C93="","",COUNTIFS(Однолинейка!$AW$3:$AW$3000,"?*",Однолинейка!$AI$3:$AI$3000,C93,Однолинейка!$A$3:$A$3000,Щит_спец)),IF(A93="Клемма",IF(C93="","",IF(C93=$S$7,SUMIFS(Однолинейка!$BW$3:$BW$3000,Однолинейка!$A$3:$A$3000,Щит_спец),IF(C93=$S$8,SUMIFS(Однолинейка!$BX$3:$BX$3000,Однолинейка!$A$3:$A$3000,Щит_спец),""))),""))))</f>
        <v/>
      </c>
      <c r="O93" s="74"/>
      <c r="P93" s="38" t="str">
        <f t="shared" si="9"/>
        <v/>
      </c>
      <c r="U93" s="38" t="str">
        <f t="shared" si="10"/>
        <v/>
      </c>
      <c r="V93" s="38" t="str">
        <f t="shared" si="11"/>
        <v/>
      </c>
      <c r="W93" s="38" t="str">
        <f>IF(AND(U93&lt;&gt;"",OR($S$4="(все)",B93=$S$4),IF($S$4="(все)",COUNTIF($U$4:U93,U93),COUNTIFS($U$4:U93,U93,$B$4:B93,B93))=1),MAX($W$3:W92)+1,"")</f>
        <v/>
      </c>
      <c r="X93" s="38" t="str">
        <f t="shared" si="12"/>
        <v/>
      </c>
      <c r="Y93" s="38" t="str">
        <f>IF(AND(A93="Аппарат",C93&lt;&gt;"",OR($S$5="(все)",B93=$S$5)),MAX($Y$3:Y92)+1,"")</f>
        <v/>
      </c>
      <c r="Z93" s="38" t="str">
        <f t="shared" si="13"/>
        <v/>
      </c>
      <c r="AA93" s="38" t="str">
        <f>IF(AND(A93="Модуль",C93&lt;&gt;"",OR($S$6="(все)",B93=$S$6)),MAX($AA$3:AA92)+1,"")</f>
        <v/>
      </c>
      <c r="AB93" s="38" t="str">
        <f t="shared" si="14"/>
        <v/>
      </c>
      <c r="AC93" s="38" t="str">
        <f>IF(OR(B93="",COUNTIF($B$4:B93,B93)&gt;1),"",MAX($AC$3:AC92)+1)</f>
        <v/>
      </c>
      <c r="AD93" s="38" t="str">
        <f t="shared" si="15"/>
        <v/>
      </c>
      <c r="AE93" s="38" t="str">
        <f t="shared" si="16"/>
        <v/>
      </c>
      <c r="AF93" s="38" t="str">
        <f t="shared" si="17"/>
        <v/>
      </c>
    </row>
    <row r="94" spans="1:32" x14ac:dyDescent="0.3">
      <c r="A94" s="74" t="s">
        <v>613</v>
      </c>
      <c r="B94" s="74" t="s">
        <v>349</v>
      </c>
      <c r="C94" s="74" t="s">
        <v>723</v>
      </c>
      <c r="D94" s="74"/>
      <c r="E94" s="74"/>
      <c r="F94" s="74"/>
      <c r="G94" s="74" t="s">
        <v>388</v>
      </c>
      <c r="H94" s="74" t="s">
        <v>723</v>
      </c>
      <c r="I94" s="74"/>
      <c r="J94" s="74"/>
      <c r="K94" s="74"/>
      <c r="L94" s="74"/>
      <c r="M94" s="74" t="s">
        <v>288</v>
      </c>
      <c r="N94" s="38" t="str">
        <f>IF(OR(A94="Автомат",A94="Дифавтомат"),IF(W94="","",COUNTIFS(Однолинейка!$H$3:$H$3000,U94,Однолинейка!$A$3:$A$3000,Щит_спец)),IF(A94="Аппарат",IF(C94="","",COUNTIFS(Однолинейка!$I$3:$I$3000,C94,Однолинейка!$A$3:$A$3000,Щит_спец)+COUNTIFS(Однолинейка!$J$3:$J$3000,C94,Однолинейка!$A$3:$A$3000,Щит_спец)+COUNTIFS(Однолинейка!$K$3:$K$3000,C94,Однолинейка!$A$3:$A$3000,Щит_спец)),IF(A94="Модуль",IF(C94="","",COUNTIFS(Однолинейка!$AW$3:$AW$3000,"?*",Однолинейка!$AI$3:$AI$3000,C94,Однолинейка!$A$3:$A$3000,Щит_спец)),IF(A94="Клемма",IF(C94="","",IF(C94=$S$7,SUMIFS(Однолинейка!$BW$3:$BW$3000,Однолинейка!$A$3:$A$3000,Щит_спец),IF(C94=$S$8,SUMIFS(Однолинейка!$BX$3:$BX$3000,Однолинейка!$A$3:$A$3000,Щит_спец),""))),""))))</f>
        <v/>
      </c>
      <c r="O94" s="74"/>
      <c r="P94" s="38" t="str">
        <f t="shared" si="9"/>
        <v/>
      </c>
      <c r="U94" s="38" t="str">
        <f t="shared" si="10"/>
        <v/>
      </c>
      <c r="V94" s="38" t="str">
        <f t="shared" si="11"/>
        <v/>
      </c>
      <c r="W94" s="38" t="str">
        <f>IF(AND(U94&lt;&gt;"",OR($S$4="(все)",B94=$S$4),IF($S$4="(все)",COUNTIF($U$4:U94,U94),COUNTIFS($U$4:U94,U94,$B$4:B94,B94))=1),MAX($W$3:W93)+1,"")</f>
        <v/>
      </c>
      <c r="X94" s="38" t="str">
        <f t="shared" si="12"/>
        <v/>
      </c>
      <c r="Y94" s="38" t="str">
        <f>IF(AND(A94="Аппарат",C94&lt;&gt;"",OR($S$5="(все)",B94=$S$5)),MAX($Y$3:Y93)+1,"")</f>
        <v/>
      </c>
      <c r="Z94" s="38" t="str">
        <f t="shared" si="13"/>
        <v/>
      </c>
      <c r="AA94" s="38" t="str">
        <f>IF(AND(A94="Модуль",C94&lt;&gt;"",OR($S$6="(все)",B94=$S$6)),MAX($AA$3:AA93)+1,"")</f>
        <v/>
      </c>
      <c r="AB94" s="38" t="str">
        <f t="shared" si="14"/>
        <v/>
      </c>
      <c r="AC94" s="38" t="str">
        <f>IF(OR(B94="",COUNTIF($B$4:B94,B94)&gt;1),"",MAX($AC$3:AC93)+1)</f>
        <v/>
      </c>
      <c r="AD94" s="38" t="str">
        <f t="shared" si="15"/>
        <v/>
      </c>
      <c r="AE94" s="38" t="str">
        <f t="shared" si="16"/>
        <v/>
      </c>
      <c r="AF94" s="38" t="str">
        <f t="shared" si="17"/>
        <v/>
      </c>
    </row>
    <row r="95" spans="1:32" x14ac:dyDescent="0.3">
      <c r="A95" s="74" t="s">
        <v>613</v>
      </c>
      <c r="B95" s="74" t="s">
        <v>349</v>
      </c>
      <c r="C95" s="74" t="s">
        <v>724</v>
      </c>
      <c r="D95" s="74"/>
      <c r="E95" s="74"/>
      <c r="F95" s="74"/>
      <c r="G95" s="74" t="s">
        <v>389</v>
      </c>
      <c r="H95" s="74" t="s">
        <v>724</v>
      </c>
      <c r="I95" s="74"/>
      <c r="J95" s="74"/>
      <c r="K95" s="74"/>
      <c r="L95" s="74"/>
      <c r="M95" s="74" t="s">
        <v>288</v>
      </c>
      <c r="N95" s="38" t="str">
        <f>IF(OR(A95="Автомат",A95="Дифавтомат"),IF(W95="","",COUNTIFS(Однолинейка!$H$3:$H$3000,U95,Однолинейка!$A$3:$A$3000,Щит_спец)),IF(A95="Аппарат",IF(C95="","",COUNTIFS(Однолинейка!$I$3:$I$3000,C95,Однолинейка!$A$3:$A$3000,Щит_спец)+COUNTIFS(Однолинейка!$J$3:$J$3000,C95,Однолинейка!$A$3:$A$3000,Щит_спец)+COUNTIFS(Однолинейка!$K$3:$K$3000,C95,Однолинейка!$A$3:$A$3000,Щит_спец)),IF(A95="Модуль",IF(C95="","",COUNTIFS(Однолинейка!$AW$3:$AW$3000,"?*",Однолинейка!$AI$3:$AI$3000,C95,Однолинейка!$A$3:$A$3000,Щит_спец)),IF(A95="Клемма",IF(C95="","",IF(C95=$S$7,SUMIFS(Однолинейка!$BW$3:$BW$3000,Однолинейка!$A$3:$A$3000,Щит_спец),IF(C95=$S$8,SUMIFS(Однолинейка!$BX$3:$BX$3000,Однолинейка!$A$3:$A$3000,Щит_спец),""))),""))))</f>
        <v/>
      </c>
      <c r="O95" s="74"/>
      <c r="P95" s="38" t="str">
        <f t="shared" si="9"/>
        <v/>
      </c>
      <c r="U95" s="38" t="str">
        <f t="shared" si="10"/>
        <v/>
      </c>
      <c r="V95" s="38" t="str">
        <f t="shared" si="11"/>
        <v/>
      </c>
      <c r="W95" s="38" t="str">
        <f>IF(AND(U95&lt;&gt;"",OR($S$4="(все)",B95=$S$4),IF($S$4="(все)",COUNTIF($U$4:U95,U95),COUNTIFS($U$4:U95,U95,$B$4:B95,B95))=1),MAX($W$3:W94)+1,"")</f>
        <v/>
      </c>
      <c r="X95" s="38" t="str">
        <f t="shared" si="12"/>
        <v/>
      </c>
      <c r="Y95" s="38" t="str">
        <f>IF(AND(A95="Аппарат",C95&lt;&gt;"",OR($S$5="(все)",B95=$S$5)),MAX($Y$3:Y94)+1,"")</f>
        <v/>
      </c>
      <c r="Z95" s="38" t="str">
        <f t="shared" si="13"/>
        <v/>
      </c>
      <c r="AA95" s="38" t="str">
        <f>IF(AND(A95="Модуль",C95&lt;&gt;"",OR($S$6="(все)",B95=$S$6)),MAX($AA$3:AA94)+1,"")</f>
        <v/>
      </c>
      <c r="AB95" s="38" t="str">
        <f t="shared" si="14"/>
        <v/>
      </c>
      <c r="AC95" s="38" t="str">
        <f>IF(OR(B95="",COUNTIF($B$4:B95,B95)&gt;1),"",MAX($AC$3:AC94)+1)</f>
        <v/>
      </c>
      <c r="AD95" s="38" t="str">
        <f t="shared" si="15"/>
        <v/>
      </c>
      <c r="AE95" s="38" t="str">
        <f t="shared" si="16"/>
        <v/>
      </c>
      <c r="AF95" s="38" t="str">
        <f t="shared" si="17"/>
        <v/>
      </c>
    </row>
    <row r="96" spans="1:32" x14ac:dyDescent="0.3">
      <c r="A96" s="74" t="s">
        <v>613</v>
      </c>
      <c r="B96" s="74" t="s">
        <v>305</v>
      </c>
      <c r="C96" s="74" t="s">
        <v>360</v>
      </c>
      <c r="D96" s="74"/>
      <c r="E96" s="74"/>
      <c r="F96" s="74"/>
      <c r="G96" s="74" t="s">
        <v>359</v>
      </c>
      <c r="H96" s="74" t="s">
        <v>360</v>
      </c>
      <c r="I96" s="74"/>
      <c r="J96" s="74"/>
      <c r="K96" s="74"/>
      <c r="L96" s="74"/>
      <c r="M96" s="74" t="s">
        <v>288</v>
      </c>
      <c r="N96" s="38" t="str">
        <f>IF(OR(A96="Автомат",A96="Дифавтомат"),IF(W96="","",COUNTIFS(Однолинейка!$H$3:$H$3000,U96,Однолинейка!$A$3:$A$3000,Щит_спец)),IF(A96="Аппарат",IF(C96="","",COUNTIFS(Однолинейка!$I$3:$I$3000,C96,Однолинейка!$A$3:$A$3000,Щит_спец)+COUNTIFS(Однолинейка!$J$3:$J$3000,C96,Однолинейка!$A$3:$A$3000,Щит_спец)+COUNTIFS(Однолинейка!$K$3:$K$3000,C96,Однолинейка!$A$3:$A$3000,Щит_спец)),IF(A96="Модуль",IF(C96="","",COUNTIFS(Однолинейка!$AW$3:$AW$3000,"?*",Однолинейка!$AI$3:$AI$3000,C96,Однолинейка!$A$3:$A$3000,Щит_спец)),IF(A96="Клемма",IF(C96="","",IF(C96=$S$7,SUMIFS(Однолинейка!$BW$3:$BW$3000,Однолинейка!$A$3:$A$3000,Щит_спец),IF(C96=$S$8,SUMIFS(Однолинейка!$BX$3:$BX$3000,Однолинейка!$A$3:$A$3000,Щит_спец),""))),""))))</f>
        <v/>
      </c>
      <c r="O96" s="74"/>
      <c r="P96" s="38" t="str">
        <f t="shared" si="9"/>
        <v/>
      </c>
      <c r="U96" s="38" t="str">
        <f t="shared" si="10"/>
        <v/>
      </c>
      <c r="V96" s="38" t="str">
        <f t="shared" si="11"/>
        <v/>
      </c>
      <c r="W96" s="38" t="str">
        <f>IF(AND(U96&lt;&gt;"",OR($S$4="(все)",B96=$S$4),IF($S$4="(все)",COUNTIF($U$4:U96,U96),COUNTIFS($U$4:U96,U96,$B$4:B96,B96))=1),MAX($W$3:W95)+1,"")</f>
        <v/>
      </c>
      <c r="X96" s="38" t="str">
        <f t="shared" si="12"/>
        <v/>
      </c>
      <c r="Y96" s="38" t="str">
        <f>IF(AND(A96="Аппарат",C96&lt;&gt;"",OR($S$5="(все)",B96=$S$5)),MAX($Y$3:Y95)+1,"")</f>
        <v/>
      </c>
      <c r="Z96" s="38" t="str">
        <f t="shared" si="13"/>
        <v/>
      </c>
      <c r="AA96" s="38" t="str">
        <f>IF(AND(A96="Модуль",C96&lt;&gt;"",OR($S$6="(все)",B96=$S$6)),MAX($AA$3:AA95)+1,"")</f>
        <v/>
      </c>
      <c r="AB96" s="38" t="str">
        <f t="shared" si="14"/>
        <v/>
      </c>
      <c r="AC96" s="38" t="str">
        <f>IF(OR(B96="",COUNTIF($B$4:B96,B96)&gt;1),"",MAX($AC$3:AC95)+1)</f>
        <v/>
      </c>
      <c r="AD96" s="38" t="str">
        <f t="shared" si="15"/>
        <v/>
      </c>
      <c r="AE96" s="38" t="str">
        <f t="shared" si="16"/>
        <v/>
      </c>
      <c r="AF96" s="38" t="str">
        <f t="shared" si="17"/>
        <v/>
      </c>
    </row>
    <row r="97" spans="1:32" x14ac:dyDescent="0.3">
      <c r="A97" s="74" t="s">
        <v>613</v>
      </c>
      <c r="B97" s="74" t="s">
        <v>285</v>
      </c>
      <c r="C97" s="74" t="s">
        <v>362</v>
      </c>
      <c r="D97" s="74"/>
      <c r="E97" s="74"/>
      <c r="F97" s="74"/>
      <c r="G97" s="74" t="s">
        <v>361</v>
      </c>
      <c r="H97" s="74" t="s">
        <v>362</v>
      </c>
      <c r="I97" s="74"/>
      <c r="J97" s="74"/>
      <c r="K97" s="74"/>
      <c r="L97" s="74"/>
      <c r="M97" s="74" t="s">
        <v>288</v>
      </c>
      <c r="N97" s="38" t="str">
        <f>IF(OR(A97="Автомат",A97="Дифавтомат"),IF(W97="","",COUNTIFS(Однолинейка!$H$3:$H$3000,U97,Однолинейка!$A$3:$A$3000,Щит_спец)),IF(A97="Аппарат",IF(C97="","",COUNTIFS(Однолинейка!$I$3:$I$3000,C97,Однолинейка!$A$3:$A$3000,Щит_спец)+COUNTIFS(Однолинейка!$J$3:$J$3000,C97,Однолинейка!$A$3:$A$3000,Щит_спец)+COUNTIFS(Однолинейка!$K$3:$K$3000,C97,Однолинейка!$A$3:$A$3000,Щит_спец)),IF(A97="Модуль",IF(C97="","",COUNTIFS(Однолинейка!$AW$3:$AW$3000,"?*",Однолинейка!$AI$3:$AI$3000,C97,Однолинейка!$A$3:$A$3000,Щит_спец)),IF(A97="Клемма",IF(C97="","",IF(C97=$S$7,SUMIFS(Однолинейка!$BW$3:$BW$3000,Однолинейка!$A$3:$A$3000,Щит_спец),IF(C97=$S$8,SUMIFS(Однолинейка!$BX$3:$BX$3000,Однолинейка!$A$3:$A$3000,Щит_спец),""))),""))))</f>
        <v/>
      </c>
      <c r="O97" s="74"/>
      <c r="P97" s="38" t="str">
        <f t="shared" si="9"/>
        <v/>
      </c>
      <c r="U97" s="38" t="str">
        <f t="shared" si="10"/>
        <v/>
      </c>
      <c r="V97" s="38" t="str">
        <f t="shared" si="11"/>
        <v/>
      </c>
      <c r="W97" s="38" t="str">
        <f>IF(AND(U97&lt;&gt;"",OR($S$4="(все)",B97=$S$4),IF($S$4="(все)",COUNTIF($U$4:U97,U97),COUNTIFS($U$4:U97,U97,$B$4:B97,B97))=1),MAX($W$3:W96)+1,"")</f>
        <v/>
      </c>
      <c r="X97" s="38" t="str">
        <f t="shared" si="12"/>
        <v/>
      </c>
      <c r="Y97" s="38" t="str">
        <f>IF(AND(A97="Аппарат",C97&lt;&gt;"",OR($S$5="(все)",B97=$S$5)),MAX($Y$3:Y96)+1,"")</f>
        <v/>
      </c>
      <c r="Z97" s="38" t="str">
        <f t="shared" si="13"/>
        <v/>
      </c>
      <c r="AA97" s="38" t="str">
        <f>IF(AND(A97="Модуль",C97&lt;&gt;"",OR($S$6="(все)",B97=$S$6)),MAX($AA$3:AA96)+1,"")</f>
        <v/>
      </c>
      <c r="AB97" s="38" t="str">
        <f t="shared" si="14"/>
        <v/>
      </c>
      <c r="AC97" s="38" t="str">
        <f>IF(OR(B97="",COUNTIF($B$4:B97,B97)&gt;1),"",MAX($AC$3:AC96)+1)</f>
        <v/>
      </c>
      <c r="AD97" s="38" t="str">
        <f t="shared" si="15"/>
        <v/>
      </c>
      <c r="AE97" s="38" t="str">
        <f t="shared" si="16"/>
        <v/>
      </c>
      <c r="AF97" s="38" t="str">
        <f t="shared" si="17"/>
        <v/>
      </c>
    </row>
    <row r="98" spans="1:32" x14ac:dyDescent="0.3">
      <c r="A98" s="74" t="s">
        <v>613</v>
      </c>
      <c r="B98" s="74" t="s">
        <v>285</v>
      </c>
      <c r="C98" s="74" t="s">
        <v>364</v>
      </c>
      <c r="D98" s="74"/>
      <c r="E98" s="74"/>
      <c r="F98" s="74"/>
      <c r="G98" s="74" t="s">
        <v>363</v>
      </c>
      <c r="H98" s="74" t="s">
        <v>364</v>
      </c>
      <c r="I98" s="74"/>
      <c r="J98" s="74"/>
      <c r="K98" s="74"/>
      <c r="L98" s="74"/>
      <c r="M98" s="74" t="s">
        <v>288</v>
      </c>
      <c r="N98" s="38" t="str">
        <f>IF(OR(A98="Автомат",A98="Дифавтомат"),IF(W98="","",COUNTIFS(Однолинейка!$H$3:$H$3000,U98,Однолинейка!$A$3:$A$3000,Щит_спец)),IF(A98="Аппарат",IF(C98="","",COUNTIFS(Однолинейка!$I$3:$I$3000,C98,Однолинейка!$A$3:$A$3000,Щит_спец)+COUNTIFS(Однолинейка!$J$3:$J$3000,C98,Однолинейка!$A$3:$A$3000,Щит_спец)+COUNTIFS(Однолинейка!$K$3:$K$3000,C98,Однолинейка!$A$3:$A$3000,Щит_спец)),IF(A98="Модуль",IF(C98="","",COUNTIFS(Однолинейка!$AW$3:$AW$3000,"?*",Однолинейка!$AI$3:$AI$3000,C98,Однолинейка!$A$3:$A$3000,Щит_спец)),IF(A98="Клемма",IF(C98="","",IF(C98=$S$7,SUMIFS(Однолинейка!$BW$3:$BW$3000,Однолинейка!$A$3:$A$3000,Щит_спец),IF(C98=$S$8,SUMIFS(Однолинейка!$BX$3:$BX$3000,Однолинейка!$A$3:$A$3000,Щит_спец),""))),""))))</f>
        <v/>
      </c>
      <c r="O98" s="74"/>
      <c r="P98" s="38" t="str">
        <f t="shared" si="9"/>
        <v/>
      </c>
      <c r="U98" s="38" t="str">
        <f t="shared" si="10"/>
        <v/>
      </c>
      <c r="V98" s="38" t="str">
        <f t="shared" si="11"/>
        <v/>
      </c>
      <c r="W98" s="38" t="str">
        <f>IF(AND(U98&lt;&gt;"",OR($S$4="(все)",B98=$S$4),IF($S$4="(все)",COUNTIF($U$4:U98,U98),COUNTIFS($U$4:U98,U98,$B$4:B98,B98))=1),MAX($W$3:W97)+1,"")</f>
        <v/>
      </c>
      <c r="X98" s="38" t="str">
        <f t="shared" si="12"/>
        <v/>
      </c>
      <c r="Y98" s="38" t="str">
        <f>IF(AND(A98="Аппарат",C98&lt;&gt;"",OR($S$5="(все)",B98=$S$5)),MAX($Y$3:Y97)+1,"")</f>
        <v/>
      </c>
      <c r="Z98" s="38" t="str">
        <f t="shared" si="13"/>
        <v/>
      </c>
      <c r="AA98" s="38" t="str">
        <f>IF(AND(A98="Модуль",C98&lt;&gt;"",OR($S$6="(все)",B98=$S$6)),MAX($AA$3:AA97)+1,"")</f>
        <v/>
      </c>
      <c r="AB98" s="38" t="str">
        <f t="shared" si="14"/>
        <v/>
      </c>
      <c r="AC98" s="38" t="str">
        <f>IF(OR(B98="",COUNTIF($B$4:B98,B98)&gt;1),"",MAX($AC$3:AC97)+1)</f>
        <v/>
      </c>
      <c r="AD98" s="38" t="str">
        <f t="shared" si="15"/>
        <v/>
      </c>
      <c r="AE98" s="38" t="str">
        <f t="shared" si="16"/>
        <v/>
      </c>
      <c r="AF98" s="38" t="str">
        <f t="shared" si="17"/>
        <v/>
      </c>
    </row>
    <row r="99" spans="1:32" x14ac:dyDescent="0.3">
      <c r="A99" s="74" t="s">
        <v>613</v>
      </c>
      <c r="B99" s="74" t="s">
        <v>285</v>
      </c>
      <c r="C99" s="74" t="s">
        <v>366</v>
      </c>
      <c r="D99" s="74"/>
      <c r="E99" s="74"/>
      <c r="F99" s="74"/>
      <c r="G99" s="74" t="s">
        <v>365</v>
      </c>
      <c r="H99" s="74" t="s">
        <v>366</v>
      </c>
      <c r="I99" s="74"/>
      <c r="J99" s="74"/>
      <c r="K99" s="74"/>
      <c r="L99" s="74"/>
      <c r="M99" s="74" t="s">
        <v>288</v>
      </c>
      <c r="N99" s="38" t="str">
        <f>IF(OR(A99="Автомат",A99="Дифавтомат"),IF(W99="","",COUNTIFS(Однолинейка!$H$3:$H$3000,U99,Однолинейка!$A$3:$A$3000,Щит_спец)),IF(A99="Аппарат",IF(C99="","",COUNTIFS(Однолинейка!$I$3:$I$3000,C99,Однолинейка!$A$3:$A$3000,Щит_спец)+COUNTIFS(Однолинейка!$J$3:$J$3000,C99,Однолинейка!$A$3:$A$3000,Щит_спец)+COUNTIFS(Однолинейка!$K$3:$K$3000,C99,Однолинейка!$A$3:$A$3000,Щит_спец)),IF(A99="Модуль",IF(C99="","",COUNTIFS(Однолинейка!$AW$3:$AW$3000,"?*",Однолинейка!$AI$3:$AI$3000,C99,Однолинейка!$A$3:$A$3000,Щит_спец)),IF(A99="Клемма",IF(C99="","",IF(C99=$S$7,SUMIFS(Однолинейка!$BW$3:$BW$3000,Однолинейка!$A$3:$A$3000,Щит_спец),IF(C99=$S$8,SUMIFS(Однолинейка!$BX$3:$BX$3000,Однолинейка!$A$3:$A$3000,Щит_спец),""))),""))))</f>
        <v/>
      </c>
      <c r="O99" s="74"/>
      <c r="P99" s="38" t="str">
        <f t="shared" si="9"/>
        <v/>
      </c>
      <c r="U99" s="38" t="str">
        <f t="shared" si="10"/>
        <v/>
      </c>
      <c r="V99" s="38" t="str">
        <f t="shared" si="11"/>
        <v/>
      </c>
      <c r="W99" s="38" t="str">
        <f>IF(AND(U99&lt;&gt;"",OR($S$4="(все)",B99=$S$4),IF($S$4="(все)",COUNTIF($U$4:U99,U99),COUNTIFS($U$4:U99,U99,$B$4:B99,B99))=1),MAX($W$3:W98)+1,"")</f>
        <v/>
      </c>
      <c r="X99" s="38" t="str">
        <f t="shared" si="12"/>
        <v/>
      </c>
      <c r="Y99" s="38" t="str">
        <f>IF(AND(A99="Аппарат",C99&lt;&gt;"",OR($S$5="(все)",B99=$S$5)),MAX($Y$3:Y98)+1,"")</f>
        <v/>
      </c>
      <c r="Z99" s="38" t="str">
        <f t="shared" si="13"/>
        <v/>
      </c>
      <c r="AA99" s="38" t="str">
        <f>IF(AND(A99="Модуль",C99&lt;&gt;"",OR($S$6="(все)",B99=$S$6)),MAX($AA$3:AA98)+1,"")</f>
        <v/>
      </c>
      <c r="AB99" s="38" t="str">
        <f t="shared" si="14"/>
        <v/>
      </c>
      <c r="AC99" s="38" t="str">
        <f>IF(OR(B99="",COUNTIF($B$4:B99,B99)&gt;1),"",MAX($AC$3:AC98)+1)</f>
        <v/>
      </c>
      <c r="AD99" s="38" t="str">
        <f t="shared" si="15"/>
        <v/>
      </c>
      <c r="AE99" s="38" t="str">
        <f t="shared" si="16"/>
        <v/>
      </c>
      <c r="AF99" s="38" t="str">
        <f t="shared" si="17"/>
        <v/>
      </c>
    </row>
    <row r="100" spans="1:32" x14ac:dyDescent="0.3">
      <c r="A100" s="74" t="s">
        <v>613</v>
      </c>
      <c r="B100" s="74"/>
      <c r="C100" s="74" t="s">
        <v>725</v>
      </c>
      <c r="D100" s="74"/>
      <c r="E100" s="74"/>
      <c r="F100" s="74"/>
      <c r="G100" s="74" t="s">
        <v>367</v>
      </c>
      <c r="H100" s="74"/>
      <c r="I100" s="74"/>
      <c r="J100" s="74"/>
      <c r="K100" s="74"/>
      <c r="L100" s="74"/>
      <c r="M100" s="74" t="s">
        <v>368</v>
      </c>
      <c r="N100" s="38" t="str">
        <f>IF(OR(A100="Автомат",A100="Дифавтомат"),IF(W100="","",COUNTIFS(Однолинейка!$H$3:$H$3000,U100,Однолинейка!$A$3:$A$3000,Щит_спец)),IF(A100="Аппарат",IF(C100="","",COUNTIFS(Однолинейка!$I$3:$I$3000,C100,Однолинейка!$A$3:$A$3000,Щит_спец)+COUNTIFS(Однолинейка!$J$3:$J$3000,C100,Однолинейка!$A$3:$A$3000,Щит_спец)+COUNTIFS(Однолинейка!$K$3:$K$3000,C100,Однолинейка!$A$3:$A$3000,Щит_спец)),IF(A100="Модуль",IF(C100="","",COUNTIFS(Однолинейка!$AW$3:$AW$3000,"?*",Однолинейка!$AI$3:$AI$3000,C100,Однолинейка!$A$3:$A$3000,Щит_спец)),IF(A100="Клемма",IF(C100="","",IF(C100=$S$7,SUMIFS(Однолинейка!$BW$3:$BW$3000,Однолинейка!$A$3:$A$3000,Щит_спец),IF(C100=$S$8,SUMIFS(Однолинейка!$BX$3:$BX$3000,Однолинейка!$A$3:$A$3000,Щит_спец),""))),""))))</f>
        <v/>
      </c>
      <c r="O100" s="74"/>
      <c r="P100" s="38" t="str">
        <f t="shared" si="9"/>
        <v/>
      </c>
      <c r="U100" s="38" t="str">
        <f t="shared" si="10"/>
        <v/>
      </c>
      <c r="V100" s="38" t="str">
        <f t="shared" si="11"/>
        <v/>
      </c>
      <c r="W100" s="38" t="str">
        <f>IF(AND(U100&lt;&gt;"",OR($S$4="(все)",B100=$S$4),IF($S$4="(все)",COUNTIF($U$4:U100,U100),COUNTIFS($U$4:U100,U100,$B$4:B100,B100))=1),MAX($W$3:W99)+1,"")</f>
        <v/>
      </c>
      <c r="X100" s="38" t="str">
        <f t="shared" si="12"/>
        <v/>
      </c>
      <c r="Y100" s="38" t="str">
        <f>IF(AND(A100="Аппарат",C100&lt;&gt;"",OR($S$5="(все)",B100=$S$5)),MAX($Y$3:Y99)+1,"")</f>
        <v/>
      </c>
      <c r="Z100" s="38" t="str">
        <f t="shared" si="13"/>
        <v/>
      </c>
      <c r="AA100" s="38" t="str">
        <f>IF(AND(A100="Модуль",C100&lt;&gt;"",OR($S$6="(все)",B100=$S$6)),MAX($AA$3:AA99)+1,"")</f>
        <v/>
      </c>
      <c r="AB100" s="38" t="str">
        <f t="shared" si="14"/>
        <v/>
      </c>
      <c r="AC100" s="38" t="str">
        <f>IF(OR(B100="",COUNTIF($B$4:B100,B100)&gt;1),"",MAX($AC$3:AC99)+1)</f>
        <v/>
      </c>
      <c r="AD100" s="38" t="str">
        <f t="shared" si="15"/>
        <v/>
      </c>
      <c r="AE100" s="38" t="str">
        <f t="shared" si="16"/>
        <v/>
      </c>
      <c r="AF100" s="38" t="str">
        <f t="shared" si="17"/>
        <v/>
      </c>
    </row>
    <row r="101" spans="1:32" x14ac:dyDescent="0.3">
      <c r="A101" s="74"/>
      <c r="B101" s="74"/>
      <c r="C101" s="74"/>
      <c r="D101" s="74"/>
      <c r="E101" s="74"/>
      <c r="F101" s="74"/>
      <c r="G101" s="74"/>
      <c r="H101" s="74"/>
      <c r="I101" s="74"/>
      <c r="J101" s="74"/>
      <c r="K101" s="74"/>
      <c r="L101" s="74"/>
      <c r="M101" s="74"/>
      <c r="N101" s="38" t="str">
        <f>IF(OR(A101="Автомат",A101="Дифавтомат"),IF(W101="","",COUNTIFS(Однолинейка!$H$3:$H$3000,U101,Однолинейка!$A$3:$A$3000,Щит_спец)),IF(A101="Аппарат",IF(C101="","",COUNTIFS(Однолинейка!$I$3:$I$3000,C101,Однолинейка!$A$3:$A$3000,Щит_спец)+COUNTIFS(Однолинейка!$J$3:$J$3000,C101,Однолинейка!$A$3:$A$3000,Щит_спец)+COUNTIFS(Однолинейка!$K$3:$K$3000,C101,Однолинейка!$A$3:$A$3000,Щит_спец)),IF(A101="Модуль",IF(C101="","",COUNTIFS(Однолинейка!$AW$3:$AW$3000,"?*",Однолинейка!$AI$3:$AI$3000,C101,Однолинейка!$A$3:$A$3000,Щит_спец)),IF(A101="Клемма",IF(C101="","",IF(C101=$S$7,SUMIFS(Однолинейка!$BW$3:$BW$3000,Однолинейка!$A$3:$A$3000,Щит_спец),IF(C101=$S$8,SUMIFS(Однолинейка!$BX$3:$BX$3000,Однолинейка!$A$3:$A$3000,Щит_спец),""))),""))))</f>
        <v/>
      </c>
      <c r="O101" s="74"/>
      <c r="P101" s="38" t="str">
        <f t="shared" si="9"/>
        <v/>
      </c>
      <c r="U101" s="38" t="str">
        <f t="shared" si="10"/>
        <v/>
      </c>
      <c r="V101" s="38" t="str">
        <f t="shared" si="11"/>
        <v/>
      </c>
      <c r="W101" s="38" t="str">
        <f>IF(AND(U101&lt;&gt;"",OR($S$4="(все)",B101=$S$4),IF($S$4="(все)",COUNTIF($U$4:U101,U101),COUNTIFS($U$4:U101,U101,$B$4:B101,B101))=1),MAX($W$3:W100)+1,"")</f>
        <v/>
      </c>
      <c r="X101" s="38" t="str">
        <f t="shared" si="12"/>
        <v/>
      </c>
      <c r="Y101" s="38" t="str">
        <f>IF(AND(A101="Аппарат",C101&lt;&gt;"",OR($S$5="(все)",B101=$S$5)),MAX($Y$3:Y100)+1,"")</f>
        <v/>
      </c>
      <c r="Z101" s="38" t="str">
        <f t="shared" si="13"/>
        <v/>
      </c>
      <c r="AA101" s="38" t="str">
        <f>IF(AND(A101="Модуль",C101&lt;&gt;"",OR($S$6="(все)",B101=$S$6)),MAX($AA$3:AA100)+1,"")</f>
        <v/>
      </c>
      <c r="AB101" s="38" t="str">
        <f t="shared" si="14"/>
        <v/>
      </c>
      <c r="AC101" s="38" t="str">
        <f>IF(OR(B101="",COUNTIF($B$4:B101,B101)&gt;1),"",MAX($AC$3:AC100)+1)</f>
        <v/>
      </c>
      <c r="AD101" s="38" t="str">
        <f t="shared" si="15"/>
        <v/>
      </c>
      <c r="AE101" s="38" t="str">
        <f t="shared" si="16"/>
        <v/>
      </c>
      <c r="AF101" s="38" t="str">
        <f t="shared" si="17"/>
        <v/>
      </c>
    </row>
    <row r="102" spans="1:32" x14ac:dyDescent="0.3">
      <c r="A102" s="74"/>
      <c r="B102" s="74"/>
      <c r="C102" s="74"/>
      <c r="D102" s="74"/>
      <c r="E102" s="74"/>
      <c r="F102" s="74"/>
      <c r="G102" s="74"/>
      <c r="H102" s="74"/>
      <c r="I102" s="74"/>
      <c r="J102" s="74"/>
      <c r="K102" s="74"/>
      <c r="L102" s="74"/>
      <c r="M102" s="74"/>
      <c r="N102" s="38" t="str">
        <f>IF(OR(A102="Автомат",A102="Дифавтомат"),IF(W102="","",COUNTIFS(Однолинейка!$H$3:$H$3000,U102,Однолинейка!$A$3:$A$3000,Щит_спец)),IF(A102="Аппарат",IF(C102="","",COUNTIFS(Однолинейка!$I$3:$I$3000,C102,Однолинейка!$A$3:$A$3000,Щит_спец)+COUNTIFS(Однолинейка!$J$3:$J$3000,C102,Однолинейка!$A$3:$A$3000,Щит_спец)+COUNTIFS(Однолинейка!$K$3:$K$3000,C102,Однолинейка!$A$3:$A$3000,Щит_спец)),IF(A102="Модуль",IF(C102="","",COUNTIFS(Однолинейка!$AW$3:$AW$3000,"?*",Однолинейка!$AI$3:$AI$3000,C102,Однолинейка!$A$3:$A$3000,Щит_спец)),IF(A102="Клемма",IF(C102="","",IF(C102=$S$7,SUMIFS(Однолинейка!$BW$3:$BW$3000,Однолинейка!$A$3:$A$3000,Щит_спец),IF(C102=$S$8,SUMIFS(Однолинейка!$BX$3:$BX$3000,Однолинейка!$A$3:$A$3000,Щит_спец),""))),""))))</f>
        <v/>
      </c>
      <c r="O102" s="74"/>
      <c r="P102" s="38" t="str">
        <f t="shared" si="9"/>
        <v/>
      </c>
      <c r="U102" s="38" t="str">
        <f t="shared" si="10"/>
        <v/>
      </c>
      <c r="V102" s="38" t="str">
        <f t="shared" si="11"/>
        <v/>
      </c>
      <c r="W102" s="38" t="str">
        <f>IF(AND(U102&lt;&gt;"",OR($S$4="(все)",B102=$S$4),IF($S$4="(все)",COUNTIF($U$4:U102,U102),COUNTIFS($U$4:U102,U102,$B$4:B102,B102))=1),MAX($W$3:W101)+1,"")</f>
        <v/>
      </c>
      <c r="X102" s="38" t="str">
        <f t="shared" si="12"/>
        <v/>
      </c>
      <c r="Y102" s="38" t="str">
        <f>IF(AND(A102="Аппарат",C102&lt;&gt;"",OR($S$5="(все)",B102=$S$5)),MAX($Y$3:Y101)+1,"")</f>
        <v/>
      </c>
      <c r="Z102" s="38" t="str">
        <f t="shared" si="13"/>
        <v/>
      </c>
      <c r="AA102" s="38" t="str">
        <f>IF(AND(A102="Модуль",C102&lt;&gt;"",OR($S$6="(все)",B102=$S$6)),MAX($AA$3:AA101)+1,"")</f>
        <v/>
      </c>
      <c r="AB102" s="38" t="str">
        <f t="shared" si="14"/>
        <v/>
      </c>
      <c r="AC102" s="38" t="str">
        <f>IF(OR(B102="",COUNTIF($B$4:B102,B102)&gt;1),"",MAX($AC$3:AC101)+1)</f>
        <v/>
      </c>
      <c r="AD102" s="38" t="str">
        <f t="shared" si="15"/>
        <v/>
      </c>
      <c r="AE102" s="38" t="str">
        <f t="shared" si="16"/>
        <v/>
      </c>
      <c r="AF102" s="38" t="str">
        <f t="shared" si="17"/>
        <v/>
      </c>
    </row>
    <row r="103" spans="1:32" x14ac:dyDescent="0.3">
      <c r="A103" s="74"/>
      <c r="B103" s="74"/>
      <c r="C103" s="74"/>
      <c r="D103" s="74"/>
      <c r="E103" s="74"/>
      <c r="F103" s="74"/>
      <c r="G103" s="74"/>
      <c r="H103" s="74"/>
      <c r="I103" s="74"/>
      <c r="J103" s="74"/>
      <c r="K103" s="74"/>
      <c r="L103" s="74"/>
      <c r="M103" s="74"/>
      <c r="N103" s="38" t="str">
        <f>IF(OR(A103="Автомат",A103="Дифавтомат"),IF(W103="","",COUNTIFS(Однолинейка!$H$3:$H$3000,U103,Однолинейка!$A$3:$A$3000,Щит_спец)),IF(A103="Аппарат",IF(C103="","",COUNTIFS(Однолинейка!$I$3:$I$3000,C103,Однолинейка!$A$3:$A$3000,Щит_спец)+COUNTIFS(Однолинейка!$J$3:$J$3000,C103,Однолинейка!$A$3:$A$3000,Щит_спец)+COUNTIFS(Однолинейка!$K$3:$K$3000,C103,Однолинейка!$A$3:$A$3000,Щит_спец)),IF(A103="Модуль",IF(C103="","",COUNTIFS(Однолинейка!$AW$3:$AW$3000,"?*",Однолинейка!$AI$3:$AI$3000,C103,Однолинейка!$A$3:$A$3000,Щит_спец)),IF(A103="Клемма",IF(C103="","",IF(C103=$S$7,SUMIFS(Однолинейка!$BW$3:$BW$3000,Однолинейка!$A$3:$A$3000,Щит_спец),IF(C103=$S$8,SUMIFS(Однолинейка!$BX$3:$BX$3000,Однолинейка!$A$3:$A$3000,Щит_спец),""))),""))))</f>
        <v/>
      </c>
      <c r="O103" s="74"/>
      <c r="P103" s="38" t="str">
        <f t="shared" si="9"/>
        <v/>
      </c>
      <c r="U103" s="38" t="str">
        <f t="shared" si="10"/>
        <v/>
      </c>
      <c r="V103" s="38" t="str">
        <f t="shared" si="11"/>
        <v/>
      </c>
      <c r="W103" s="38" t="str">
        <f>IF(AND(U103&lt;&gt;"",OR($S$4="(все)",B103=$S$4),IF($S$4="(все)",COUNTIF($U$4:U103,U103),COUNTIFS($U$4:U103,U103,$B$4:B103,B103))=1),MAX($W$3:W102)+1,"")</f>
        <v/>
      </c>
      <c r="X103" s="38" t="str">
        <f t="shared" si="12"/>
        <v/>
      </c>
      <c r="Y103" s="38" t="str">
        <f>IF(AND(A103="Аппарат",C103&lt;&gt;"",OR($S$5="(все)",B103=$S$5)),MAX($Y$3:Y102)+1,"")</f>
        <v/>
      </c>
      <c r="Z103" s="38" t="str">
        <f t="shared" si="13"/>
        <v/>
      </c>
      <c r="AA103" s="38" t="str">
        <f>IF(AND(A103="Модуль",C103&lt;&gt;"",OR($S$6="(все)",B103=$S$6)),MAX($AA$3:AA102)+1,"")</f>
        <v/>
      </c>
      <c r="AB103" s="38" t="str">
        <f t="shared" si="14"/>
        <v/>
      </c>
      <c r="AC103" s="38" t="str">
        <f>IF(OR(B103="",COUNTIF($B$4:B103,B103)&gt;1),"",MAX($AC$3:AC102)+1)</f>
        <v/>
      </c>
      <c r="AD103" s="38" t="str">
        <f t="shared" si="15"/>
        <v/>
      </c>
      <c r="AE103" s="38" t="str">
        <f t="shared" si="16"/>
        <v/>
      </c>
      <c r="AF103" s="38" t="str">
        <f t="shared" si="17"/>
        <v/>
      </c>
    </row>
    <row r="104" spans="1:32" x14ac:dyDescent="0.3">
      <c r="A104" s="74"/>
      <c r="B104" s="74"/>
      <c r="C104" s="74"/>
      <c r="D104" s="74"/>
      <c r="E104" s="74"/>
      <c r="F104" s="74"/>
      <c r="G104" s="74"/>
      <c r="H104" s="74"/>
      <c r="I104" s="74"/>
      <c r="J104" s="74"/>
      <c r="K104" s="74"/>
      <c r="L104" s="74"/>
      <c r="M104" s="74"/>
      <c r="N104" s="38" t="str">
        <f>IF(OR(A104="Автомат",A104="Дифавтомат"),IF(W104="","",COUNTIFS(Однолинейка!$H$3:$H$3000,U104,Однолинейка!$A$3:$A$3000,Щит_спец)),IF(A104="Аппарат",IF(C104="","",COUNTIFS(Однолинейка!$I$3:$I$3000,C104,Однолинейка!$A$3:$A$3000,Щит_спец)+COUNTIFS(Однолинейка!$J$3:$J$3000,C104,Однолинейка!$A$3:$A$3000,Щит_спец)+COUNTIFS(Однолинейка!$K$3:$K$3000,C104,Однолинейка!$A$3:$A$3000,Щит_спец)),IF(A104="Модуль",IF(C104="","",COUNTIFS(Однолинейка!$AW$3:$AW$3000,"?*",Однолинейка!$AI$3:$AI$3000,C104,Однолинейка!$A$3:$A$3000,Щит_спец)),IF(A104="Клемма",IF(C104="","",IF(C104=$S$7,SUMIFS(Однолинейка!$BW$3:$BW$3000,Однолинейка!$A$3:$A$3000,Щит_спец),IF(C104=$S$8,SUMIFS(Однолинейка!$BX$3:$BX$3000,Однолинейка!$A$3:$A$3000,Щит_спец),""))),""))))</f>
        <v/>
      </c>
      <c r="O104" s="74"/>
      <c r="P104" s="38" t="str">
        <f t="shared" si="9"/>
        <v/>
      </c>
      <c r="U104" s="38" t="str">
        <f t="shared" si="10"/>
        <v/>
      </c>
      <c r="V104" s="38" t="str">
        <f t="shared" si="11"/>
        <v/>
      </c>
      <c r="W104" s="38" t="str">
        <f>IF(AND(U104&lt;&gt;"",OR($S$4="(все)",B104=$S$4),IF($S$4="(все)",COUNTIF($U$4:U104,U104),COUNTIFS($U$4:U104,U104,$B$4:B104,B104))=1),MAX($W$3:W103)+1,"")</f>
        <v/>
      </c>
      <c r="X104" s="38" t="str">
        <f t="shared" si="12"/>
        <v/>
      </c>
      <c r="Y104" s="38" t="str">
        <f>IF(AND(A104="Аппарат",C104&lt;&gt;"",OR($S$5="(все)",B104=$S$5)),MAX($Y$3:Y103)+1,"")</f>
        <v/>
      </c>
      <c r="Z104" s="38" t="str">
        <f t="shared" si="13"/>
        <v/>
      </c>
      <c r="AA104" s="38" t="str">
        <f>IF(AND(A104="Модуль",C104&lt;&gt;"",OR($S$6="(все)",B104=$S$6)),MAX($AA$3:AA103)+1,"")</f>
        <v/>
      </c>
      <c r="AB104" s="38" t="str">
        <f t="shared" si="14"/>
        <v/>
      </c>
      <c r="AC104" s="38" t="str">
        <f>IF(OR(B104="",COUNTIF($B$4:B104,B104)&gt;1),"",MAX($AC$3:AC103)+1)</f>
        <v/>
      </c>
      <c r="AD104" s="38" t="str">
        <f t="shared" si="15"/>
        <v/>
      </c>
      <c r="AE104" s="38" t="str">
        <f t="shared" si="16"/>
        <v/>
      </c>
      <c r="AF104" s="38" t="str">
        <f t="shared" si="17"/>
        <v/>
      </c>
    </row>
    <row r="105" spans="1:32" x14ac:dyDescent="0.3">
      <c r="A105" s="74"/>
      <c r="B105" s="74"/>
      <c r="C105" s="74"/>
      <c r="D105" s="74"/>
      <c r="E105" s="74"/>
      <c r="F105" s="74"/>
      <c r="G105" s="74"/>
      <c r="H105" s="74"/>
      <c r="I105" s="74"/>
      <c r="J105" s="74"/>
      <c r="K105" s="74"/>
      <c r="L105" s="74"/>
      <c r="M105" s="74"/>
      <c r="N105" s="38" t="str">
        <f>IF(OR(A105="Автомат",A105="Дифавтомат"),IF(W105="","",COUNTIFS(Однолинейка!$H$3:$H$3000,U105,Однолинейка!$A$3:$A$3000,Щит_спец)),IF(A105="Аппарат",IF(C105="","",COUNTIFS(Однолинейка!$I$3:$I$3000,C105,Однолинейка!$A$3:$A$3000,Щит_спец)+COUNTIFS(Однолинейка!$J$3:$J$3000,C105,Однолинейка!$A$3:$A$3000,Щит_спец)+COUNTIFS(Однолинейка!$K$3:$K$3000,C105,Однолинейка!$A$3:$A$3000,Щит_спец)),IF(A105="Модуль",IF(C105="","",COUNTIFS(Однолинейка!$AW$3:$AW$3000,"?*",Однолинейка!$AI$3:$AI$3000,C105,Однолинейка!$A$3:$A$3000,Щит_спец)),IF(A105="Клемма",IF(C105="","",IF(C105=$S$7,SUMIFS(Однолинейка!$BW$3:$BW$3000,Однолинейка!$A$3:$A$3000,Щит_спец),IF(C105=$S$8,SUMIFS(Однолинейка!$BX$3:$BX$3000,Однолинейка!$A$3:$A$3000,Щит_спец),""))),""))))</f>
        <v/>
      </c>
      <c r="O105" s="74"/>
      <c r="P105" s="38" t="str">
        <f t="shared" si="9"/>
        <v/>
      </c>
      <c r="U105" s="38" t="str">
        <f t="shared" si="10"/>
        <v/>
      </c>
      <c r="V105" s="38" t="str">
        <f t="shared" si="11"/>
        <v/>
      </c>
      <c r="W105" s="38" t="str">
        <f>IF(AND(U105&lt;&gt;"",OR($S$4="(все)",B105=$S$4),IF($S$4="(все)",COUNTIF($U$4:U105,U105),COUNTIFS($U$4:U105,U105,$B$4:B105,B105))=1),MAX($W$3:W104)+1,"")</f>
        <v/>
      </c>
      <c r="X105" s="38" t="str">
        <f t="shared" si="12"/>
        <v/>
      </c>
      <c r="Y105" s="38" t="str">
        <f>IF(AND(A105="Аппарат",C105&lt;&gt;"",OR($S$5="(все)",B105=$S$5)),MAX($Y$3:Y104)+1,"")</f>
        <v/>
      </c>
      <c r="Z105" s="38" t="str">
        <f t="shared" si="13"/>
        <v/>
      </c>
      <c r="AA105" s="38" t="str">
        <f>IF(AND(A105="Модуль",C105&lt;&gt;"",OR($S$6="(все)",B105=$S$6)),MAX($AA$3:AA104)+1,"")</f>
        <v/>
      </c>
      <c r="AB105" s="38" t="str">
        <f t="shared" si="14"/>
        <v/>
      </c>
      <c r="AC105" s="38" t="str">
        <f>IF(OR(B105="",COUNTIF($B$4:B105,B105)&gt;1),"",MAX($AC$3:AC104)+1)</f>
        <v/>
      </c>
      <c r="AD105" s="38" t="str">
        <f t="shared" si="15"/>
        <v/>
      </c>
      <c r="AE105" s="38" t="str">
        <f t="shared" si="16"/>
        <v/>
      </c>
      <c r="AF105" s="38" t="str">
        <f t="shared" si="17"/>
        <v/>
      </c>
    </row>
    <row r="106" spans="1:32" x14ac:dyDescent="0.3">
      <c r="A106" s="74"/>
      <c r="B106" s="74"/>
      <c r="C106" s="74"/>
      <c r="D106" s="74"/>
      <c r="E106" s="74"/>
      <c r="F106" s="74"/>
      <c r="G106" s="74"/>
      <c r="H106" s="74"/>
      <c r="I106" s="74"/>
      <c r="J106" s="74"/>
      <c r="K106" s="74"/>
      <c r="L106" s="74"/>
      <c r="M106" s="74"/>
      <c r="N106" s="38" t="str">
        <f>IF(OR(A106="Автомат",A106="Дифавтомат"),IF(W106="","",COUNTIFS(Однолинейка!$H$3:$H$3000,U106,Однолинейка!$A$3:$A$3000,Щит_спец)),IF(A106="Аппарат",IF(C106="","",COUNTIFS(Однолинейка!$I$3:$I$3000,C106,Однолинейка!$A$3:$A$3000,Щит_спец)+COUNTIFS(Однолинейка!$J$3:$J$3000,C106,Однолинейка!$A$3:$A$3000,Щит_спец)+COUNTIFS(Однолинейка!$K$3:$K$3000,C106,Однолинейка!$A$3:$A$3000,Щит_спец)),IF(A106="Модуль",IF(C106="","",COUNTIFS(Однолинейка!$AW$3:$AW$3000,"?*",Однолинейка!$AI$3:$AI$3000,C106,Однолинейка!$A$3:$A$3000,Щит_спец)),IF(A106="Клемма",IF(C106="","",IF(C106=$S$7,SUMIFS(Однолинейка!$BW$3:$BW$3000,Однолинейка!$A$3:$A$3000,Щит_спец),IF(C106=$S$8,SUMIFS(Однолинейка!$BX$3:$BX$3000,Однолинейка!$A$3:$A$3000,Щит_спец),""))),""))))</f>
        <v/>
      </c>
      <c r="O106" s="74"/>
      <c r="P106" s="38" t="str">
        <f t="shared" si="9"/>
        <v/>
      </c>
      <c r="U106" s="38" t="str">
        <f t="shared" si="10"/>
        <v/>
      </c>
      <c r="V106" s="38" t="str">
        <f t="shared" si="11"/>
        <v/>
      </c>
      <c r="W106" s="38" t="str">
        <f>IF(AND(U106&lt;&gt;"",OR($S$4="(все)",B106=$S$4),IF($S$4="(все)",COUNTIF($U$4:U106,U106),COUNTIFS($U$4:U106,U106,$B$4:B106,B106))=1),MAX($W$3:W105)+1,"")</f>
        <v/>
      </c>
      <c r="X106" s="38" t="str">
        <f t="shared" si="12"/>
        <v/>
      </c>
      <c r="Y106" s="38" t="str">
        <f>IF(AND(A106="Аппарат",C106&lt;&gt;"",OR($S$5="(все)",B106=$S$5)),MAX($Y$3:Y105)+1,"")</f>
        <v/>
      </c>
      <c r="Z106" s="38" t="str">
        <f t="shared" si="13"/>
        <v/>
      </c>
      <c r="AA106" s="38" t="str">
        <f>IF(AND(A106="Модуль",C106&lt;&gt;"",OR($S$6="(все)",B106=$S$6)),MAX($AA$3:AA105)+1,"")</f>
        <v/>
      </c>
      <c r="AB106" s="38" t="str">
        <f t="shared" si="14"/>
        <v/>
      </c>
      <c r="AC106" s="38" t="str">
        <f>IF(OR(B106="",COUNTIF($B$4:B106,B106)&gt;1),"",MAX($AC$3:AC105)+1)</f>
        <v/>
      </c>
      <c r="AD106" s="38" t="str">
        <f t="shared" si="15"/>
        <v/>
      </c>
      <c r="AE106" s="38" t="str">
        <f t="shared" si="16"/>
        <v/>
      </c>
      <c r="AF106" s="38" t="str">
        <f t="shared" si="17"/>
        <v/>
      </c>
    </row>
    <row r="107" spans="1:32" x14ac:dyDescent="0.3">
      <c r="A107" s="74"/>
      <c r="B107" s="74"/>
      <c r="C107" s="74"/>
      <c r="D107" s="74"/>
      <c r="E107" s="74"/>
      <c r="F107" s="74"/>
      <c r="G107" s="74"/>
      <c r="H107" s="74"/>
      <c r="I107" s="74"/>
      <c r="J107" s="74"/>
      <c r="K107" s="74"/>
      <c r="L107" s="74"/>
      <c r="M107" s="74"/>
      <c r="N107" s="38" t="str">
        <f>IF(OR(A107="Автомат",A107="Дифавтомат"),IF(W107="","",COUNTIFS(Однолинейка!$H$3:$H$3000,U107,Однолинейка!$A$3:$A$3000,Щит_спец)),IF(A107="Аппарат",IF(C107="","",COUNTIFS(Однолинейка!$I$3:$I$3000,C107,Однолинейка!$A$3:$A$3000,Щит_спец)+COUNTIFS(Однолинейка!$J$3:$J$3000,C107,Однолинейка!$A$3:$A$3000,Щит_спец)+COUNTIFS(Однолинейка!$K$3:$K$3000,C107,Однолинейка!$A$3:$A$3000,Щит_спец)),IF(A107="Модуль",IF(C107="","",COUNTIFS(Однолинейка!$AW$3:$AW$3000,"?*",Однолинейка!$AI$3:$AI$3000,C107,Однолинейка!$A$3:$A$3000,Щит_спец)),IF(A107="Клемма",IF(C107="","",IF(C107=$S$7,SUMIFS(Однолинейка!$BW$3:$BW$3000,Однолинейка!$A$3:$A$3000,Щит_спец),IF(C107=$S$8,SUMIFS(Однолинейка!$BX$3:$BX$3000,Однолинейка!$A$3:$A$3000,Щит_спец),""))),""))))</f>
        <v/>
      </c>
      <c r="O107" s="74"/>
      <c r="P107" s="38" t="str">
        <f t="shared" si="9"/>
        <v/>
      </c>
      <c r="U107" s="38" t="str">
        <f t="shared" si="10"/>
        <v/>
      </c>
      <c r="V107" s="38" t="str">
        <f t="shared" si="11"/>
        <v/>
      </c>
      <c r="W107" s="38" t="str">
        <f>IF(AND(U107&lt;&gt;"",OR($S$4="(все)",B107=$S$4),IF($S$4="(все)",COUNTIF($U$4:U107,U107),COUNTIFS($U$4:U107,U107,$B$4:B107,B107))=1),MAX($W$3:W106)+1,"")</f>
        <v/>
      </c>
      <c r="X107" s="38" t="str">
        <f t="shared" si="12"/>
        <v/>
      </c>
      <c r="Y107" s="38" t="str">
        <f>IF(AND(A107="Аппарат",C107&lt;&gt;"",OR($S$5="(все)",B107=$S$5)),MAX($Y$3:Y106)+1,"")</f>
        <v/>
      </c>
      <c r="Z107" s="38" t="str">
        <f t="shared" si="13"/>
        <v/>
      </c>
      <c r="AA107" s="38" t="str">
        <f>IF(AND(A107="Модуль",C107&lt;&gt;"",OR($S$6="(все)",B107=$S$6)),MAX($AA$3:AA106)+1,"")</f>
        <v/>
      </c>
      <c r="AB107" s="38" t="str">
        <f t="shared" si="14"/>
        <v/>
      </c>
      <c r="AC107" s="38" t="str">
        <f>IF(OR(B107="",COUNTIF($B$4:B107,B107)&gt;1),"",MAX($AC$3:AC106)+1)</f>
        <v/>
      </c>
      <c r="AD107" s="38" t="str">
        <f t="shared" si="15"/>
        <v/>
      </c>
      <c r="AE107" s="38" t="str">
        <f t="shared" si="16"/>
        <v/>
      </c>
      <c r="AF107" s="38" t="str">
        <f t="shared" si="17"/>
        <v/>
      </c>
    </row>
    <row r="108" spans="1:32" x14ac:dyDescent="0.3">
      <c r="A108" s="74"/>
      <c r="B108" s="74"/>
      <c r="C108" s="74"/>
      <c r="D108" s="74"/>
      <c r="E108" s="74"/>
      <c r="F108" s="74"/>
      <c r="G108" s="74"/>
      <c r="H108" s="74"/>
      <c r="I108" s="74"/>
      <c r="J108" s="74"/>
      <c r="K108" s="74"/>
      <c r="L108" s="74"/>
      <c r="M108" s="74"/>
      <c r="N108" s="38" t="str">
        <f>IF(OR(A108="Автомат",A108="Дифавтомат"),IF(W108="","",COUNTIFS(Однолинейка!$H$3:$H$3000,U108,Однолинейка!$A$3:$A$3000,Щит_спец)),IF(A108="Аппарат",IF(C108="","",COUNTIFS(Однолинейка!$I$3:$I$3000,C108,Однолинейка!$A$3:$A$3000,Щит_спец)+COUNTIFS(Однолинейка!$J$3:$J$3000,C108,Однолинейка!$A$3:$A$3000,Щит_спец)+COUNTIFS(Однолинейка!$K$3:$K$3000,C108,Однолинейка!$A$3:$A$3000,Щит_спец)),IF(A108="Модуль",IF(C108="","",COUNTIFS(Однолинейка!$AW$3:$AW$3000,"?*",Однолинейка!$AI$3:$AI$3000,C108,Однолинейка!$A$3:$A$3000,Щит_спец)),IF(A108="Клемма",IF(C108="","",IF(C108=$S$7,SUMIFS(Однолинейка!$BW$3:$BW$3000,Однолинейка!$A$3:$A$3000,Щит_спец),IF(C108=$S$8,SUMIFS(Однолинейка!$BX$3:$BX$3000,Однолинейка!$A$3:$A$3000,Щит_спец),""))),""))))</f>
        <v/>
      </c>
      <c r="O108" s="74"/>
      <c r="P108" s="38" t="str">
        <f t="shared" si="9"/>
        <v/>
      </c>
      <c r="U108" s="38" t="str">
        <f t="shared" si="10"/>
        <v/>
      </c>
      <c r="V108" s="38" t="str">
        <f t="shared" si="11"/>
        <v/>
      </c>
      <c r="W108" s="38" t="str">
        <f>IF(AND(U108&lt;&gt;"",OR($S$4="(все)",B108=$S$4),IF($S$4="(все)",COUNTIF($U$4:U108,U108),COUNTIFS($U$4:U108,U108,$B$4:B108,B108))=1),MAX($W$3:W107)+1,"")</f>
        <v/>
      </c>
      <c r="X108" s="38" t="str">
        <f t="shared" si="12"/>
        <v/>
      </c>
      <c r="Y108" s="38" t="str">
        <f>IF(AND(A108="Аппарат",C108&lt;&gt;"",OR($S$5="(все)",B108=$S$5)),MAX($Y$3:Y107)+1,"")</f>
        <v/>
      </c>
      <c r="Z108" s="38" t="str">
        <f t="shared" si="13"/>
        <v/>
      </c>
      <c r="AA108" s="38" t="str">
        <f>IF(AND(A108="Модуль",C108&lt;&gt;"",OR($S$6="(все)",B108=$S$6)),MAX($AA$3:AA107)+1,"")</f>
        <v/>
      </c>
      <c r="AB108" s="38" t="str">
        <f t="shared" si="14"/>
        <v/>
      </c>
      <c r="AC108" s="38" t="str">
        <f>IF(OR(B108="",COUNTIF($B$4:B108,B108)&gt;1),"",MAX($AC$3:AC107)+1)</f>
        <v/>
      </c>
      <c r="AD108" s="38" t="str">
        <f t="shared" si="15"/>
        <v/>
      </c>
      <c r="AE108" s="38" t="str">
        <f t="shared" si="16"/>
        <v/>
      </c>
      <c r="AF108" s="38" t="str">
        <f t="shared" si="17"/>
        <v/>
      </c>
    </row>
    <row r="109" spans="1:32" x14ac:dyDescent="0.3">
      <c r="A109" s="74"/>
      <c r="B109" s="74"/>
      <c r="C109" s="74"/>
      <c r="D109" s="74"/>
      <c r="E109" s="74"/>
      <c r="F109" s="74"/>
      <c r="G109" s="74"/>
      <c r="H109" s="74"/>
      <c r="I109" s="74"/>
      <c r="J109" s="74"/>
      <c r="K109" s="74"/>
      <c r="L109" s="74"/>
      <c r="M109" s="74"/>
      <c r="N109" s="38" t="str">
        <f>IF(OR(A109="Автомат",A109="Дифавтомат"),IF(W109="","",COUNTIFS(Однолинейка!$H$3:$H$3000,U109,Однолинейка!$A$3:$A$3000,Щит_спец)),IF(A109="Аппарат",IF(C109="","",COUNTIFS(Однолинейка!$I$3:$I$3000,C109,Однолинейка!$A$3:$A$3000,Щит_спец)+COUNTIFS(Однолинейка!$J$3:$J$3000,C109,Однолинейка!$A$3:$A$3000,Щит_спец)+COUNTIFS(Однолинейка!$K$3:$K$3000,C109,Однолинейка!$A$3:$A$3000,Щит_спец)),IF(A109="Модуль",IF(C109="","",COUNTIFS(Однолинейка!$AW$3:$AW$3000,"?*",Однолинейка!$AI$3:$AI$3000,C109,Однолинейка!$A$3:$A$3000,Щит_спец)),IF(A109="Клемма",IF(C109="","",IF(C109=$S$7,SUMIFS(Однолинейка!$BW$3:$BW$3000,Однолинейка!$A$3:$A$3000,Щит_спец),IF(C109=$S$8,SUMIFS(Однолинейка!$BX$3:$BX$3000,Однолинейка!$A$3:$A$3000,Щит_спец),""))),""))))</f>
        <v/>
      </c>
      <c r="O109" s="74"/>
      <c r="P109" s="38" t="str">
        <f t="shared" si="9"/>
        <v/>
      </c>
      <c r="U109" s="38" t="str">
        <f t="shared" si="10"/>
        <v/>
      </c>
      <c r="V109" s="38" t="str">
        <f t="shared" si="11"/>
        <v/>
      </c>
      <c r="W109" s="38" t="str">
        <f>IF(AND(U109&lt;&gt;"",OR($S$4="(все)",B109=$S$4),IF($S$4="(все)",COUNTIF($U$4:U109,U109),COUNTIFS($U$4:U109,U109,$B$4:B109,B109))=1),MAX($W$3:W108)+1,"")</f>
        <v/>
      </c>
      <c r="X109" s="38" t="str">
        <f t="shared" si="12"/>
        <v/>
      </c>
      <c r="Y109" s="38" t="str">
        <f>IF(AND(A109="Аппарат",C109&lt;&gt;"",OR($S$5="(все)",B109=$S$5)),MAX($Y$3:Y108)+1,"")</f>
        <v/>
      </c>
      <c r="Z109" s="38" t="str">
        <f t="shared" si="13"/>
        <v/>
      </c>
      <c r="AA109" s="38" t="str">
        <f>IF(AND(A109="Модуль",C109&lt;&gt;"",OR($S$6="(все)",B109=$S$6)),MAX($AA$3:AA108)+1,"")</f>
        <v/>
      </c>
      <c r="AB109" s="38" t="str">
        <f t="shared" si="14"/>
        <v/>
      </c>
      <c r="AC109" s="38" t="str">
        <f>IF(OR(B109="",COUNTIF($B$4:B109,B109)&gt;1),"",MAX($AC$3:AC108)+1)</f>
        <v/>
      </c>
      <c r="AD109" s="38" t="str">
        <f t="shared" si="15"/>
        <v/>
      </c>
      <c r="AE109" s="38" t="str">
        <f t="shared" si="16"/>
        <v/>
      </c>
      <c r="AF109" s="38" t="str">
        <f t="shared" si="17"/>
        <v/>
      </c>
    </row>
    <row r="110" spans="1:32" x14ac:dyDescent="0.3">
      <c r="A110" s="74"/>
      <c r="B110" s="74"/>
      <c r="C110" s="74"/>
      <c r="D110" s="74"/>
      <c r="E110" s="74"/>
      <c r="F110" s="74"/>
      <c r="G110" s="74"/>
      <c r="H110" s="74"/>
      <c r="I110" s="74"/>
      <c r="J110" s="74"/>
      <c r="K110" s="74"/>
      <c r="L110" s="74"/>
      <c r="M110" s="74"/>
      <c r="N110" s="38" t="str">
        <f>IF(OR(A110="Автомат",A110="Дифавтомат"),IF(W110="","",COUNTIFS(Однолинейка!$H$3:$H$3000,U110,Однолинейка!$A$3:$A$3000,Щит_спец)),IF(A110="Аппарат",IF(C110="","",COUNTIFS(Однолинейка!$I$3:$I$3000,C110,Однолинейка!$A$3:$A$3000,Щит_спец)+COUNTIFS(Однолинейка!$J$3:$J$3000,C110,Однолинейка!$A$3:$A$3000,Щит_спец)+COUNTIFS(Однолинейка!$K$3:$K$3000,C110,Однолинейка!$A$3:$A$3000,Щит_спец)),IF(A110="Модуль",IF(C110="","",COUNTIFS(Однолинейка!$AW$3:$AW$3000,"?*",Однолинейка!$AI$3:$AI$3000,C110,Однолинейка!$A$3:$A$3000,Щит_спец)),IF(A110="Клемма",IF(C110="","",IF(C110=$S$7,SUMIFS(Однолинейка!$BW$3:$BW$3000,Однолинейка!$A$3:$A$3000,Щит_спец),IF(C110=$S$8,SUMIFS(Однолинейка!$BX$3:$BX$3000,Однолинейка!$A$3:$A$3000,Щит_спец),""))),""))))</f>
        <v/>
      </c>
      <c r="O110" s="74"/>
      <c r="P110" s="38" t="str">
        <f t="shared" si="9"/>
        <v/>
      </c>
      <c r="U110" s="38" t="str">
        <f t="shared" si="10"/>
        <v/>
      </c>
      <c r="V110" s="38" t="str">
        <f t="shared" si="11"/>
        <v/>
      </c>
      <c r="W110" s="38" t="str">
        <f>IF(AND(U110&lt;&gt;"",OR($S$4="(все)",B110=$S$4),IF($S$4="(все)",COUNTIF($U$4:U110,U110),COUNTIFS($U$4:U110,U110,$B$4:B110,B110))=1),MAX($W$3:W109)+1,"")</f>
        <v/>
      </c>
      <c r="X110" s="38" t="str">
        <f t="shared" si="12"/>
        <v/>
      </c>
      <c r="Y110" s="38" t="str">
        <f>IF(AND(A110="Аппарат",C110&lt;&gt;"",OR($S$5="(все)",B110=$S$5)),MAX($Y$3:Y109)+1,"")</f>
        <v/>
      </c>
      <c r="Z110" s="38" t="str">
        <f t="shared" si="13"/>
        <v/>
      </c>
      <c r="AA110" s="38" t="str">
        <f>IF(AND(A110="Модуль",C110&lt;&gt;"",OR($S$6="(все)",B110=$S$6)),MAX($AA$3:AA109)+1,"")</f>
        <v/>
      </c>
      <c r="AB110" s="38" t="str">
        <f t="shared" si="14"/>
        <v/>
      </c>
      <c r="AC110" s="38" t="str">
        <f>IF(OR(B110="",COUNTIF($B$4:B110,B110)&gt;1),"",MAX($AC$3:AC109)+1)</f>
        <v/>
      </c>
      <c r="AD110" s="38" t="str">
        <f t="shared" si="15"/>
        <v/>
      </c>
      <c r="AE110" s="38" t="str">
        <f t="shared" si="16"/>
        <v/>
      </c>
      <c r="AF110" s="38" t="str">
        <f t="shared" si="17"/>
        <v/>
      </c>
    </row>
    <row r="111" spans="1:32" x14ac:dyDescent="0.3">
      <c r="A111" s="74"/>
      <c r="B111" s="74"/>
      <c r="C111" s="74"/>
      <c r="D111" s="74"/>
      <c r="E111" s="74"/>
      <c r="F111" s="74"/>
      <c r="G111" s="74"/>
      <c r="H111" s="74"/>
      <c r="I111" s="74"/>
      <c r="J111" s="74"/>
      <c r="K111" s="74"/>
      <c r="L111" s="74"/>
      <c r="M111" s="74"/>
      <c r="N111" s="38" t="str">
        <f>IF(OR(A111="Автомат",A111="Дифавтомат"),IF(W111="","",COUNTIFS(Однолинейка!$H$3:$H$3000,U111,Однолинейка!$A$3:$A$3000,Щит_спец)),IF(A111="Аппарат",IF(C111="","",COUNTIFS(Однолинейка!$I$3:$I$3000,C111,Однолинейка!$A$3:$A$3000,Щит_спец)+COUNTIFS(Однолинейка!$J$3:$J$3000,C111,Однолинейка!$A$3:$A$3000,Щит_спец)+COUNTIFS(Однолинейка!$K$3:$K$3000,C111,Однолинейка!$A$3:$A$3000,Щит_спец)),IF(A111="Модуль",IF(C111="","",COUNTIFS(Однолинейка!$AW$3:$AW$3000,"?*",Однолинейка!$AI$3:$AI$3000,C111,Однолинейка!$A$3:$A$3000,Щит_спец)),IF(A111="Клемма",IF(C111="","",IF(C111=$S$7,SUMIFS(Однолинейка!$BW$3:$BW$3000,Однолинейка!$A$3:$A$3000,Щит_спец),IF(C111=$S$8,SUMIFS(Однолинейка!$BX$3:$BX$3000,Однолинейка!$A$3:$A$3000,Щит_спец),""))),""))))</f>
        <v/>
      </c>
      <c r="O111" s="74"/>
      <c r="P111" s="38" t="str">
        <f t="shared" si="9"/>
        <v/>
      </c>
      <c r="U111" s="38" t="str">
        <f t="shared" si="10"/>
        <v/>
      </c>
      <c r="V111" s="38" t="str">
        <f t="shared" si="11"/>
        <v/>
      </c>
      <c r="W111" s="38" t="str">
        <f>IF(AND(U111&lt;&gt;"",OR($S$4="(все)",B111=$S$4),IF($S$4="(все)",COUNTIF($U$4:U111,U111),COUNTIFS($U$4:U111,U111,$B$4:B111,B111))=1),MAX($W$3:W110)+1,"")</f>
        <v/>
      </c>
      <c r="X111" s="38" t="str">
        <f t="shared" si="12"/>
        <v/>
      </c>
      <c r="Y111" s="38" t="str">
        <f>IF(AND(A111="Аппарат",C111&lt;&gt;"",OR($S$5="(все)",B111=$S$5)),MAX($Y$3:Y110)+1,"")</f>
        <v/>
      </c>
      <c r="Z111" s="38" t="str">
        <f t="shared" si="13"/>
        <v/>
      </c>
      <c r="AA111" s="38" t="str">
        <f>IF(AND(A111="Модуль",C111&lt;&gt;"",OR($S$6="(все)",B111=$S$6)),MAX($AA$3:AA110)+1,"")</f>
        <v/>
      </c>
      <c r="AB111" s="38" t="str">
        <f t="shared" si="14"/>
        <v/>
      </c>
      <c r="AC111" s="38" t="str">
        <f>IF(OR(B111="",COUNTIF($B$4:B111,B111)&gt;1),"",MAX($AC$3:AC110)+1)</f>
        <v/>
      </c>
      <c r="AD111" s="38" t="str">
        <f t="shared" si="15"/>
        <v/>
      </c>
      <c r="AE111" s="38" t="str">
        <f t="shared" si="16"/>
        <v/>
      </c>
      <c r="AF111" s="38" t="str">
        <f t="shared" si="17"/>
        <v/>
      </c>
    </row>
    <row r="112" spans="1:32" x14ac:dyDescent="0.3">
      <c r="A112" s="74"/>
      <c r="B112" s="74"/>
      <c r="C112" s="74"/>
      <c r="D112" s="74"/>
      <c r="E112" s="74"/>
      <c r="F112" s="74"/>
      <c r="G112" s="74"/>
      <c r="H112" s="74"/>
      <c r="I112" s="74"/>
      <c r="J112" s="74"/>
      <c r="K112" s="74"/>
      <c r="L112" s="74"/>
      <c r="M112" s="74"/>
      <c r="N112" s="38" t="str">
        <f>IF(OR(A112="Автомат",A112="Дифавтомат"),IF(W112="","",COUNTIFS(Однолинейка!$H$3:$H$3000,U112,Однолинейка!$A$3:$A$3000,Щит_спец)),IF(A112="Аппарат",IF(C112="","",COUNTIFS(Однолинейка!$I$3:$I$3000,C112,Однолинейка!$A$3:$A$3000,Щит_спец)+COUNTIFS(Однолинейка!$J$3:$J$3000,C112,Однолинейка!$A$3:$A$3000,Щит_спец)+COUNTIFS(Однолинейка!$K$3:$K$3000,C112,Однолинейка!$A$3:$A$3000,Щит_спец)),IF(A112="Модуль",IF(C112="","",COUNTIFS(Однолинейка!$AW$3:$AW$3000,"?*",Однолинейка!$AI$3:$AI$3000,C112,Однолинейка!$A$3:$A$3000,Щит_спец)),IF(A112="Клемма",IF(C112="","",IF(C112=$S$7,SUMIFS(Однолинейка!$BW$3:$BW$3000,Однолинейка!$A$3:$A$3000,Щит_спец),IF(C112=$S$8,SUMIFS(Однолинейка!$BX$3:$BX$3000,Однолинейка!$A$3:$A$3000,Щит_спец),""))),""))))</f>
        <v/>
      </c>
      <c r="O112" s="74"/>
      <c r="P112" s="38" t="str">
        <f t="shared" si="9"/>
        <v/>
      </c>
      <c r="U112" s="38" t="str">
        <f t="shared" si="10"/>
        <v/>
      </c>
      <c r="V112" s="38" t="str">
        <f t="shared" si="11"/>
        <v/>
      </c>
      <c r="W112" s="38" t="str">
        <f>IF(AND(U112&lt;&gt;"",OR($S$4="(все)",B112=$S$4),IF($S$4="(все)",COUNTIF($U$4:U112,U112),COUNTIFS($U$4:U112,U112,$B$4:B112,B112))=1),MAX($W$3:W111)+1,"")</f>
        <v/>
      </c>
      <c r="X112" s="38" t="str">
        <f t="shared" si="12"/>
        <v/>
      </c>
      <c r="Y112" s="38" t="str">
        <f>IF(AND(A112="Аппарат",C112&lt;&gt;"",OR($S$5="(все)",B112=$S$5)),MAX($Y$3:Y111)+1,"")</f>
        <v/>
      </c>
      <c r="Z112" s="38" t="str">
        <f t="shared" si="13"/>
        <v/>
      </c>
      <c r="AA112" s="38" t="str">
        <f>IF(AND(A112="Модуль",C112&lt;&gt;"",OR($S$6="(все)",B112=$S$6)),MAX($AA$3:AA111)+1,"")</f>
        <v/>
      </c>
      <c r="AB112" s="38" t="str">
        <f t="shared" si="14"/>
        <v/>
      </c>
      <c r="AC112" s="38" t="str">
        <f>IF(OR(B112="",COUNTIF($B$4:B112,B112)&gt;1),"",MAX($AC$3:AC111)+1)</f>
        <v/>
      </c>
      <c r="AD112" s="38" t="str">
        <f t="shared" si="15"/>
        <v/>
      </c>
      <c r="AE112" s="38" t="str">
        <f t="shared" si="16"/>
        <v/>
      </c>
      <c r="AF112" s="38" t="str">
        <f t="shared" si="17"/>
        <v/>
      </c>
    </row>
    <row r="113" spans="1:32" x14ac:dyDescent="0.3">
      <c r="A113" s="74"/>
      <c r="B113" s="74"/>
      <c r="C113" s="74"/>
      <c r="D113" s="74"/>
      <c r="E113" s="74"/>
      <c r="F113" s="74"/>
      <c r="G113" s="74"/>
      <c r="H113" s="74"/>
      <c r="I113" s="74"/>
      <c r="J113" s="74"/>
      <c r="K113" s="74"/>
      <c r="L113" s="74"/>
      <c r="M113" s="74"/>
      <c r="N113" s="38" t="str">
        <f>IF(OR(A113="Автомат",A113="Дифавтомат"),IF(W113="","",COUNTIFS(Однолинейка!$H$3:$H$3000,U113,Однолинейка!$A$3:$A$3000,Щит_спец)),IF(A113="Аппарат",IF(C113="","",COUNTIFS(Однолинейка!$I$3:$I$3000,C113,Однолинейка!$A$3:$A$3000,Щит_спец)+COUNTIFS(Однолинейка!$J$3:$J$3000,C113,Однолинейка!$A$3:$A$3000,Щит_спец)+COUNTIFS(Однолинейка!$K$3:$K$3000,C113,Однолинейка!$A$3:$A$3000,Щит_спец)),IF(A113="Модуль",IF(C113="","",COUNTIFS(Однолинейка!$AW$3:$AW$3000,"?*",Однолинейка!$AI$3:$AI$3000,C113,Однолинейка!$A$3:$A$3000,Щит_спец)),IF(A113="Клемма",IF(C113="","",IF(C113=$S$7,SUMIFS(Однолинейка!$BW$3:$BW$3000,Однолинейка!$A$3:$A$3000,Щит_спец),IF(C113=$S$8,SUMIFS(Однолинейка!$BX$3:$BX$3000,Однолинейка!$A$3:$A$3000,Щит_спец),""))),""))))</f>
        <v/>
      </c>
      <c r="O113" s="74"/>
      <c r="P113" s="38" t="str">
        <f t="shared" si="9"/>
        <v/>
      </c>
      <c r="U113" s="38" t="str">
        <f t="shared" si="10"/>
        <v/>
      </c>
      <c r="V113" s="38" t="str">
        <f t="shared" si="11"/>
        <v/>
      </c>
      <c r="W113" s="38" t="str">
        <f>IF(AND(U113&lt;&gt;"",OR($S$4="(все)",B113=$S$4),IF($S$4="(все)",COUNTIF($U$4:U113,U113),COUNTIFS($U$4:U113,U113,$B$4:B113,B113))=1),MAX($W$3:W112)+1,"")</f>
        <v/>
      </c>
      <c r="X113" s="38" t="str">
        <f t="shared" si="12"/>
        <v/>
      </c>
      <c r="Y113" s="38" t="str">
        <f>IF(AND(A113="Аппарат",C113&lt;&gt;"",OR($S$5="(все)",B113=$S$5)),MAX($Y$3:Y112)+1,"")</f>
        <v/>
      </c>
      <c r="Z113" s="38" t="str">
        <f t="shared" si="13"/>
        <v/>
      </c>
      <c r="AA113" s="38" t="str">
        <f>IF(AND(A113="Модуль",C113&lt;&gt;"",OR($S$6="(все)",B113=$S$6)),MAX($AA$3:AA112)+1,"")</f>
        <v/>
      </c>
      <c r="AB113" s="38" t="str">
        <f t="shared" si="14"/>
        <v/>
      </c>
      <c r="AC113" s="38" t="str">
        <f>IF(OR(B113="",COUNTIF($B$4:B113,B113)&gt;1),"",MAX($AC$3:AC112)+1)</f>
        <v/>
      </c>
      <c r="AD113" s="38" t="str">
        <f t="shared" si="15"/>
        <v/>
      </c>
      <c r="AE113" s="38" t="str">
        <f t="shared" si="16"/>
        <v/>
      </c>
      <c r="AF113" s="38" t="str">
        <f t="shared" si="17"/>
        <v/>
      </c>
    </row>
    <row r="114" spans="1:32" x14ac:dyDescent="0.3">
      <c r="A114" s="74"/>
      <c r="B114" s="74"/>
      <c r="C114" s="74"/>
      <c r="D114" s="74"/>
      <c r="E114" s="74"/>
      <c r="F114" s="74"/>
      <c r="G114" s="74"/>
      <c r="H114" s="74"/>
      <c r="I114" s="74"/>
      <c r="J114" s="74"/>
      <c r="K114" s="74"/>
      <c r="L114" s="74"/>
      <c r="M114" s="74"/>
      <c r="N114" s="38" t="str">
        <f>IF(OR(A114="Автомат",A114="Дифавтомат"),IF(W114="","",COUNTIFS(Однолинейка!$H$3:$H$3000,U114,Однолинейка!$A$3:$A$3000,Щит_спец)),IF(A114="Аппарат",IF(C114="","",COUNTIFS(Однолинейка!$I$3:$I$3000,C114,Однолинейка!$A$3:$A$3000,Щит_спец)+COUNTIFS(Однолинейка!$J$3:$J$3000,C114,Однолинейка!$A$3:$A$3000,Щит_спец)+COUNTIFS(Однолинейка!$K$3:$K$3000,C114,Однолинейка!$A$3:$A$3000,Щит_спец)),IF(A114="Модуль",IF(C114="","",COUNTIFS(Однолинейка!$AW$3:$AW$3000,"?*",Однолинейка!$AI$3:$AI$3000,C114,Однолинейка!$A$3:$A$3000,Щит_спец)),IF(A114="Клемма",IF(C114="","",IF(C114=$S$7,SUMIFS(Однолинейка!$BW$3:$BW$3000,Однолинейка!$A$3:$A$3000,Щит_спец),IF(C114=$S$8,SUMIFS(Однолинейка!$BX$3:$BX$3000,Однолинейка!$A$3:$A$3000,Щит_спец),""))),""))))</f>
        <v/>
      </c>
      <c r="O114" s="74"/>
      <c r="P114" s="38" t="str">
        <f t="shared" si="9"/>
        <v/>
      </c>
      <c r="U114" s="38" t="str">
        <f t="shared" si="10"/>
        <v/>
      </c>
      <c r="V114" s="38" t="str">
        <f t="shared" si="11"/>
        <v/>
      </c>
      <c r="W114" s="38" t="str">
        <f>IF(AND(U114&lt;&gt;"",OR($S$4="(все)",B114=$S$4),IF($S$4="(все)",COUNTIF($U$4:U114,U114),COUNTIFS($U$4:U114,U114,$B$4:B114,B114))=1),MAX($W$3:W113)+1,"")</f>
        <v/>
      </c>
      <c r="X114" s="38" t="str">
        <f t="shared" si="12"/>
        <v/>
      </c>
      <c r="Y114" s="38" t="str">
        <f>IF(AND(A114="Аппарат",C114&lt;&gt;"",OR($S$5="(все)",B114=$S$5)),MAX($Y$3:Y113)+1,"")</f>
        <v/>
      </c>
      <c r="Z114" s="38" t="str">
        <f t="shared" si="13"/>
        <v/>
      </c>
      <c r="AA114" s="38" t="str">
        <f>IF(AND(A114="Модуль",C114&lt;&gt;"",OR($S$6="(все)",B114=$S$6)),MAX($AA$3:AA113)+1,"")</f>
        <v/>
      </c>
      <c r="AB114" s="38" t="str">
        <f t="shared" si="14"/>
        <v/>
      </c>
      <c r="AC114" s="38" t="str">
        <f>IF(OR(B114="",COUNTIF($B$4:B114,B114)&gt;1),"",MAX($AC$3:AC113)+1)</f>
        <v/>
      </c>
      <c r="AD114" s="38" t="str">
        <f t="shared" si="15"/>
        <v/>
      </c>
      <c r="AE114" s="38" t="str">
        <f t="shared" si="16"/>
        <v/>
      </c>
      <c r="AF114" s="38" t="str">
        <f t="shared" si="17"/>
        <v/>
      </c>
    </row>
    <row r="115" spans="1:32" x14ac:dyDescent="0.3">
      <c r="A115" s="74"/>
      <c r="B115" s="74"/>
      <c r="C115" s="74"/>
      <c r="D115" s="74"/>
      <c r="E115" s="74"/>
      <c r="F115" s="74"/>
      <c r="G115" s="74"/>
      <c r="H115" s="74"/>
      <c r="I115" s="74"/>
      <c r="J115" s="74"/>
      <c r="K115" s="74"/>
      <c r="L115" s="74"/>
      <c r="M115" s="74"/>
      <c r="N115" s="38" t="str">
        <f>IF(OR(A115="Автомат",A115="Дифавтомат"),IF(W115="","",COUNTIFS(Однолинейка!$H$3:$H$3000,U115,Однолинейка!$A$3:$A$3000,Щит_спец)),IF(A115="Аппарат",IF(C115="","",COUNTIFS(Однолинейка!$I$3:$I$3000,C115,Однолинейка!$A$3:$A$3000,Щит_спец)+COUNTIFS(Однолинейка!$J$3:$J$3000,C115,Однолинейка!$A$3:$A$3000,Щит_спец)+COUNTIFS(Однолинейка!$K$3:$K$3000,C115,Однолинейка!$A$3:$A$3000,Щит_спец)),IF(A115="Модуль",IF(C115="","",COUNTIFS(Однолинейка!$AW$3:$AW$3000,"?*",Однолинейка!$AI$3:$AI$3000,C115,Однолинейка!$A$3:$A$3000,Щит_спец)),IF(A115="Клемма",IF(C115="","",IF(C115=$S$7,SUMIFS(Однолинейка!$BW$3:$BW$3000,Однолинейка!$A$3:$A$3000,Щит_спец),IF(C115=$S$8,SUMIFS(Однолинейка!$BX$3:$BX$3000,Однолинейка!$A$3:$A$3000,Щит_спец),""))),""))))</f>
        <v/>
      </c>
      <c r="O115" s="74"/>
      <c r="P115" s="38" t="str">
        <f t="shared" si="9"/>
        <v/>
      </c>
      <c r="U115" s="38" t="str">
        <f t="shared" si="10"/>
        <v/>
      </c>
      <c r="V115" s="38" t="str">
        <f t="shared" si="11"/>
        <v/>
      </c>
      <c r="W115" s="38" t="str">
        <f>IF(AND(U115&lt;&gt;"",OR($S$4="(все)",B115=$S$4),IF($S$4="(все)",COUNTIF($U$4:U115,U115),COUNTIFS($U$4:U115,U115,$B$4:B115,B115))=1),MAX($W$3:W114)+1,"")</f>
        <v/>
      </c>
      <c r="X115" s="38" t="str">
        <f t="shared" si="12"/>
        <v/>
      </c>
      <c r="Y115" s="38" t="str">
        <f>IF(AND(A115="Аппарат",C115&lt;&gt;"",OR($S$5="(все)",B115=$S$5)),MAX($Y$3:Y114)+1,"")</f>
        <v/>
      </c>
      <c r="Z115" s="38" t="str">
        <f t="shared" si="13"/>
        <v/>
      </c>
      <c r="AA115" s="38" t="str">
        <f>IF(AND(A115="Модуль",C115&lt;&gt;"",OR($S$6="(все)",B115=$S$6)),MAX($AA$3:AA114)+1,"")</f>
        <v/>
      </c>
      <c r="AB115" s="38" t="str">
        <f t="shared" si="14"/>
        <v/>
      </c>
      <c r="AC115" s="38" t="str">
        <f>IF(OR(B115="",COUNTIF($B$4:B115,B115)&gt;1),"",MAX($AC$3:AC114)+1)</f>
        <v/>
      </c>
      <c r="AD115" s="38" t="str">
        <f t="shared" si="15"/>
        <v/>
      </c>
      <c r="AE115" s="38" t="str">
        <f t="shared" si="16"/>
        <v/>
      </c>
      <c r="AF115" s="38" t="str">
        <f t="shared" si="17"/>
        <v/>
      </c>
    </row>
    <row r="116" spans="1:32" x14ac:dyDescent="0.3">
      <c r="A116" s="74"/>
      <c r="B116" s="74"/>
      <c r="C116" s="74"/>
      <c r="D116" s="74"/>
      <c r="E116" s="74"/>
      <c r="F116" s="74"/>
      <c r="G116" s="74"/>
      <c r="H116" s="74"/>
      <c r="I116" s="74"/>
      <c r="J116" s="74"/>
      <c r="K116" s="74"/>
      <c r="L116" s="74"/>
      <c r="M116" s="74"/>
      <c r="N116" s="38" t="str">
        <f>IF(OR(A116="Автомат",A116="Дифавтомат"),IF(W116="","",COUNTIFS(Однолинейка!$H$3:$H$3000,U116,Однолинейка!$A$3:$A$3000,Щит_спец)),IF(A116="Аппарат",IF(C116="","",COUNTIFS(Однолинейка!$I$3:$I$3000,C116,Однолинейка!$A$3:$A$3000,Щит_спец)+COUNTIFS(Однолинейка!$J$3:$J$3000,C116,Однолинейка!$A$3:$A$3000,Щит_спец)+COUNTIFS(Однолинейка!$K$3:$K$3000,C116,Однолинейка!$A$3:$A$3000,Щит_спец)),IF(A116="Модуль",IF(C116="","",COUNTIFS(Однолинейка!$AW$3:$AW$3000,"?*",Однолинейка!$AI$3:$AI$3000,C116,Однолинейка!$A$3:$A$3000,Щит_спец)),IF(A116="Клемма",IF(C116="","",IF(C116=$S$7,SUMIFS(Однолинейка!$BW$3:$BW$3000,Однолинейка!$A$3:$A$3000,Щит_спец),IF(C116=$S$8,SUMIFS(Однолинейка!$BX$3:$BX$3000,Однолинейка!$A$3:$A$3000,Щит_спец),""))),""))))</f>
        <v/>
      </c>
      <c r="O116" s="74"/>
      <c r="P116" s="38" t="str">
        <f t="shared" si="9"/>
        <v/>
      </c>
      <c r="U116" s="38" t="str">
        <f t="shared" si="10"/>
        <v/>
      </c>
      <c r="V116" s="38" t="str">
        <f t="shared" si="11"/>
        <v/>
      </c>
      <c r="W116" s="38" t="str">
        <f>IF(AND(U116&lt;&gt;"",OR($S$4="(все)",B116=$S$4),IF($S$4="(все)",COUNTIF($U$4:U116,U116),COUNTIFS($U$4:U116,U116,$B$4:B116,B116))=1),MAX($W$3:W115)+1,"")</f>
        <v/>
      </c>
      <c r="X116" s="38" t="str">
        <f t="shared" si="12"/>
        <v/>
      </c>
      <c r="Y116" s="38" t="str">
        <f>IF(AND(A116="Аппарат",C116&lt;&gt;"",OR($S$5="(все)",B116=$S$5)),MAX($Y$3:Y115)+1,"")</f>
        <v/>
      </c>
      <c r="Z116" s="38" t="str">
        <f t="shared" si="13"/>
        <v/>
      </c>
      <c r="AA116" s="38" t="str">
        <f>IF(AND(A116="Модуль",C116&lt;&gt;"",OR($S$6="(все)",B116=$S$6)),MAX($AA$3:AA115)+1,"")</f>
        <v/>
      </c>
      <c r="AB116" s="38" t="str">
        <f t="shared" si="14"/>
        <v/>
      </c>
      <c r="AC116" s="38" t="str">
        <f>IF(OR(B116="",COUNTIF($B$4:B116,B116)&gt;1),"",MAX($AC$3:AC115)+1)</f>
        <v/>
      </c>
      <c r="AD116" s="38" t="str">
        <f t="shared" si="15"/>
        <v/>
      </c>
      <c r="AE116" s="38" t="str">
        <f t="shared" si="16"/>
        <v/>
      </c>
      <c r="AF116" s="38" t="str">
        <f t="shared" si="17"/>
        <v/>
      </c>
    </row>
    <row r="117" spans="1:32" x14ac:dyDescent="0.3">
      <c r="A117" s="74"/>
      <c r="B117" s="74"/>
      <c r="C117" s="74"/>
      <c r="D117" s="74"/>
      <c r="E117" s="74"/>
      <c r="F117" s="74"/>
      <c r="G117" s="74"/>
      <c r="H117" s="74"/>
      <c r="I117" s="74"/>
      <c r="J117" s="74"/>
      <c r="K117" s="74"/>
      <c r="L117" s="74"/>
      <c r="M117" s="74"/>
      <c r="N117" s="38" t="str">
        <f>IF(OR(A117="Автомат",A117="Дифавтомат"),IF(W117="","",COUNTIFS(Однолинейка!$H$3:$H$3000,U117,Однолинейка!$A$3:$A$3000,Щит_спец)),IF(A117="Аппарат",IF(C117="","",COUNTIFS(Однолинейка!$I$3:$I$3000,C117,Однолинейка!$A$3:$A$3000,Щит_спец)+COUNTIFS(Однолинейка!$J$3:$J$3000,C117,Однолинейка!$A$3:$A$3000,Щит_спец)+COUNTIFS(Однолинейка!$K$3:$K$3000,C117,Однолинейка!$A$3:$A$3000,Щит_спец)),IF(A117="Модуль",IF(C117="","",COUNTIFS(Однолинейка!$AW$3:$AW$3000,"?*",Однолинейка!$AI$3:$AI$3000,C117,Однолинейка!$A$3:$A$3000,Щит_спец)),IF(A117="Клемма",IF(C117="","",IF(C117=$S$7,SUMIFS(Однолинейка!$BW$3:$BW$3000,Однолинейка!$A$3:$A$3000,Щит_спец),IF(C117=$S$8,SUMIFS(Однолинейка!$BX$3:$BX$3000,Однолинейка!$A$3:$A$3000,Щит_спец),""))),""))))</f>
        <v/>
      </c>
      <c r="O117" s="74"/>
      <c r="P117" s="38" t="str">
        <f t="shared" si="9"/>
        <v/>
      </c>
      <c r="U117" s="38" t="str">
        <f t="shared" si="10"/>
        <v/>
      </c>
      <c r="V117" s="38" t="str">
        <f t="shared" si="11"/>
        <v/>
      </c>
      <c r="W117" s="38" t="str">
        <f>IF(AND(U117&lt;&gt;"",OR($S$4="(все)",B117=$S$4),IF($S$4="(все)",COUNTIF($U$4:U117,U117),COUNTIFS($U$4:U117,U117,$B$4:B117,B117))=1),MAX($W$3:W116)+1,"")</f>
        <v/>
      </c>
      <c r="X117" s="38" t="str">
        <f t="shared" si="12"/>
        <v/>
      </c>
      <c r="Y117" s="38" t="str">
        <f>IF(AND(A117="Аппарат",C117&lt;&gt;"",OR($S$5="(все)",B117=$S$5)),MAX($Y$3:Y116)+1,"")</f>
        <v/>
      </c>
      <c r="Z117" s="38" t="str">
        <f t="shared" si="13"/>
        <v/>
      </c>
      <c r="AA117" s="38" t="str">
        <f>IF(AND(A117="Модуль",C117&lt;&gt;"",OR($S$6="(все)",B117=$S$6)),MAX($AA$3:AA116)+1,"")</f>
        <v/>
      </c>
      <c r="AB117" s="38" t="str">
        <f t="shared" si="14"/>
        <v/>
      </c>
      <c r="AC117" s="38" t="str">
        <f>IF(OR(B117="",COUNTIF($B$4:B117,B117)&gt;1),"",MAX($AC$3:AC116)+1)</f>
        <v/>
      </c>
      <c r="AD117" s="38" t="str">
        <f t="shared" si="15"/>
        <v/>
      </c>
      <c r="AE117" s="38" t="str">
        <f t="shared" si="16"/>
        <v/>
      </c>
      <c r="AF117" s="38" t="str">
        <f t="shared" si="17"/>
        <v/>
      </c>
    </row>
    <row r="118" spans="1:32" x14ac:dyDescent="0.3">
      <c r="A118" s="74"/>
      <c r="B118" s="74"/>
      <c r="C118" s="74"/>
      <c r="D118" s="74"/>
      <c r="E118" s="74"/>
      <c r="F118" s="74"/>
      <c r="G118" s="74"/>
      <c r="H118" s="74"/>
      <c r="I118" s="74"/>
      <c r="J118" s="74"/>
      <c r="K118" s="74"/>
      <c r="L118" s="74"/>
      <c r="M118" s="74"/>
      <c r="N118" s="38" t="str">
        <f>IF(OR(A118="Автомат",A118="Дифавтомат"),IF(W118="","",COUNTIFS(Однолинейка!$H$3:$H$3000,U118,Однолинейка!$A$3:$A$3000,Щит_спец)),IF(A118="Аппарат",IF(C118="","",COUNTIFS(Однолинейка!$I$3:$I$3000,C118,Однолинейка!$A$3:$A$3000,Щит_спец)+COUNTIFS(Однолинейка!$J$3:$J$3000,C118,Однолинейка!$A$3:$A$3000,Щит_спец)+COUNTIFS(Однолинейка!$K$3:$K$3000,C118,Однолинейка!$A$3:$A$3000,Щит_спец)),IF(A118="Модуль",IF(C118="","",COUNTIFS(Однолинейка!$AW$3:$AW$3000,"?*",Однолинейка!$AI$3:$AI$3000,C118,Однолинейка!$A$3:$A$3000,Щит_спец)),IF(A118="Клемма",IF(C118="","",IF(C118=$S$7,SUMIFS(Однолинейка!$BW$3:$BW$3000,Однолинейка!$A$3:$A$3000,Щит_спец),IF(C118=$S$8,SUMIFS(Однолинейка!$BX$3:$BX$3000,Однолинейка!$A$3:$A$3000,Щит_спец),""))),""))))</f>
        <v/>
      </c>
      <c r="O118" s="74"/>
      <c r="P118" s="38" t="str">
        <f t="shared" si="9"/>
        <v/>
      </c>
      <c r="U118" s="38" t="str">
        <f t="shared" si="10"/>
        <v/>
      </c>
      <c r="V118" s="38" t="str">
        <f t="shared" si="11"/>
        <v/>
      </c>
      <c r="W118" s="38" t="str">
        <f>IF(AND(U118&lt;&gt;"",OR($S$4="(все)",B118=$S$4),IF($S$4="(все)",COUNTIF($U$4:U118,U118),COUNTIFS($U$4:U118,U118,$B$4:B118,B118))=1),MAX($W$3:W117)+1,"")</f>
        <v/>
      </c>
      <c r="X118" s="38" t="str">
        <f t="shared" si="12"/>
        <v/>
      </c>
      <c r="Y118" s="38" t="str">
        <f>IF(AND(A118="Аппарат",C118&lt;&gt;"",OR($S$5="(все)",B118=$S$5)),MAX($Y$3:Y117)+1,"")</f>
        <v/>
      </c>
      <c r="Z118" s="38" t="str">
        <f t="shared" si="13"/>
        <v/>
      </c>
      <c r="AA118" s="38" t="str">
        <f>IF(AND(A118="Модуль",C118&lt;&gt;"",OR($S$6="(все)",B118=$S$6)),MAX($AA$3:AA117)+1,"")</f>
        <v/>
      </c>
      <c r="AB118" s="38" t="str">
        <f t="shared" si="14"/>
        <v/>
      </c>
      <c r="AC118" s="38" t="str">
        <f>IF(OR(B118="",COUNTIF($B$4:B118,B118)&gt;1),"",MAX($AC$3:AC117)+1)</f>
        <v/>
      </c>
      <c r="AD118" s="38" t="str">
        <f t="shared" si="15"/>
        <v/>
      </c>
      <c r="AE118" s="38" t="str">
        <f t="shared" si="16"/>
        <v/>
      </c>
      <c r="AF118" s="38" t="str">
        <f t="shared" si="17"/>
        <v/>
      </c>
    </row>
    <row r="119" spans="1:32" x14ac:dyDescent="0.3">
      <c r="A119" s="74"/>
      <c r="B119" s="74"/>
      <c r="C119" s="74"/>
      <c r="D119" s="74"/>
      <c r="E119" s="74"/>
      <c r="F119" s="74"/>
      <c r="G119" s="74"/>
      <c r="H119" s="74"/>
      <c r="I119" s="74"/>
      <c r="J119" s="74"/>
      <c r="K119" s="74"/>
      <c r="L119" s="74"/>
      <c r="M119" s="74"/>
      <c r="N119" s="38" t="str">
        <f>IF(OR(A119="Автомат",A119="Дифавтомат"),IF(W119="","",COUNTIFS(Однолинейка!$H$3:$H$3000,U119,Однолинейка!$A$3:$A$3000,Щит_спец)),IF(A119="Аппарат",IF(C119="","",COUNTIFS(Однолинейка!$I$3:$I$3000,C119,Однолинейка!$A$3:$A$3000,Щит_спец)+COUNTIFS(Однолинейка!$J$3:$J$3000,C119,Однолинейка!$A$3:$A$3000,Щит_спец)+COUNTIFS(Однолинейка!$K$3:$K$3000,C119,Однолинейка!$A$3:$A$3000,Щит_спец)),IF(A119="Модуль",IF(C119="","",COUNTIFS(Однолинейка!$AW$3:$AW$3000,"?*",Однолинейка!$AI$3:$AI$3000,C119,Однолинейка!$A$3:$A$3000,Щит_спец)),IF(A119="Клемма",IF(C119="","",IF(C119=$S$7,SUMIFS(Однолинейка!$BW$3:$BW$3000,Однолинейка!$A$3:$A$3000,Щит_спец),IF(C119=$S$8,SUMIFS(Однолинейка!$BX$3:$BX$3000,Однолинейка!$A$3:$A$3000,Щит_спец),""))),""))))</f>
        <v/>
      </c>
      <c r="O119" s="74"/>
      <c r="P119" s="38" t="str">
        <f t="shared" si="9"/>
        <v/>
      </c>
      <c r="U119" s="38" t="str">
        <f t="shared" si="10"/>
        <v/>
      </c>
      <c r="V119" s="38" t="str">
        <f t="shared" si="11"/>
        <v/>
      </c>
      <c r="W119" s="38" t="str">
        <f>IF(AND(U119&lt;&gt;"",OR($S$4="(все)",B119=$S$4),IF($S$4="(все)",COUNTIF($U$4:U119,U119),COUNTIFS($U$4:U119,U119,$B$4:B119,B119))=1),MAX($W$3:W118)+1,"")</f>
        <v/>
      </c>
      <c r="X119" s="38" t="str">
        <f t="shared" si="12"/>
        <v/>
      </c>
      <c r="Y119" s="38" t="str">
        <f>IF(AND(A119="Аппарат",C119&lt;&gt;"",OR($S$5="(все)",B119=$S$5)),MAX($Y$3:Y118)+1,"")</f>
        <v/>
      </c>
      <c r="Z119" s="38" t="str">
        <f t="shared" si="13"/>
        <v/>
      </c>
      <c r="AA119" s="38" t="str">
        <f>IF(AND(A119="Модуль",C119&lt;&gt;"",OR($S$6="(все)",B119=$S$6)),MAX($AA$3:AA118)+1,"")</f>
        <v/>
      </c>
      <c r="AB119" s="38" t="str">
        <f t="shared" si="14"/>
        <v/>
      </c>
      <c r="AC119" s="38" t="str">
        <f>IF(OR(B119="",COUNTIF($B$4:B119,B119)&gt;1),"",MAX($AC$3:AC118)+1)</f>
        <v/>
      </c>
      <c r="AD119" s="38" t="str">
        <f t="shared" si="15"/>
        <v/>
      </c>
      <c r="AE119" s="38" t="str">
        <f t="shared" si="16"/>
        <v/>
      </c>
      <c r="AF119" s="38" t="str">
        <f t="shared" si="17"/>
        <v/>
      </c>
    </row>
    <row r="120" spans="1:32" x14ac:dyDescent="0.3">
      <c r="A120" s="74"/>
      <c r="B120" s="74"/>
      <c r="C120" s="74"/>
      <c r="D120" s="74"/>
      <c r="E120" s="74"/>
      <c r="F120" s="74"/>
      <c r="G120" s="74"/>
      <c r="H120" s="74"/>
      <c r="I120" s="74"/>
      <c r="J120" s="74"/>
      <c r="K120" s="74"/>
      <c r="L120" s="74"/>
      <c r="M120" s="74"/>
      <c r="N120" s="38" t="str">
        <f>IF(OR(A120="Автомат",A120="Дифавтомат"),IF(W120="","",COUNTIFS(Однолинейка!$H$3:$H$3000,U120,Однолинейка!$A$3:$A$3000,Щит_спец)),IF(A120="Аппарат",IF(C120="","",COUNTIFS(Однолинейка!$I$3:$I$3000,C120,Однолинейка!$A$3:$A$3000,Щит_спец)+COUNTIFS(Однолинейка!$J$3:$J$3000,C120,Однолинейка!$A$3:$A$3000,Щит_спец)+COUNTIFS(Однолинейка!$K$3:$K$3000,C120,Однолинейка!$A$3:$A$3000,Щит_спец)),IF(A120="Модуль",IF(C120="","",COUNTIFS(Однолинейка!$AW$3:$AW$3000,"?*",Однолинейка!$AI$3:$AI$3000,C120,Однолинейка!$A$3:$A$3000,Щит_спец)),IF(A120="Клемма",IF(C120="","",IF(C120=$S$7,SUMIFS(Однолинейка!$BW$3:$BW$3000,Однолинейка!$A$3:$A$3000,Щит_спец),IF(C120=$S$8,SUMIFS(Однолинейка!$BX$3:$BX$3000,Однолинейка!$A$3:$A$3000,Щит_спец),""))),""))))</f>
        <v/>
      </c>
      <c r="O120" s="74"/>
      <c r="P120" s="38" t="str">
        <f t="shared" si="9"/>
        <v/>
      </c>
      <c r="U120" s="38" t="str">
        <f t="shared" si="10"/>
        <v/>
      </c>
      <c r="V120" s="38" t="str">
        <f t="shared" si="11"/>
        <v/>
      </c>
      <c r="W120" s="38" t="str">
        <f>IF(AND(U120&lt;&gt;"",OR($S$4="(все)",B120=$S$4),IF($S$4="(все)",COUNTIF($U$4:U120,U120),COUNTIFS($U$4:U120,U120,$B$4:B120,B120))=1),MAX($W$3:W119)+1,"")</f>
        <v/>
      </c>
      <c r="X120" s="38" t="str">
        <f t="shared" si="12"/>
        <v/>
      </c>
      <c r="Y120" s="38" t="str">
        <f>IF(AND(A120="Аппарат",C120&lt;&gt;"",OR($S$5="(все)",B120=$S$5)),MAX($Y$3:Y119)+1,"")</f>
        <v/>
      </c>
      <c r="Z120" s="38" t="str">
        <f t="shared" si="13"/>
        <v/>
      </c>
      <c r="AA120" s="38" t="str">
        <f>IF(AND(A120="Модуль",C120&lt;&gt;"",OR($S$6="(все)",B120=$S$6)),MAX($AA$3:AA119)+1,"")</f>
        <v/>
      </c>
      <c r="AB120" s="38" t="str">
        <f t="shared" si="14"/>
        <v/>
      </c>
      <c r="AC120" s="38" t="str">
        <f>IF(OR(B120="",COUNTIF($B$4:B120,B120)&gt;1),"",MAX($AC$3:AC119)+1)</f>
        <v/>
      </c>
      <c r="AD120" s="38" t="str">
        <f t="shared" si="15"/>
        <v/>
      </c>
      <c r="AE120" s="38" t="str">
        <f t="shared" si="16"/>
        <v/>
      </c>
      <c r="AF120" s="38" t="str">
        <f t="shared" si="17"/>
        <v/>
      </c>
    </row>
    <row r="121" spans="1:32" x14ac:dyDescent="0.3">
      <c r="A121" s="74"/>
      <c r="B121" s="74"/>
      <c r="C121" s="74"/>
      <c r="D121" s="74"/>
      <c r="E121" s="74"/>
      <c r="F121" s="74"/>
      <c r="G121" s="74"/>
      <c r="H121" s="74"/>
      <c r="I121" s="74"/>
      <c r="J121" s="74"/>
      <c r="K121" s="74"/>
      <c r="L121" s="74"/>
      <c r="M121" s="74"/>
      <c r="N121" s="38" t="str">
        <f>IF(OR(A121="Автомат",A121="Дифавтомат"),IF(W121="","",COUNTIFS(Однолинейка!$H$3:$H$3000,U121,Однолинейка!$A$3:$A$3000,Щит_спец)),IF(A121="Аппарат",IF(C121="","",COUNTIFS(Однолинейка!$I$3:$I$3000,C121,Однолинейка!$A$3:$A$3000,Щит_спец)+COUNTIFS(Однолинейка!$J$3:$J$3000,C121,Однолинейка!$A$3:$A$3000,Щит_спец)+COUNTIFS(Однолинейка!$K$3:$K$3000,C121,Однолинейка!$A$3:$A$3000,Щит_спец)),IF(A121="Модуль",IF(C121="","",COUNTIFS(Однолинейка!$AW$3:$AW$3000,"?*",Однолинейка!$AI$3:$AI$3000,C121,Однолинейка!$A$3:$A$3000,Щит_спец)),IF(A121="Клемма",IF(C121="","",IF(C121=$S$7,SUMIFS(Однолинейка!$BW$3:$BW$3000,Однолинейка!$A$3:$A$3000,Щит_спец),IF(C121=$S$8,SUMIFS(Однолинейка!$BX$3:$BX$3000,Однолинейка!$A$3:$A$3000,Щит_спец),""))),""))))</f>
        <v/>
      </c>
      <c r="O121" s="74"/>
      <c r="P121" s="38" t="str">
        <f t="shared" si="9"/>
        <v/>
      </c>
      <c r="U121" s="38" t="str">
        <f t="shared" si="10"/>
        <v/>
      </c>
      <c r="V121" s="38" t="str">
        <f t="shared" si="11"/>
        <v/>
      </c>
      <c r="W121" s="38" t="str">
        <f>IF(AND(U121&lt;&gt;"",OR($S$4="(все)",B121=$S$4),IF($S$4="(все)",COUNTIF($U$4:U121,U121),COUNTIFS($U$4:U121,U121,$B$4:B121,B121))=1),MAX($W$3:W120)+1,"")</f>
        <v/>
      </c>
      <c r="X121" s="38" t="str">
        <f t="shared" si="12"/>
        <v/>
      </c>
      <c r="Y121" s="38" t="str">
        <f>IF(AND(A121="Аппарат",C121&lt;&gt;"",OR($S$5="(все)",B121=$S$5)),MAX($Y$3:Y120)+1,"")</f>
        <v/>
      </c>
      <c r="Z121" s="38" t="str">
        <f t="shared" si="13"/>
        <v/>
      </c>
      <c r="AA121" s="38" t="str">
        <f>IF(AND(A121="Модуль",C121&lt;&gt;"",OR($S$6="(все)",B121=$S$6)),MAX($AA$3:AA120)+1,"")</f>
        <v/>
      </c>
      <c r="AB121" s="38" t="str">
        <f t="shared" si="14"/>
        <v/>
      </c>
      <c r="AC121" s="38" t="str">
        <f>IF(OR(B121="",COUNTIF($B$4:B121,B121)&gt;1),"",MAX($AC$3:AC120)+1)</f>
        <v/>
      </c>
      <c r="AD121" s="38" t="str">
        <f t="shared" si="15"/>
        <v/>
      </c>
      <c r="AE121" s="38" t="str">
        <f t="shared" si="16"/>
        <v/>
      </c>
      <c r="AF121" s="38" t="str">
        <f t="shared" si="17"/>
        <v/>
      </c>
    </row>
    <row r="122" spans="1:32" x14ac:dyDescent="0.3">
      <c r="A122" s="74"/>
      <c r="B122" s="74"/>
      <c r="C122" s="74"/>
      <c r="D122" s="74"/>
      <c r="E122" s="74"/>
      <c r="F122" s="74"/>
      <c r="G122" s="74"/>
      <c r="H122" s="74"/>
      <c r="I122" s="74"/>
      <c r="J122" s="74"/>
      <c r="K122" s="74"/>
      <c r="L122" s="74"/>
      <c r="M122" s="74"/>
      <c r="N122" s="38" t="str">
        <f>IF(OR(A122="Автомат",A122="Дифавтомат"),IF(W122="","",COUNTIFS(Однолинейка!$H$3:$H$3000,U122,Однолинейка!$A$3:$A$3000,Щит_спец)),IF(A122="Аппарат",IF(C122="","",COUNTIFS(Однолинейка!$I$3:$I$3000,C122,Однолинейка!$A$3:$A$3000,Щит_спец)+COUNTIFS(Однолинейка!$J$3:$J$3000,C122,Однолинейка!$A$3:$A$3000,Щит_спец)+COUNTIFS(Однолинейка!$K$3:$K$3000,C122,Однолинейка!$A$3:$A$3000,Щит_спец)),IF(A122="Модуль",IF(C122="","",COUNTIFS(Однолинейка!$AW$3:$AW$3000,"?*",Однолинейка!$AI$3:$AI$3000,C122,Однолинейка!$A$3:$A$3000,Щит_спец)),IF(A122="Клемма",IF(C122="","",IF(C122=$S$7,SUMIFS(Однолинейка!$BW$3:$BW$3000,Однолинейка!$A$3:$A$3000,Щит_спец),IF(C122=$S$8,SUMIFS(Однолинейка!$BX$3:$BX$3000,Однолинейка!$A$3:$A$3000,Щит_спец),""))),""))))</f>
        <v/>
      </c>
      <c r="O122" s="74"/>
      <c r="P122" s="38" t="str">
        <f t="shared" si="9"/>
        <v/>
      </c>
      <c r="U122" s="38" t="str">
        <f t="shared" si="10"/>
        <v/>
      </c>
      <c r="V122" s="38" t="str">
        <f t="shared" si="11"/>
        <v/>
      </c>
      <c r="W122" s="38" t="str">
        <f>IF(AND(U122&lt;&gt;"",OR($S$4="(все)",B122=$S$4),IF($S$4="(все)",COUNTIF($U$4:U122,U122),COUNTIFS($U$4:U122,U122,$B$4:B122,B122))=1),MAX($W$3:W121)+1,"")</f>
        <v/>
      </c>
      <c r="X122" s="38" t="str">
        <f t="shared" si="12"/>
        <v/>
      </c>
      <c r="Y122" s="38" t="str">
        <f>IF(AND(A122="Аппарат",C122&lt;&gt;"",OR($S$5="(все)",B122=$S$5)),MAX($Y$3:Y121)+1,"")</f>
        <v/>
      </c>
      <c r="Z122" s="38" t="str">
        <f t="shared" si="13"/>
        <v/>
      </c>
      <c r="AA122" s="38" t="str">
        <f>IF(AND(A122="Модуль",C122&lt;&gt;"",OR($S$6="(все)",B122=$S$6)),MAX($AA$3:AA121)+1,"")</f>
        <v/>
      </c>
      <c r="AB122" s="38" t="str">
        <f t="shared" si="14"/>
        <v/>
      </c>
      <c r="AC122" s="38" t="str">
        <f>IF(OR(B122="",COUNTIF($B$4:B122,B122)&gt;1),"",MAX($AC$3:AC121)+1)</f>
        <v/>
      </c>
      <c r="AD122" s="38" t="str">
        <f t="shared" si="15"/>
        <v/>
      </c>
      <c r="AE122" s="38" t="str">
        <f t="shared" si="16"/>
        <v/>
      </c>
      <c r="AF122" s="38" t="str">
        <f t="shared" si="17"/>
        <v/>
      </c>
    </row>
    <row r="123" spans="1:32" x14ac:dyDescent="0.3">
      <c r="A123" s="74"/>
      <c r="B123" s="74"/>
      <c r="C123" s="74"/>
      <c r="D123" s="74"/>
      <c r="E123" s="74"/>
      <c r="F123" s="74"/>
      <c r="G123" s="74"/>
      <c r="H123" s="74"/>
      <c r="I123" s="74"/>
      <c r="J123" s="74"/>
      <c r="K123" s="74"/>
      <c r="L123" s="74"/>
      <c r="M123" s="74"/>
      <c r="N123" s="38" t="str">
        <f>IF(OR(A123="Автомат",A123="Дифавтомат"),IF(W123="","",COUNTIFS(Однолинейка!$H$3:$H$3000,U123,Однолинейка!$A$3:$A$3000,Щит_спец)),IF(A123="Аппарат",IF(C123="","",COUNTIFS(Однолинейка!$I$3:$I$3000,C123,Однолинейка!$A$3:$A$3000,Щит_спец)+COUNTIFS(Однолинейка!$J$3:$J$3000,C123,Однолинейка!$A$3:$A$3000,Щит_спец)+COUNTIFS(Однолинейка!$K$3:$K$3000,C123,Однолинейка!$A$3:$A$3000,Щит_спец)),IF(A123="Модуль",IF(C123="","",COUNTIFS(Однолинейка!$AW$3:$AW$3000,"?*",Однолинейка!$AI$3:$AI$3000,C123,Однолинейка!$A$3:$A$3000,Щит_спец)),IF(A123="Клемма",IF(C123="","",IF(C123=$S$7,SUMIFS(Однолинейка!$BW$3:$BW$3000,Однолинейка!$A$3:$A$3000,Щит_спец),IF(C123=$S$8,SUMIFS(Однолинейка!$BX$3:$BX$3000,Однолинейка!$A$3:$A$3000,Щит_спец),""))),""))))</f>
        <v/>
      </c>
      <c r="O123" s="74"/>
      <c r="P123" s="38" t="str">
        <f t="shared" si="9"/>
        <v/>
      </c>
      <c r="U123" s="38" t="str">
        <f t="shared" si="10"/>
        <v/>
      </c>
      <c r="V123" s="38" t="str">
        <f t="shared" si="11"/>
        <v/>
      </c>
      <c r="W123" s="38" t="str">
        <f>IF(AND(U123&lt;&gt;"",OR($S$4="(все)",B123=$S$4),IF($S$4="(все)",COUNTIF($U$4:U123,U123),COUNTIFS($U$4:U123,U123,$B$4:B123,B123))=1),MAX($W$3:W122)+1,"")</f>
        <v/>
      </c>
      <c r="X123" s="38" t="str">
        <f t="shared" si="12"/>
        <v/>
      </c>
      <c r="Y123" s="38" t="str">
        <f>IF(AND(A123="Аппарат",C123&lt;&gt;"",OR($S$5="(все)",B123=$S$5)),MAX($Y$3:Y122)+1,"")</f>
        <v/>
      </c>
      <c r="Z123" s="38" t="str">
        <f t="shared" si="13"/>
        <v/>
      </c>
      <c r="AA123" s="38" t="str">
        <f>IF(AND(A123="Модуль",C123&lt;&gt;"",OR($S$6="(все)",B123=$S$6)),MAX($AA$3:AA122)+1,"")</f>
        <v/>
      </c>
      <c r="AB123" s="38" t="str">
        <f t="shared" si="14"/>
        <v/>
      </c>
      <c r="AC123" s="38" t="str">
        <f>IF(OR(B123="",COUNTIF($B$4:B123,B123)&gt;1),"",MAX($AC$3:AC122)+1)</f>
        <v/>
      </c>
      <c r="AD123" s="38" t="str">
        <f t="shared" si="15"/>
        <v/>
      </c>
      <c r="AE123" s="38" t="str">
        <f t="shared" si="16"/>
        <v/>
      </c>
      <c r="AF123" s="38" t="str">
        <f t="shared" si="17"/>
        <v/>
      </c>
    </row>
    <row r="124" spans="1:32" x14ac:dyDescent="0.3">
      <c r="A124" s="74"/>
      <c r="B124" s="74"/>
      <c r="C124" s="74"/>
      <c r="D124" s="74"/>
      <c r="E124" s="74"/>
      <c r="F124" s="74"/>
      <c r="G124" s="74"/>
      <c r="H124" s="74"/>
      <c r="I124" s="74"/>
      <c r="J124" s="74"/>
      <c r="K124" s="74"/>
      <c r="L124" s="74"/>
      <c r="M124" s="74"/>
      <c r="N124" s="38" t="str">
        <f>IF(OR(A124="Автомат",A124="Дифавтомат"),IF(W124="","",COUNTIFS(Однолинейка!$H$3:$H$3000,U124,Однолинейка!$A$3:$A$3000,Щит_спец)),IF(A124="Аппарат",IF(C124="","",COUNTIFS(Однолинейка!$I$3:$I$3000,C124,Однолинейка!$A$3:$A$3000,Щит_спец)+COUNTIFS(Однолинейка!$J$3:$J$3000,C124,Однолинейка!$A$3:$A$3000,Щит_спец)+COUNTIFS(Однолинейка!$K$3:$K$3000,C124,Однолинейка!$A$3:$A$3000,Щит_спец)),IF(A124="Модуль",IF(C124="","",COUNTIFS(Однолинейка!$AW$3:$AW$3000,"?*",Однолинейка!$AI$3:$AI$3000,C124,Однолинейка!$A$3:$A$3000,Щит_спец)),IF(A124="Клемма",IF(C124="","",IF(C124=$S$7,SUMIFS(Однолинейка!$BW$3:$BW$3000,Однолинейка!$A$3:$A$3000,Щит_спец),IF(C124=$S$8,SUMIFS(Однолинейка!$BX$3:$BX$3000,Однолинейка!$A$3:$A$3000,Щит_спец),""))),""))))</f>
        <v/>
      </c>
      <c r="O124" s="74"/>
      <c r="P124" s="38" t="str">
        <f t="shared" si="9"/>
        <v/>
      </c>
      <c r="U124" s="38" t="str">
        <f t="shared" si="10"/>
        <v/>
      </c>
      <c r="V124" s="38" t="str">
        <f t="shared" si="11"/>
        <v/>
      </c>
      <c r="W124" s="38" t="str">
        <f>IF(AND(U124&lt;&gt;"",OR($S$4="(все)",B124=$S$4),IF($S$4="(все)",COUNTIF($U$4:U124,U124),COUNTIFS($U$4:U124,U124,$B$4:B124,B124))=1),MAX($W$3:W123)+1,"")</f>
        <v/>
      </c>
      <c r="X124" s="38" t="str">
        <f t="shared" si="12"/>
        <v/>
      </c>
      <c r="Y124" s="38" t="str">
        <f>IF(AND(A124="Аппарат",C124&lt;&gt;"",OR($S$5="(все)",B124=$S$5)),MAX($Y$3:Y123)+1,"")</f>
        <v/>
      </c>
      <c r="Z124" s="38" t="str">
        <f t="shared" si="13"/>
        <v/>
      </c>
      <c r="AA124" s="38" t="str">
        <f>IF(AND(A124="Модуль",C124&lt;&gt;"",OR($S$6="(все)",B124=$S$6)),MAX($AA$3:AA123)+1,"")</f>
        <v/>
      </c>
      <c r="AB124" s="38" t="str">
        <f t="shared" si="14"/>
        <v/>
      </c>
      <c r="AC124" s="38" t="str">
        <f>IF(OR(B124="",COUNTIF($B$4:B124,B124)&gt;1),"",MAX($AC$3:AC123)+1)</f>
        <v/>
      </c>
      <c r="AD124" s="38" t="str">
        <f t="shared" si="15"/>
        <v/>
      </c>
      <c r="AE124" s="38" t="str">
        <f t="shared" si="16"/>
        <v/>
      </c>
      <c r="AF124" s="38" t="str">
        <f t="shared" si="17"/>
        <v/>
      </c>
    </row>
    <row r="125" spans="1:32" x14ac:dyDescent="0.3">
      <c r="A125" s="74"/>
      <c r="B125" s="74"/>
      <c r="C125" s="74"/>
      <c r="D125" s="74"/>
      <c r="E125" s="74"/>
      <c r="F125" s="74"/>
      <c r="G125" s="74"/>
      <c r="H125" s="74"/>
      <c r="I125" s="74"/>
      <c r="J125" s="74"/>
      <c r="K125" s="74"/>
      <c r="L125" s="74"/>
      <c r="M125" s="74"/>
      <c r="N125" s="38" t="str">
        <f>IF(OR(A125="Автомат",A125="Дифавтомат"),IF(W125="","",COUNTIFS(Однолинейка!$H$3:$H$3000,U125,Однолинейка!$A$3:$A$3000,Щит_спец)),IF(A125="Аппарат",IF(C125="","",COUNTIFS(Однолинейка!$I$3:$I$3000,C125,Однолинейка!$A$3:$A$3000,Щит_спец)+COUNTIFS(Однолинейка!$J$3:$J$3000,C125,Однолинейка!$A$3:$A$3000,Щит_спец)+COUNTIFS(Однолинейка!$K$3:$K$3000,C125,Однолинейка!$A$3:$A$3000,Щит_спец)),IF(A125="Модуль",IF(C125="","",COUNTIFS(Однолинейка!$AW$3:$AW$3000,"?*",Однолинейка!$AI$3:$AI$3000,C125,Однолинейка!$A$3:$A$3000,Щит_спец)),IF(A125="Клемма",IF(C125="","",IF(C125=$S$7,SUMIFS(Однолинейка!$BW$3:$BW$3000,Однолинейка!$A$3:$A$3000,Щит_спец),IF(C125=$S$8,SUMIFS(Однолинейка!$BX$3:$BX$3000,Однолинейка!$A$3:$A$3000,Щит_спец),""))),""))))</f>
        <v/>
      </c>
      <c r="O125" s="74"/>
      <c r="P125" s="38" t="str">
        <f t="shared" si="9"/>
        <v/>
      </c>
      <c r="U125" s="38" t="str">
        <f t="shared" si="10"/>
        <v/>
      </c>
      <c r="V125" s="38" t="str">
        <f t="shared" si="11"/>
        <v/>
      </c>
      <c r="W125" s="38" t="str">
        <f>IF(AND(U125&lt;&gt;"",OR($S$4="(все)",B125=$S$4),IF($S$4="(все)",COUNTIF($U$4:U125,U125),COUNTIFS($U$4:U125,U125,$B$4:B125,B125))=1),MAX($W$3:W124)+1,"")</f>
        <v/>
      </c>
      <c r="X125" s="38" t="str">
        <f t="shared" si="12"/>
        <v/>
      </c>
      <c r="Y125" s="38" t="str">
        <f>IF(AND(A125="Аппарат",C125&lt;&gt;"",OR($S$5="(все)",B125=$S$5)),MAX($Y$3:Y124)+1,"")</f>
        <v/>
      </c>
      <c r="Z125" s="38" t="str">
        <f t="shared" si="13"/>
        <v/>
      </c>
      <c r="AA125" s="38" t="str">
        <f>IF(AND(A125="Модуль",C125&lt;&gt;"",OR($S$6="(все)",B125=$S$6)),MAX($AA$3:AA124)+1,"")</f>
        <v/>
      </c>
      <c r="AB125" s="38" t="str">
        <f t="shared" si="14"/>
        <v/>
      </c>
      <c r="AC125" s="38" t="str">
        <f>IF(OR(B125="",COUNTIF($B$4:B125,B125)&gt;1),"",MAX($AC$3:AC124)+1)</f>
        <v/>
      </c>
      <c r="AD125" s="38" t="str">
        <f t="shared" si="15"/>
        <v/>
      </c>
      <c r="AE125" s="38" t="str">
        <f t="shared" si="16"/>
        <v/>
      </c>
      <c r="AF125" s="38" t="str">
        <f t="shared" si="17"/>
        <v/>
      </c>
    </row>
    <row r="126" spans="1:32" x14ac:dyDescent="0.3">
      <c r="A126" s="74"/>
      <c r="B126" s="74"/>
      <c r="C126" s="74"/>
      <c r="D126" s="74"/>
      <c r="E126" s="74"/>
      <c r="F126" s="74"/>
      <c r="G126" s="74"/>
      <c r="H126" s="74"/>
      <c r="I126" s="74"/>
      <c r="J126" s="74"/>
      <c r="K126" s="74"/>
      <c r="L126" s="74"/>
      <c r="M126" s="74"/>
      <c r="N126" s="38" t="str">
        <f>IF(OR(A126="Автомат",A126="Дифавтомат"),IF(W126="","",COUNTIFS(Однолинейка!$H$3:$H$3000,U126,Однолинейка!$A$3:$A$3000,Щит_спец)),IF(A126="Аппарат",IF(C126="","",COUNTIFS(Однолинейка!$I$3:$I$3000,C126,Однолинейка!$A$3:$A$3000,Щит_спец)+COUNTIFS(Однолинейка!$J$3:$J$3000,C126,Однолинейка!$A$3:$A$3000,Щит_спец)+COUNTIFS(Однолинейка!$K$3:$K$3000,C126,Однолинейка!$A$3:$A$3000,Щит_спец)),IF(A126="Модуль",IF(C126="","",COUNTIFS(Однолинейка!$AW$3:$AW$3000,"?*",Однолинейка!$AI$3:$AI$3000,C126,Однолинейка!$A$3:$A$3000,Щит_спец)),IF(A126="Клемма",IF(C126="","",IF(C126=$S$7,SUMIFS(Однолинейка!$BW$3:$BW$3000,Однолинейка!$A$3:$A$3000,Щит_спец),IF(C126=$S$8,SUMIFS(Однолинейка!$BX$3:$BX$3000,Однолинейка!$A$3:$A$3000,Щит_спец),""))),""))))</f>
        <v/>
      </c>
      <c r="O126" s="74"/>
      <c r="P126" s="38" t="str">
        <f t="shared" si="9"/>
        <v/>
      </c>
      <c r="U126" s="38" t="str">
        <f t="shared" si="10"/>
        <v/>
      </c>
      <c r="V126" s="38" t="str">
        <f t="shared" si="11"/>
        <v/>
      </c>
      <c r="W126" s="38" t="str">
        <f>IF(AND(U126&lt;&gt;"",OR($S$4="(все)",B126=$S$4),IF($S$4="(все)",COUNTIF($U$4:U126,U126),COUNTIFS($U$4:U126,U126,$B$4:B126,B126))=1),MAX($W$3:W125)+1,"")</f>
        <v/>
      </c>
      <c r="X126" s="38" t="str">
        <f t="shared" si="12"/>
        <v/>
      </c>
      <c r="Y126" s="38" t="str">
        <f>IF(AND(A126="Аппарат",C126&lt;&gt;"",OR($S$5="(все)",B126=$S$5)),MAX($Y$3:Y125)+1,"")</f>
        <v/>
      </c>
      <c r="Z126" s="38" t="str">
        <f t="shared" si="13"/>
        <v/>
      </c>
      <c r="AA126" s="38" t="str">
        <f>IF(AND(A126="Модуль",C126&lt;&gt;"",OR($S$6="(все)",B126=$S$6)),MAX($AA$3:AA125)+1,"")</f>
        <v/>
      </c>
      <c r="AB126" s="38" t="str">
        <f t="shared" si="14"/>
        <v/>
      </c>
      <c r="AC126" s="38" t="str">
        <f>IF(OR(B126="",COUNTIF($B$4:B126,B126)&gt;1),"",MAX($AC$3:AC125)+1)</f>
        <v/>
      </c>
      <c r="AD126" s="38" t="str">
        <f t="shared" si="15"/>
        <v/>
      </c>
      <c r="AE126" s="38" t="str">
        <f t="shared" si="16"/>
        <v/>
      </c>
      <c r="AF126" s="38" t="str">
        <f t="shared" si="17"/>
        <v/>
      </c>
    </row>
    <row r="127" spans="1:32" x14ac:dyDescent="0.3">
      <c r="A127" s="74"/>
      <c r="B127" s="74"/>
      <c r="C127" s="74"/>
      <c r="D127" s="74"/>
      <c r="E127" s="74"/>
      <c r="F127" s="74"/>
      <c r="G127" s="74"/>
      <c r="H127" s="74"/>
      <c r="I127" s="74"/>
      <c r="J127" s="74"/>
      <c r="K127" s="74"/>
      <c r="L127" s="74"/>
      <c r="M127" s="74"/>
      <c r="N127" s="38" t="str">
        <f>IF(OR(A127="Автомат",A127="Дифавтомат"),IF(W127="","",COUNTIFS(Однолинейка!$H$3:$H$3000,U127,Однолинейка!$A$3:$A$3000,Щит_спец)),IF(A127="Аппарат",IF(C127="","",COUNTIFS(Однолинейка!$I$3:$I$3000,C127,Однолинейка!$A$3:$A$3000,Щит_спец)+COUNTIFS(Однолинейка!$J$3:$J$3000,C127,Однолинейка!$A$3:$A$3000,Щит_спец)+COUNTIFS(Однолинейка!$K$3:$K$3000,C127,Однолинейка!$A$3:$A$3000,Щит_спец)),IF(A127="Модуль",IF(C127="","",COUNTIFS(Однолинейка!$AW$3:$AW$3000,"?*",Однолинейка!$AI$3:$AI$3000,C127,Однолинейка!$A$3:$A$3000,Щит_спец)),IF(A127="Клемма",IF(C127="","",IF(C127=$S$7,SUMIFS(Однолинейка!$BW$3:$BW$3000,Однолинейка!$A$3:$A$3000,Щит_спец),IF(C127=$S$8,SUMIFS(Однолинейка!$BX$3:$BX$3000,Однолинейка!$A$3:$A$3000,Щит_спец),""))),""))))</f>
        <v/>
      </c>
      <c r="O127" s="74"/>
      <c r="P127" s="38" t="str">
        <f t="shared" si="9"/>
        <v/>
      </c>
      <c r="U127" s="38" t="str">
        <f t="shared" si="10"/>
        <v/>
      </c>
      <c r="V127" s="38" t="str">
        <f t="shared" si="11"/>
        <v/>
      </c>
      <c r="W127" s="38" t="str">
        <f>IF(AND(U127&lt;&gt;"",OR($S$4="(все)",B127=$S$4),IF($S$4="(все)",COUNTIF($U$4:U127,U127),COUNTIFS($U$4:U127,U127,$B$4:B127,B127))=1),MAX($W$3:W126)+1,"")</f>
        <v/>
      </c>
      <c r="X127" s="38" t="str">
        <f t="shared" si="12"/>
        <v/>
      </c>
      <c r="Y127" s="38" t="str">
        <f>IF(AND(A127="Аппарат",C127&lt;&gt;"",OR($S$5="(все)",B127=$S$5)),MAX($Y$3:Y126)+1,"")</f>
        <v/>
      </c>
      <c r="Z127" s="38" t="str">
        <f t="shared" si="13"/>
        <v/>
      </c>
      <c r="AA127" s="38" t="str">
        <f>IF(AND(A127="Модуль",C127&lt;&gt;"",OR($S$6="(все)",B127=$S$6)),MAX($AA$3:AA126)+1,"")</f>
        <v/>
      </c>
      <c r="AB127" s="38" t="str">
        <f t="shared" si="14"/>
        <v/>
      </c>
      <c r="AC127" s="38" t="str">
        <f>IF(OR(B127="",COUNTIF($B$4:B127,B127)&gt;1),"",MAX($AC$3:AC126)+1)</f>
        <v/>
      </c>
      <c r="AD127" s="38" t="str">
        <f t="shared" si="15"/>
        <v/>
      </c>
      <c r="AE127" s="38" t="str">
        <f t="shared" si="16"/>
        <v/>
      </c>
      <c r="AF127" s="38" t="str">
        <f t="shared" si="17"/>
        <v/>
      </c>
    </row>
    <row r="128" spans="1:32" x14ac:dyDescent="0.3">
      <c r="A128" s="74"/>
      <c r="B128" s="74"/>
      <c r="C128" s="74"/>
      <c r="D128" s="74"/>
      <c r="E128" s="74"/>
      <c r="F128" s="74"/>
      <c r="G128" s="74"/>
      <c r="H128" s="74"/>
      <c r="I128" s="74"/>
      <c r="J128" s="74"/>
      <c r="K128" s="74"/>
      <c r="L128" s="74"/>
      <c r="M128" s="74"/>
      <c r="N128" s="38" t="str">
        <f>IF(OR(A128="Автомат",A128="Дифавтомат"),IF(W128="","",COUNTIFS(Однолинейка!$H$3:$H$3000,U128,Однолинейка!$A$3:$A$3000,Щит_спец)),IF(A128="Аппарат",IF(C128="","",COUNTIFS(Однолинейка!$I$3:$I$3000,C128,Однолинейка!$A$3:$A$3000,Щит_спец)+COUNTIFS(Однолинейка!$J$3:$J$3000,C128,Однолинейка!$A$3:$A$3000,Щит_спец)+COUNTIFS(Однолинейка!$K$3:$K$3000,C128,Однолинейка!$A$3:$A$3000,Щит_спец)),IF(A128="Модуль",IF(C128="","",COUNTIFS(Однолинейка!$AW$3:$AW$3000,"?*",Однолинейка!$AI$3:$AI$3000,C128,Однолинейка!$A$3:$A$3000,Щит_спец)),IF(A128="Клемма",IF(C128="","",IF(C128=$S$7,SUMIFS(Однолинейка!$BW$3:$BW$3000,Однолинейка!$A$3:$A$3000,Щит_спец),IF(C128=$S$8,SUMIFS(Однолинейка!$BX$3:$BX$3000,Однолинейка!$A$3:$A$3000,Щит_спец),""))),""))))</f>
        <v/>
      </c>
      <c r="O128" s="74"/>
      <c r="P128" s="38" t="str">
        <f t="shared" si="9"/>
        <v/>
      </c>
      <c r="U128" s="38" t="str">
        <f t="shared" si="10"/>
        <v/>
      </c>
      <c r="V128" s="38" t="str">
        <f t="shared" si="11"/>
        <v/>
      </c>
      <c r="W128" s="38" t="str">
        <f>IF(AND(U128&lt;&gt;"",OR($S$4="(все)",B128=$S$4),IF($S$4="(все)",COUNTIF($U$4:U128,U128),COUNTIFS($U$4:U128,U128,$B$4:B128,B128))=1),MAX($W$3:W127)+1,"")</f>
        <v/>
      </c>
      <c r="X128" s="38" t="str">
        <f t="shared" si="12"/>
        <v/>
      </c>
      <c r="Y128" s="38" t="str">
        <f>IF(AND(A128="Аппарат",C128&lt;&gt;"",OR($S$5="(все)",B128=$S$5)),MAX($Y$3:Y127)+1,"")</f>
        <v/>
      </c>
      <c r="Z128" s="38" t="str">
        <f t="shared" si="13"/>
        <v/>
      </c>
      <c r="AA128" s="38" t="str">
        <f>IF(AND(A128="Модуль",C128&lt;&gt;"",OR($S$6="(все)",B128=$S$6)),MAX($AA$3:AA127)+1,"")</f>
        <v/>
      </c>
      <c r="AB128" s="38" t="str">
        <f t="shared" si="14"/>
        <v/>
      </c>
      <c r="AC128" s="38" t="str">
        <f>IF(OR(B128="",COUNTIF($B$4:B128,B128)&gt;1),"",MAX($AC$3:AC127)+1)</f>
        <v/>
      </c>
      <c r="AD128" s="38" t="str">
        <f t="shared" si="15"/>
        <v/>
      </c>
      <c r="AE128" s="38" t="str">
        <f t="shared" si="16"/>
        <v/>
      </c>
      <c r="AF128" s="38" t="str">
        <f t="shared" si="17"/>
        <v/>
      </c>
    </row>
    <row r="129" spans="1:32" x14ac:dyDescent="0.3">
      <c r="A129" s="74"/>
      <c r="B129" s="74"/>
      <c r="C129" s="74"/>
      <c r="D129" s="74"/>
      <c r="E129" s="74"/>
      <c r="F129" s="74"/>
      <c r="G129" s="74"/>
      <c r="H129" s="74"/>
      <c r="I129" s="74"/>
      <c r="J129" s="74"/>
      <c r="K129" s="74"/>
      <c r="L129" s="74"/>
      <c r="M129" s="74"/>
      <c r="N129" s="38" t="str">
        <f>IF(OR(A129="Автомат",A129="Дифавтомат"),IF(W129="","",COUNTIFS(Однолинейка!$H$3:$H$3000,U129,Однолинейка!$A$3:$A$3000,Щит_спец)),IF(A129="Аппарат",IF(C129="","",COUNTIFS(Однолинейка!$I$3:$I$3000,C129,Однолинейка!$A$3:$A$3000,Щит_спец)+COUNTIFS(Однолинейка!$J$3:$J$3000,C129,Однолинейка!$A$3:$A$3000,Щит_спец)+COUNTIFS(Однолинейка!$K$3:$K$3000,C129,Однолинейка!$A$3:$A$3000,Щит_спец)),IF(A129="Модуль",IF(C129="","",COUNTIFS(Однолинейка!$AW$3:$AW$3000,"?*",Однолинейка!$AI$3:$AI$3000,C129,Однолинейка!$A$3:$A$3000,Щит_спец)),IF(A129="Клемма",IF(C129="","",IF(C129=$S$7,SUMIFS(Однолинейка!$BW$3:$BW$3000,Однолинейка!$A$3:$A$3000,Щит_спец),IF(C129=$S$8,SUMIFS(Однолинейка!$BX$3:$BX$3000,Однолинейка!$A$3:$A$3000,Щит_спец),""))),""))))</f>
        <v/>
      </c>
      <c r="O129" s="74"/>
      <c r="P129" s="38" t="str">
        <f t="shared" si="9"/>
        <v/>
      </c>
      <c r="U129" s="38" t="str">
        <f t="shared" si="10"/>
        <v/>
      </c>
      <c r="V129" s="38" t="str">
        <f t="shared" si="11"/>
        <v/>
      </c>
      <c r="W129" s="38" t="str">
        <f>IF(AND(U129&lt;&gt;"",OR($S$4="(все)",B129=$S$4),IF($S$4="(все)",COUNTIF($U$4:U129,U129),COUNTIFS($U$4:U129,U129,$B$4:B129,B129))=1),MAX($W$3:W128)+1,"")</f>
        <v/>
      </c>
      <c r="X129" s="38" t="str">
        <f t="shared" si="12"/>
        <v/>
      </c>
      <c r="Y129" s="38" t="str">
        <f>IF(AND(A129="Аппарат",C129&lt;&gt;"",OR($S$5="(все)",B129=$S$5)),MAX($Y$3:Y128)+1,"")</f>
        <v/>
      </c>
      <c r="Z129" s="38" t="str">
        <f t="shared" si="13"/>
        <v/>
      </c>
      <c r="AA129" s="38" t="str">
        <f>IF(AND(A129="Модуль",C129&lt;&gt;"",OR($S$6="(все)",B129=$S$6)),MAX($AA$3:AA128)+1,"")</f>
        <v/>
      </c>
      <c r="AB129" s="38" t="str">
        <f t="shared" si="14"/>
        <v/>
      </c>
      <c r="AC129" s="38" t="str">
        <f>IF(OR(B129="",COUNTIF($B$4:B129,B129)&gt;1),"",MAX($AC$3:AC128)+1)</f>
        <v/>
      </c>
      <c r="AD129" s="38" t="str">
        <f t="shared" si="15"/>
        <v/>
      </c>
      <c r="AE129" s="38" t="str">
        <f t="shared" si="16"/>
        <v/>
      </c>
      <c r="AF129" s="38" t="str">
        <f t="shared" si="17"/>
        <v/>
      </c>
    </row>
    <row r="130" spans="1:32" x14ac:dyDescent="0.3">
      <c r="A130" s="74"/>
      <c r="B130" s="74"/>
      <c r="C130" s="74"/>
      <c r="D130" s="74"/>
      <c r="E130" s="74"/>
      <c r="F130" s="74"/>
      <c r="G130" s="74"/>
      <c r="H130" s="74"/>
      <c r="I130" s="74"/>
      <c r="J130" s="74"/>
      <c r="K130" s="74"/>
      <c r="L130" s="74"/>
      <c r="M130" s="74"/>
      <c r="N130" s="38" t="str">
        <f>IF(OR(A130="Автомат",A130="Дифавтомат"),IF(W130="","",COUNTIFS(Однолинейка!$H$3:$H$3000,U130,Однолинейка!$A$3:$A$3000,Щит_спец)),IF(A130="Аппарат",IF(C130="","",COUNTIFS(Однолинейка!$I$3:$I$3000,C130,Однолинейка!$A$3:$A$3000,Щит_спец)+COUNTIFS(Однолинейка!$J$3:$J$3000,C130,Однолинейка!$A$3:$A$3000,Щит_спец)+COUNTIFS(Однолинейка!$K$3:$K$3000,C130,Однолинейка!$A$3:$A$3000,Щит_спец)),IF(A130="Модуль",IF(C130="","",COUNTIFS(Однолинейка!$AW$3:$AW$3000,"?*",Однолинейка!$AI$3:$AI$3000,C130,Однолинейка!$A$3:$A$3000,Щит_спец)),IF(A130="Клемма",IF(C130="","",IF(C130=$S$7,SUMIFS(Однолинейка!$BW$3:$BW$3000,Однолинейка!$A$3:$A$3000,Щит_спец),IF(C130=$S$8,SUMIFS(Однолинейка!$BX$3:$BX$3000,Однолинейка!$A$3:$A$3000,Щит_спец),""))),""))))</f>
        <v/>
      </c>
      <c r="O130" s="74"/>
      <c r="P130" s="38" t="str">
        <f t="shared" si="9"/>
        <v/>
      </c>
      <c r="U130" s="38" t="str">
        <f t="shared" si="10"/>
        <v/>
      </c>
      <c r="V130" s="38" t="str">
        <f t="shared" si="11"/>
        <v/>
      </c>
      <c r="W130" s="38" t="str">
        <f>IF(AND(U130&lt;&gt;"",OR($S$4="(все)",B130=$S$4),IF($S$4="(все)",COUNTIF($U$4:U130,U130),COUNTIFS($U$4:U130,U130,$B$4:B130,B130))=1),MAX($W$3:W129)+1,"")</f>
        <v/>
      </c>
      <c r="X130" s="38" t="str">
        <f t="shared" si="12"/>
        <v/>
      </c>
      <c r="Y130" s="38" t="str">
        <f>IF(AND(A130="Аппарат",C130&lt;&gt;"",OR($S$5="(все)",B130=$S$5)),MAX($Y$3:Y129)+1,"")</f>
        <v/>
      </c>
      <c r="Z130" s="38" t="str">
        <f t="shared" si="13"/>
        <v/>
      </c>
      <c r="AA130" s="38" t="str">
        <f>IF(AND(A130="Модуль",C130&lt;&gt;"",OR($S$6="(все)",B130=$S$6)),MAX($AA$3:AA129)+1,"")</f>
        <v/>
      </c>
      <c r="AB130" s="38" t="str">
        <f t="shared" si="14"/>
        <v/>
      </c>
      <c r="AC130" s="38" t="str">
        <f>IF(OR(B130="",COUNTIF($B$4:B130,B130)&gt;1),"",MAX($AC$3:AC129)+1)</f>
        <v/>
      </c>
      <c r="AD130" s="38" t="str">
        <f t="shared" si="15"/>
        <v/>
      </c>
      <c r="AE130" s="38" t="str">
        <f t="shared" si="16"/>
        <v/>
      </c>
      <c r="AF130" s="38" t="str">
        <f t="shared" si="17"/>
        <v/>
      </c>
    </row>
    <row r="131" spans="1:32" x14ac:dyDescent="0.3">
      <c r="A131" s="74"/>
      <c r="B131" s="74"/>
      <c r="C131" s="74"/>
      <c r="D131" s="74"/>
      <c r="E131" s="74"/>
      <c r="F131" s="74"/>
      <c r="G131" s="74"/>
      <c r="H131" s="74"/>
      <c r="I131" s="74"/>
      <c r="J131" s="74"/>
      <c r="K131" s="74"/>
      <c r="L131" s="74"/>
      <c r="M131" s="74"/>
      <c r="N131" s="38" t="str">
        <f>IF(OR(A131="Автомат",A131="Дифавтомат"),IF(W131="","",COUNTIFS(Однолинейка!$H$3:$H$3000,U131,Однолинейка!$A$3:$A$3000,Щит_спец)),IF(A131="Аппарат",IF(C131="","",COUNTIFS(Однолинейка!$I$3:$I$3000,C131,Однолинейка!$A$3:$A$3000,Щит_спец)+COUNTIFS(Однолинейка!$J$3:$J$3000,C131,Однолинейка!$A$3:$A$3000,Щит_спец)+COUNTIFS(Однолинейка!$K$3:$K$3000,C131,Однолинейка!$A$3:$A$3000,Щит_спец)),IF(A131="Модуль",IF(C131="","",COUNTIFS(Однолинейка!$AW$3:$AW$3000,"?*",Однолинейка!$AI$3:$AI$3000,C131,Однолинейка!$A$3:$A$3000,Щит_спец)),IF(A131="Клемма",IF(C131="","",IF(C131=$S$7,SUMIFS(Однолинейка!$BW$3:$BW$3000,Однолинейка!$A$3:$A$3000,Щит_спец),IF(C131=$S$8,SUMIFS(Однолинейка!$BX$3:$BX$3000,Однолинейка!$A$3:$A$3000,Щит_спец),""))),""))))</f>
        <v/>
      </c>
      <c r="O131" s="74"/>
      <c r="P131" s="38" t="str">
        <f t="shared" si="9"/>
        <v/>
      </c>
      <c r="U131" s="38" t="str">
        <f t="shared" si="10"/>
        <v/>
      </c>
      <c r="V131" s="38" t="str">
        <f t="shared" si="11"/>
        <v/>
      </c>
      <c r="W131" s="38" t="str">
        <f>IF(AND(U131&lt;&gt;"",OR($S$4="(все)",B131=$S$4),IF($S$4="(все)",COUNTIF($U$4:U131,U131),COUNTIFS($U$4:U131,U131,$B$4:B131,B131))=1),MAX($W$3:W130)+1,"")</f>
        <v/>
      </c>
      <c r="X131" s="38" t="str">
        <f t="shared" si="12"/>
        <v/>
      </c>
      <c r="Y131" s="38" t="str">
        <f>IF(AND(A131="Аппарат",C131&lt;&gt;"",OR($S$5="(все)",B131=$S$5)),MAX($Y$3:Y130)+1,"")</f>
        <v/>
      </c>
      <c r="Z131" s="38" t="str">
        <f t="shared" si="13"/>
        <v/>
      </c>
      <c r="AA131" s="38" t="str">
        <f>IF(AND(A131="Модуль",C131&lt;&gt;"",OR($S$6="(все)",B131=$S$6)),MAX($AA$3:AA130)+1,"")</f>
        <v/>
      </c>
      <c r="AB131" s="38" t="str">
        <f t="shared" si="14"/>
        <v/>
      </c>
      <c r="AC131" s="38" t="str">
        <f>IF(OR(B131="",COUNTIF($B$4:B131,B131)&gt;1),"",MAX($AC$3:AC130)+1)</f>
        <v/>
      </c>
      <c r="AD131" s="38" t="str">
        <f t="shared" si="15"/>
        <v/>
      </c>
      <c r="AE131" s="38" t="str">
        <f t="shared" si="16"/>
        <v/>
      </c>
      <c r="AF131" s="38" t="str">
        <f t="shared" si="17"/>
        <v/>
      </c>
    </row>
    <row r="132" spans="1:32" x14ac:dyDescent="0.3">
      <c r="A132" s="74"/>
      <c r="B132" s="74"/>
      <c r="C132" s="74"/>
      <c r="D132" s="74"/>
      <c r="E132" s="74"/>
      <c r="F132" s="74"/>
      <c r="G132" s="74"/>
      <c r="H132" s="74"/>
      <c r="I132" s="74"/>
      <c r="J132" s="74"/>
      <c r="K132" s="74"/>
      <c r="L132" s="74"/>
      <c r="M132" s="74"/>
      <c r="N132" s="38" t="str">
        <f>IF(OR(A132="Автомат",A132="Дифавтомат"),IF(W132="","",COUNTIFS(Однолинейка!$H$3:$H$3000,U132,Однолинейка!$A$3:$A$3000,Щит_спец)),IF(A132="Аппарат",IF(C132="","",COUNTIFS(Однолинейка!$I$3:$I$3000,C132,Однолинейка!$A$3:$A$3000,Щит_спец)+COUNTIFS(Однолинейка!$J$3:$J$3000,C132,Однолинейка!$A$3:$A$3000,Щит_спец)+COUNTIFS(Однолинейка!$K$3:$K$3000,C132,Однолинейка!$A$3:$A$3000,Щит_спец)),IF(A132="Модуль",IF(C132="","",COUNTIFS(Однолинейка!$AW$3:$AW$3000,"?*",Однолинейка!$AI$3:$AI$3000,C132,Однолинейка!$A$3:$A$3000,Щит_спец)),IF(A132="Клемма",IF(C132="","",IF(C132=$S$7,SUMIFS(Однолинейка!$BW$3:$BW$3000,Однолинейка!$A$3:$A$3000,Щит_спец),IF(C132=$S$8,SUMIFS(Однолинейка!$BX$3:$BX$3000,Однолинейка!$A$3:$A$3000,Щит_спец),""))),""))))</f>
        <v/>
      </c>
      <c r="O132" s="74"/>
      <c r="P132" s="38" t="str">
        <f t="shared" ref="P132:P195" si="18">IF(COUNT(N132,O132)=0,"",SUM(N132,O132))</f>
        <v/>
      </c>
      <c r="U132" s="38" t="str">
        <f t="shared" ref="U132:U195" si="19">IF(OR(A132="Автомат",A132="Дифавтомат"),I132&amp;" С"&amp;J132&amp;"А"&amp;IF(K132="да"," 30мА",IF(ISNUMBER(K132)," "&amp;K132&amp;"мА","")),"")</f>
        <v/>
      </c>
      <c r="V132" s="38" t="str">
        <f t="shared" ref="V132:V195" si="20">IF(U132="","",B132&amp;"|"&amp;U132)</f>
        <v/>
      </c>
      <c r="W132" s="38" t="str">
        <f>IF(AND(U132&lt;&gt;"",OR($S$4="(все)",B132=$S$4),IF($S$4="(все)",COUNTIF($U$4:U132,U132),COUNTIFS($U$4:U132,U132,$B$4:B132,B132))=1),MAX($W$3:W131)+1,"")</f>
        <v/>
      </c>
      <c r="X132" s="38" t="str">
        <f t="shared" ref="X132:X195" si="21">IFERROR(INDEX($U$4:$U$500,MATCH(ROW()-3,$W$4:$W$500,0)),"")</f>
        <v/>
      </c>
      <c r="Y132" s="38" t="str">
        <f>IF(AND(A132="Аппарат",C132&lt;&gt;"",OR($S$5="(все)",B132=$S$5)),MAX($Y$3:Y131)+1,"")</f>
        <v/>
      </c>
      <c r="Z132" s="38" t="str">
        <f t="shared" ref="Z132:Z195" si="22">IFERROR(INDEX($C$4:$C$500,MATCH(ROW()-3,$Y$4:$Y$500,0)),"")</f>
        <v/>
      </c>
      <c r="AA132" s="38" t="str">
        <f>IF(AND(A132="Модуль",C132&lt;&gt;"",OR($S$6="(все)",B132=$S$6)),MAX($AA$3:AA131)+1,"")</f>
        <v/>
      </c>
      <c r="AB132" s="38" t="str">
        <f t="shared" ref="AB132:AB195" si="23">IFERROR(INDEX($C$4:$C$500,MATCH(ROW()-3,$AA$4:$AA$500,0)),"")</f>
        <v/>
      </c>
      <c r="AC132" s="38" t="str">
        <f>IF(OR(B132="",COUNTIF($B$4:B132,B132)&gt;1),"",MAX($AC$3:AC131)+1)</f>
        <v/>
      </c>
      <c r="AD132" s="38" t="str">
        <f t="shared" ref="AD132:AD195" si="24">IFERROR(INDEX($B$4:$B$500,MATCH(ROW()-3,$AC$4:$AC$500,0)),"")</f>
        <v/>
      </c>
      <c r="AE132" s="38" t="str">
        <f t="shared" ref="AE132:AE195" si="25">IF(AND(A132&lt;&gt;"",N(P132)&gt;0),IFERROR(MATCH(A132,$R$12:$R$25,0),99)*1000+ROW(),"")</f>
        <v/>
      </c>
      <c r="AF132" s="38" t="str">
        <f t="shared" ref="AF132:AF195" si="26">IF(AE132="","",COUNTIF($AE$4:$AE$500,"&lt;="&amp;AE132))</f>
        <v/>
      </c>
    </row>
    <row r="133" spans="1:32" x14ac:dyDescent="0.3">
      <c r="A133" s="74"/>
      <c r="B133" s="74"/>
      <c r="C133" s="74"/>
      <c r="D133" s="74"/>
      <c r="E133" s="74"/>
      <c r="F133" s="74"/>
      <c r="G133" s="74"/>
      <c r="H133" s="74"/>
      <c r="I133" s="74"/>
      <c r="J133" s="74"/>
      <c r="K133" s="74"/>
      <c r="L133" s="74"/>
      <c r="M133" s="74"/>
      <c r="N133" s="38" t="str">
        <f>IF(OR(A133="Автомат",A133="Дифавтомат"),IF(W133="","",COUNTIFS(Однолинейка!$H$3:$H$3000,U133,Однолинейка!$A$3:$A$3000,Щит_спец)),IF(A133="Аппарат",IF(C133="","",COUNTIFS(Однолинейка!$I$3:$I$3000,C133,Однолинейка!$A$3:$A$3000,Щит_спец)+COUNTIFS(Однолинейка!$J$3:$J$3000,C133,Однолинейка!$A$3:$A$3000,Щит_спец)+COUNTIFS(Однолинейка!$K$3:$K$3000,C133,Однолинейка!$A$3:$A$3000,Щит_спец)),IF(A133="Модуль",IF(C133="","",COUNTIFS(Однолинейка!$AW$3:$AW$3000,"?*",Однолинейка!$AI$3:$AI$3000,C133,Однолинейка!$A$3:$A$3000,Щит_спец)),IF(A133="Клемма",IF(C133="","",IF(C133=$S$7,SUMIFS(Однолинейка!$BW$3:$BW$3000,Однолинейка!$A$3:$A$3000,Щит_спец),IF(C133=$S$8,SUMIFS(Однолинейка!$BX$3:$BX$3000,Однолинейка!$A$3:$A$3000,Щит_спец),""))),""))))</f>
        <v/>
      </c>
      <c r="O133" s="74"/>
      <c r="P133" s="38" t="str">
        <f t="shared" si="18"/>
        <v/>
      </c>
      <c r="U133" s="38" t="str">
        <f t="shared" si="19"/>
        <v/>
      </c>
      <c r="V133" s="38" t="str">
        <f t="shared" si="20"/>
        <v/>
      </c>
      <c r="W133" s="38" t="str">
        <f>IF(AND(U133&lt;&gt;"",OR($S$4="(все)",B133=$S$4),IF($S$4="(все)",COUNTIF($U$4:U133,U133),COUNTIFS($U$4:U133,U133,$B$4:B133,B133))=1),MAX($W$3:W132)+1,"")</f>
        <v/>
      </c>
      <c r="X133" s="38" t="str">
        <f t="shared" si="21"/>
        <v/>
      </c>
      <c r="Y133" s="38" t="str">
        <f>IF(AND(A133="Аппарат",C133&lt;&gt;"",OR($S$5="(все)",B133=$S$5)),MAX($Y$3:Y132)+1,"")</f>
        <v/>
      </c>
      <c r="Z133" s="38" t="str">
        <f t="shared" si="22"/>
        <v/>
      </c>
      <c r="AA133" s="38" t="str">
        <f>IF(AND(A133="Модуль",C133&lt;&gt;"",OR($S$6="(все)",B133=$S$6)),MAX($AA$3:AA132)+1,"")</f>
        <v/>
      </c>
      <c r="AB133" s="38" t="str">
        <f t="shared" si="23"/>
        <v/>
      </c>
      <c r="AC133" s="38" t="str">
        <f>IF(OR(B133="",COUNTIF($B$4:B133,B133)&gt;1),"",MAX($AC$3:AC132)+1)</f>
        <v/>
      </c>
      <c r="AD133" s="38" t="str">
        <f t="shared" si="24"/>
        <v/>
      </c>
      <c r="AE133" s="38" t="str">
        <f t="shared" si="25"/>
        <v/>
      </c>
      <c r="AF133" s="38" t="str">
        <f t="shared" si="26"/>
        <v/>
      </c>
    </row>
    <row r="134" spans="1:32" x14ac:dyDescent="0.3">
      <c r="A134" s="74"/>
      <c r="B134" s="74"/>
      <c r="C134" s="74"/>
      <c r="D134" s="74"/>
      <c r="E134" s="74"/>
      <c r="F134" s="74"/>
      <c r="G134" s="74"/>
      <c r="H134" s="74"/>
      <c r="I134" s="74"/>
      <c r="J134" s="74"/>
      <c r="K134" s="74"/>
      <c r="L134" s="74"/>
      <c r="M134" s="74"/>
      <c r="N134" s="38" t="str">
        <f>IF(OR(A134="Автомат",A134="Дифавтомат"),IF(W134="","",COUNTIFS(Однолинейка!$H$3:$H$3000,U134,Однолинейка!$A$3:$A$3000,Щит_спец)),IF(A134="Аппарат",IF(C134="","",COUNTIFS(Однолинейка!$I$3:$I$3000,C134,Однолинейка!$A$3:$A$3000,Щит_спец)+COUNTIFS(Однолинейка!$J$3:$J$3000,C134,Однолинейка!$A$3:$A$3000,Щит_спец)+COUNTIFS(Однолинейка!$K$3:$K$3000,C134,Однолинейка!$A$3:$A$3000,Щит_спец)),IF(A134="Модуль",IF(C134="","",COUNTIFS(Однолинейка!$AW$3:$AW$3000,"?*",Однолинейка!$AI$3:$AI$3000,C134,Однолинейка!$A$3:$A$3000,Щит_спец)),IF(A134="Клемма",IF(C134="","",IF(C134=$S$7,SUMIFS(Однолинейка!$BW$3:$BW$3000,Однолинейка!$A$3:$A$3000,Щит_спец),IF(C134=$S$8,SUMIFS(Однолинейка!$BX$3:$BX$3000,Однолинейка!$A$3:$A$3000,Щит_спец),""))),""))))</f>
        <v/>
      </c>
      <c r="O134" s="74"/>
      <c r="P134" s="38" t="str">
        <f t="shared" si="18"/>
        <v/>
      </c>
      <c r="U134" s="38" t="str">
        <f t="shared" si="19"/>
        <v/>
      </c>
      <c r="V134" s="38" t="str">
        <f t="shared" si="20"/>
        <v/>
      </c>
      <c r="W134" s="38" t="str">
        <f>IF(AND(U134&lt;&gt;"",OR($S$4="(все)",B134=$S$4),IF($S$4="(все)",COUNTIF($U$4:U134,U134),COUNTIFS($U$4:U134,U134,$B$4:B134,B134))=1),MAX($W$3:W133)+1,"")</f>
        <v/>
      </c>
      <c r="X134" s="38" t="str">
        <f t="shared" si="21"/>
        <v/>
      </c>
      <c r="Y134" s="38" t="str">
        <f>IF(AND(A134="Аппарат",C134&lt;&gt;"",OR($S$5="(все)",B134=$S$5)),MAX($Y$3:Y133)+1,"")</f>
        <v/>
      </c>
      <c r="Z134" s="38" t="str">
        <f t="shared" si="22"/>
        <v/>
      </c>
      <c r="AA134" s="38" t="str">
        <f>IF(AND(A134="Модуль",C134&lt;&gt;"",OR($S$6="(все)",B134=$S$6)),MAX($AA$3:AA133)+1,"")</f>
        <v/>
      </c>
      <c r="AB134" s="38" t="str">
        <f t="shared" si="23"/>
        <v/>
      </c>
      <c r="AC134" s="38" t="str">
        <f>IF(OR(B134="",COUNTIF($B$4:B134,B134)&gt;1),"",MAX($AC$3:AC133)+1)</f>
        <v/>
      </c>
      <c r="AD134" s="38" t="str">
        <f t="shared" si="24"/>
        <v/>
      </c>
      <c r="AE134" s="38" t="str">
        <f t="shared" si="25"/>
        <v/>
      </c>
      <c r="AF134" s="38" t="str">
        <f t="shared" si="26"/>
        <v/>
      </c>
    </row>
    <row r="135" spans="1:32" x14ac:dyDescent="0.3">
      <c r="A135" s="74"/>
      <c r="B135" s="74"/>
      <c r="C135" s="74"/>
      <c r="D135" s="74"/>
      <c r="E135" s="74"/>
      <c r="F135" s="74"/>
      <c r="G135" s="74"/>
      <c r="H135" s="74"/>
      <c r="I135" s="74"/>
      <c r="J135" s="74"/>
      <c r="K135" s="74"/>
      <c r="L135" s="74"/>
      <c r="M135" s="74"/>
      <c r="N135" s="38" t="str">
        <f>IF(OR(A135="Автомат",A135="Дифавтомат"),IF(W135="","",COUNTIFS(Однолинейка!$H$3:$H$3000,U135,Однолинейка!$A$3:$A$3000,Щит_спец)),IF(A135="Аппарат",IF(C135="","",COUNTIFS(Однолинейка!$I$3:$I$3000,C135,Однолинейка!$A$3:$A$3000,Щит_спец)+COUNTIFS(Однолинейка!$J$3:$J$3000,C135,Однолинейка!$A$3:$A$3000,Щит_спец)+COUNTIFS(Однолинейка!$K$3:$K$3000,C135,Однолинейка!$A$3:$A$3000,Щит_спец)),IF(A135="Модуль",IF(C135="","",COUNTIFS(Однолинейка!$AW$3:$AW$3000,"?*",Однолинейка!$AI$3:$AI$3000,C135,Однолинейка!$A$3:$A$3000,Щит_спец)),IF(A135="Клемма",IF(C135="","",IF(C135=$S$7,SUMIFS(Однолинейка!$BW$3:$BW$3000,Однолинейка!$A$3:$A$3000,Щит_спец),IF(C135=$S$8,SUMIFS(Однолинейка!$BX$3:$BX$3000,Однолинейка!$A$3:$A$3000,Щит_спец),""))),""))))</f>
        <v/>
      </c>
      <c r="O135" s="74"/>
      <c r="P135" s="38" t="str">
        <f t="shared" si="18"/>
        <v/>
      </c>
      <c r="U135" s="38" t="str">
        <f t="shared" si="19"/>
        <v/>
      </c>
      <c r="V135" s="38" t="str">
        <f t="shared" si="20"/>
        <v/>
      </c>
      <c r="W135" s="38" t="str">
        <f>IF(AND(U135&lt;&gt;"",OR($S$4="(все)",B135=$S$4),IF($S$4="(все)",COUNTIF($U$4:U135,U135),COUNTIFS($U$4:U135,U135,$B$4:B135,B135))=1),MAX($W$3:W134)+1,"")</f>
        <v/>
      </c>
      <c r="X135" s="38" t="str">
        <f t="shared" si="21"/>
        <v/>
      </c>
      <c r="Y135" s="38" t="str">
        <f>IF(AND(A135="Аппарат",C135&lt;&gt;"",OR($S$5="(все)",B135=$S$5)),MAX($Y$3:Y134)+1,"")</f>
        <v/>
      </c>
      <c r="Z135" s="38" t="str">
        <f t="shared" si="22"/>
        <v/>
      </c>
      <c r="AA135" s="38" t="str">
        <f>IF(AND(A135="Модуль",C135&lt;&gt;"",OR($S$6="(все)",B135=$S$6)),MAX($AA$3:AA134)+1,"")</f>
        <v/>
      </c>
      <c r="AB135" s="38" t="str">
        <f t="shared" si="23"/>
        <v/>
      </c>
      <c r="AC135" s="38" t="str">
        <f>IF(OR(B135="",COUNTIF($B$4:B135,B135)&gt;1),"",MAX($AC$3:AC134)+1)</f>
        <v/>
      </c>
      <c r="AD135" s="38" t="str">
        <f t="shared" si="24"/>
        <v/>
      </c>
      <c r="AE135" s="38" t="str">
        <f t="shared" si="25"/>
        <v/>
      </c>
      <c r="AF135" s="38" t="str">
        <f t="shared" si="26"/>
        <v/>
      </c>
    </row>
    <row r="136" spans="1:32" x14ac:dyDescent="0.3">
      <c r="A136" s="74"/>
      <c r="B136" s="74"/>
      <c r="C136" s="74"/>
      <c r="D136" s="74"/>
      <c r="E136" s="74"/>
      <c r="F136" s="74"/>
      <c r="G136" s="74"/>
      <c r="H136" s="74"/>
      <c r="I136" s="74"/>
      <c r="J136" s="74"/>
      <c r="K136" s="74"/>
      <c r="L136" s="74"/>
      <c r="M136" s="74"/>
      <c r="N136" s="38" t="str">
        <f>IF(OR(A136="Автомат",A136="Дифавтомат"),IF(W136="","",COUNTIFS(Однолинейка!$H$3:$H$3000,U136,Однолинейка!$A$3:$A$3000,Щит_спец)),IF(A136="Аппарат",IF(C136="","",COUNTIFS(Однолинейка!$I$3:$I$3000,C136,Однолинейка!$A$3:$A$3000,Щит_спец)+COUNTIFS(Однолинейка!$J$3:$J$3000,C136,Однолинейка!$A$3:$A$3000,Щит_спец)+COUNTIFS(Однолинейка!$K$3:$K$3000,C136,Однолинейка!$A$3:$A$3000,Щит_спец)),IF(A136="Модуль",IF(C136="","",COUNTIFS(Однолинейка!$AW$3:$AW$3000,"?*",Однолинейка!$AI$3:$AI$3000,C136,Однолинейка!$A$3:$A$3000,Щит_спец)),IF(A136="Клемма",IF(C136="","",IF(C136=$S$7,SUMIFS(Однолинейка!$BW$3:$BW$3000,Однолинейка!$A$3:$A$3000,Щит_спец),IF(C136=$S$8,SUMIFS(Однолинейка!$BX$3:$BX$3000,Однолинейка!$A$3:$A$3000,Щит_спец),""))),""))))</f>
        <v/>
      </c>
      <c r="O136" s="74"/>
      <c r="P136" s="38" t="str">
        <f t="shared" si="18"/>
        <v/>
      </c>
      <c r="U136" s="38" t="str">
        <f t="shared" si="19"/>
        <v/>
      </c>
      <c r="V136" s="38" t="str">
        <f t="shared" si="20"/>
        <v/>
      </c>
      <c r="W136" s="38" t="str">
        <f>IF(AND(U136&lt;&gt;"",OR($S$4="(все)",B136=$S$4),IF($S$4="(все)",COUNTIF($U$4:U136,U136),COUNTIFS($U$4:U136,U136,$B$4:B136,B136))=1),MAX($W$3:W135)+1,"")</f>
        <v/>
      </c>
      <c r="X136" s="38" t="str">
        <f t="shared" si="21"/>
        <v/>
      </c>
      <c r="Y136" s="38" t="str">
        <f>IF(AND(A136="Аппарат",C136&lt;&gt;"",OR($S$5="(все)",B136=$S$5)),MAX($Y$3:Y135)+1,"")</f>
        <v/>
      </c>
      <c r="Z136" s="38" t="str">
        <f t="shared" si="22"/>
        <v/>
      </c>
      <c r="AA136" s="38" t="str">
        <f>IF(AND(A136="Модуль",C136&lt;&gt;"",OR($S$6="(все)",B136=$S$6)),MAX($AA$3:AA135)+1,"")</f>
        <v/>
      </c>
      <c r="AB136" s="38" t="str">
        <f t="shared" si="23"/>
        <v/>
      </c>
      <c r="AC136" s="38" t="str">
        <f>IF(OR(B136="",COUNTIF($B$4:B136,B136)&gt;1),"",MAX($AC$3:AC135)+1)</f>
        <v/>
      </c>
      <c r="AD136" s="38" t="str">
        <f t="shared" si="24"/>
        <v/>
      </c>
      <c r="AE136" s="38" t="str">
        <f t="shared" si="25"/>
        <v/>
      </c>
      <c r="AF136" s="38" t="str">
        <f t="shared" si="26"/>
        <v/>
      </c>
    </row>
    <row r="137" spans="1:32" x14ac:dyDescent="0.3">
      <c r="A137" s="74"/>
      <c r="B137" s="74"/>
      <c r="C137" s="74"/>
      <c r="D137" s="74"/>
      <c r="E137" s="74"/>
      <c r="F137" s="74"/>
      <c r="G137" s="74"/>
      <c r="H137" s="74"/>
      <c r="I137" s="74"/>
      <c r="J137" s="74"/>
      <c r="K137" s="74"/>
      <c r="L137" s="74"/>
      <c r="M137" s="74"/>
      <c r="N137" s="38" t="str">
        <f>IF(OR(A137="Автомат",A137="Дифавтомат"),IF(W137="","",COUNTIFS(Однолинейка!$H$3:$H$3000,U137,Однолинейка!$A$3:$A$3000,Щит_спец)),IF(A137="Аппарат",IF(C137="","",COUNTIFS(Однолинейка!$I$3:$I$3000,C137,Однолинейка!$A$3:$A$3000,Щит_спец)+COUNTIFS(Однолинейка!$J$3:$J$3000,C137,Однолинейка!$A$3:$A$3000,Щит_спец)+COUNTIFS(Однолинейка!$K$3:$K$3000,C137,Однолинейка!$A$3:$A$3000,Щит_спец)),IF(A137="Модуль",IF(C137="","",COUNTIFS(Однолинейка!$AW$3:$AW$3000,"?*",Однолинейка!$AI$3:$AI$3000,C137,Однолинейка!$A$3:$A$3000,Щит_спец)),IF(A137="Клемма",IF(C137="","",IF(C137=$S$7,SUMIFS(Однолинейка!$BW$3:$BW$3000,Однолинейка!$A$3:$A$3000,Щит_спец),IF(C137=$S$8,SUMIFS(Однолинейка!$BX$3:$BX$3000,Однолинейка!$A$3:$A$3000,Щит_спец),""))),""))))</f>
        <v/>
      </c>
      <c r="O137" s="74"/>
      <c r="P137" s="38" t="str">
        <f t="shared" si="18"/>
        <v/>
      </c>
      <c r="U137" s="38" t="str">
        <f t="shared" si="19"/>
        <v/>
      </c>
      <c r="V137" s="38" t="str">
        <f t="shared" si="20"/>
        <v/>
      </c>
      <c r="W137" s="38" t="str">
        <f>IF(AND(U137&lt;&gt;"",OR($S$4="(все)",B137=$S$4),IF($S$4="(все)",COUNTIF($U$4:U137,U137),COUNTIFS($U$4:U137,U137,$B$4:B137,B137))=1),MAX($W$3:W136)+1,"")</f>
        <v/>
      </c>
      <c r="X137" s="38" t="str">
        <f t="shared" si="21"/>
        <v/>
      </c>
      <c r="Y137" s="38" t="str">
        <f>IF(AND(A137="Аппарат",C137&lt;&gt;"",OR($S$5="(все)",B137=$S$5)),MAX($Y$3:Y136)+1,"")</f>
        <v/>
      </c>
      <c r="Z137" s="38" t="str">
        <f t="shared" si="22"/>
        <v/>
      </c>
      <c r="AA137" s="38" t="str">
        <f>IF(AND(A137="Модуль",C137&lt;&gt;"",OR($S$6="(все)",B137=$S$6)),MAX($AA$3:AA136)+1,"")</f>
        <v/>
      </c>
      <c r="AB137" s="38" t="str">
        <f t="shared" si="23"/>
        <v/>
      </c>
      <c r="AC137" s="38" t="str">
        <f>IF(OR(B137="",COUNTIF($B$4:B137,B137)&gt;1),"",MAX($AC$3:AC136)+1)</f>
        <v/>
      </c>
      <c r="AD137" s="38" t="str">
        <f t="shared" si="24"/>
        <v/>
      </c>
      <c r="AE137" s="38" t="str">
        <f t="shared" si="25"/>
        <v/>
      </c>
      <c r="AF137" s="38" t="str">
        <f t="shared" si="26"/>
        <v/>
      </c>
    </row>
    <row r="138" spans="1:32" x14ac:dyDescent="0.3">
      <c r="A138" s="74"/>
      <c r="B138" s="74"/>
      <c r="C138" s="74"/>
      <c r="D138" s="74"/>
      <c r="E138" s="74"/>
      <c r="F138" s="74"/>
      <c r="G138" s="74"/>
      <c r="H138" s="74"/>
      <c r="I138" s="74"/>
      <c r="J138" s="74"/>
      <c r="K138" s="74"/>
      <c r="L138" s="74"/>
      <c r="M138" s="74"/>
      <c r="N138" s="38" t="str">
        <f>IF(OR(A138="Автомат",A138="Дифавтомат"),IF(W138="","",COUNTIFS(Однолинейка!$H$3:$H$3000,U138,Однолинейка!$A$3:$A$3000,Щит_спец)),IF(A138="Аппарат",IF(C138="","",COUNTIFS(Однолинейка!$I$3:$I$3000,C138,Однолинейка!$A$3:$A$3000,Щит_спец)+COUNTIFS(Однолинейка!$J$3:$J$3000,C138,Однолинейка!$A$3:$A$3000,Щит_спец)+COUNTIFS(Однолинейка!$K$3:$K$3000,C138,Однолинейка!$A$3:$A$3000,Щит_спец)),IF(A138="Модуль",IF(C138="","",COUNTIFS(Однолинейка!$AW$3:$AW$3000,"?*",Однолинейка!$AI$3:$AI$3000,C138,Однолинейка!$A$3:$A$3000,Щит_спец)),IF(A138="Клемма",IF(C138="","",IF(C138=$S$7,SUMIFS(Однолинейка!$BW$3:$BW$3000,Однолинейка!$A$3:$A$3000,Щит_спец),IF(C138=$S$8,SUMIFS(Однолинейка!$BX$3:$BX$3000,Однолинейка!$A$3:$A$3000,Щит_спец),""))),""))))</f>
        <v/>
      </c>
      <c r="O138" s="74"/>
      <c r="P138" s="38" t="str">
        <f t="shared" si="18"/>
        <v/>
      </c>
      <c r="U138" s="38" t="str">
        <f t="shared" si="19"/>
        <v/>
      </c>
      <c r="V138" s="38" t="str">
        <f t="shared" si="20"/>
        <v/>
      </c>
      <c r="W138" s="38" t="str">
        <f>IF(AND(U138&lt;&gt;"",OR($S$4="(все)",B138=$S$4),IF($S$4="(все)",COUNTIF($U$4:U138,U138),COUNTIFS($U$4:U138,U138,$B$4:B138,B138))=1),MAX($W$3:W137)+1,"")</f>
        <v/>
      </c>
      <c r="X138" s="38" t="str">
        <f t="shared" si="21"/>
        <v/>
      </c>
      <c r="Y138" s="38" t="str">
        <f>IF(AND(A138="Аппарат",C138&lt;&gt;"",OR($S$5="(все)",B138=$S$5)),MAX($Y$3:Y137)+1,"")</f>
        <v/>
      </c>
      <c r="Z138" s="38" t="str">
        <f t="shared" si="22"/>
        <v/>
      </c>
      <c r="AA138" s="38" t="str">
        <f>IF(AND(A138="Модуль",C138&lt;&gt;"",OR($S$6="(все)",B138=$S$6)),MAX($AA$3:AA137)+1,"")</f>
        <v/>
      </c>
      <c r="AB138" s="38" t="str">
        <f t="shared" si="23"/>
        <v/>
      </c>
      <c r="AC138" s="38" t="str">
        <f>IF(OR(B138="",COUNTIF($B$4:B138,B138)&gt;1),"",MAX($AC$3:AC137)+1)</f>
        <v/>
      </c>
      <c r="AD138" s="38" t="str">
        <f t="shared" si="24"/>
        <v/>
      </c>
      <c r="AE138" s="38" t="str">
        <f t="shared" si="25"/>
        <v/>
      </c>
      <c r="AF138" s="38" t="str">
        <f t="shared" si="26"/>
        <v/>
      </c>
    </row>
    <row r="139" spans="1:32" x14ac:dyDescent="0.3">
      <c r="A139" s="74"/>
      <c r="B139" s="74"/>
      <c r="C139" s="74"/>
      <c r="D139" s="74"/>
      <c r="E139" s="74"/>
      <c r="F139" s="74"/>
      <c r="G139" s="74"/>
      <c r="H139" s="74"/>
      <c r="I139" s="74"/>
      <c r="J139" s="74"/>
      <c r="K139" s="74"/>
      <c r="L139" s="74"/>
      <c r="M139" s="74"/>
      <c r="N139" s="38" t="str">
        <f>IF(OR(A139="Автомат",A139="Дифавтомат"),IF(W139="","",COUNTIFS(Однолинейка!$H$3:$H$3000,U139,Однолинейка!$A$3:$A$3000,Щит_спец)),IF(A139="Аппарат",IF(C139="","",COUNTIFS(Однолинейка!$I$3:$I$3000,C139,Однолинейка!$A$3:$A$3000,Щит_спец)+COUNTIFS(Однолинейка!$J$3:$J$3000,C139,Однолинейка!$A$3:$A$3000,Щит_спец)+COUNTIFS(Однолинейка!$K$3:$K$3000,C139,Однолинейка!$A$3:$A$3000,Щит_спец)),IF(A139="Модуль",IF(C139="","",COUNTIFS(Однолинейка!$AW$3:$AW$3000,"?*",Однолинейка!$AI$3:$AI$3000,C139,Однолинейка!$A$3:$A$3000,Щит_спец)),IF(A139="Клемма",IF(C139="","",IF(C139=$S$7,SUMIFS(Однолинейка!$BW$3:$BW$3000,Однолинейка!$A$3:$A$3000,Щит_спец),IF(C139=$S$8,SUMIFS(Однолинейка!$BX$3:$BX$3000,Однолинейка!$A$3:$A$3000,Щит_спец),""))),""))))</f>
        <v/>
      </c>
      <c r="O139" s="74"/>
      <c r="P139" s="38" t="str">
        <f t="shared" si="18"/>
        <v/>
      </c>
      <c r="U139" s="38" t="str">
        <f t="shared" si="19"/>
        <v/>
      </c>
      <c r="V139" s="38" t="str">
        <f t="shared" si="20"/>
        <v/>
      </c>
      <c r="W139" s="38" t="str">
        <f>IF(AND(U139&lt;&gt;"",OR($S$4="(все)",B139=$S$4),IF($S$4="(все)",COUNTIF($U$4:U139,U139),COUNTIFS($U$4:U139,U139,$B$4:B139,B139))=1),MAX($W$3:W138)+1,"")</f>
        <v/>
      </c>
      <c r="X139" s="38" t="str">
        <f t="shared" si="21"/>
        <v/>
      </c>
      <c r="Y139" s="38" t="str">
        <f>IF(AND(A139="Аппарат",C139&lt;&gt;"",OR($S$5="(все)",B139=$S$5)),MAX($Y$3:Y138)+1,"")</f>
        <v/>
      </c>
      <c r="Z139" s="38" t="str">
        <f t="shared" si="22"/>
        <v/>
      </c>
      <c r="AA139" s="38" t="str">
        <f>IF(AND(A139="Модуль",C139&lt;&gt;"",OR($S$6="(все)",B139=$S$6)),MAX($AA$3:AA138)+1,"")</f>
        <v/>
      </c>
      <c r="AB139" s="38" t="str">
        <f t="shared" si="23"/>
        <v/>
      </c>
      <c r="AC139" s="38" t="str">
        <f>IF(OR(B139="",COUNTIF($B$4:B139,B139)&gt;1),"",MAX($AC$3:AC138)+1)</f>
        <v/>
      </c>
      <c r="AD139" s="38" t="str">
        <f t="shared" si="24"/>
        <v/>
      </c>
      <c r="AE139" s="38" t="str">
        <f t="shared" si="25"/>
        <v/>
      </c>
      <c r="AF139" s="38" t="str">
        <f t="shared" si="26"/>
        <v/>
      </c>
    </row>
    <row r="140" spans="1:32" x14ac:dyDescent="0.3">
      <c r="A140" s="74"/>
      <c r="B140" s="74"/>
      <c r="C140" s="74"/>
      <c r="D140" s="74"/>
      <c r="E140" s="74"/>
      <c r="F140" s="74"/>
      <c r="G140" s="74"/>
      <c r="H140" s="74"/>
      <c r="I140" s="74"/>
      <c r="J140" s="74"/>
      <c r="K140" s="74"/>
      <c r="L140" s="74"/>
      <c r="M140" s="74"/>
      <c r="N140" s="38" t="str">
        <f>IF(OR(A140="Автомат",A140="Дифавтомат"),IF(W140="","",COUNTIFS(Однолинейка!$H$3:$H$3000,U140,Однолинейка!$A$3:$A$3000,Щит_спец)),IF(A140="Аппарат",IF(C140="","",COUNTIFS(Однолинейка!$I$3:$I$3000,C140,Однолинейка!$A$3:$A$3000,Щит_спец)+COUNTIFS(Однолинейка!$J$3:$J$3000,C140,Однолинейка!$A$3:$A$3000,Щит_спец)+COUNTIFS(Однолинейка!$K$3:$K$3000,C140,Однолинейка!$A$3:$A$3000,Щит_спец)),IF(A140="Модуль",IF(C140="","",COUNTIFS(Однолинейка!$AW$3:$AW$3000,"?*",Однолинейка!$AI$3:$AI$3000,C140,Однолинейка!$A$3:$A$3000,Щит_спец)),IF(A140="Клемма",IF(C140="","",IF(C140=$S$7,SUMIFS(Однолинейка!$BW$3:$BW$3000,Однолинейка!$A$3:$A$3000,Щит_спец),IF(C140=$S$8,SUMIFS(Однолинейка!$BX$3:$BX$3000,Однолинейка!$A$3:$A$3000,Щит_спец),""))),""))))</f>
        <v/>
      </c>
      <c r="O140" s="74"/>
      <c r="P140" s="38" t="str">
        <f t="shared" si="18"/>
        <v/>
      </c>
      <c r="U140" s="38" t="str">
        <f t="shared" si="19"/>
        <v/>
      </c>
      <c r="V140" s="38" t="str">
        <f t="shared" si="20"/>
        <v/>
      </c>
      <c r="W140" s="38" t="str">
        <f>IF(AND(U140&lt;&gt;"",OR($S$4="(все)",B140=$S$4),IF($S$4="(все)",COUNTIF($U$4:U140,U140),COUNTIFS($U$4:U140,U140,$B$4:B140,B140))=1),MAX($W$3:W139)+1,"")</f>
        <v/>
      </c>
      <c r="X140" s="38" t="str">
        <f t="shared" si="21"/>
        <v/>
      </c>
      <c r="Y140" s="38" t="str">
        <f>IF(AND(A140="Аппарат",C140&lt;&gt;"",OR($S$5="(все)",B140=$S$5)),MAX($Y$3:Y139)+1,"")</f>
        <v/>
      </c>
      <c r="Z140" s="38" t="str">
        <f t="shared" si="22"/>
        <v/>
      </c>
      <c r="AA140" s="38" t="str">
        <f>IF(AND(A140="Модуль",C140&lt;&gt;"",OR($S$6="(все)",B140=$S$6)),MAX($AA$3:AA139)+1,"")</f>
        <v/>
      </c>
      <c r="AB140" s="38" t="str">
        <f t="shared" si="23"/>
        <v/>
      </c>
      <c r="AC140" s="38" t="str">
        <f>IF(OR(B140="",COUNTIF($B$4:B140,B140)&gt;1),"",MAX($AC$3:AC139)+1)</f>
        <v/>
      </c>
      <c r="AD140" s="38" t="str">
        <f t="shared" si="24"/>
        <v/>
      </c>
      <c r="AE140" s="38" t="str">
        <f t="shared" si="25"/>
        <v/>
      </c>
      <c r="AF140" s="38" t="str">
        <f t="shared" si="26"/>
        <v/>
      </c>
    </row>
    <row r="141" spans="1:32" x14ac:dyDescent="0.3">
      <c r="A141" s="74"/>
      <c r="B141" s="74"/>
      <c r="C141" s="74"/>
      <c r="D141" s="74"/>
      <c r="E141" s="74"/>
      <c r="F141" s="74"/>
      <c r="G141" s="74"/>
      <c r="H141" s="74"/>
      <c r="I141" s="74"/>
      <c r="J141" s="74"/>
      <c r="K141" s="74"/>
      <c r="L141" s="74"/>
      <c r="M141" s="74"/>
      <c r="N141" s="38" t="str">
        <f>IF(OR(A141="Автомат",A141="Дифавтомат"),IF(W141="","",COUNTIFS(Однолинейка!$H$3:$H$3000,U141,Однолинейка!$A$3:$A$3000,Щит_спец)),IF(A141="Аппарат",IF(C141="","",COUNTIFS(Однолинейка!$I$3:$I$3000,C141,Однолинейка!$A$3:$A$3000,Щит_спец)+COUNTIFS(Однолинейка!$J$3:$J$3000,C141,Однолинейка!$A$3:$A$3000,Щит_спец)+COUNTIFS(Однолинейка!$K$3:$K$3000,C141,Однолинейка!$A$3:$A$3000,Щит_спец)),IF(A141="Модуль",IF(C141="","",COUNTIFS(Однолинейка!$AW$3:$AW$3000,"?*",Однолинейка!$AI$3:$AI$3000,C141,Однолинейка!$A$3:$A$3000,Щит_спец)),IF(A141="Клемма",IF(C141="","",IF(C141=$S$7,SUMIFS(Однолинейка!$BW$3:$BW$3000,Однолинейка!$A$3:$A$3000,Щит_спец),IF(C141=$S$8,SUMIFS(Однолинейка!$BX$3:$BX$3000,Однолинейка!$A$3:$A$3000,Щит_спец),""))),""))))</f>
        <v/>
      </c>
      <c r="O141" s="74"/>
      <c r="P141" s="38" t="str">
        <f t="shared" si="18"/>
        <v/>
      </c>
      <c r="U141" s="38" t="str">
        <f t="shared" si="19"/>
        <v/>
      </c>
      <c r="V141" s="38" t="str">
        <f t="shared" si="20"/>
        <v/>
      </c>
      <c r="W141" s="38" t="str">
        <f>IF(AND(U141&lt;&gt;"",OR($S$4="(все)",B141=$S$4),IF($S$4="(все)",COUNTIF($U$4:U141,U141),COUNTIFS($U$4:U141,U141,$B$4:B141,B141))=1),MAX($W$3:W140)+1,"")</f>
        <v/>
      </c>
      <c r="X141" s="38" t="str">
        <f t="shared" si="21"/>
        <v/>
      </c>
      <c r="Y141" s="38" t="str">
        <f>IF(AND(A141="Аппарат",C141&lt;&gt;"",OR($S$5="(все)",B141=$S$5)),MAX($Y$3:Y140)+1,"")</f>
        <v/>
      </c>
      <c r="Z141" s="38" t="str">
        <f t="shared" si="22"/>
        <v/>
      </c>
      <c r="AA141" s="38" t="str">
        <f>IF(AND(A141="Модуль",C141&lt;&gt;"",OR($S$6="(все)",B141=$S$6)),MAX($AA$3:AA140)+1,"")</f>
        <v/>
      </c>
      <c r="AB141" s="38" t="str">
        <f t="shared" si="23"/>
        <v/>
      </c>
      <c r="AC141" s="38" t="str">
        <f>IF(OR(B141="",COUNTIF($B$4:B141,B141)&gt;1),"",MAX($AC$3:AC140)+1)</f>
        <v/>
      </c>
      <c r="AD141" s="38" t="str">
        <f t="shared" si="24"/>
        <v/>
      </c>
      <c r="AE141" s="38" t="str">
        <f t="shared" si="25"/>
        <v/>
      </c>
      <c r="AF141" s="38" t="str">
        <f t="shared" si="26"/>
        <v/>
      </c>
    </row>
    <row r="142" spans="1:32" x14ac:dyDescent="0.3">
      <c r="A142" s="74"/>
      <c r="B142" s="74"/>
      <c r="C142" s="74"/>
      <c r="D142" s="74"/>
      <c r="E142" s="74"/>
      <c r="F142" s="74"/>
      <c r="G142" s="74"/>
      <c r="H142" s="74"/>
      <c r="I142" s="74"/>
      <c r="J142" s="74"/>
      <c r="K142" s="74"/>
      <c r="L142" s="74"/>
      <c r="M142" s="74"/>
      <c r="N142" s="38" t="str">
        <f>IF(OR(A142="Автомат",A142="Дифавтомат"),IF(W142="","",COUNTIFS(Однолинейка!$H$3:$H$3000,U142,Однолинейка!$A$3:$A$3000,Щит_спец)),IF(A142="Аппарат",IF(C142="","",COUNTIFS(Однолинейка!$I$3:$I$3000,C142,Однолинейка!$A$3:$A$3000,Щит_спец)+COUNTIFS(Однолинейка!$J$3:$J$3000,C142,Однолинейка!$A$3:$A$3000,Щит_спец)+COUNTIFS(Однолинейка!$K$3:$K$3000,C142,Однолинейка!$A$3:$A$3000,Щит_спец)),IF(A142="Модуль",IF(C142="","",COUNTIFS(Однолинейка!$AW$3:$AW$3000,"?*",Однолинейка!$AI$3:$AI$3000,C142,Однолинейка!$A$3:$A$3000,Щит_спец)),IF(A142="Клемма",IF(C142="","",IF(C142=$S$7,SUMIFS(Однолинейка!$BW$3:$BW$3000,Однолинейка!$A$3:$A$3000,Щит_спец),IF(C142=$S$8,SUMIFS(Однолинейка!$BX$3:$BX$3000,Однолинейка!$A$3:$A$3000,Щит_спец),""))),""))))</f>
        <v/>
      </c>
      <c r="O142" s="74"/>
      <c r="P142" s="38" t="str">
        <f t="shared" si="18"/>
        <v/>
      </c>
      <c r="U142" s="38" t="str">
        <f t="shared" si="19"/>
        <v/>
      </c>
      <c r="V142" s="38" t="str">
        <f t="shared" si="20"/>
        <v/>
      </c>
      <c r="W142" s="38" t="str">
        <f>IF(AND(U142&lt;&gt;"",OR($S$4="(все)",B142=$S$4),IF($S$4="(все)",COUNTIF($U$4:U142,U142),COUNTIFS($U$4:U142,U142,$B$4:B142,B142))=1),MAX($W$3:W141)+1,"")</f>
        <v/>
      </c>
      <c r="X142" s="38" t="str">
        <f t="shared" si="21"/>
        <v/>
      </c>
      <c r="Y142" s="38" t="str">
        <f>IF(AND(A142="Аппарат",C142&lt;&gt;"",OR($S$5="(все)",B142=$S$5)),MAX($Y$3:Y141)+1,"")</f>
        <v/>
      </c>
      <c r="Z142" s="38" t="str">
        <f t="shared" si="22"/>
        <v/>
      </c>
      <c r="AA142" s="38" t="str">
        <f>IF(AND(A142="Модуль",C142&lt;&gt;"",OR($S$6="(все)",B142=$S$6)),MAX($AA$3:AA141)+1,"")</f>
        <v/>
      </c>
      <c r="AB142" s="38" t="str">
        <f t="shared" si="23"/>
        <v/>
      </c>
      <c r="AC142" s="38" t="str">
        <f>IF(OR(B142="",COUNTIF($B$4:B142,B142)&gt;1),"",MAX($AC$3:AC141)+1)</f>
        <v/>
      </c>
      <c r="AD142" s="38" t="str">
        <f t="shared" si="24"/>
        <v/>
      </c>
      <c r="AE142" s="38" t="str">
        <f t="shared" si="25"/>
        <v/>
      </c>
      <c r="AF142" s="38" t="str">
        <f t="shared" si="26"/>
        <v/>
      </c>
    </row>
    <row r="143" spans="1:32" x14ac:dyDescent="0.3">
      <c r="A143" s="74"/>
      <c r="B143" s="74"/>
      <c r="C143" s="74"/>
      <c r="D143" s="74"/>
      <c r="E143" s="74"/>
      <c r="F143" s="74"/>
      <c r="G143" s="74"/>
      <c r="H143" s="74"/>
      <c r="I143" s="74"/>
      <c r="J143" s="74"/>
      <c r="K143" s="74"/>
      <c r="L143" s="74"/>
      <c r="M143" s="74"/>
      <c r="N143" s="38" t="str">
        <f>IF(OR(A143="Автомат",A143="Дифавтомат"),IF(W143="","",COUNTIFS(Однолинейка!$H$3:$H$3000,U143,Однолинейка!$A$3:$A$3000,Щит_спец)),IF(A143="Аппарат",IF(C143="","",COUNTIFS(Однолинейка!$I$3:$I$3000,C143,Однолинейка!$A$3:$A$3000,Щит_спец)+COUNTIFS(Однолинейка!$J$3:$J$3000,C143,Однолинейка!$A$3:$A$3000,Щит_спец)+COUNTIFS(Однолинейка!$K$3:$K$3000,C143,Однолинейка!$A$3:$A$3000,Щит_спец)),IF(A143="Модуль",IF(C143="","",COUNTIFS(Однолинейка!$AW$3:$AW$3000,"?*",Однолинейка!$AI$3:$AI$3000,C143,Однолинейка!$A$3:$A$3000,Щит_спец)),IF(A143="Клемма",IF(C143="","",IF(C143=$S$7,SUMIFS(Однолинейка!$BW$3:$BW$3000,Однолинейка!$A$3:$A$3000,Щит_спец),IF(C143=$S$8,SUMIFS(Однолинейка!$BX$3:$BX$3000,Однолинейка!$A$3:$A$3000,Щит_спец),""))),""))))</f>
        <v/>
      </c>
      <c r="O143" s="74"/>
      <c r="P143" s="38" t="str">
        <f t="shared" si="18"/>
        <v/>
      </c>
      <c r="U143" s="38" t="str">
        <f t="shared" si="19"/>
        <v/>
      </c>
      <c r="V143" s="38" t="str">
        <f t="shared" si="20"/>
        <v/>
      </c>
      <c r="W143" s="38" t="str">
        <f>IF(AND(U143&lt;&gt;"",OR($S$4="(все)",B143=$S$4),IF($S$4="(все)",COUNTIF($U$4:U143,U143),COUNTIFS($U$4:U143,U143,$B$4:B143,B143))=1),MAX($W$3:W142)+1,"")</f>
        <v/>
      </c>
      <c r="X143" s="38" t="str">
        <f t="shared" si="21"/>
        <v/>
      </c>
      <c r="Y143" s="38" t="str">
        <f>IF(AND(A143="Аппарат",C143&lt;&gt;"",OR($S$5="(все)",B143=$S$5)),MAX($Y$3:Y142)+1,"")</f>
        <v/>
      </c>
      <c r="Z143" s="38" t="str">
        <f t="shared" si="22"/>
        <v/>
      </c>
      <c r="AA143" s="38" t="str">
        <f>IF(AND(A143="Модуль",C143&lt;&gt;"",OR($S$6="(все)",B143=$S$6)),MAX($AA$3:AA142)+1,"")</f>
        <v/>
      </c>
      <c r="AB143" s="38" t="str">
        <f t="shared" si="23"/>
        <v/>
      </c>
      <c r="AC143" s="38" t="str">
        <f>IF(OR(B143="",COUNTIF($B$4:B143,B143)&gt;1),"",MAX($AC$3:AC142)+1)</f>
        <v/>
      </c>
      <c r="AD143" s="38" t="str">
        <f t="shared" si="24"/>
        <v/>
      </c>
      <c r="AE143" s="38" t="str">
        <f t="shared" si="25"/>
        <v/>
      </c>
      <c r="AF143" s="38" t="str">
        <f t="shared" si="26"/>
        <v/>
      </c>
    </row>
    <row r="144" spans="1:32" x14ac:dyDescent="0.3">
      <c r="A144" s="74"/>
      <c r="B144" s="74"/>
      <c r="C144" s="74"/>
      <c r="D144" s="74"/>
      <c r="E144" s="74"/>
      <c r="F144" s="74"/>
      <c r="G144" s="74"/>
      <c r="H144" s="74"/>
      <c r="I144" s="74"/>
      <c r="J144" s="74"/>
      <c r="K144" s="74"/>
      <c r="L144" s="74"/>
      <c r="M144" s="74"/>
      <c r="N144" s="38" t="str">
        <f>IF(OR(A144="Автомат",A144="Дифавтомат"),IF(W144="","",COUNTIFS(Однолинейка!$H$3:$H$3000,U144,Однолинейка!$A$3:$A$3000,Щит_спец)),IF(A144="Аппарат",IF(C144="","",COUNTIFS(Однолинейка!$I$3:$I$3000,C144,Однолинейка!$A$3:$A$3000,Щит_спец)+COUNTIFS(Однолинейка!$J$3:$J$3000,C144,Однолинейка!$A$3:$A$3000,Щит_спец)+COUNTIFS(Однолинейка!$K$3:$K$3000,C144,Однолинейка!$A$3:$A$3000,Щит_спец)),IF(A144="Модуль",IF(C144="","",COUNTIFS(Однолинейка!$AW$3:$AW$3000,"?*",Однолинейка!$AI$3:$AI$3000,C144,Однолинейка!$A$3:$A$3000,Щит_спец)),IF(A144="Клемма",IF(C144="","",IF(C144=$S$7,SUMIFS(Однолинейка!$BW$3:$BW$3000,Однолинейка!$A$3:$A$3000,Щит_спец),IF(C144=$S$8,SUMIFS(Однолинейка!$BX$3:$BX$3000,Однолинейка!$A$3:$A$3000,Щит_спец),""))),""))))</f>
        <v/>
      </c>
      <c r="O144" s="74"/>
      <c r="P144" s="38" t="str">
        <f t="shared" si="18"/>
        <v/>
      </c>
      <c r="U144" s="38" t="str">
        <f t="shared" si="19"/>
        <v/>
      </c>
      <c r="V144" s="38" t="str">
        <f t="shared" si="20"/>
        <v/>
      </c>
      <c r="W144" s="38" t="str">
        <f>IF(AND(U144&lt;&gt;"",OR($S$4="(все)",B144=$S$4),IF($S$4="(все)",COUNTIF($U$4:U144,U144),COUNTIFS($U$4:U144,U144,$B$4:B144,B144))=1),MAX($W$3:W143)+1,"")</f>
        <v/>
      </c>
      <c r="X144" s="38" t="str">
        <f t="shared" si="21"/>
        <v/>
      </c>
      <c r="Y144" s="38" t="str">
        <f>IF(AND(A144="Аппарат",C144&lt;&gt;"",OR($S$5="(все)",B144=$S$5)),MAX($Y$3:Y143)+1,"")</f>
        <v/>
      </c>
      <c r="Z144" s="38" t="str">
        <f t="shared" si="22"/>
        <v/>
      </c>
      <c r="AA144" s="38" t="str">
        <f>IF(AND(A144="Модуль",C144&lt;&gt;"",OR($S$6="(все)",B144=$S$6)),MAX($AA$3:AA143)+1,"")</f>
        <v/>
      </c>
      <c r="AB144" s="38" t="str">
        <f t="shared" si="23"/>
        <v/>
      </c>
      <c r="AC144" s="38" t="str">
        <f>IF(OR(B144="",COUNTIF($B$4:B144,B144)&gt;1),"",MAX($AC$3:AC143)+1)</f>
        <v/>
      </c>
      <c r="AD144" s="38" t="str">
        <f t="shared" si="24"/>
        <v/>
      </c>
      <c r="AE144" s="38" t="str">
        <f t="shared" si="25"/>
        <v/>
      </c>
      <c r="AF144" s="38" t="str">
        <f t="shared" si="26"/>
        <v/>
      </c>
    </row>
    <row r="145" spans="1:32" x14ac:dyDescent="0.3">
      <c r="A145" s="74"/>
      <c r="B145" s="74"/>
      <c r="C145" s="74"/>
      <c r="D145" s="74"/>
      <c r="E145" s="74"/>
      <c r="F145" s="74"/>
      <c r="G145" s="74"/>
      <c r="H145" s="74"/>
      <c r="I145" s="74"/>
      <c r="J145" s="74"/>
      <c r="K145" s="74"/>
      <c r="L145" s="74"/>
      <c r="M145" s="74"/>
      <c r="N145" s="38" t="str">
        <f>IF(OR(A145="Автомат",A145="Дифавтомат"),IF(W145="","",COUNTIFS(Однолинейка!$H$3:$H$3000,U145,Однолинейка!$A$3:$A$3000,Щит_спец)),IF(A145="Аппарат",IF(C145="","",COUNTIFS(Однолинейка!$I$3:$I$3000,C145,Однолинейка!$A$3:$A$3000,Щит_спец)+COUNTIFS(Однолинейка!$J$3:$J$3000,C145,Однолинейка!$A$3:$A$3000,Щит_спец)+COUNTIFS(Однолинейка!$K$3:$K$3000,C145,Однолинейка!$A$3:$A$3000,Щит_спец)),IF(A145="Модуль",IF(C145="","",COUNTIFS(Однолинейка!$AW$3:$AW$3000,"?*",Однолинейка!$AI$3:$AI$3000,C145,Однолинейка!$A$3:$A$3000,Щит_спец)),IF(A145="Клемма",IF(C145="","",IF(C145=$S$7,SUMIFS(Однолинейка!$BW$3:$BW$3000,Однолинейка!$A$3:$A$3000,Щит_спец),IF(C145=$S$8,SUMIFS(Однолинейка!$BX$3:$BX$3000,Однолинейка!$A$3:$A$3000,Щит_спец),""))),""))))</f>
        <v/>
      </c>
      <c r="O145" s="74"/>
      <c r="P145" s="38" t="str">
        <f t="shared" si="18"/>
        <v/>
      </c>
      <c r="U145" s="38" t="str">
        <f t="shared" si="19"/>
        <v/>
      </c>
      <c r="V145" s="38" t="str">
        <f t="shared" si="20"/>
        <v/>
      </c>
      <c r="W145" s="38" t="str">
        <f>IF(AND(U145&lt;&gt;"",OR($S$4="(все)",B145=$S$4),IF($S$4="(все)",COUNTIF($U$4:U145,U145),COUNTIFS($U$4:U145,U145,$B$4:B145,B145))=1),MAX($W$3:W144)+1,"")</f>
        <v/>
      </c>
      <c r="X145" s="38" t="str">
        <f t="shared" si="21"/>
        <v/>
      </c>
      <c r="Y145" s="38" t="str">
        <f>IF(AND(A145="Аппарат",C145&lt;&gt;"",OR($S$5="(все)",B145=$S$5)),MAX($Y$3:Y144)+1,"")</f>
        <v/>
      </c>
      <c r="Z145" s="38" t="str">
        <f t="shared" si="22"/>
        <v/>
      </c>
      <c r="AA145" s="38" t="str">
        <f>IF(AND(A145="Модуль",C145&lt;&gt;"",OR($S$6="(все)",B145=$S$6)),MAX($AA$3:AA144)+1,"")</f>
        <v/>
      </c>
      <c r="AB145" s="38" t="str">
        <f t="shared" si="23"/>
        <v/>
      </c>
      <c r="AC145" s="38" t="str">
        <f>IF(OR(B145="",COUNTIF($B$4:B145,B145)&gt;1),"",MAX($AC$3:AC144)+1)</f>
        <v/>
      </c>
      <c r="AD145" s="38" t="str">
        <f t="shared" si="24"/>
        <v/>
      </c>
      <c r="AE145" s="38" t="str">
        <f t="shared" si="25"/>
        <v/>
      </c>
      <c r="AF145" s="38" t="str">
        <f t="shared" si="26"/>
        <v/>
      </c>
    </row>
    <row r="146" spans="1:32" x14ac:dyDescent="0.3">
      <c r="A146" s="74"/>
      <c r="B146" s="74"/>
      <c r="C146" s="74"/>
      <c r="D146" s="74"/>
      <c r="E146" s="74"/>
      <c r="F146" s="74"/>
      <c r="G146" s="74"/>
      <c r="H146" s="74"/>
      <c r="I146" s="74"/>
      <c r="J146" s="74"/>
      <c r="K146" s="74"/>
      <c r="L146" s="74"/>
      <c r="M146" s="74"/>
      <c r="N146" s="38" t="str">
        <f>IF(OR(A146="Автомат",A146="Дифавтомат"),IF(W146="","",COUNTIFS(Однолинейка!$H$3:$H$3000,U146,Однолинейка!$A$3:$A$3000,Щит_спец)),IF(A146="Аппарат",IF(C146="","",COUNTIFS(Однолинейка!$I$3:$I$3000,C146,Однолинейка!$A$3:$A$3000,Щит_спец)+COUNTIFS(Однолинейка!$J$3:$J$3000,C146,Однолинейка!$A$3:$A$3000,Щит_спец)+COUNTIFS(Однолинейка!$K$3:$K$3000,C146,Однолинейка!$A$3:$A$3000,Щит_спец)),IF(A146="Модуль",IF(C146="","",COUNTIFS(Однолинейка!$AW$3:$AW$3000,"?*",Однолинейка!$AI$3:$AI$3000,C146,Однолинейка!$A$3:$A$3000,Щит_спец)),IF(A146="Клемма",IF(C146="","",IF(C146=$S$7,SUMIFS(Однолинейка!$BW$3:$BW$3000,Однолинейка!$A$3:$A$3000,Щит_спец),IF(C146=$S$8,SUMIFS(Однолинейка!$BX$3:$BX$3000,Однолинейка!$A$3:$A$3000,Щит_спец),""))),""))))</f>
        <v/>
      </c>
      <c r="O146" s="74"/>
      <c r="P146" s="38" t="str">
        <f t="shared" si="18"/>
        <v/>
      </c>
      <c r="U146" s="38" t="str">
        <f t="shared" si="19"/>
        <v/>
      </c>
      <c r="V146" s="38" t="str">
        <f t="shared" si="20"/>
        <v/>
      </c>
      <c r="W146" s="38" t="str">
        <f>IF(AND(U146&lt;&gt;"",OR($S$4="(все)",B146=$S$4),IF($S$4="(все)",COUNTIF($U$4:U146,U146),COUNTIFS($U$4:U146,U146,$B$4:B146,B146))=1),MAX($W$3:W145)+1,"")</f>
        <v/>
      </c>
      <c r="X146" s="38" t="str">
        <f t="shared" si="21"/>
        <v/>
      </c>
      <c r="Y146" s="38" t="str">
        <f>IF(AND(A146="Аппарат",C146&lt;&gt;"",OR($S$5="(все)",B146=$S$5)),MAX($Y$3:Y145)+1,"")</f>
        <v/>
      </c>
      <c r="Z146" s="38" t="str">
        <f t="shared" si="22"/>
        <v/>
      </c>
      <c r="AA146" s="38" t="str">
        <f>IF(AND(A146="Модуль",C146&lt;&gt;"",OR($S$6="(все)",B146=$S$6)),MAX($AA$3:AA145)+1,"")</f>
        <v/>
      </c>
      <c r="AB146" s="38" t="str">
        <f t="shared" si="23"/>
        <v/>
      </c>
      <c r="AC146" s="38" t="str">
        <f>IF(OR(B146="",COUNTIF($B$4:B146,B146)&gt;1),"",MAX($AC$3:AC145)+1)</f>
        <v/>
      </c>
      <c r="AD146" s="38" t="str">
        <f t="shared" si="24"/>
        <v/>
      </c>
      <c r="AE146" s="38" t="str">
        <f t="shared" si="25"/>
        <v/>
      </c>
      <c r="AF146" s="38" t="str">
        <f t="shared" si="26"/>
        <v/>
      </c>
    </row>
    <row r="147" spans="1:32" x14ac:dyDescent="0.3">
      <c r="A147" s="74"/>
      <c r="B147" s="74"/>
      <c r="C147" s="74"/>
      <c r="D147" s="74"/>
      <c r="E147" s="74"/>
      <c r="F147" s="74"/>
      <c r="G147" s="74"/>
      <c r="H147" s="74"/>
      <c r="I147" s="74"/>
      <c r="J147" s="74"/>
      <c r="K147" s="74"/>
      <c r="L147" s="74"/>
      <c r="M147" s="74"/>
      <c r="N147" s="38" t="str">
        <f>IF(OR(A147="Автомат",A147="Дифавтомат"),IF(W147="","",COUNTIFS(Однолинейка!$H$3:$H$3000,U147,Однолинейка!$A$3:$A$3000,Щит_спец)),IF(A147="Аппарат",IF(C147="","",COUNTIFS(Однолинейка!$I$3:$I$3000,C147,Однолинейка!$A$3:$A$3000,Щит_спец)+COUNTIFS(Однолинейка!$J$3:$J$3000,C147,Однолинейка!$A$3:$A$3000,Щит_спец)+COUNTIFS(Однолинейка!$K$3:$K$3000,C147,Однолинейка!$A$3:$A$3000,Щит_спец)),IF(A147="Модуль",IF(C147="","",COUNTIFS(Однолинейка!$AW$3:$AW$3000,"?*",Однолинейка!$AI$3:$AI$3000,C147,Однолинейка!$A$3:$A$3000,Щит_спец)),IF(A147="Клемма",IF(C147="","",IF(C147=$S$7,SUMIFS(Однолинейка!$BW$3:$BW$3000,Однолинейка!$A$3:$A$3000,Щит_спец),IF(C147=$S$8,SUMIFS(Однолинейка!$BX$3:$BX$3000,Однолинейка!$A$3:$A$3000,Щит_спец),""))),""))))</f>
        <v/>
      </c>
      <c r="O147" s="74"/>
      <c r="P147" s="38" t="str">
        <f t="shared" si="18"/>
        <v/>
      </c>
      <c r="U147" s="38" t="str">
        <f t="shared" si="19"/>
        <v/>
      </c>
      <c r="V147" s="38" t="str">
        <f t="shared" si="20"/>
        <v/>
      </c>
      <c r="W147" s="38" t="str">
        <f>IF(AND(U147&lt;&gt;"",OR($S$4="(все)",B147=$S$4),IF($S$4="(все)",COUNTIF($U$4:U147,U147),COUNTIFS($U$4:U147,U147,$B$4:B147,B147))=1),MAX($W$3:W146)+1,"")</f>
        <v/>
      </c>
      <c r="X147" s="38" t="str">
        <f t="shared" si="21"/>
        <v/>
      </c>
      <c r="Y147" s="38" t="str">
        <f>IF(AND(A147="Аппарат",C147&lt;&gt;"",OR($S$5="(все)",B147=$S$5)),MAX($Y$3:Y146)+1,"")</f>
        <v/>
      </c>
      <c r="Z147" s="38" t="str">
        <f t="shared" si="22"/>
        <v/>
      </c>
      <c r="AA147" s="38" t="str">
        <f>IF(AND(A147="Модуль",C147&lt;&gt;"",OR($S$6="(все)",B147=$S$6)),MAX($AA$3:AA146)+1,"")</f>
        <v/>
      </c>
      <c r="AB147" s="38" t="str">
        <f t="shared" si="23"/>
        <v/>
      </c>
      <c r="AC147" s="38" t="str">
        <f>IF(OR(B147="",COUNTIF($B$4:B147,B147)&gt;1),"",MAX($AC$3:AC146)+1)</f>
        <v/>
      </c>
      <c r="AD147" s="38" t="str">
        <f t="shared" si="24"/>
        <v/>
      </c>
      <c r="AE147" s="38" t="str">
        <f t="shared" si="25"/>
        <v/>
      </c>
      <c r="AF147" s="38" t="str">
        <f t="shared" si="26"/>
        <v/>
      </c>
    </row>
    <row r="148" spans="1:32" x14ac:dyDescent="0.3">
      <c r="A148" s="74"/>
      <c r="B148" s="74"/>
      <c r="C148" s="74"/>
      <c r="D148" s="74"/>
      <c r="E148" s="74"/>
      <c r="F148" s="74"/>
      <c r="G148" s="74"/>
      <c r="H148" s="74"/>
      <c r="I148" s="74"/>
      <c r="J148" s="74"/>
      <c r="K148" s="74"/>
      <c r="L148" s="74"/>
      <c r="M148" s="74"/>
      <c r="N148" s="38" t="str">
        <f>IF(OR(A148="Автомат",A148="Дифавтомат"),IF(W148="","",COUNTIFS(Однолинейка!$H$3:$H$3000,U148,Однолинейка!$A$3:$A$3000,Щит_спец)),IF(A148="Аппарат",IF(C148="","",COUNTIFS(Однолинейка!$I$3:$I$3000,C148,Однолинейка!$A$3:$A$3000,Щит_спец)+COUNTIFS(Однолинейка!$J$3:$J$3000,C148,Однолинейка!$A$3:$A$3000,Щит_спец)+COUNTIFS(Однолинейка!$K$3:$K$3000,C148,Однолинейка!$A$3:$A$3000,Щит_спец)),IF(A148="Модуль",IF(C148="","",COUNTIFS(Однолинейка!$AW$3:$AW$3000,"?*",Однолинейка!$AI$3:$AI$3000,C148,Однолинейка!$A$3:$A$3000,Щит_спец)),IF(A148="Клемма",IF(C148="","",IF(C148=$S$7,SUMIFS(Однолинейка!$BW$3:$BW$3000,Однолинейка!$A$3:$A$3000,Щит_спец),IF(C148=$S$8,SUMIFS(Однолинейка!$BX$3:$BX$3000,Однолинейка!$A$3:$A$3000,Щит_спец),""))),""))))</f>
        <v/>
      </c>
      <c r="O148" s="74"/>
      <c r="P148" s="38" t="str">
        <f t="shared" si="18"/>
        <v/>
      </c>
      <c r="U148" s="38" t="str">
        <f t="shared" si="19"/>
        <v/>
      </c>
      <c r="V148" s="38" t="str">
        <f t="shared" si="20"/>
        <v/>
      </c>
      <c r="W148" s="38" t="str">
        <f>IF(AND(U148&lt;&gt;"",OR($S$4="(все)",B148=$S$4),IF($S$4="(все)",COUNTIF($U$4:U148,U148),COUNTIFS($U$4:U148,U148,$B$4:B148,B148))=1),MAX($W$3:W147)+1,"")</f>
        <v/>
      </c>
      <c r="X148" s="38" t="str">
        <f t="shared" si="21"/>
        <v/>
      </c>
      <c r="Y148" s="38" t="str">
        <f>IF(AND(A148="Аппарат",C148&lt;&gt;"",OR($S$5="(все)",B148=$S$5)),MAX($Y$3:Y147)+1,"")</f>
        <v/>
      </c>
      <c r="Z148" s="38" t="str">
        <f t="shared" si="22"/>
        <v/>
      </c>
      <c r="AA148" s="38" t="str">
        <f>IF(AND(A148="Модуль",C148&lt;&gt;"",OR($S$6="(все)",B148=$S$6)),MAX($AA$3:AA147)+1,"")</f>
        <v/>
      </c>
      <c r="AB148" s="38" t="str">
        <f t="shared" si="23"/>
        <v/>
      </c>
      <c r="AC148" s="38" t="str">
        <f>IF(OR(B148="",COUNTIF($B$4:B148,B148)&gt;1),"",MAX($AC$3:AC147)+1)</f>
        <v/>
      </c>
      <c r="AD148" s="38" t="str">
        <f t="shared" si="24"/>
        <v/>
      </c>
      <c r="AE148" s="38" t="str">
        <f t="shared" si="25"/>
        <v/>
      </c>
      <c r="AF148" s="38" t="str">
        <f t="shared" si="26"/>
        <v/>
      </c>
    </row>
    <row r="149" spans="1:32" x14ac:dyDescent="0.3">
      <c r="A149" s="74"/>
      <c r="B149" s="74"/>
      <c r="C149" s="74"/>
      <c r="D149" s="74"/>
      <c r="E149" s="74"/>
      <c r="F149" s="74"/>
      <c r="G149" s="74"/>
      <c r="H149" s="74"/>
      <c r="I149" s="74"/>
      <c r="J149" s="74"/>
      <c r="K149" s="74"/>
      <c r="L149" s="74"/>
      <c r="M149" s="74"/>
      <c r="N149" s="38" t="str">
        <f>IF(OR(A149="Автомат",A149="Дифавтомат"),IF(W149="","",COUNTIFS(Однолинейка!$H$3:$H$3000,U149,Однолинейка!$A$3:$A$3000,Щит_спец)),IF(A149="Аппарат",IF(C149="","",COUNTIFS(Однолинейка!$I$3:$I$3000,C149,Однолинейка!$A$3:$A$3000,Щит_спец)+COUNTIFS(Однолинейка!$J$3:$J$3000,C149,Однолинейка!$A$3:$A$3000,Щит_спец)+COUNTIFS(Однолинейка!$K$3:$K$3000,C149,Однолинейка!$A$3:$A$3000,Щит_спец)),IF(A149="Модуль",IF(C149="","",COUNTIFS(Однолинейка!$AW$3:$AW$3000,"?*",Однолинейка!$AI$3:$AI$3000,C149,Однолинейка!$A$3:$A$3000,Щит_спец)),IF(A149="Клемма",IF(C149="","",IF(C149=$S$7,SUMIFS(Однолинейка!$BW$3:$BW$3000,Однолинейка!$A$3:$A$3000,Щит_спец),IF(C149=$S$8,SUMIFS(Однолинейка!$BX$3:$BX$3000,Однолинейка!$A$3:$A$3000,Щит_спец),""))),""))))</f>
        <v/>
      </c>
      <c r="O149" s="74"/>
      <c r="P149" s="38" t="str">
        <f t="shared" si="18"/>
        <v/>
      </c>
      <c r="U149" s="38" t="str">
        <f t="shared" si="19"/>
        <v/>
      </c>
      <c r="V149" s="38" t="str">
        <f t="shared" si="20"/>
        <v/>
      </c>
      <c r="W149" s="38" t="str">
        <f>IF(AND(U149&lt;&gt;"",OR($S$4="(все)",B149=$S$4),IF($S$4="(все)",COUNTIF($U$4:U149,U149),COUNTIFS($U$4:U149,U149,$B$4:B149,B149))=1),MAX($W$3:W148)+1,"")</f>
        <v/>
      </c>
      <c r="X149" s="38" t="str">
        <f t="shared" si="21"/>
        <v/>
      </c>
      <c r="Y149" s="38" t="str">
        <f>IF(AND(A149="Аппарат",C149&lt;&gt;"",OR($S$5="(все)",B149=$S$5)),MAX($Y$3:Y148)+1,"")</f>
        <v/>
      </c>
      <c r="Z149" s="38" t="str">
        <f t="shared" si="22"/>
        <v/>
      </c>
      <c r="AA149" s="38" t="str">
        <f>IF(AND(A149="Модуль",C149&lt;&gt;"",OR($S$6="(все)",B149=$S$6)),MAX($AA$3:AA148)+1,"")</f>
        <v/>
      </c>
      <c r="AB149" s="38" t="str">
        <f t="shared" si="23"/>
        <v/>
      </c>
      <c r="AC149" s="38" t="str">
        <f>IF(OR(B149="",COUNTIF($B$4:B149,B149)&gt;1),"",MAX($AC$3:AC148)+1)</f>
        <v/>
      </c>
      <c r="AD149" s="38" t="str">
        <f t="shared" si="24"/>
        <v/>
      </c>
      <c r="AE149" s="38" t="str">
        <f t="shared" si="25"/>
        <v/>
      </c>
      <c r="AF149" s="38" t="str">
        <f t="shared" si="26"/>
        <v/>
      </c>
    </row>
    <row r="150" spans="1:32" x14ac:dyDescent="0.3">
      <c r="A150" s="74"/>
      <c r="B150" s="74"/>
      <c r="C150" s="74"/>
      <c r="D150" s="74"/>
      <c r="E150" s="74"/>
      <c r="F150" s="74"/>
      <c r="G150" s="74"/>
      <c r="H150" s="74"/>
      <c r="I150" s="74"/>
      <c r="J150" s="74"/>
      <c r="K150" s="74"/>
      <c r="L150" s="74"/>
      <c r="M150" s="74"/>
      <c r="N150" s="38" t="str">
        <f>IF(OR(A150="Автомат",A150="Дифавтомат"),IF(W150="","",COUNTIFS(Однолинейка!$H$3:$H$3000,U150,Однолинейка!$A$3:$A$3000,Щит_спец)),IF(A150="Аппарат",IF(C150="","",COUNTIFS(Однолинейка!$I$3:$I$3000,C150,Однолинейка!$A$3:$A$3000,Щит_спец)+COUNTIFS(Однолинейка!$J$3:$J$3000,C150,Однолинейка!$A$3:$A$3000,Щит_спец)+COUNTIFS(Однолинейка!$K$3:$K$3000,C150,Однолинейка!$A$3:$A$3000,Щит_спец)),IF(A150="Модуль",IF(C150="","",COUNTIFS(Однолинейка!$AW$3:$AW$3000,"?*",Однолинейка!$AI$3:$AI$3000,C150,Однолинейка!$A$3:$A$3000,Щит_спец)),IF(A150="Клемма",IF(C150="","",IF(C150=$S$7,SUMIFS(Однолинейка!$BW$3:$BW$3000,Однолинейка!$A$3:$A$3000,Щит_спец),IF(C150=$S$8,SUMIFS(Однолинейка!$BX$3:$BX$3000,Однолинейка!$A$3:$A$3000,Щит_спец),""))),""))))</f>
        <v/>
      </c>
      <c r="O150" s="74"/>
      <c r="P150" s="38" t="str">
        <f t="shared" si="18"/>
        <v/>
      </c>
      <c r="U150" s="38" t="str">
        <f t="shared" si="19"/>
        <v/>
      </c>
      <c r="V150" s="38" t="str">
        <f t="shared" si="20"/>
        <v/>
      </c>
      <c r="W150" s="38" t="str">
        <f>IF(AND(U150&lt;&gt;"",OR($S$4="(все)",B150=$S$4),IF($S$4="(все)",COUNTIF($U$4:U150,U150),COUNTIFS($U$4:U150,U150,$B$4:B150,B150))=1),MAX($W$3:W149)+1,"")</f>
        <v/>
      </c>
      <c r="X150" s="38" t="str">
        <f t="shared" si="21"/>
        <v/>
      </c>
      <c r="Y150" s="38" t="str">
        <f>IF(AND(A150="Аппарат",C150&lt;&gt;"",OR($S$5="(все)",B150=$S$5)),MAX($Y$3:Y149)+1,"")</f>
        <v/>
      </c>
      <c r="Z150" s="38" t="str">
        <f t="shared" si="22"/>
        <v/>
      </c>
      <c r="AA150" s="38" t="str">
        <f>IF(AND(A150="Модуль",C150&lt;&gt;"",OR($S$6="(все)",B150=$S$6)),MAX($AA$3:AA149)+1,"")</f>
        <v/>
      </c>
      <c r="AB150" s="38" t="str">
        <f t="shared" si="23"/>
        <v/>
      </c>
      <c r="AC150" s="38" t="str">
        <f>IF(OR(B150="",COUNTIF($B$4:B150,B150)&gt;1),"",MAX($AC$3:AC149)+1)</f>
        <v/>
      </c>
      <c r="AD150" s="38" t="str">
        <f t="shared" si="24"/>
        <v/>
      </c>
      <c r="AE150" s="38" t="str">
        <f t="shared" si="25"/>
        <v/>
      </c>
      <c r="AF150" s="38" t="str">
        <f t="shared" si="26"/>
        <v/>
      </c>
    </row>
    <row r="151" spans="1:32" x14ac:dyDescent="0.3">
      <c r="A151" s="74"/>
      <c r="B151" s="74"/>
      <c r="C151" s="74"/>
      <c r="D151" s="74"/>
      <c r="E151" s="74"/>
      <c r="F151" s="74"/>
      <c r="G151" s="74"/>
      <c r="H151" s="74"/>
      <c r="I151" s="74"/>
      <c r="J151" s="74"/>
      <c r="K151" s="74"/>
      <c r="L151" s="74"/>
      <c r="M151" s="74"/>
      <c r="N151" s="38" t="str">
        <f>IF(OR(A151="Автомат",A151="Дифавтомат"),IF(W151="","",COUNTIFS(Однолинейка!$H$3:$H$3000,U151,Однолинейка!$A$3:$A$3000,Щит_спец)),IF(A151="Аппарат",IF(C151="","",COUNTIFS(Однолинейка!$I$3:$I$3000,C151,Однолинейка!$A$3:$A$3000,Щит_спец)+COUNTIFS(Однолинейка!$J$3:$J$3000,C151,Однолинейка!$A$3:$A$3000,Щит_спец)+COUNTIFS(Однолинейка!$K$3:$K$3000,C151,Однолинейка!$A$3:$A$3000,Щит_спец)),IF(A151="Модуль",IF(C151="","",COUNTIFS(Однолинейка!$AW$3:$AW$3000,"?*",Однолинейка!$AI$3:$AI$3000,C151,Однолинейка!$A$3:$A$3000,Щит_спец)),IF(A151="Клемма",IF(C151="","",IF(C151=$S$7,SUMIFS(Однолинейка!$BW$3:$BW$3000,Однолинейка!$A$3:$A$3000,Щит_спец),IF(C151=$S$8,SUMIFS(Однолинейка!$BX$3:$BX$3000,Однолинейка!$A$3:$A$3000,Щит_спец),""))),""))))</f>
        <v/>
      </c>
      <c r="O151" s="74"/>
      <c r="P151" s="38" t="str">
        <f t="shared" si="18"/>
        <v/>
      </c>
      <c r="U151" s="38" t="str">
        <f t="shared" si="19"/>
        <v/>
      </c>
      <c r="V151" s="38" t="str">
        <f t="shared" si="20"/>
        <v/>
      </c>
      <c r="W151" s="38" t="str">
        <f>IF(AND(U151&lt;&gt;"",OR($S$4="(все)",B151=$S$4),IF($S$4="(все)",COUNTIF($U$4:U151,U151),COUNTIFS($U$4:U151,U151,$B$4:B151,B151))=1),MAX($W$3:W150)+1,"")</f>
        <v/>
      </c>
      <c r="X151" s="38" t="str">
        <f t="shared" si="21"/>
        <v/>
      </c>
      <c r="Y151" s="38" t="str">
        <f>IF(AND(A151="Аппарат",C151&lt;&gt;"",OR($S$5="(все)",B151=$S$5)),MAX($Y$3:Y150)+1,"")</f>
        <v/>
      </c>
      <c r="Z151" s="38" t="str">
        <f t="shared" si="22"/>
        <v/>
      </c>
      <c r="AA151" s="38" t="str">
        <f>IF(AND(A151="Модуль",C151&lt;&gt;"",OR($S$6="(все)",B151=$S$6)),MAX($AA$3:AA150)+1,"")</f>
        <v/>
      </c>
      <c r="AB151" s="38" t="str">
        <f t="shared" si="23"/>
        <v/>
      </c>
      <c r="AC151" s="38" t="str">
        <f>IF(OR(B151="",COUNTIF($B$4:B151,B151)&gt;1),"",MAX($AC$3:AC150)+1)</f>
        <v/>
      </c>
      <c r="AD151" s="38" t="str">
        <f t="shared" si="24"/>
        <v/>
      </c>
      <c r="AE151" s="38" t="str">
        <f t="shared" si="25"/>
        <v/>
      </c>
      <c r="AF151" s="38" t="str">
        <f t="shared" si="26"/>
        <v/>
      </c>
    </row>
    <row r="152" spans="1:32" x14ac:dyDescent="0.3">
      <c r="A152" s="74"/>
      <c r="B152" s="74"/>
      <c r="C152" s="74"/>
      <c r="D152" s="74"/>
      <c r="E152" s="74"/>
      <c r="F152" s="74"/>
      <c r="G152" s="74"/>
      <c r="H152" s="74"/>
      <c r="I152" s="74"/>
      <c r="J152" s="74"/>
      <c r="K152" s="74"/>
      <c r="L152" s="74"/>
      <c r="M152" s="74"/>
      <c r="N152" s="38" t="str">
        <f>IF(OR(A152="Автомат",A152="Дифавтомат"),IF(W152="","",COUNTIFS(Однолинейка!$H$3:$H$3000,U152,Однолинейка!$A$3:$A$3000,Щит_спец)),IF(A152="Аппарат",IF(C152="","",COUNTIFS(Однолинейка!$I$3:$I$3000,C152,Однолинейка!$A$3:$A$3000,Щит_спец)+COUNTIFS(Однолинейка!$J$3:$J$3000,C152,Однолинейка!$A$3:$A$3000,Щит_спец)+COUNTIFS(Однолинейка!$K$3:$K$3000,C152,Однолинейка!$A$3:$A$3000,Щит_спец)),IF(A152="Модуль",IF(C152="","",COUNTIFS(Однолинейка!$AW$3:$AW$3000,"?*",Однолинейка!$AI$3:$AI$3000,C152,Однолинейка!$A$3:$A$3000,Щит_спец)),IF(A152="Клемма",IF(C152="","",IF(C152=$S$7,SUMIFS(Однолинейка!$BW$3:$BW$3000,Однолинейка!$A$3:$A$3000,Щит_спец),IF(C152=$S$8,SUMIFS(Однолинейка!$BX$3:$BX$3000,Однолинейка!$A$3:$A$3000,Щит_спец),""))),""))))</f>
        <v/>
      </c>
      <c r="O152" s="74"/>
      <c r="P152" s="38" t="str">
        <f t="shared" si="18"/>
        <v/>
      </c>
      <c r="U152" s="38" t="str">
        <f t="shared" si="19"/>
        <v/>
      </c>
      <c r="V152" s="38" t="str">
        <f t="shared" si="20"/>
        <v/>
      </c>
      <c r="W152" s="38" t="str">
        <f>IF(AND(U152&lt;&gt;"",OR($S$4="(все)",B152=$S$4),IF($S$4="(все)",COUNTIF($U$4:U152,U152),COUNTIFS($U$4:U152,U152,$B$4:B152,B152))=1),MAX($W$3:W151)+1,"")</f>
        <v/>
      </c>
      <c r="X152" s="38" t="str">
        <f t="shared" si="21"/>
        <v/>
      </c>
      <c r="Y152" s="38" t="str">
        <f>IF(AND(A152="Аппарат",C152&lt;&gt;"",OR($S$5="(все)",B152=$S$5)),MAX($Y$3:Y151)+1,"")</f>
        <v/>
      </c>
      <c r="Z152" s="38" t="str">
        <f t="shared" si="22"/>
        <v/>
      </c>
      <c r="AA152" s="38" t="str">
        <f>IF(AND(A152="Модуль",C152&lt;&gt;"",OR($S$6="(все)",B152=$S$6)),MAX($AA$3:AA151)+1,"")</f>
        <v/>
      </c>
      <c r="AB152" s="38" t="str">
        <f t="shared" si="23"/>
        <v/>
      </c>
      <c r="AC152" s="38" t="str">
        <f>IF(OR(B152="",COUNTIF($B$4:B152,B152)&gt;1),"",MAX($AC$3:AC151)+1)</f>
        <v/>
      </c>
      <c r="AD152" s="38" t="str">
        <f t="shared" si="24"/>
        <v/>
      </c>
      <c r="AE152" s="38" t="str">
        <f t="shared" si="25"/>
        <v/>
      </c>
      <c r="AF152" s="38" t="str">
        <f t="shared" si="26"/>
        <v/>
      </c>
    </row>
    <row r="153" spans="1:32" x14ac:dyDescent="0.3">
      <c r="A153" s="74"/>
      <c r="B153" s="74"/>
      <c r="C153" s="74"/>
      <c r="D153" s="74"/>
      <c r="E153" s="74"/>
      <c r="F153" s="74"/>
      <c r="G153" s="74"/>
      <c r="H153" s="74"/>
      <c r="I153" s="74"/>
      <c r="J153" s="74"/>
      <c r="K153" s="74"/>
      <c r="L153" s="74"/>
      <c r="M153" s="74"/>
      <c r="N153" s="38" t="str">
        <f>IF(OR(A153="Автомат",A153="Дифавтомат"),IF(W153="","",COUNTIFS(Однолинейка!$H$3:$H$3000,U153,Однолинейка!$A$3:$A$3000,Щит_спец)),IF(A153="Аппарат",IF(C153="","",COUNTIFS(Однолинейка!$I$3:$I$3000,C153,Однолинейка!$A$3:$A$3000,Щит_спец)+COUNTIFS(Однолинейка!$J$3:$J$3000,C153,Однолинейка!$A$3:$A$3000,Щит_спец)+COUNTIFS(Однолинейка!$K$3:$K$3000,C153,Однолинейка!$A$3:$A$3000,Щит_спец)),IF(A153="Модуль",IF(C153="","",COUNTIFS(Однолинейка!$AW$3:$AW$3000,"?*",Однолинейка!$AI$3:$AI$3000,C153,Однолинейка!$A$3:$A$3000,Щит_спец)),IF(A153="Клемма",IF(C153="","",IF(C153=$S$7,SUMIFS(Однолинейка!$BW$3:$BW$3000,Однолинейка!$A$3:$A$3000,Щит_спец),IF(C153=$S$8,SUMIFS(Однолинейка!$BX$3:$BX$3000,Однолинейка!$A$3:$A$3000,Щит_спец),""))),""))))</f>
        <v/>
      </c>
      <c r="O153" s="74"/>
      <c r="P153" s="38" t="str">
        <f t="shared" si="18"/>
        <v/>
      </c>
      <c r="U153" s="38" t="str">
        <f t="shared" si="19"/>
        <v/>
      </c>
      <c r="V153" s="38" t="str">
        <f t="shared" si="20"/>
        <v/>
      </c>
      <c r="W153" s="38" t="str">
        <f>IF(AND(U153&lt;&gt;"",OR($S$4="(все)",B153=$S$4),IF($S$4="(все)",COUNTIF($U$4:U153,U153),COUNTIFS($U$4:U153,U153,$B$4:B153,B153))=1),MAX($W$3:W152)+1,"")</f>
        <v/>
      </c>
      <c r="X153" s="38" t="str">
        <f t="shared" si="21"/>
        <v/>
      </c>
      <c r="Y153" s="38" t="str">
        <f>IF(AND(A153="Аппарат",C153&lt;&gt;"",OR($S$5="(все)",B153=$S$5)),MAX($Y$3:Y152)+1,"")</f>
        <v/>
      </c>
      <c r="Z153" s="38" t="str">
        <f t="shared" si="22"/>
        <v/>
      </c>
      <c r="AA153" s="38" t="str">
        <f>IF(AND(A153="Модуль",C153&lt;&gt;"",OR($S$6="(все)",B153=$S$6)),MAX($AA$3:AA152)+1,"")</f>
        <v/>
      </c>
      <c r="AB153" s="38" t="str">
        <f t="shared" si="23"/>
        <v/>
      </c>
      <c r="AC153" s="38" t="str">
        <f>IF(OR(B153="",COUNTIF($B$4:B153,B153)&gt;1),"",MAX($AC$3:AC152)+1)</f>
        <v/>
      </c>
      <c r="AD153" s="38" t="str">
        <f t="shared" si="24"/>
        <v/>
      </c>
      <c r="AE153" s="38" t="str">
        <f t="shared" si="25"/>
        <v/>
      </c>
      <c r="AF153" s="38" t="str">
        <f t="shared" si="26"/>
        <v/>
      </c>
    </row>
    <row r="154" spans="1:32" x14ac:dyDescent="0.3">
      <c r="A154" s="74"/>
      <c r="B154" s="74"/>
      <c r="C154" s="74"/>
      <c r="D154" s="74"/>
      <c r="E154" s="74"/>
      <c r="F154" s="74"/>
      <c r="G154" s="74"/>
      <c r="H154" s="74"/>
      <c r="I154" s="74"/>
      <c r="J154" s="74"/>
      <c r="K154" s="74"/>
      <c r="L154" s="74"/>
      <c r="M154" s="74"/>
      <c r="N154" s="38" t="str">
        <f>IF(OR(A154="Автомат",A154="Дифавтомат"),IF(W154="","",COUNTIFS(Однолинейка!$H$3:$H$3000,U154,Однолинейка!$A$3:$A$3000,Щит_спец)),IF(A154="Аппарат",IF(C154="","",COUNTIFS(Однолинейка!$I$3:$I$3000,C154,Однолинейка!$A$3:$A$3000,Щит_спец)+COUNTIFS(Однолинейка!$J$3:$J$3000,C154,Однолинейка!$A$3:$A$3000,Щит_спец)+COUNTIFS(Однолинейка!$K$3:$K$3000,C154,Однолинейка!$A$3:$A$3000,Щит_спец)),IF(A154="Модуль",IF(C154="","",COUNTIFS(Однолинейка!$AW$3:$AW$3000,"?*",Однолинейка!$AI$3:$AI$3000,C154,Однолинейка!$A$3:$A$3000,Щит_спец)),IF(A154="Клемма",IF(C154="","",IF(C154=$S$7,SUMIFS(Однолинейка!$BW$3:$BW$3000,Однолинейка!$A$3:$A$3000,Щит_спец),IF(C154=$S$8,SUMIFS(Однолинейка!$BX$3:$BX$3000,Однолинейка!$A$3:$A$3000,Щит_спец),""))),""))))</f>
        <v/>
      </c>
      <c r="O154" s="74"/>
      <c r="P154" s="38" t="str">
        <f t="shared" si="18"/>
        <v/>
      </c>
      <c r="U154" s="38" t="str">
        <f t="shared" si="19"/>
        <v/>
      </c>
      <c r="V154" s="38" t="str">
        <f t="shared" si="20"/>
        <v/>
      </c>
      <c r="W154" s="38" t="str">
        <f>IF(AND(U154&lt;&gt;"",OR($S$4="(все)",B154=$S$4),IF($S$4="(все)",COUNTIF($U$4:U154,U154),COUNTIFS($U$4:U154,U154,$B$4:B154,B154))=1),MAX($W$3:W153)+1,"")</f>
        <v/>
      </c>
      <c r="X154" s="38" t="str">
        <f t="shared" si="21"/>
        <v/>
      </c>
      <c r="Y154" s="38" t="str">
        <f>IF(AND(A154="Аппарат",C154&lt;&gt;"",OR($S$5="(все)",B154=$S$5)),MAX($Y$3:Y153)+1,"")</f>
        <v/>
      </c>
      <c r="Z154" s="38" t="str">
        <f t="shared" si="22"/>
        <v/>
      </c>
      <c r="AA154" s="38" t="str">
        <f>IF(AND(A154="Модуль",C154&lt;&gt;"",OR($S$6="(все)",B154=$S$6)),MAX($AA$3:AA153)+1,"")</f>
        <v/>
      </c>
      <c r="AB154" s="38" t="str">
        <f t="shared" si="23"/>
        <v/>
      </c>
      <c r="AC154" s="38" t="str">
        <f>IF(OR(B154="",COUNTIF($B$4:B154,B154)&gt;1),"",MAX($AC$3:AC153)+1)</f>
        <v/>
      </c>
      <c r="AD154" s="38" t="str">
        <f t="shared" si="24"/>
        <v/>
      </c>
      <c r="AE154" s="38" t="str">
        <f t="shared" si="25"/>
        <v/>
      </c>
      <c r="AF154" s="38" t="str">
        <f t="shared" si="26"/>
        <v/>
      </c>
    </row>
    <row r="155" spans="1:32" x14ac:dyDescent="0.3">
      <c r="A155" s="74"/>
      <c r="B155" s="74"/>
      <c r="C155" s="74"/>
      <c r="D155" s="74"/>
      <c r="E155" s="74"/>
      <c r="F155" s="74"/>
      <c r="G155" s="74"/>
      <c r="H155" s="74"/>
      <c r="I155" s="74"/>
      <c r="J155" s="74"/>
      <c r="K155" s="74"/>
      <c r="L155" s="74"/>
      <c r="M155" s="74"/>
      <c r="N155" s="38" t="str">
        <f>IF(OR(A155="Автомат",A155="Дифавтомат"),IF(W155="","",COUNTIFS(Однолинейка!$H$3:$H$3000,U155,Однолинейка!$A$3:$A$3000,Щит_спец)),IF(A155="Аппарат",IF(C155="","",COUNTIFS(Однолинейка!$I$3:$I$3000,C155,Однолинейка!$A$3:$A$3000,Щит_спец)+COUNTIFS(Однолинейка!$J$3:$J$3000,C155,Однолинейка!$A$3:$A$3000,Щит_спец)+COUNTIFS(Однолинейка!$K$3:$K$3000,C155,Однолинейка!$A$3:$A$3000,Щит_спец)),IF(A155="Модуль",IF(C155="","",COUNTIFS(Однолинейка!$AW$3:$AW$3000,"?*",Однолинейка!$AI$3:$AI$3000,C155,Однолинейка!$A$3:$A$3000,Щит_спец)),IF(A155="Клемма",IF(C155="","",IF(C155=$S$7,SUMIFS(Однолинейка!$BW$3:$BW$3000,Однолинейка!$A$3:$A$3000,Щит_спец),IF(C155=$S$8,SUMIFS(Однолинейка!$BX$3:$BX$3000,Однолинейка!$A$3:$A$3000,Щит_спец),""))),""))))</f>
        <v/>
      </c>
      <c r="O155" s="74"/>
      <c r="P155" s="38" t="str">
        <f t="shared" si="18"/>
        <v/>
      </c>
      <c r="U155" s="38" t="str">
        <f t="shared" si="19"/>
        <v/>
      </c>
      <c r="V155" s="38" t="str">
        <f t="shared" si="20"/>
        <v/>
      </c>
      <c r="W155" s="38" t="str">
        <f>IF(AND(U155&lt;&gt;"",OR($S$4="(все)",B155=$S$4),IF($S$4="(все)",COUNTIF($U$4:U155,U155),COUNTIFS($U$4:U155,U155,$B$4:B155,B155))=1),MAX($W$3:W154)+1,"")</f>
        <v/>
      </c>
      <c r="X155" s="38" t="str">
        <f t="shared" si="21"/>
        <v/>
      </c>
      <c r="Y155" s="38" t="str">
        <f>IF(AND(A155="Аппарат",C155&lt;&gt;"",OR($S$5="(все)",B155=$S$5)),MAX($Y$3:Y154)+1,"")</f>
        <v/>
      </c>
      <c r="Z155" s="38" t="str">
        <f t="shared" si="22"/>
        <v/>
      </c>
      <c r="AA155" s="38" t="str">
        <f>IF(AND(A155="Модуль",C155&lt;&gt;"",OR($S$6="(все)",B155=$S$6)),MAX($AA$3:AA154)+1,"")</f>
        <v/>
      </c>
      <c r="AB155" s="38" t="str">
        <f t="shared" si="23"/>
        <v/>
      </c>
      <c r="AC155" s="38" t="str">
        <f>IF(OR(B155="",COUNTIF($B$4:B155,B155)&gt;1),"",MAX($AC$3:AC154)+1)</f>
        <v/>
      </c>
      <c r="AD155" s="38" t="str">
        <f t="shared" si="24"/>
        <v/>
      </c>
      <c r="AE155" s="38" t="str">
        <f t="shared" si="25"/>
        <v/>
      </c>
      <c r="AF155" s="38" t="str">
        <f t="shared" si="26"/>
        <v/>
      </c>
    </row>
    <row r="156" spans="1:32" x14ac:dyDescent="0.3">
      <c r="A156" s="74"/>
      <c r="B156" s="74"/>
      <c r="C156" s="74"/>
      <c r="D156" s="74"/>
      <c r="E156" s="74"/>
      <c r="F156" s="74"/>
      <c r="G156" s="74"/>
      <c r="H156" s="74"/>
      <c r="I156" s="74"/>
      <c r="J156" s="74"/>
      <c r="K156" s="74"/>
      <c r="L156" s="74"/>
      <c r="M156" s="74"/>
      <c r="N156" s="38" t="str">
        <f>IF(OR(A156="Автомат",A156="Дифавтомат"),IF(W156="","",COUNTIFS(Однолинейка!$H$3:$H$3000,U156,Однолинейка!$A$3:$A$3000,Щит_спец)),IF(A156="Аппарат",IF(C156="","",COUNTIFS(Однолинейка!$I$3:$I$3000,C156,Однолинейка!$A$3:$A$3000,Щит_спец)+COUNTIFS(Однолинейка!$J$3:$J$3000,C156,Однолинейка!$A$3:$A$3000,Щит_спец)+COUNTIFS(Однолинейка!$K$3:$K$3000,C156,Однолинейка!$A$3:$A$3000,Щит_спец)),IF(A156="Модуль",IF(C156="","",COUNTIFS(Однолинейка!$AW$3:$AW$3000,"?*",Однолинейка!$AI$3:$AI$3000,C156,Однолинейка!$A$3:$A$3000,Щит_спец)),IF(A156="Клемма",IF(C156="","",IF(C156=$S$7,SUMIFS(Однолинейка!$BW$3:$BW$3000,Однолинейка!$A$3:$A$3000,Щит_спец),IF(C156=$S$8,SUMIFS(Однолинейка!$BX$3:$BX$3000,Однолинейка!$A$3:$A$3000,Щит_спец),""))),""))))</f>
        <v/>
      </c>
      <c r="O156" s="74"/>
      <c r="P156" s="38" t="str">
        <f t="shared" si="18"/>
        <v/>
      </c>
      <c r="U156" s="38" t="str">
        <f t="shared" si="19"/>
        <v/>
      </c>
      <c r="V156" s="38" t="str">
        <f t="shared" si="20"/>
        <v/>
      </c>
      <c r="W156" s="38" t="str">
        <f>IF(AND(U156&lt;&gt;"",OR($S$4="(все)",B156=$S$4),IF($S$4="(все)",COUNTIF($U$4:U156,U156),COUNTIFS($U$4:U156,U156,$B$4:B156,B156))=1),MAX($W$3:W155)+1,"")</f>
        <v/>
      </c>
      <c r="X156" s="38" t="str">
        <f t="shared" si="21"/>
        <v/>
      </c>
      <c r="Y156" s="38" t="str">
        <f>IF(AND(A156="Аппарат",C156&lt;&gt;"",OR($S$5="(все)",B156=$S$5)),MAX($Y$3:Y155)+1,"")</f>
        <v/>
      </c>
      <c r="Z156" s="38" t="str">
        <f t="shared" si="22"/>
        <v/>
      </c>
      <c r="AA156" s="38" t="str">
        <f>IF(AND(A156="Модуль",C156&lt;&gt;"",OR($S$6="(все)",B156=$S$6)),MAX($AA$3:AA155)+1,"")</f>
        <v/>
      </c>
      <c r="AB156" s="38" t="str">
        <f t="shared" si="23"/>
        <v/>
      </c>
      <c r="AC156" s="38" t="str">
        <f>IF(OR(B156="",COUNTIF($B$4:B156,B156)&gt;1),"",MAX($AC$3:AC155)+1)</f>
        <v/>
      </c>
      <c r="AD156" s="38" t="str">
        <f t="shared" si="24"/>
        <v/>
      </c>
      <c r="AE156" s="38" t="str">
        <f t="shared" si="25"/>
        <v/>
      </c>
      <c r="AF156" s="38" t="str">
        <f t="shared" si="26"/>
        <v/>
      </c>
    </row>
    <row r="157" spans="1:32" x14ac:dyDescent="0.3">
      <c r="A157" s="74"/>
      <c r="B157" s="74"/>
      <c r="C157" s="74"/>
      <c r="D157" s="74"/>
      <c r="E157" s="74"/>
      <c r="F157" s="74"/>
      <c r="G157" s="74"/>
      <c r="H157" s="74"/>
      <c r="I157" s="74"/>
      <c r="J157" s="74"/>
      <c r="K157" s="74"/>
      <c r="L157" s="74"/>
      <c r="M157" s="74"/>
      <c r="N157" s="38" t="str">
        <f>IF(OR(A157="Автомат",A157="Дифавтомат"),IF(W157="","",COUNTIFS(Однолинейка!$H$3:$H$3000,U157,Однолинейка!$A$3:$A$3000,Щит_спец)),IF(A157="Аппарат",IF(C157="","",COUNTIFS(Однолинейка!$I$3:$I$3000,C157,Однолинейка!$A$3:$A$3000,Щит_спец)+COUNTIFS(Однолинейка!$J$3:$J$3000,C157,Однолинейка!$A$3:$A$3000,Щит_спец)+COUNTIFS(Однолинейка!$K$3:$K$3000,C157,Однолинейка!$A$3:$A$3000,Щит_спец)),IF(A157="Модуль",IF(C157="","",COUNTIFS(Однолинейка!$AW$3:$AW$3000,"?*",Однолинейка!$AI$3:$AI$3000,C157,Однолинейка!$A$3:$A$3000,Щит_спец)),IF(A157="Клемма",IF(C157="","",IF(C157=$S$7,SUMIFS(Однолинейка!$BW$3:$BW$3000,Однолинейка!$A$3:$A$3000,Щит_спец),IF(C157=$S$8,SUMIFS(Однолинейка!$BX$3:$BX$3000,Однолинейка!$A$3:$A$3000,Щит_спец),""))),""))))</f>
        <v/>
      </c>
      <c r="O157" s="74"/>
      <c r="P157" s="38" t="str">
        <f t="shared" si="18"/>
        <v/>
      </c>
      <c r="U157" s="38" t="str">
        <f t="shared" si="19"/>
        <v/>
      </c>
      <c r="V157" s="38" t="str">
        <f t="shared" si="20"/>
        <v/>
      </c>
      <c r="W157" s="38" t="str">
        <f>IF(AND(U157&lt;&gt;"",OR($S$4="(все)",B157=$S$4),IF($S$4="(все)",COUNTIF($U$4:U157,U157),COUNTIFS($U$4:U157,U157,$B$4:B157,B157))=1),MAX($W$3:W156)+1,"")</f>
        <v/>
      </c>
      <c r="X157" s="38" t="str">
        <f t="shared" si="21"/>
        <v/>
      </c>
      <c r="Y157" s="38" t="str">
        <f>IF(AND(A157="Аппарат",C157&lt;&gt;"",OR($S$5="(все)",B157=$S$5)),MAX($Y$3:Y156)+1,"")</f>
        <v/>
      </c>
      <c r="Z157" s="38" t="str">
        <f t="shared" si="22"/>
        <v/>
      </c>
      <c r="AA157" s="38" t="str">
        <f>IF(AND(A157="Модуль",C157&lt;&gt;"",OR($S$6="(все)",B157=$S$6)),MAX($AA$3:AA156)+1,"")</f>
        <v/>
      </c>
      <c r="AB157" s="38" t="str">
        <f t="shared" si="23"/>
        <v/>
      </c>
      <c r="AC157" s="38" t="str">
        <f>IF(OR(B157="",COUNTIF($B$4:B157,B157)&gt;1),"",MAX($AC$3:AC156)+1)</f>
        <v/>
      </c>
      <c r="AD157" s="38" t="str">
        <f t="shared" si="24"/>
        <v/>
      </c>
      <c r="AE157" s="38" t="str">
        <f t="shared" si="25"/>
        <v/>
      </c>
      <c r="AF157" s="38" t="str">
        <f t="shared" si="26"/>
        <v/>
      </c>
    </row>
    <row r="158" spans="1:32" x14ac:dyDescent="0.3">
      <c r="A158" s="74"/>
      <c r="B158" s="74"/>
      <c r="C158" s="74"/>
      <c r="D158" s="74"/>
      <c r="E158" s="74"/>
      <c r="F158" s="74"/>
      <c r="G158" s="74"/>
      <c r="H158" s="74"/>
      <c r="I158" s="74"/>
      <c r="J158" s="74"/>
      <c r="K158" s="74"/>
      <c r="L158" s="74"/>
      <c r="M158" s="74"/>
      <c r="N158" s="38" t="str">
        <f>IF(OR(A158="Автомат",A158="Дифавтомат"),IF(W158="","",COUNTIFS(Однолинейка!$H$3:$H$3000,U158,Однолинейка!$A$3:$A$3000,Щит_спец)),IF(A158="Аппарат",IF(C158="","",COUNTIFS(Однолинейка!$I$3:$I$3000,C158,Однолинейка!$A$3:$A$3000,Щит_спец)+COUNTIFS(Однолинейка!$J$3:$J$3000,C158,Однолинейка!$A$3:$A$3000,Щит_спец)+COUNTIFS(Однолинейка!$K$3:$K$3000,C158,Однолинейка!$A$3:$A$3000,Щит_спец)),IF(A158="Модуль",IF(C158="","",COUNTIFS(Однолинейка!$AW$3:$AW$3000,"?*",Однолинейка!$AI$3:$AI$3000,C158,Однолинейка!$A$3:$A$3000,Щит_спец)),IF(A158="Клемма",IF(C158="","",IF(C158=$S$7,SUMIFS(Однолинейка!$BW$3:$BW$3000,Однолинейка!$A$3:$A$3000,Щит_спец),IF(C158=$S$8,SUMIFS(Однолинейка!$BX$3:$BX$3000,Однолинейка!$A$3:$A$3000,Щит_спец),""))),""))))</f>
        <v/>
      </c>
      <c r="O158" s="74"/>
      <c r="P158" s="38" t="str">
        <f t="shared" si="18"/>
        <v/>
      </c>
      <c r="U158" s="38" t="str">
        <f t="shared" si="19"/>
        <v/>
      </c>
      <c r="V158" s="38" t="str">
        <f t="shared" si="20"/>
        <v/>
      </c>
      <c r="W158" s="38" t="str">
        <f>IF(AND(U158&lt;&gt;"",OR($S$4="(все)",B158=$S$4),IF($S$4="(все)",COUNTIF($U$4:U158,U158),COUNTIFS($U$4:U158,U158,$B$4:B158,B158))=1),MAX($W$3:W157)+1,"")</f>
        <v/>
      </c>
      <c r="X158" s="38" t="str">
        <f t="shared" si="21"/>
        <v/>
      </c>
      <c r="Y158" s="38" t="str">
        <f>IF(AND(A158="Аппарат",C158&lt;&gt;"",OR($S$5="(все)",B158=$S$5)),MAX($Y$3:Y157)+1,"")</f>
        <v/>
      </c>
      <c r="Z158" s="38" t="str">
        <f t="shared" si="22"/>
        <v/>
      </c>
      <c r="AA158" s="38" t="str">
        <f>IF(AND(A158="Модуль",C158&lt;&gt;"",OR($S$6="(все)",B158=$S$6)),MAX($AA$3:AA157)+1,"")</f>
        <v/>
      </c>
      <c r="AB158" s="38" t="str">
        <f t="shared" si="23"/>
        <v/>
      </c>
      <c r="AC158" s="38" t="str">
        <f>IF(OR(B158="",COUNTIF($B$4:B158,B158)&gt;1),"",MAX($AC$3:AC157)+1)</f>
        <v/>
      </c>
      <c r="AD158" s="38" t="str">
        <f t="shared" si="24"/>
        <v/>
      </c>
      <c r="AE158" s="38" t="str">
        <f t="shared" si="25"/>
        <v/>
      </c>
      <c r="AF158" s="38" t="str">
        <f t="shared" si="26"/>
        <v/>
      </c>
    </row>
    <row r="159" spans="1:32" x14ac:dyDescent="0.3">
      <c r="A159" s="74"/>
      <c r="B159" s="74"/>
      <c r="C159" s="74"/>
      <c r="D159" s="74"/>
      <c r="E159" s="74"/>
      <c r="F159" s="74"/>
      <c r="G159" s="74"/>
      <c r="H159" s="74"/>
      <c r="I159" s="74"/>
      <c r="J159" s="74"/>
      <c r="K159" s="74"/>
      <c r="L159" s="74"/>
      <c r="M159" s="74"/>
      <c r="N159" s="38" t="str">
        <f>IF(OR(A159="Автомат",A159="Дифавтомат"),IF(W159="","",COUNTIFS(Однолинейка!$H$3:$H$3000,U159,Однолинейка!$A$3:$A$3000,Щит_спец)),IF(A159="Аппарат",IF(C159="","",COUNTIFS(Однолинейка!$I$3:$I$3000,C159,Однолинейка!$A$3:$A$3000,Щит_спец)+COUNTIFS(Однолинейка!$J$3:$J$3000,C159,Однолинейка!$A$3:$A$3000,Щит_спец)+COUNTIFS(Однолинейка!$K$3:$K$3000,C159,Однолинейка!$A$3:$A$3000,Щит_спец)),IF(A159="Модуль",IF(C159="","",COUNTIFS(Однолинейка!$AW$3:$AW$3000,"?*",Однолинейка!$AI$3:$AI$3000,C159,Однолинейка!$A$3:$A$3000,Щит_спец)),IF(A159="Клемма",IF(C159="","",IF(C159=$S$7,SUMIFS(Однолинейка!$BW$3:$BW$3000,Однолинейка!$A$3:$A$3000,Щит_спец),IF(C159=$S$8,SUMIFS(Однолинейка!$BX$3:$BX$3000,Однолинейка!$A$3:$A$3000,Щит_спец),""))),""))))</f>
        <v/>
      </c>
      <c r="O159" s="74"/>
      <c r="P159" s="38" t="str">
        <f t="shared" si="18"/>
        <v/>
      </c>
      <c r="U159" s="38" t="str">
        <f t="shared" si="19"/>
        <v/>
      </c>
      <c r="V159" s="38" t="str">
        <f t="shared" si="20"/>
        <v/>
      </c>
      <c r="W159" s="38" t="str">
        <f>IF(AND(U159&lt;&gt;"",OR($S$4="(все)",B159=$S$4),IF($S$4="(все)",COUNTIF($U$4:U159,U159),COUNTIFS($U$4:U159,U159,$B$4:B159,B159))=1),MAX($W$3:W158)+1,"")</f>
        <v/>
      </c>
      <c r="X159" s="38" t="str">
        <f t="shared" si="21"/>
        <v/>
      </c>
      <c r="Y159" s="38" t="str">
        <f>IF(AND(A159="Аппарат",C159&lt;&gt;"",OR($S$5="(все)",B159=$S$5)),MAX($Y$3:Y158)+1,"")</f>
        <v/>
      </c>
      <c r="Z159" s="38" t="str">
        <f t="shared" si="22"/>
        <v/>
      </c>
      <c r="AA159" s="38" t="str">
        <f>IF(AND(A159="Модуль",C159&lt;&gt;"",OR($S$6="(все)",B159=$S$6)),MAX($AA$3:AA158)+1,"")</f>
        <v/>
      </c>
      <c r="AB159" s="38" t="str">
        <f t="shared" si="23"/>
        <v/>
      </c>
      <c r="AC159" s="38" t="str">
        <f>IF(OR(B159="",COUNTIF($B$4:B159,B159)&gt;1),"",MAX($AC$3:AC158)+1)</f>
        <v/>
      </c>
      <c r="AD159" s="38" t="str">
        <f t="shared" si="24"/>
        <v/>
      </c>
      <c r="AE159" s="38" t="str">
        <f t="shared" si="25"/>
        <v/>
      </c>
      <c r="AF159" s="38" t="str">
        <f t="shared" si="26"/>
        <v/>
      </c>
    </row>
    <row r="160" spans="1:32" x14ac:dyDescent="0.3">
      <c r="A160" s="74"/>
      <c r="B160" s="74"/>
      <c r="C160" s="74"/>
      <c r="D160" s="74"/>
      <c r="E160" s="74"/>
      <c r="F160" s="74"/>
      <c r="G160" s="74"/>
      <c r="H160" s="74"/>
      <c r="I160" s="74"/>
      <c r="J160" s="74"/>
      <c r="K160" s="74"/>
      <c r="L160" s="74"/>
      <c r="M160" s="74"/>
      <c r="N160" s="38" t="str">
        <f>IF(OR(A160="Автомат",A160="Дифавтомат"),IF(W160="","",COUNTIFS(Однолинейка!$H$3:$H$3000,U160,Однолинейка!$A$3:$A$3000,Щит_спец)),IF(A160="Аппарат",IF(C160="","",COUNTIFS(Однолинейка!$I$3:$I$3000,C160,Однолинейка!$A$3:$A$3000,Щит_спец)+COUNTIFS(Однолинейка!$J$3:$J$3000,C160,Однолинейка!$A$3:$A$3000,Щит_спец)+COUNTIFS(Однолинейка!$K$3:$K$3000,C160,Однолинейка!$A$3:$A$3000,Щит_спец)),IF(A160="Модуль",IF(C160="","",COUNTIFS(Однолинейка!$AW$3:$AW$3000,"?*",Однолинейка!$AI$3:$AI$3000,C160,Однолинейка!$A$3:$A$3000,Щит_спец)),IF(A160="Клемма",IF(C160="","",IF(C160=$S$7,SUMIFS(Однолинейка!$BW$3:$BW$3000,Однолинейка!$A$3:$A$3000,Щит_спец),IF(C160=$S$8,SUMIFS(Однолинейка!$BX$3:$BX$3000,Однолинейка!$A$3:$A$3000,Щит_спец),""))),""))))</f>
        <v/>
      </c>
      <c r="O160" s="74"/>
      <c r="P160" s="38" t="str">
        <f t="shared" si="18"/>
        <v/>
      </c>
      <c r="U160" s="38" t="str">
        <f t="shared" si="19"/>
        <v/>
      </c>
      <c r="V160" s="38" t="str">
        <f t="shared" si="20"/>
        <v/>
      </c>
      <c r="W160" s="38" t="str">
        <f>IF(AND(U160&lt;&gt;"",OR($S$4="(все)",B160=$S$4),IF($S$4="(все)",COUNTIF($U$4:U160,U160),COUNTIFS($U$4:U160,U160,$B$4:B160,B160))=1),MAX($W$3:W159)+1,"")</f>
        <v/>
      </c>
      <c r="X160" s="38" t="str">
        <f t="shared" si="21"/>
        <v/>
      </c>
      <c r="Y160" s="38" t="str">
        <f>IF(AND(A160="Аппарат",C160&lt;&gt;"",OR($S$5="(все)",B160=$S$5)),MAX($Y$3:Y159)+1,"")</f>
        <v/>
      </c>
      <c r="Z160" s="38" t="str">
        <f t="shared" si="22"/>
        <v/>
      </c>
      <c r="AA160" s="38" t="str">
        <f>IF(AND(A160="Модуль",C160&lt;&gt;"",OR($S$6="(все)",B160=$S$6)),MAX($AA$3:AA159)+1,"")</f>
        <v/>
      </c>
      <c r="AB160" s="38" t="str">
        <f t="shared" si="23"/>
        <v/>
      </c>
      <c r="AC160" s="38" t="str">
        <f>IF(OR(B160="",COUNTIF($B$4:B160,B160)&gt;1),"",MAX($AC$3:AC159)+1)</f>
        <v/>
      </c>
      <c r="AD160" s="38" t="str">
        <f t="shared" si="24"/>
        <v/>
      </c>
      <c r="AE160" s="38" t="str">
        <f t="shared" si="25"/>
        <v/>
      </c>
      <c r="AF160" s="38" t="str">
        <f t="shared" si="26"/>
        <v/>
      </c>
    </row>
    <row r="161" spans="1:32" x14ac:dyDescent="0.3">
      <c r="A161" s="74"/>
      <c r="B161" s="74"/>
      <c r="C161" s="74"/>
      <c r="D161" s="74"/>
      <c r="E161" s="74"/>
      <c r="F161" s="74"/>
      <c r="G161" s="74"/>
      <c r="H161" s="74"/>
      <c r="I161" s="74"/>
      <c r="J161" s="74"/>
      <c r="K161" s="74"/>
      <c r="L161" s="74"/>
      <c r="M161" s="74"/>
      <c r="N161" s="38" t="str">
        <f>IF(OR(A161="Автомат",A161="Дифавтомат"),IF(W161="","",COUNTIFS(Однолинейка!$H$3:$H$3000,U161,Однолинейка!$A$3:$A$3000,Щит_спец)),IF(A161="Аппарат",IF(C161="","",COUNTIFS(Однолинейка!$I$3:$I$3000,C161,Однолинейка!$A$3:$A$3000,Щит_спец)+COUNTIFS(Однолинейка!$J$3:$J$3000,C161,Однолинейка!$A$3:$A$3000,Щит_спец)+COUNTIFS(Однолинейка!$K$3:$K$3000,C161,Однолинейка!$A$3:$A$3000,Щит_спец)),IF(A161="Модуль",IF(C161="","",COUNTIFS(Однолинейка!$AW$3:$AW$3000,"?*",Однолинейка!$AI$3:$AI$3000,C161,Однолинейка!$A$3:$A$3000,Щит_спец)),IF(A161="Клемма",IF(C161="","",IF(C161=$S$7,SUMIFS(Однолинейка!$BW$3:$BW$3000,Однолинейка!$A$3:$A$3000,Щит_спец),IF(C161=$S$8,SUMIFS(Однолинейка!$BX$3:$BX$3000,Однолинейка!$A$3:$A$3000,Щит_спец),""))),""))))</f>
        <v/>
      </c>
      <c r="O161" s="74"/>
      <c r="P161" s="38" t="str">
        <f t="shared" si="18"/>
        <v/>
      </c>
      <c r="U161" s="38" t="str">
        <f t="shared" si="19"/>
        <v/>
      </c>
      <c r="V161" s="38" t="str">
        <f t="shared" si="20"/>
        <v/>
      </c>
      <c r="W161" s="38" t="str">
        <f>IF(AND(U161&lt;&gt;"",OR($S$4="(все)",B161=$S$4),IF($S$4="(все)",COUNTIF($U$4:U161,U161),COUNTIFS($U$4:U161,U161,$B$4:B161,B161))=1),MAX($W$3:W160)+1,"")</f>
        <v/>
      </c>
      <c r="X161" s="38" t="str">
        <f t="shared" si="21"/>
        <v/>
      </c>
      <c r="Y161" s="38" t="str">
        <f>IF(AND(A161="Аппарат",C161&lt;&gt;"",OR($S$5="(все)",B161=$S$5)),MAX($Y$3:Y160)+1,"")</f>
        <v/>
      </c>
      <c r="Z161" s="38" t="str">
        <f t="shared" si="22"/>
        <v/>
      </c>
      <c r="AA161" s="38" t="str">
        <f>IF(AND(A161="Модуль",C161&lt;&gt;"",OR($S$6="(все)",B161=$S$6)),MAX($AA$3:AA160)+1,"")</f>
        <v/>
      </c>
      <c r="AB161" s="38" t="str">
        <f t="shared" si="23"/>
        <v/>
      </c>
      <c r="AC161" s="38" t="str">
        <f>IF(OR(B161="",COUNTIF($B$4:B161,B161)&gt;1),"",MAX($AC$3:AC160)+1)</f>
        <v/>
      </c>
      <c r="AD161" s="38" t="str">
        <f t="shared" si="24"/>
        <v/>
      </c>
      <c r="AE161" s="38" t="str">
        <f t="shared" si="25"/>
        <v/>
      </c>
      <c r="AF161" s="38" t="str">
        <f t="shared" si="26"/>
        <v/>
      </c>
    </row>
    <row r="162" spans="1:32" x14ac:dyDescent="0.3">
      <c r="A162" s="74"/>
      <c r="B162" s="74"/>
      <c r="C162" s="74"/>
      <c r="D162" s="74"/>
      <c r="E162" s="74"/>
      <c r="F162" s="74"/>
      <c r="G162" s="74"/>
      <c r="H162" s="74"/>
      <c r="I162" s="74"/>
      <c r="J162" s="74"/>
      <c r="K162" s="74"/>
      <c r="L162" s="74"/>
      <c r="M162" s="74"/>
      <c r="N162" s="38" t="str">
        <f>IF(OR(A162="Автомат",A162="Дифавтомат"),IF(W162="","",COUNTIFS(Однолинейка!$H$3:$H$3000,U162,Однолинейка!$A$3:$A$3000,Щит_спец)),IF(A162="Аппарат",IF(C162="","",COUNTIFS(Однолинейка!$I$3:$I$3000,C162,Однолинейка!$A$3:$A$3000,Щит_спец)+COUNTIFS(Однолинейка!$J$3:$J$3000,C162,Однолинейка!$A$3:$A$3000,Щит_спец)+COUNTIFS(Однолинейка!$K$3:$K$3000,C162,Однолинейка!$A$3:$A$3000,Щит_спец)),IF(A162="Модуль",IF(C162="","",COUNTIFS(Однолинейка!$AW$3:$AW$3000,"?*",Однолинейка!$AI$3:$AI$3000,C162,Однолинейка!$A$3:$A$3000,Щит_спец)),IF(A162="Клемма",IF(C162="","",IF(C162=$S$7,SUMIFS(Однолинейка!$BW$3:$BW$3000,Однолинейка!$A$3:$A$3000,Щит_спец),IF(C162=$S$8,SUMIFS(Однолинейка!$BX$3:$BX$3000,Однолинейка!$A$3:$A$3000,Щит_спец),""))),""))))</f>
        <v/>
      </c>
      <c r="O162" s="74"/>
      <c r="P162" s="38" t="str">
        <f t="shared" si="18"/>
        <v/>
      </c>
      <c r="U162" s="38" t="str">
        <f t="shared" si="19"/>
        <v/>
      </c>
      <c r="V162" s="38" t="str">
        <f t="shared" si="20"/>
        <v/>
      </c>
      <c r="W162" s="38" t="str">
        <f>IF(AND(U162&lt;&gt;"",OR($S$4="(все)",B162=$S$4),IF($S$4="(все)",COUNTIF($U$4:U162,U162),COUNTIFS($U$4:U162,U162,$B$4:B162,B162))=1),MAX($W$3:W161)+1,"")</f>
        <v/>
      </c>
      <c r="X162" s="38" t="str">
        <f t="shared" si="21"/>
        <v/>
      </c>
      <c r="Y162" s="38" t="str">
        <f>IF(AND(A162="Аппарат",C162&lt;&gt;"",OR($S$5="(все)",B162=$S$5)),MAX($Y$3:Y161)+1,"")</f>
        <v/>
      </c>
      <c r="Z162" s="38" t="str">
        <f t="shared" si="22"/>
        <v/>
      </c>
      <c r="AA162" s="38" t="str">
        <f>IF(AND(A162="Модуль",C162&lt;&gt;"",OR($S$6="(все)",B162=$S$6)),MAX($AA$3:AA161)+1,"")</f>
        <v/>
      </c>
      <c r="AB162" s="38" t="str">
        <f t="shared" si="23"/>
        <v/>
      </c>
      <c r="AC162" s="38" t="str">
        <f>IF(OR(B162="",COUNTIF($B$4:B162,B162)&gt;1),"",MAX($AC$3:AC161)+1)</f>
        <v/>
      </c>
      <c r="AD162" s="38" t="str">
        <f t="shared" si="24"/>
        <v/>
      </c>
      <c r="AE162" s="38" t="str">
        <f t="shared" si="25"/>
        <v/>
      </c>
      <c r="AF162" s="38" t="str">
        <f t="shared" si="26"/>
        <v/>
      </c>
    </row>
    <row r="163" spans="1:32" x14ac:dyDescent="0.3">
      <c r="A163" s="74"/>
      <c r="B163" s="74"/>
      <c r="C163" s="74"/>
      <c r="D163" s="74"/>
      <c r="E163" s="74"/>
      <c r="F163" s="74"/>
      <c r="G163" s="74"/>
      <c r="H163" s="74"/>
      <c r="I163" s="74"/>
      <c r="J163" s="74"/>
      <c r="K163" s="74"/>
      <c r="L163" s="74"/>
      <c r="M163" s="74"/>
      <c r="N163" s="38" t="str">
        <f>IF(OR(A163="Автомат",A163="Дифавтомат"),IF(W163="","",COUNTIFS(Однолинейка!$H$3:$H$3000,U163,Однолинейка!$A$3:$A$3000,Щит_спец)),IF(A163="Аппарат",IF(C163="","",COUNTIFS(Однолинейка!$I$3:$I$3000,C163,Однолинейка!$A$3:$A$3000,Щит_спец)+COUNTIFS(Однолинейка!$J$3:$J$3000,C163,Однолинейка!$A$3:$A$3000,Щит_спец)+COUNTIFS(Однолинейка!$K$3:$K$3000,C163,Однолинейка!$A$3:$A$3000,Щит_спец)),IF(A163="Модуль",IF(C163="","",COUNTIFS(Однолинейка!$AW$3:$AW$3000,"?*",Однолинейка!$AI$3:$AI$3000,C163,Однолинейка!$A$3:$A$3000,Щит_спец)),IF(A163="Клемма",IF(C163="","",IF(C163=$S$7,SUMIFS(Однолинейка!$BW$3:$BW$3000,Однолинейка!$A$3:$A$3000,Щит_спец),IF(C163=$S$8,SUMIFS(Однолинейка!$BX$3:$BX$3000,Однолинейка!$A$3:$A$3000,Щит_спец),""))),""))))</f>
        <v/>
      </c>
      <c r="O163" s="74"/>
      <c r="P163" s="38" t="str">
        <f t="shared" si="18"/>
        <v/>
      </c>
      <c r="U163" s="38" t="str">
        <f t="shared" si="19"/>
        <v/>
      </c>
      <c r="V163" s="38" t="str">
        <f t="shared" si="20"/>
        <v/>
      </c>
      <c r="W163" s="38" t="str">
        <f>IF(AND(U163&lt;&gt;"",OR($S$4="(все)",B163=$S$4),IF($S$4="(все)",COUNTIF($U$4:U163,U163),COUNTIFS($U$4:U163,U163,$B$4:B163,B163))=1),MAX($W$3:W162)+1,"")</f>
        <v/>
      </c>
      <c r="X163" s="38" t="str">
        <f t="shared" si="21"/>
        <v/>
      </c>
      <c r="Y163" s="38" t="str">
        <f>IF(AND(A163="Аппарат",C163&lt;&gt;"",OR($S$5="(все)",B163=$S$5)),MAX($Y$3:Y162)+1,"")</f>
        <v/>
      </c>
      <c r="Z163" s="38" t="str">
        <f t="shared" si="22"/>
        <v/>
      </c>
      <c r="AA163" s="38" t="str">
        <f>IF(AND(A163="Модуль",C163&lt;&gt;"",OR($S$6="(все)",B163=$S$6)),MAX($AA$3:AA162)+1,"")</f>
        <v/>
      </c>
      <c r="AB163" s="38" t="str">
        <f t="shared" si="23"/>
        <v/>
      </c>
      <c r="AC163" s="38" t="str">
        <f>IF(OR(B163="",COUNTIF($B$4:B163,B163)&gt;1),"",MAX($AC$3:AC162)+1)</f>
        <v/>
      </c>
      <c r="AD163" s="38" t="str">
        <f t="shared" si="24"/>
        <v/>
      </c>
      <c r="AE163" s="38" t="str">
        <f t="shared" si="25"/>
        <v/>
      </c>
      <c r="AF163" s="38" t="str">
        <f t="shared" si="26"/>
        <v/>
      </c>
    </row>
    <row r="164" spans="1:32" x14ac:dyDescent="0.3">
      <c r="A164" s="74"/>
      <c r="B164" s="74"/>
      <c r="C164" s="74"/>
      <c r="D164" s="74"/>
      <c r="E164" s="74"/>
      <c r="F164" s="74"/>
      <c r="G164" s="74"/>
      <c r="H164" s="74"/>
      <c r="I164" s="74"/>
      <c r="J164" s="74"/>
      <c r="K164" s="74"/>
      <c r="L164" s="74"/>
      <c r="M164" s="74"/>
      <c r="N164" s="38" t="str">
        <f>IF(OR(A164="Автомат",A164="Дифавтомат"),IF(W164="","",COUNTIFS(Однолинейка!$H$3:$H$3000,U164,Однолинейка!$A$3:$A$3000,Щит_спец)),IF(A164="Аппарат",IF(C164="","",COUNTIFS(Однолинейка!$I$3:$I$3000,C164,Однолинейка!$A$3:$A$3000,Щит_спец)+COUNTIFS(Однолинейка!$J$3:$J$3000,C164,Однолинейка!$A$3:$A$3000,Щит_спец)+COUNTIFS(Однолинейка!$K$3:$K$3000,C164,Однолинейка!$A$3:$A$3000,Щит_спец)),IF(A164="Модуль",IF(C164="","",COUNTIFS(Однолинейка!$AW$3:$AW$3000,"?*",Однолинейка!$AI$3:$AI$3000,C164,Однолинейка!$A$3:$A$3000,Щит_спец)),IF(A164="Клемма",IF(C164="","",IF(C164=$S$7,SUMIFS(Однолинейка!$BW$3:$BW$3000,Однолинейка!$A$3:$A$3000,Щит_спец),IF(C164=$S$8,SUMIFS(Однолинейка!$BX$3:$BX$3000,Однолинейка!$A$3:$A$3000,Щит_спец),""))),""))))</f>
        <v/>
      </c>
      <c r="O164" s="74"/>
      <c r="P164" s="38" t="str">
        <f t="shared" si="18"/>
        <v/>
      </c>
      <c r="U164" s="38" t="str">
        <f t="shared" si="19"/>
        <v/>
      </c>
      <c r="V164" s="38" t="str">
        <f t="shared" si="20"/>
        <v/>
      </c>
      <c r="W164" s="38" t="str">
        <f>IF(AND(U164&lt;&gt;"",OR($S$4="(все)",B164=$S$4),IF($S$4="(все)",COUNTIF($U$4:U164,U164),COUNTIFS($U$4:U164,U164,$B$4:B164,B164))=1),MAX($W$3:W163)+1,"")</f>
        <v/>
      </c>
      <c r="X164" s="38" t="str">
        <f t="shared" si="21"/>
        <v/>
      </c>
      <c r="Y164" s="38" t="str">
        <f>IF(AND(A164="Аппарат",C164&lt;&gt;"",OR($S$5="(все)",B164=$S$5)),MAX($Y$3:Y163)+1,"")</f>
        <v/>
      </c>
      <c r="Z164" s="38" t="str">
        <f t="shared" si="22"/>
        <v/>
      </c>
      <c r="AA164" s="38" t="str">
        <f>IF(AND(A164="Модуль",C164&lt;&gt;"",OR($S$6="(все)",B164=$S$6)),MAX($AA$3:AA163)+1,"")</f>
        <v/>
      </c>
      <c r="AB164" s="38" t="str">
        <f t="shared" si="23"/>
        <v/>
      </c>
      <c r="AC164" s="38" t="str">
        <f>IF(OR(B164="",COUNTIF($B$4:B164,B164)&gt;1),"",MAX($AC$3:AC163)+1)</f>
        <v/>
      </c>
      <c r="AD164" s="38" t="str">
        <f t="shared" si="24"/>
        <v/>
      </c>
      <c r="AE164" s="38" t="str">
        <f t="shared" si="25"/>
        <v/>
      </c>
      <c r="AF164" s="38" t="str">
        <f t="shared" si="26"/>
        <v/>
      </c>
    </row>
    <row r="165" spans="1:32" x14ac:dyDescent="0.3">
      <c r="A165" s="74"/>
      <c r="B165" s="74"/>
      <c r="C165" s="74"/>
      <c r="D165" s="74"/>
      <c r="E165" s="74"/>
      <c r="F165" s="74"/>
      <c r="G165" s="74"/>
      <c r="H165" s="74"/>
      <c r="I165" s="74"/>
      <c r="J165" s="74"/>
      <c r="K165" s="74"/>
      <c r="L165" s="74"/>
      <c r="M165" s="74"/>
      <c r="N165" s="38" t="str">
        <f>IF(OR(A165="Автомат",A165="Дифавтомат"),IF(W165="","",COUNTIFS(Однолинейка!$H$3:$H$3000,U165,Однолинейка!$A$3:$A$3000,Щит_спец)),IF(A165="Аппарат",IF(C165="","",COUNTIFS(Однолинейка!$I$3:$I$3000,C165,Однолинейка!$A$3:$A$3000,Щит_спец)+COUNTIFS(Однолинейка!$J$3:$J$3000,C165,Однолинейка!$A$3:$A$3000,Щит_спец)+COUNTIFS(Однолинейка!$K$3:$K$3000,C165,Однолинейка!$A$3:$A$3000,Щит_спец)),IF(A165="Модуль",IF(C165="","",COUNTIFS(Однолинейка!$AW$3:$AW$3000,"?*",Однолинейка!$AI$3:$AI$3000,C165,Однолинейка!$A$3:$A$3000,Щит_спец)),IF(A165="Клемма",IF(C165="","",IF(C165=$S$7,SUMIFS(Однолинейка!$BW$3:$BW$3000,Однолинейка!$A$3:$A$3000,Щит_спец),IF(C165=$S$8,SUMIFS(Однолинейка!$BX$3:$BX$3000,Однолинейка!$A$3:$A$3000,Щит_спец),""))),""))))</f>
        <v/>
      </c>
      <c r="O165" s="74"/>
      <c r="P165" s="38" t="str">
        <f t="shared" si="18"/>
        <v/>
      </c>
      <c r="U165" s="38" t="str">
        <f t="shared" si="19"/>
        <v/>
      </c>
      <c r="V165" s="38" t="str">
        <f t="shared" si="20"/>
        <v/>
      </c>
      <c r="W165" s="38" t="str">
        <f>IF(AND(U165&lt;&gt;"",OR($S$4="(все)",B165=$S$4),IF($S$4="(все)",COUNTIF($U$4:U165,U165),COUNTIFS($U$4:U165,U165,$B$4:B165,B165))=1),MAX($W$3:W164)+1,"")</f>
        <v/>
      </c>
      <c r="X165" s="38" t="str">
        <f t="shared" si="21"/>
        <v/>
      </c>
      <c r="Y165" s="38" t="str">
        <f>IF(AND(A165="Аппарат",C165&lt;&gt;"",OR($S$5="(все)",B165=$S$5)),MAX($Y$3:Y164)+1,"")</f>
        <v/>
      </c>
      <c r="Z165" s="38" t="str">
        <f t="shared" si="22"/>
        <v/>
      </c>
      <c r="AA165" s="38" t="str">
        <f>IF(AND(A165="Модуль",C165&lt;&gt;"",OR($S$6="(все)",B165=$S$6)),MAX($AA$3:AA164)+1,"")</f>
        <v/>
      </c>
      <c r="AB165" s="38" t="str">
        <f t="shared" si="23"/>
        <v/>
      </c>
      <c r="AC165" s="38" t="str">
        <f>IF(OR(B165="",COUNTIF($B$4:B165,B165)&gt;1),"",MAX($AC$3:AC164)+1)</f>
        <v/>
      </c>
      <c r="AD165" s="38" t="str">
        <f t="shared" si="24"/>
        <v/>
      </c>
      <c r="AE165" s="38" t="str">
        <f t="shared" si="25"/>
        <v/>
      </c>
      <c r="AF165" s="38" t="str">
        <f t="shared" si="26"/>
        <v/>
      </c>
    </row>
    <row r="166" spans="1:32" x14ac:dyDescent="0.3">
      <c r="A166" s="74"/>
      <c r="B166" s="74"/>
      <c r="C166" s="74"/>
      <c r="D166" s="74"/>
      <c r="E166" s="74"/>
      <c r="F166" s="74"/>
      <c r="G166" s="74"/>
      <c r="H166" s="74"/>
      <c r="I166" s="74"/>
      <c r="J166" s="74"/>
      <c r="K166" s="74"/>
      <c r="L166" s="74"/>
      <c r="M166" s="74"/>
      <c r="N166" s="38" t="str">
        <f>IF(OR(A166="Автомат",A166="Дифавтомат"),IF(W166="","",COUNTIFS(Однолинейка!$H$3:$H$3000,U166,Однолинейка!$A$3:$A$3000,Щит_спец)),IF(A166="Аппарат",IF(C166="","",COUNTIFS(Однолинейка!$I$3:$I$3000,C166,Однолинейка!$A$3:$A$3000,Щит_спец)+COUNTIFS(Однолинейка!$J$3:$J$3000,C166,Однолинейка!$A$3:$A$3000,Щит_спец)+COUNTIFS(Однолинейка!$K$3:$K$3000,C166,Однолинейка!$A$3:$A$3000,Щит_спец)),IF(A166="Модуль",IF(C166="","",COUNTIFS(Однолинейка!$AW$3:$AW$3000,"?*",Однолинейка!$AI$3:$AI$3000,C166,Однолинейка!$A$3:$A$3000,Щит_спец)),IF(A166="Клемма",IF(C166="","",IF(C166=$S$7,SUMIFS(Однолинейка!$BW$3:$BW$3000,Однолинейка!$A$3:$A$3000,Щит_спец),IF(C166=$S$8,SUMIFS(Однолинейка!$BX$3:$BX$3000,Однолинейка!$A$3:$A$3000,Щит_спец),""))),""))))</f>
        <v/>
      </c>
      <c r="O166" s="74"/>
      <c r="P166" s="38" t="str">
        <f t="shared" si="18"/>
        <v/>
      </c>
      <c r="U166" s="38" t="str">
        <f t="shared" si="19"/>
        <v/>
      </c>
      <c r="V166" s="38" t="str">
        <f t="shared" si="20"/>
        <v/>
      </c>
      <c r="W166" s="38" t="str">
        <f>IF(AND(U166&lt;&gt;"",OR($S$4="(все)",B166=$S$4),IF($S$4="(все)",COUNTIF($U$4:U166,U166),COUNTIFS($U$4:U166,U166,$B$4:B166,B166))=1),MAX($W$3:W165)+1,"")</f>
        <v/>
      </c>
      <c r="X166" s="38" t="str">
        <f t="shared" si="21"/>
        <v/>
      </c>
      <c r="Y166" s="38" t="str">
        <f>IF(AND(A166="Аппарат",C166&lt;&gt;"",OR($S$5="(все)",B166=$S$5)),MAX($Y$3:Y165)+1,"")</f>
        <v/>
      </c>
      <c r="Z166" s="38" t="str">
        <f t="shared" si="22"/>
        <v/>
      </c>
      <c r="AA166" s="38" t="str">
        <f>IF(AND(A166="Модуль",C166&lt;&gt;"",OR($S$6="(все)",B166=$S$6)),MAX($AA$3:AA165)+1,"")</f>
        <v/>
      </c>
      <c r="AB166" s="38" t="str">
        <f t="shared" si="23"/>
        <v/>
      </c>
      <c r="AC166" s="38" t="str">
        <f>IF(OR(B166="",COUNTIF($B$4:B166,B166)&gt;1),"",MAX($AC$3:AC165)+1)</f>
        <v/>
      </c>
      <c r="AD166" s="38" t="str">
        <f t="shared" si="24"/>
        <v/>
      </c>
      <c r="AE166" s="38" t="str">
        <f t="shared" si="25"/>
        <v/>
      </c>
      <c r="AF166" s="38" t="str">
        <f t="shared" si="26"/>
        <v/>
      </c>
    </row>
    <row r="167" spans="1:32" x14ac:dyDescent="0.3">
      <c r="A167" s="74"/>
      <c r="B167" s="74"/>
      <c r="C167" s="74"/>
      <c r="D167" s="74"/>
      <c r="E167" s="74"/>
      <c r="F167" s="74"/>
      <c r="G167" s="74"/>
      <c r="H167" s="74"/>
      <c r="I167" s="74"/>
      <c r="J167" s="74"/>
      <c r="K167" s="74"/>
      <c r="L167" s="74"/>
      <c r="M167" s="74"/>
      <c r="N167" s="38" t="str">
        <f>IF(OR(A167="Автомат",A167="Дифавтомат"),IF(W167="","",COUNTIFS(Однолинейка!$H$3:$H$3000,U167,Однолинейка!$A$3:$A$3000,Щит_спец)),IF(A167="Аппарат",IF(C167="","",COUNTIFS(Однолинейка!$I$3:$I$3000,C167,Однолинейка!$A$3:$A$3000,Щит_спец)+COUNTIFS(Однолинейка!$J$3:$J$3000,C167,Однолинейка!$A$3:$A$3000,Щит_спец)+COUNTIFS(Однолинейка!$K$3:$K$3000,C167,Однолинейка!$A$3:$A$3000,Щит_спец)),IF(A167="Модуль",IF(C167="","",COUNTIFS(Однолинейка!$AW$3:$AW$3000,"?*",Однолинейка!$AI$3:$AI$3000,C167,Однолинейка!$A$3:$A$3000,Щит_спец)),IF(A167="Клемма",IF(C167="","",IF(C167=$S$7,SUMIFS(Однолинейка!$BW$3:$BW$3000,Однолинейка!$A$3:$A$3000,Щит_спец),IF(C167=$S$8,SUMIFS(Однолинейка!$BX$3:$BX$3000,Однолинейка!$A$3:$A$3000,Щит_спец),""))),""))))</f>
        <v/>
      </c>
      <c r="O167" s="74"/>
      <c r="P167" s="38" t="str">
        <f t="shared" si="18"/>
        <v/>
      </c>
      <c r="U167" s="38" t="str">
        <f t="shared" si="19"/>
        <v/>
      </c>
      <c r="V167" s="38" t="str">
        <f t="shared" si="20"/>
        <v/>
      </c>
      <c r="W167" s="38" t="str">
        <f>IF(AND(U167&lt;&gt;"",OR($S$4="(все)",B167=$S$4),IF($S$4="(все)",COUNTIF($U$4:U167,U167),COUNTIFS($U$4:U167,U167,$B$4:B167,B167))=1),MAX($W$3:W166)+1,"")</f>
        <v/>
      </c>
      <c r="X167" s="38" t="str">
        <f t="shared" si="21"/>
        <v/>
      </c>
      <c r="Y167" s="38" t="str">
        <f>IF(AND(A167="Аппарат",C167&lt;&gt;"",OR($S$5="(все)",B167=$S$5)),MAX($Y$3:Y166)+1,"")</f>
        <v/>
      </c>
      <c r="Z167" s="38" t="str">
        <f t="shared" si="22"/>
        <v/>
      </c>
      <c r="AA167" s="38" t="str">
        <f>IF(AND(A167="Модуль",C167&lt;&gt;"",OR($S$6="(все)",B167=$S$6)),MAX($AA$3:AA166)+1,"")</f>
        <v/>
      </c>
      <c r="AB167" s="38" t="str">
        <f t="shared" si="23"/>
        <v/>
      </c>
      <c r="AC167" s="38" t="str">
        <f>IF(OR(B167="",COUNTIF($B$4:B167,B167)&gt;1),"",MAX($AC$3:AC166)+1)</f>
        <v/>
      </c>
      <c r="AD167" s="38" t="str">
        <f t="shared" si="24"/>
        <v/>
      </c>
      <c r="AE167" s="38" t="str">
        <f t="shared" si="25"/>
        <v/>
      </c>
      <c r="AF167" s="38" t="str">
        <f t="shared" si="26"/>
        <v/>
      </c>
    </row>
    <row r="168" spans="1:32" x14ac:dyDescent="0.3">
      <c r="A168" s="74"/>
      <c r="B168" s="74"/>
      <c r="C168" s="74"/>
      <c r="D168" s="74"/>
      <c r="E168" s="74"/>
      <c r="F168" s="74"/>
      <c r="G168" s="74"/>
      <c r="H168" s="74"/>
      <c r="I168" s="74"/>
      <c r="J168" s="74"/>
      <c r="K168" s="74"/>
      <c r="L168" s="74"/>
      <c r="M168" s="74"/>
      <c r="N168" s="38" t="str">
        <f>IF(OR(A168="Автомат",A168="Дифавтомат"),IF(W168="","",COUNTIFS(Однолинейка!$H$3:$H$3000,U168,Однолинейка!$A$3:$A$3000,Щит_спец)),IF(A168="Аппарат",IF(C168="","",COUNTIFS(Однолинейка!$I$3:$I$3000,C168,Однолинейка!$A$3:$A$3000,Щит_спец)+COUNTIFS(Однолинейка!$J$3:$J$3000,C168,Однолинейка!$A$3:$A$3000,Щит_спец)+COUNTIFS(Однолинейка!$K$3:$K$3000,C168,Однолинейка!$A$3:$A$3000,Щит_спец)),IF(A168="Модуль",IF(C168="","",COUNTIFS(Однолинейка!$AW$3:$AW$3000,"?*",Однолинейка!$AI$3:$AI$3000,C168,Однолинейка!$A$3:$A$3000,Щит_спец)),IF(A168="Клемма",IF(C168="","",IF(C168=$S$7,SUMIFS(Однолинейка!$BW$3:$BW$3000,Однолинейка!$A$3:$A$3000,Щит_спец),IF(C168=$S$8,SUMIFS(Однолинейка!$BX$3:$BX$3000,Однолинейка!$A$3:$A$3000,Щит_спец),""))),""))))</f>
        <v/>
      </c>
      <c r="O168" s="74"/>
      <c r="P168" s="38" t="str">
        <f t="shared" si="18"/>
        <v/>
      </c>
      <c r="U168" s="38" t="str">
        <f t="shared" si="19"/>
        <v/>
      </c>
      <c r="V168" s="38" t="str">
        <f t="shared" si="20"/>
        <v/>
      </c>
      <c r="W168" s="38" t="str">
        <f>IF(AND(U168&lt;&gt;"",OR($S$4="(все)",B168=$S$4),IF($S$4="(все)",COUNTIF($U$4:U168,U168),COUNTIFS($U$4:U168,U168,$B$4:B168,B168))=1),MAX($W$3:W167)+1,"")</f>
        <v/>
      </c>
      <c r="X168" s="38" t="str">
        <f t="shared" si="21"/>
        <v/>
      </c>
      <c r="Y168" s="38" t="str">
        <f>IF(AND(A168="Аппарат",C168&lt;&gt;"",OR($S$5="(все)",B168=$S$5)),MAX($Y$3:Y167)+1,"")</f>
        <v/>
      </c>
      <c r="Z168" s="38" t="str">
        <f t="shared" si="22"/>
        <v/>
      </c>
      <c r="AA168" s="38" t="str">
        <f>IF(AND(A168="Модуль",C168&lt;&gt;"",OR($S$6="(все)",B168=$S$6)),MAX($AA$3:AA167)+1,"")</f>
        <v/>
      </c>
      <c r="AB168" s="38" t="str">
        <f t="shared" si="23"/>
        <v/>
      </c>
      <c r="AC168" s="38" t="str">
        <f>IF(OR(B168="",COUNTIF($B$4:B168,B168)&gt;1),"",MAX($AC$3:AC167)+1)</f>
        <v/>
      </c>
      <c r="AD168" s="38" t="str">
        <f t="shared" si="24"/>
        <v/>
      </c>
      <c r="AE168" s="38" t="str">
        <f t="shared" si="25"/>
        <v/>
      </c>
      <c r="AF168" s="38" t="str">
        <f t="shared" si="26"/>
        <v/>
      </c>
    </row>
    <row r="169" spans="1:32" x14ac:dyDescent="0.3">
      <c r="A169" s="74"/>
      <c r="B169" s="74"/>
      <c r="C169" s="74"/>
      <c r="D169" s="74"/>
      <c r="E169" s="74"/>
      <c r="F169" s="74"/>
      <c r="G169" s="74"/>
      <c r="H169" s="74"/>
      <c r="I169" s="74"/>
      <c r="J169" s="74"/>
      <c r="K169" s="74"/>
      <c r="L169" s="74"/>
      <c r="M169" s="74"/>
      <c r="N169" s="38" t="str">
        <f>IF(OR(A169="Автомат",A169="Дифавтомат"),IF(W169="","",COUNTIFS(Однолинейка!$H$3:$H$3000,U169,Однолинейка!$A$3:$A$3000,Щит_спец)),IF(A169="Аппарат",IF(C169="","",COUNTIFS(Однолинейка!$I$3:$I$3000,C169,Однолинейка!$A$3:$A$3000,Щит_спец)+COUNTIFS(Однолинейка!$J$3:$J$3000,C169,Однолинейка!$A$3:$A$3000,Щит_спец)+COUNTIFS(Однолинейка!$K$3:$K$3000,C169,Однолинейка!$A$3:$A$3000,Щит_спец)),IF(A169="Модуль",IF(C169="","",COUNTIFS(Однолинейка!$AW$3:$AW$3000,"?*",Однолинейка!$AI$3:$AI$3000,C169,Однолинейка!$A$3:$A$3000,Щит_спец)),IF(A169="Клемма",IF(C169="","",IF(C169=$S$7,SUMIFS(Однолинейка!$BW$3:$BW$3000,Однолинейка!$A$3:$A$3000,Щит_спец),IF(C169=$S$8,SUMIFS(Однолинейка!$BX$3:$BX$3000,Однолинейка!$A$3:$A$3000,Щит_спец),""))),""))))</f>
        <v/>
      </c>
      <c r="O169" s="74"/>
      <c r="P169" s="38" t="str">
        <f t="shared" si="18"/>
        <v/>
      </c>
      <c r="U169" s="38" t="str">
        <f t="shared" si="19"/>
        <v/>
      </c>
      <c r="V169" s="38" t="str">
        <f t="shared" si="20"/>
        <v/>
      </c>
      <c r="W169" s="38" t="str">
        <f>IF(AND(U169&lt;&gt;"",OR($S$4="(все)",B169=$S$4),IF($S$4="(все)",COUNTIF($U$4:U169,U169),COUNTIFS($U$4:U169,U169,$B$4:B169,B169))=1),MAX($W$3:W168)+1,"")</f>
        <v/>
      </c>
      <c r="X169" s="38" t="str">
        <f t="shared" si="21"/>
        <v/>
      </c>
      <c r="Y169" s="38" t="str">
        <f>IF(AND(A169="Аппарат",C169&lt;&gt;"",OR($S$5="(все)",B169=$S$5)),MAX($Y$3:Y168)+1,"")</f>
        <v/>
      </c>
      <c r="Z169" s="38" t="str">
        <f t="shared" si="22"/>
        <v/>
      </c>
      <c r="AA169" s="38" t="str">
        <f>IF(AND(A169="Модуль",C169&lt;&gt;"",OR($S$6="(все)",B169=$S$6)),MAX($AA$3:AA168)+1,"")</f>
        <v/>
      </c>
      <c r="AB169" s="38" t="str">
        <f t="shared" si="23"/>
        <v/>
      </c>
      <c r="AC169" s="38" t="str">
        <f>IF(OR(B169="",COUNTIF($B$4:B169,B169)&gt;1),"",MAX($AC$3:AC168)+1)</f>
        <v/>
      </c>
      <c r="AD169" s="38" t="str">
        <f t="shared" si="24"/>
        <v/>
      </c>
      <c r="AE169" s="38" t="str">
        <f t="shared" si="25"/>
        <v/>
      </c>
      <c r="AF169" s="38" t="str">
        <f t="shared" si="26"/>
        <v/>
      </c>
    </row>
    <row r="170" spans="1:32" x14ac:dyDescent="0.3">
      <c r="A170" s="74"/>
      <c r="B170" s="74"/>
      <c r="C170" s="74"/>
      <c r="D170" s="74"/>
      <c r="E170" s="74"/>
      <c r="F170" s="74"/>
      <c r="G170" s="74"/>
      <c r="H170" s="74"/>
      <c r="I170" s="74"/>
      <c r="J170" s="74"/>
      <c r="K170" s="74"/>
      <c r="L170" s="74"/>
      <c r="M170" s="74"/>
      <c r="N170" s="38" t="str">
        <f>IF(OR(A170="Автомат",A170="Дифавтомат"),IF(W170="","",COUNTIFS(Однолинейка!$H$3:$H$3000,U170,Однолинейка!$A$3:$A$3000,Щит_спец)),IF(A170="Аппарат",IF(C170="","",COUNTIFS(Однолинейка!$I$3:$I$3000,C170,Однолинейка!$A$3:$A$3000,Щит_спец)+COUNTIFS(Однолинейка!$J$3:$J$3000,C170,Однолинейка!$A$3:$A$3000,Щит_спец)+COUNTIFS(Однолинейка!$K$3:$K$3000,C170,Однолинейка!$A$3:$A$3000,Щит_спец)),IF(A170="Модуль",IF(C170="","",COUNTIFS(Однолинейка!$AW$3:$AW$3000,"?*",Однолинейка!$AI$3:$AI$3000,C170,Однолинейка!$A$3:$A$3000,Щит_спец)),IF(A170="Клемма",IF(C170="","",IF(C170=$S$7,SUMIFS(Однолинейка!$BW$3:$BW$3000,Однолинейка!$A$3:$A$3000,Щит_спец),IF(C170=$S$8,SUMIFS(Однолинейка!$BX$3:$BX$3000,Однолинейка!$A$3:$A$3000,Щит_спец),""))),""))))</f>
        <v/>
      </c>
      <c r="O170" s="74"/>
      <c r="P170" s="38" t="str">
        <f t="shared" si="18"/>
        <v/>
      </c>
      <c r="U170" s="38" t="str">
        <f t="shared" si="19"/>
        <v/>
      </c>
      <c r="V170" s="38" t="str">
        <f t="shared" si="20"/>
        <v/>
      </c>
      <c r="W170" s="38" t="str">
        <f>IF(AND(U170&lt;&gt;"",OR($S$4="(все)",B170=$S$4),IF($S$4="(все)",COUNTIF($U$4:U170,U170),COUNTIFS($U$4:U170,U170,$B$4:B170,B170))=1),MAX($W$3:W169)+1,"")</f>
        <v/>
      </c>
      <c r="X170" s="38" t="str">
        <f t="shared" si="21"/>
        <v/>
      </c>
      <c r="Y170" s="38" t="str">
        <f>IF(AND(A170="Аппарат",C170&lt;&gt;"",OR($S$5="(все)",B170=$S$5)),MAX($Y$3:Y169)+1,"")</f>
        <v/>
      </c>
      <c r="Z170" s="38" t="str">
        <f t="shared" si="22"/>
        <v/>
      </c>
      <c r="AA170" s="38" t="str">
        <f>IF(AND(A170="Модуль",C170&lt;&gt;"",OR($S$6="(все)",B170=$S$6)),MAX($AA$3:AA169)+1,"")</f>
        <v/>
      </c>
      <c r="AB170" s="38" t="str">
        <f t="shared" si="23"/>
        <v/>
      </c>
      <c r="AC170" s="38" t="str">
        <f>IF(OR(B170="",COUNTIF($B$4:B170,B170)&gt;1),"",MAX($AC$3:AC169)+1)</f>
        <v/>
      </c>
      <c r="AD170" s="38" t="str">
        <f t="shared" si="24"/>
        <v/>
      </c>
      <c r="AE170" s="38" t="str">
        <f t="shared" si="25"/>
        <v/>
      </c>
      <c r="AF170" s="38" t="str">
        <f t="shared" si="26"/>
        <v/>
      </c>
    </row>
    <row r="171" spans="1:32" x14ac:dyDescent="0.3">
      <c r="A171" s="74"/>
      <c r="B171" s="74"/>
      <c r="C171" s="74"/>
      <c r="D171" s="74"/>
      <c r="E171" s="74"/>
      <c r="F171" s="74"/>
      <c r="G171" s="74"/>
      <c r="H171" s="74"/>
      <c r="I171" s="74"/>
      <c r="J171" s="74"/>
      <c r="K171" s="74"/>
      <c r="L171" s="74"/>
      <c r="M171" s="74"/>
      <c r="N171" s="38" t="str">
        <f>IF(OR(A171="Автомат",A171="Дифавтомат"),IF(W171="","",COUNTIFS(Однолинейка!$H$3:$H$3000,U171,Однолинейка!$A$3:$A$3000,Щит_спец)),IF(A171="Аппарат",IF(C171="","",COUNTIFS(Однолинейка!$I$3:$I$3000,C171,Однолинейка!$A$3:$A$3000,Щит_спец)+COUNTIFS(Однолинейка!$J$3:$J$3000,C171,Однолинейка!$A$3:$A$3000,Щит_спец)+COUNTIFS(Однолинейка!$K$3:$K$3000,C171,Однолинейка!$A$3:$A$3000,Щит_спец)),IF(A171="Модуль",IF(C171="","",COUNTIFS(Однолинейка!$AW$3:$AW$3000,"?*",Однолинейка!$AI$3:$AI$3000,C171,Однолинейка!$A$3:$A$3000,Щит_спец)),IF(A171="Клемма",IF(C171="","",IF(C171=$S$7,SUMIFS(Однолинейка!$BW$3:$BW$3000,Однолинейка!$A$3:$A$3000,Щит_спец),IF(C171=$S$8,SUMIFS(Однолинейка!$BX$3:$BX$3000,Однолинейка!$A$3:$A$3000,Щит_спец),""))),""))))</f>
        <v/>
      </c>
      <c r="O171" s="74"/>
      <c r="P171" s="38" t="str">
        <f t="shared" si="18"/>
        <v/>
      </c>
      <c r="U171" s="38" t="str">
        <f t="shared" si="19"/>
        <v/>
      </c>
      <c r="V171" s="38" t="str">
        <f t="shared" si="20"/>
        <v/>
      </c>
      <c r="W171" s="38" t="str">
        <f>IF(AND(U171&lt;&gt;"",OR($S$4="(все)",B171=$S$4),IF($S$4="(все)",COUNTIF($U$4:U171,U171),COUNTIFS($U$4:U171,U171,$B$4:B171,B171))=1),MAX($W$3:W170)+1,"")</f>
        <v/>
      </c>
      <c r="X171" s="38" t="str">
        <f t="shared" si="21"/>
        <v/>
      </c>
      <c r="Y171" s="38" t="str">
        <f>IF(AND(A171="Аппарат",C171&lt;&gt;"",OR($S$5="(все)",B171=$S$5)),MAX($Y$3:Y170)+1,"")</f>
        <v/>
      </c>
      <c r="Z171" s="38" t="str">
        <f t="shared" si="22"/>
        <v/>
      </c>
      <c r="AA171" s="38" t="str">
        <f>IF(AND(A171="Модуль",C171&lt;&gt;"",OR($S$6="(все)",B171=$S$6)),MAX($AA$3:AA170)+1,"")</f>
        <v/>
      </c>
      <c r="AB171" s="38" t="str">
        <f t="shared" si="23"/>
        <v/>
      </c>
      <c r="AC171" s="38" t="str">
        <f>IF(OR(B171="",COUNTIF($B$4:B171,B171)&gt;1),"",MAX($AC$3:AC170)+1)</f>
        <v/>
      </c>
      <c r="AD171" s="38" t="str">
        <f t="shared" si="24"/>
        <v/>
      </c>
      <c r="AE171" s="38" t="str">
        <f t="shared" si="25"/>
        <v/>
      </c>
      <c r="AF171" s="38" t="str">
        <f t="shared" si="26"/>
        <v/>
      </c>
    </row>
    <row r="172" spans="1:32" x14ac:dyDescent="0.3">
      <c r="A172" s="74"/>
      <c r="B172" s="74"/>
      <c r="C172" s="74"/>
      <c r="D172" s="74"/>
      <c r="E172" s="74"/>
      <c r="F172" s="74"/>
      <c r="G172" s="74"/>
      <c r="H172" s="74"/>
      <c r="I172" s="74"/>
      <c r="J172" s="74"/>
      <c r="K172" s="74"/>
      <c r="L172" s="74"/>
      <c r="M172" s="74"/>
      <c r="N172" s="38" t="str">
        <f>IF(OR(A172="Автомат",A172="Дифавтомат"),IF(W172="","",COUNTIFS(Однолинейка!$H$3:$H$3000,U172,Однолинейка!$A$3:$A$3000,Щит_спец)),IF(A172="Аппарат",IF(C172="","",COUNTIFS(Однолинейка!$I$3:$I$3000,C172,Однолинейка!$A$3:$A$3000,Щит_спец)+COUNTIFS(Однолинейка!$J$3:$J$3000,C172,Однолинейка!$A$3:$A$3000,Щит_спец)+COUNTIFS(Однолинейка!$K$3:$K$3000,C172,Однолинейка!$A$3:$A$3000,Щит_спец)),IF(A172="Модуль",IF(C172="","",COUNTIFS(Однолинейка!$AW$3:$AW$3000,"?*",Однолинейка!$AI$3:$AI$3000,C172,Однолинейка!$A$3:$A$3000,Щит_спец)),IF(A172="Клемма",IF(C172="","",IF(C172=$S$7,SUMIFS(Однолинейка!$BW$3:$BW$3000,Однолинейка!$A$3:$A$3000,Щит_спец),IF(C172=$S$8,SUMIFS(Однолинейка!$BX$3:$BX$3000,Однолинейка!$A$3:$A$3000,Щит_спец),""))),""))))</f>
        <v/>
      </c>
      <c r="O172" s="74"/>
      <c r="P172" s="38" t="str">
        <f t="shared" si="18"/>
        <v/>
      </c>
      <c r="U172" s="38" t="str">
        <f t="shared" si="19"/>
        <v/>
      </c>
      <c r="V172" s="38" t="str">
        <f t="shared" si="20"/>
        <v/>
      </c>
      <c r="W172" s="38" t="str">
        <f>IF(AND(U172&lt;&gt;"",OR($S$4="(все)",B172=$S$4),IF($S$4="(все)",COUNTIF($U$4:U172,U172),COUNTIFS($U$4:U172,U172,$B$4:B172,B172))=1),MAX($W$3:W171)+1,"")</f>
        <v/>
      </c>
      <c r="X172" s="38" t="str">
        <f t="shared" si="21"/>
        <v/>
      </c>
      <c r="Y172" s="38" t="str">
        <f>IF(AND(A172="Аппарат",C172&lt;&gt;"",OR($S$5="(все)",B172=$S$5)),MAX($Y$3:Y171)+1,"")</f>
        <v/>
      </c>
      <c r="Z172" s="38" t="str">
        <f t="shared" si="22"/>
        <v/>
      </c>
      <c r="AA172" s="38" t="str">
        <f>IF(AND(A172="Модуль",C172&lt;&gt;"",OR($S$6="(все)",B172=$S$6)),MAX($AA$3:AA171)+1,"")</f>
        <v/>
      </c>
      <c r="AB172" s="38" t="str">
        <f t="shared" si="23"/>
        <v/>
      </c>
      <c r="AC172" s="38" t="str">
        <f>IF(OR(B172="",COUNTIF($B$4:B172,B172)&gt;1),"",MAX($AC$3:AC171)+1)</f>
        <v/>
      </c>
      <c r="AD172" s="38" t="str">
        <f t="shared" si="24"/>
        <v/>
      </c>
      <c r="AE172" s="38" t="str">
        <f t="shared" si="25"/>
        <v/>
      </c>
      <c r="AF172" s="38" t="str">
        <f t="shared" si="26"/>
        <v/>
      </c>
    </row>
    <row r="173" spans="1:32" x14ac:dyDescent="0.3">
      <c r="A173" s="74"/>
      <c r="B173" s="74"/>
      <c r="C173" s="74"/>
      <c r="D173" s="74"/>
      <c r="E173" s="74"/>
      <c r="F173" s="74"/>
      <c r="G173" s="74"/>
      <c r="H173" s="74"/>
      <c r="I173" s="74"/>
      <c r="J173" s="74"/>
      <c r="K173" s="74"/>
      <c r="L173" s="74"/>
      <c r="M173" s="74"/>
      <c r="N173" s="38" t="str">
        <f>IF(OR(A173="Автомат",A173="Дифавтомат"),IF(W173="","",COUNTIFS(Однолинейка!$H$3:$H$3000,U173,Однолинейка!$A$3:$A$3000,Щит_спец)),IF(A173="Аппарат",IF(C173="","",COUNTIFS(Однолинейка!$I$3:$I$3000,C173,Однолинейка!$A$3:$A$3000,Щит_спец)+COUNTIFS(Однолинейка!$J$3:$J$3000,C173,Однолинейка!$A$3:$A$3000,Щит_спец)+COUNTIFS(Однолинейка!$K$3:$K$3000,C173,Однолинейка!$A$3:$A$3000,Щит_спец)),IF(A173="Модуль",IF(C173="","",COUNTIFS(Однолинейка!$AW$3:$AW$3000,"?*",Однолинейка!$AI$3:$AI$3000,C173,Однолинейка!$A$3:$A$3000,Щит_спец)),IF(A173="Клемма",IF(C173="","",IF(C173=$S$7,SUMIFS(Однолинейка!$BW$3:$BW$3000,Однолинейка!$A$3:$A$3000,Щит_спец),IF(C173=$S$8,SUMIFS(Однолинейка!$BX$3:$BX$3000,Однолинейка!$A$3:$A$3000,Щит_спец),""))),""))))</f>
        <v/>
      </c>
      <c r="O173" s="74"/>
      <c r="P173" s="38" t="str">
        <f t="shared" si="18"/>
        <v/>
      </c>
      <c r="U173" s="38" t="str">
        <f t="shared" si="19"/>
        <v/>
      </c>
      <c r="V173" s="38" t="str">
        <f t="shared" si="20"/>
        <v/>
      </c>
      <c r="W173" s="38" t="str">
        <f>IF(AND(U173&lt;&gt;"",OR($S$4="(все)",B173=$S$4),IF($S$4="(все)",COUNTIF($U$4:U173,U173),COUNTIFS($U$4:U173,U173,$B$4:B173,B173))=1),MAX($W$3:W172)+1,"")</f>
        <v/>
      </c>
      <c r="X173" s="38" t="str">
        <f t="shared" si="21"/>
        <v/>
      </c>
      <c r="Y173" s="38" t="str">
        <f>IF(AND(A173="Аппарат",C173&lt;&gt;"",OR($S$5="(все)",B173=$S$5)),MAX($Y$3:Y172)+1,"")</f>
        <v/>
      </c>
      <c r="Z173" s="38" t="str">
        <f t="shared" si="22"/>
        <v/>
      </c>
      <c r="AA173" s="38" t="str">
        <f>IF(AND(A173="Модуль",C173&lt;&gt;"",OR($S$6="(все)",B173=$S$6)),MAX($AA$3:AA172)+1,"")</f>
        <v/>
      </c>
      <c r="AB173" s="38" t="str">
        <f t="shared" si="23"/>
        <v/>
      </c>
      <c r="AC173" s="38" t="str">
        <f>IF(OR(B173="",COUNTIF($B$4:B173,B173)&gt;1),"",MAX($AC$3:AC172)+1)</f>
        <v/>
      </c>
      <c r="AD173" s="38" t="str">
        <f t="shared" si="24"/>
        <v/>
      </c>
      <c r="AE173" s="38" t="str">
        <f t="shared" si="25"/>
        <v/>
      </c>
      <c r="AF173" s="38" t="str">
        <f t="shared" si="26"/>
        <v/>
      </c>
    </row>
    <row r="174" spans="1:32" x14ac:dyDescent="0.3">
      <c r="A174" s="74"/>
      <c r="B174" s="74"/>
      <c r="C174" s="74"/>
      <c r="D174" s="74"/>
      <c r="E174" s="74"/>
      <c r="F174" s="74"/>
      <c r="G174" s="74"/>
      <c r="H174" s="74"/>
      <c r="I174" s="74"/>
      <c r="J174" s="74"/>
      <c r="K174" s="74"/>
      <c r="L174" s="74"/>
      <c r="M174" s="74"/>
      <c r="N174" s="38" t="str">
        <f>IF(OR(A174="Автомат",A174="Дифавтомат"),IF(W174="","",COUNTIFS(Однолинейка!$H$3:$H$3000,U174,Однолинейка!$A$3:$A$3000,Щит_спец)),IF(A174="Аппарат",IF(C174="","",COUNTIFS(Однолинейка!$I$3:$I$3000,C174,Однолинейка!$A$3:$A$3000,Щит_спец)+COUNTIFS(Однолинейка!$J$3:$J$3000,C174,Однолинейка!$A$3:$A$3000,Щит_спец)+COUNTIFS(Однолинейка!$K$3:$K$3000,C174,Однолинейка!$A$3:$A$3000,Щит_спец)),IF(A174="Модуль",IF(C174="","",COUNTIFS(Однолинейка!$AW$3:$AW$3000,"?*",Однолинейка!$AI$3:$AI$3000,C174,Однолинейка!$A$3:$A$3000,Щит_спец)),IF(A174="Клемма",IF(C174="","",IF(C174=$S$7,SUMIFS(Однолинейка!$BW$3:$BW$3000,Однолинейка!$A$3:$A$3000,Щит_спец),IF(C174=$S$8,SUMIFS(Однолинейка!$BX$3:$BX$3000,Однолинейка!$A$3:$A$3000,Щит_спец),""))),""))))</f>
        <v/>
      </c>
      <c r="O174" s="74"/>
      <c r="P174" s="38" t="str">
        <f t="shared" si="18"/>
        <v/>
      </c>
      <c r="U174" s="38" t="str">
        <f t="shared" si="19"/>
        <v/>
      </c>
      <c r="V174" s="38" t="str">
        <f t="shared" si="20"/>
        <v/>
      </c>
      <c r="W174" s="38" t="str">
        <f>IF(AND(U174&lt;&gt;"",OR($S$4="(все)",B174=$S$4),IF($S$4="(все)",COUNTIF($U$4:U174,U174),COUNTIFS($U$4:U174,U174,$B$4:B174,B174))=1),MAX($W$3:W173)+1,"")</f>
        <v/>
      </c>
      <c r="X174" s="38" t="str">
        <f t="shared" si="21"/>
        <v/>
      </c>
      <c r="Y174" s="38" t="str">
        <f>IF(AND(A174="Аппарат",C174&lt;&gt;"",OR($S$5="(все)",B174=$S$5)),MAX($Y$3:Y173)+1,"")</f>
        <v/>
      </c>
      <c r="Z174" s="38" t="str">
        <f t="shared" si="22"/>
        <v/>
      </c>
      <c r="AA174" s="38" t="str">
        <f>IF(AND(A174="Модуль",C174&lt;&gt;"",OR($S$6="(все)",B174=$S$6)),MAX($AA$3:AA173)+1,"")</f>
        <v/>
      </c>
      <c r="AB174" s="38" t="str">
        <f t="shared" si="23"/>
        <v/>
      </c>
      <c r="AC174" s="38" t="str">
        <f>IF(OR(B174="",COUNTIF($B$4:B174,B174)&gt;1),"",MAX($AC$3:AC173)+1)</f>
        <v/>
      </c>
      <c r="AD174" s="38" t="str">
        <f t="shared" si="24"/>
        <v/>
      </c>
      <c r="AE174" s="38" t="str">
        <f t="shared" si="25"/>
        <v/>
      </c>
      <c r="AF174" s="38" t="str">
        <f t="shared" si="26"/>
        <v/>
      </c>
    </row>
    <row r="175" spans="1:32" x14ac:dyDescent="0.3">
      <c r="A175" s="74"/>
      <c r="B175" s="74"/>
      <c r="C175" s="74"/>
      <c r="D175" s="74"/>
      <c r="E175" s="74"/>
      <c r="F175" s="74"/>
      <c r="G175" s="74"/>
      <c r="H175" s="74"/>
      <c r="I175" s="74"/>
      <c r="J175" s="74"/>
      <c r="K175" s="74"/>
      <c r="L175" s="74"/>
      <c r="M175" s="74"/>
      <c r="N175" s="38" t="str">
        <f>IF(OR(A175="Автомат",A175="Дифавтомат"),IF(W175="","",COUNTIFS(Однолинейка!$H$3:$H$3000,U175,Однолинейка!$A$3:$A$3000,Щит_спец)),IF(A175="Аппарат",IF(C175="","",COUNTIFS(Однолинейка!$I$3:$I$3000,C175,Однолинейка!$A$3:$A$3000,Щит_спец)+COUNTIFS(Однолинейка!$J$3:$J$3000,C175,Однолинейка!$A$3:$A$3000,Щит_спец)+COUNTIFS(Однолинейка!$K$3:$K$3000,C175,Однолинейка!$A$3:$A$3000,Щит_спец)),IF(A175="Модуль",IF(C175="","",COUNTIFS(Однолинейка!$AW$3:$AW$3000,"?*",Однолинейка!$AI$3:$AI$3000,C175,Однолинейка!$A$3:$A$3000,Щит_спец)),IF(A175="Клемма",IF(C175="","",IF(C175=$S$7,SUMIFS(Однолинейка!$BW$3:$BW$3000,Однолинейка!$A$3:$A$3000,Щит_спец),IF(C175=$S$8,SUMIFS(Однолинейка!$BX$3:$BX$3000,Однолинейка!$A$3:$A$3000,Щит_спец),""))),""))))</f>
        <v/>
      </c>
      <c r="O175" s="74"/>
      <c r="P175" s="38" t="str">
        <f t="shared" si="18"/>
        <v/>
      </c>
      <c r="U175" s="38" t="str">
        <f t="shared" si="19"/>
        <v/>
      </c>
      <c r="V175" s="38" t="str">
        <f t="shared" si="20"/>
        <v/>
      </c>
      <c r="W175" s="38" t="str">
        <f>IF(AND(U175&lt;&gt;"",OR($S$4="(все)",B175=$S$4),IF($S$4="(все)",COUNTIF($U$4:U175,U175),COUNTIFS($U$4:U175,U175,$B$4:B175,B175))=1),MAX($W$3:W174)+1,"")</f>
        <v/>
      </c>
      <c r="X175" s="38" t="str">
        <f t="shared" si="21"/>
        <v/>
      </c>
      <c r="Y175" s="38" t="str">
        <f>IF(AND(A175="Аппарат",C175&lt;&gt;"",OR($S$5="(все)",B175=$S$5)),MAX($Y$3:Y174)+1,"")</f>
        <v/>
      </c>
      <c r="Z175" s="38" t="str">
        <f t="shared" si="22"/>
        <v/>
      </c>
      <c r="AA175" s="38" t="str">
        <f>IF(AND(A175="Модуль",C175&lt;&gt;"",OR($S$6="(все)",B175=$S$6)),MAX($AA$3:AA174)+1,"")</f>
        <v/>
      </c>
      <c r="AB175" s="38" t="str">
        <f t="shared" si="23"/>
        <v/>
      </c>
      <c r="AC175" s="38" t="str">
        <f>IF(OR(B175="",COUNTIF($B$4:B175,B175)&gt;1),"",MAX($AC$3:AC174)+1)</f>
        <v/>
      </c>
      <c r="AD175" s="38" t="str">
        <f t="shared" si="24"/>
        <v/>
      </c>
      <c r="AE175" s="38" t="str">
        <f t="shared" si="25"/>
        <v/>
      </c>
      <c r="AF175" s="38" t="str">
        <f t="shared" si="26"/>
        <v/>
      </c>
    </row>
    <row r="176" spans="1:32" x14ac:dyDescent="0.3">
      <c r="A176" s="74"/>
      <c r="B176" s="74"/>
      <c r="C176" s="74"/>
      <c r="D176" s="74"/>
      <c r="E176" s="74"/>
      <c r="F176" s="74"/>
      <c r="G176" s="74"/>
      <c r="H176" s="74"/>
      <c r="I176" s="74"/>
      <c r="J176" s="74"/>
      <c r="K176" s="74"/>
      <c r="L176" s="74"/>
      <c r="M176" s="74"/>
      <c r="N176" s="38" t="str">
        <f>IF(OR(A176="Автомат",A176="Дифавтомат"),IF(W176="","",COUNTIFS(Однолинейка!$H$3:$H$3000,U176,Однолинейка!$A$3:$A$3000,Щит_спец)),IF(A176="Аппарат",IF(C176="","",COUNTIFS(Однолинейка!$I$3:$I$3000,C176,Однолинейка!$A$3:$A$3000,Щит_спец)+COUNTIFS(Однолинейка!$J$3:$J$3000,C176,Однолинейка!$A$3:$A$3000,Щит_спец)+COUNTIFS(Однолинейка!$K$3:$K$3000,C176,Однолинейка!$A$3:$A$3000,Щит_спец)),IF(A176="Модуль",IF(C176="","",COUNTIFS(Однолинейка!$AW$3:$AW$3000,"?*",Однолинейка!$AI$3:$AI$3000,C176,Однолинейка!$A$3:$A$3000,Щит_спец)),IF(A176="Клемма",IF(C176="","",IF(C176=$S$7,SUMIFS(Однолинейка!$BW$3:$BW$3000,Однолинейка!$A$3:$A$3000,Щит_спец),IF(C176=$S$8,SUMIFS(Однолинейка!$BX$3:$BX$3000,Однолинейка!$A$3:$A$3000,Щит_спец),""))),""))))</f>
        <v/>
      </c>
      <c r="O176" s="74"/>
      <c r="P176" s="38" t="str">
        <f t="shared" si="18"/>
        <v/>
      </c>
      <c r="U176" s="38" t="str">
        <f t="shared" si="19"/>
        <v/>
      </c>
      <c r="V176" s="38" t="str">
        <f t="shared" si="20"/>
        <v/>
      </c>
      <c r="W176" s="38" t="str">
        <f>IF(AND(U176&lt;&gt;"",OR($S$4="(все)",B176=$S$4),IF($S$4="(все)",COUNTIF($U$4:U176,U176),COUNTIFS($U$4:U176,U176,$B$4:B176,B176))=1),MAX($W$3:W175)+1,"")</f>
        <v/>
      </c>
      <c r="X176" s="38" t="str">
        <f t="shared" si="21"/>
        <v/>
      </c>
      <c r="Y176" s="38" t="str">
        <f>IF(AND(A176="Аппарат",C176&lt;&gt;"",OR($S$5="(все)",B176=$S$5)),MAX($Y$3:Y175)+1,"")</f>
        <v/>
      </c>
      <c r="Z176" s="38" t="str">
        <f t="shared" si="22"/>
        <v/>
      </c>
      <c r="AA176" s="38" t="str">
        <f>IF(AND(A176="Модуль",C176&lt;&gt;"",OR($S$6="(все)",B176=$S$6)),MAX($AA$3:AA175)+1,"")</f>
        <v/>
      </c>
      <c r="AB176" s="38" t="str">
        <f t="shared" si="23"/>
        <v/>
      </c>
      <c r="AC176" s="38" t="str">
        <f>IF(OR(B176="",COUNTIF($B$4:B176,B176)&gt;1),"",MAX($AC$3:AC175)+1)</f>
        <v/>
      </c>
      <c r="AD176" s="38" t="str">
        <f t="shared" si="24"/>
        <v/>
      </c>
      <c r="AE176" s="38" t="str">
        <f t="shared" si="25"/>
        <v/>
      </c>
      <c r="AF176" s="38" t="str">
        <f t="shared" si="26"/>
        <v/>
      </c>
    </row>
    <row r="177" spans="1:32" x14ac:dyDescent="0.3">
      <c r="A177" s="74"/>
      <c r="B177" s="74"/>
      <c r="C177" s="74"/>
      <c r="D177" s="74"/>
      <c r="E177" s="74"/>
      <c r="F177" s="74"/>
      <c r="G177" s="74"/>
      <c r="H177" s="74"/>
      <c r="I177" s="74"/>
      <c r="J177" s="74"/>
      <c r="K177" s="74"/>
      <c r="L177" s="74"/>
      <c r="M177" s="74"/>
      <c r="N177" s="38" t="str">
        <f>IF(OR(A177="Автомат",A177="Дифавтомат"),IF(W177="","",COUNTIFS(Однолинейка!$H$3:$H$3000,U177,Однолинейка!$A$3:$A$3000,Щит_спец)),IF(A177="Аппарат",IF(C177="","",COUNTIFS(Однолинейка!$I$3:$I$3000,C177,Однолинейка!$A$3:$A$3000,Щит_спец)+COUNTIFS(Однолинейка!$J$3:$J$3000,C177,Однолинейка!$A$3:$A$3000,Щит_спец)+COUNTIFS(Однолинейка!$K$3:$K$3000,C177,Однолинейка!$A$3:$A$3000,Щит_спец)),IF(A177="Модуль",IF(C177="","",COUNTIFS(Однолинейка!$AW$3:$AW$3000,"?*",Однолинейка!$AI$3:$AI$3000,C177,Однолинейка!$A$3:$A$3000,Щит_спец)),IF(A177="Клемма",IF(C177="","",IF(C177=$S$7,SUMIFS(Однолинейка!$BW$3:$BW$3000,Однолинейка!$A$3:$A$3000,Щит_спец),IF(C177=$S$8,SUMIFS(Однолинейка!$BX$3:$BX$3000,Однолинейка!$A$3:$A$3000,Щит_спец),""))),""))))</f>
        <v/>
      </c>
      <c r="O177" s="74"/>
      <c r="P177" s="38" t="str">
        <f t="shared" si="18"/>
        <v/>
      </c>
      <c r="U177" s="38" t="str">
        <f t="shared" si="19"/>
        <v/>
      </c>
      <c r="V177" s="38" t="str">
        <f t="shared" si="20"/>
        <v/>
      </c>
      <c r="W177" s="38" t="str">
        <f>IF(AND(U177&lt;&gt;"",OR($S$4="(все)",B177=$S$4),IF($S$4="(все)",COUNTIF($U$4:U177,U177),COUNTIFS($U$4:U177,U177,$B$4:B177,B177))=1),MAX($W$3:W176)+1,"")</f>
        <v/>
      </c>
      <c r="X177" s="38" t="str">
        <f t="shared" si="21"/>
        <v/>
      </c>
      <c r="Y177" s="38" t="str">
        <f>IF(AND(A177="Аппарат",C177&lt;&gt;"",OR($S$5="(все)",B177=$S$5)),MAX($Y$3:Y176)+1,"")</f>
        <v/>
      </c>
      <c r="Z177" s="38" t="str">
        <f t="shared" si="22"/>
        <v/>
      </c>
      <c r="AA177" s="38" t="str">
        <f>IF(AND(A177="Модуль",C177&lt;&gt;"",OR($S$6="(все)",B177=$S$6)),MAX($AA$3:AA176)+1,"")</f>
        <v/>
      </c>
      <c r="AB177" s="38" t="str">
        <f t="shared" si="23"/>
        <v/>
      </c>
      <c r="AC177" s="38" t="str">
        <f>IF(OR(B177="",COUNTIF($B$4:B177,B177)&gt;1),"",MAX($AC$3:AC176)+1)</f>
        <v/>
      </c>
      <c r="AD177" s="38" t="str">
        <f t="shared" si="24"/>
        <v/>
      </c>
      <c r="AE177" s="38" t="str">
        <f t="shared" si="25"/>
        <v/>
      </c>
      <c r="AF177" s="38" t="str">
        <f t="shared" si="26"/>
        <v/>
      </c>
    </row>
    <row r="178" spans="1:32" x14ac:dyDescent="0.3">
      <c r="A178" s="74"/>
      <c r="B178" s="74"/>
      <c r="C178" s="74"/>
      <c r="D178" s="74"/>
      <c r="E178" s="74"/>
      <c r="F178" s="74"/>
      <c r="G178" s="74"/>
      <c r="H178" s="74"/>
      <c r="I178" s="74"/>
      <c r="J178" s="74"/>
      <c r="K178" s="74"/>
      <c r="L178" s="74"/>
      <c r="M178" s="74"/>
      <c r="N178" s="38" t="str">
        <f>IF(OR(A178="Автомат",A178="Дифавтомат"),IF(W178="","",COUNTIFS(Однолинейка!$H$3:$H$3000,U178,Однолинейка!$A$3:$A$3000,Щит_спец)),IF(A178="Аппарат",IF(C178="","",COUNTIFS(Однолинейка!$I$3:$I$3000,C178,Однолинейка!$A$3:$A$3000,Щит_спец)+COUNTIFS(Однолинейка!$J$3:$J$3000,C178,Однолинейка!$A$3:$A$3000,Щит_спец)+COUNTIFS(Однолинейка!$K$3:$K$3000,C178,Однолинейка!$A$3:$A$3000,Щит_спец)),IF(A178="Модуль",IF(C178="","",COUNTIFS(Однолинейка!$AW$3:$AW$3000,"?*",Однолинейка!$AI$3:$AI$3000,C178,Однолинейка!$A$3:$A$3000,Щит_спец)),IF(A178="Клемма",IF(C178="","",IF(C178=$S$7,SUMIFS(Однолинейка!$BW$3:$BW$3000,Однолинейка!$A$3:$A$3000,Щит_спец),IF(C178=$S$8,SUMIFS(Однолинейка!$BX$3:$BX$3000,Однолинейка!$A$3:$A$3000,Щит_спец),""))),""))))</f>
        <v/>
      </c>
      <c r="O178" s="74"/>
      <c r="P178" s="38" t="str">
        <f t="shared" si="18"/>
        <v/>
      </c>
      <c r="U178" s="38" t="str">
        <f t="shared" si="19"/>
        <v/>
      </c>
      <c r="V178" s="38" t="str">
        <f t="shared" si="20"/>
        <v/>
      </c>
      <c r="W178" s="38" t="str">
        <f>IF(AND(U178&lt;&gt;"",OR($S$4="(все)",B178=$S$4),IF($S$4="(все)",COUNTIF($U$4:U178,U178),COUNTIFS($U$4:U178,U178,$B$4:B178,B178))=1),MAX($W$3:W177)+1,"")</f>
        <v/>
      </c>
      <c r="X178" s="38" t="str">
        <f t="shared" si="21"/>
        <v/>
      </c>
      <c r="Y178" s="38" t="str">
        <f>IF(AND(A178="Аппарат",C178&lt;&gt;"",OR($S$5="(все)",B178=$S$5)),MAX($Y$3:Y177)+1,"")</f>
        <v/>
      </c>
      <c r="Z178" s="38" t="str">
        <f t="shared" si="22"/>
        <v/>
      </c>
      <c r="AA178" s="38" t="str">
        <f>IF(AND(A178="Модуль",C178&lt;&gt;"",OR($S$6="(все)",B178=$S$6)),MAX($AA$3:AA177)+1,"")</f>
        <v/>
      </c>
      <c r="AB178" s="38" t="str">
        <f t="shared" si="23"/>
        <v/>
      </c>
      <c r="AC178" s="38" t="str">
        <f>IF(OR(B178="",COUNTIF($B$4:B178,B178)&gt;1),"",MAX($AC$3:AC177)+1)</f>
        <v/>
      </c>
      <c r="AD178" s="38" t="str">
        <f t="shared" si="24"/>
        <v/>
      </c>
      <c r="AE178" s="38" t="str">
        <f t="shared" si="25"/>
        <v/>
      </c>
      <c r="AF178" s="38" t="str">
        <f t="shared" si="26"/>
        <v/>
      </c>
    </row>
    <row r="179" spans="1:32" x14ac:dyDescent="0.3">
      <c r="A179" s="74"/>
      <c r="B179" s="74"/>
      <c r="C179" s="74"/>
      <c r="D179" s="74"/>
      <c r="E179" s="74"/>
      <c r="F179" s="74"/>
      <c r="G179" s="74"/>
      <c r="H179" s="74"/>
      <c r="I179" s="74"/>
      <c r="J179" s="74"/>
      <c r="K179" s="74"/>
      <c r="L179" s="74"/>
      <c r="M179" s="74"/>
      <c r="N179" s="38" t="str">
        <f>IF(OR(A179="Автомат",A179="Дифавтомат"),IF(W179="","",COUNTIFS(Однолинейка!$H$3:$H$3000,U179,Однолинейка!$A$3:$A$3000,Щит_спец)),IF(A179="Аппарат",IF(C179="","",COUNTIFS(Однолинейка!$I$3:$I$3000,C179,Однолинейка!$A$3:$A$3000,Щит_спец)+COUNTIFS(Однолинейка!$J$3:$J$3000,C179,Однолинейка!$A$3:$A$3000,Щит_спец)+COUNTIFS(Однолинейка!$K$3:$K$3000,C179,Однолинейка!$A$3:$A$3000,Щит_спец)),IF(A179="Модуль",IF(C179="","",COUNTIFS(Однолинейка!$AW$3:$AW$3000,"?*",Однолинейка!$AI$3:$AI$3000,C179,Однолинейка!$A$3:$A$3000,Щит_спец)),IF(A179="Клемма",IF(C179="","",IF(C179=$S$7,SUMIFS(Однолинейка!$BW$3:$BW$3000,Однолинейка!$A$3:$A$3000,Щит_спец),IF(C179=$S$8,SUMIFS(Однолинейка!$BX$3:$BX$3000,Однолинейка!$A$3:$A$3000,Щит_спец),""))),""))))</f>
        <v/>
      </c>
      <c r="O179" s="74"/>
      <c r="P179" s="38" t="str">
        <f t="shared" si="18"/>
        <v/>
      </c>
      <c r="U179" s="38" t="str">
        <f t="shared" si="19"/>
        <v/>
      </c>
      <c r="V179" s="38" t="str">
        <f t="shared" si="20"/>
        <v/>
      </c>
      <c r="W179" s="38" t="str">
        <f>IF(AND(U179&lt;&gt;"",OR($S$4="(все)",B179=$S$4),IF($S$4="(все)",COUNTIF($U$4:U179,U179),COUNTIFS($U$4:U179,U179,$B$4:B179,B179))=1),MAX($W$3:W178)+1,"")</f>
        <v/>
      </c>
      <c r="X179" s="38" t="str">
        <f t="shared" si="21"/>
        <v/>
      </c>
      <c r="Y179" s="38" t="str">
        <f>IF(AND(A179="Аппарат",C179&lt;&gt;"",OR($S$5="(все)",B179=$S$5)),MAX($Y$3:Y178)+1,"")</f>
        <v/>
      </c>
      <c r="Z179" s="38" t="str">
        <f t="shared" si="22"/>
        <v/>
      </c>
      <c r="AA179" s="38" t="str">
        <f>IF(AND(A179="Модуль",C179&lt;&gt;"",OR($S$6="(все)",B179=$S$6)),MAX($AA$3:AA178)+1,"")</f>
        <v/>
      </c>
      <c r="AB179" s="38" t="str">
        <f t="shared" si="23"/>
        <v/>
      </c>
      <c r="AC179" s="38" t="str">
        <f>IF(OR(B179="",COUNTIF($B$4:B179,B179)&gt;1),"",MAX($AC$3:AC178)+1)</f>
        <v/>
      </c>
      <c r="AD179" s="38" t="str">
        <f t="shared" si="24"/>
        <v/>
      </c>
      <c r="AE179" s="38" t="str">
        <f t="shared" si="25"/>
        <v/>
      </c>
      <c r="AF179" s="38" t="str">
        <f t="shared" si="26"/>
        <v/>
      </c>
    </row>
    <row r="180" spans="1:32" x14ac:dyDescent="0.3">
      <c r="A180" s="74"/>
      <c r="B180" s="74"/>
      <c r="C180" s="74"/>
      <c r="D180" s="74"/>
      <c r="E180" s="74"/>
      <c r="F180" s="74"/>
      <c r="G180" s="74"/>
      <c r="H180" s="74"/>
      <c r="I180" s="74"/>
      <c r="J180" s="74"/>
      <c r="K180" s="74"/>
      <c r="L180" s="74"/>
      <c r="M180" s="74"/>
      <c r="N180" s="38" t="str">
        <f>IF(OR(A180="Автомат",A180="Дифавтомат"),IF(W180="","",COUNTIFS(Однолинейка!$H$3:$H$3000,U180,Однолинейка!$A$3:$A$3000,Щит_спец)),IF(A180="Аппарат",IF(C180="","",COUNTIFS(Однолинейка!$I$3:$I$3000,C180,Однолинейка!$A$3:$A$3000,Щит_спец)+COUNTIFS(Однолинейка!$J$3:$J$3000,C180,Однолинейка!$A$3:$A$3000,Щит_спец)+COUNTIFS(Однолинейка!$K$3:$K$3000,C180,Однолинейка!$A$3:$A$3000,Щит_спец)),IF(A180="Модуль",IF(C180="","",COUNTIFS(Однолинейка!$AW$3:$AW$3000,"?*",Однолинейка!$AI$3:$AI$3000,C180,Однолинейка!$A$3:$A$3000,Щит_спец)),IF(A180="Клемма",IF(C180="","",IF(C180=$S$7,SUMIFS(Однолинейка!$BW$3:$BW$3000,Однолинейка!$A$3:$A$3000,Щит_спец),IF(C180=$S$8,SUMIFS(Однолинейка!$BX$3:$BX$3000,Однолинейка!$A$3:$A$3000,Щит_спец),""))),""))))</f>
        <v/>
      </c>
      <c r="O180" s="74"/>
      <c r="P180" s="38" t="str">
        <f t="shared" si="18"/>
        <v/>
      </c>
      <c r="U180" s="38" t="str">
        <f t="shared" si="19"/>
        <v/>
      </c>
      <c r="V180" s="38" t="str">
        <f t="shared" si="20"/>
        <v/>
      </c>
      <c r="W180" s="38" t="str">
        <f>IF(AND(U180&lt;&gt;"",OR($S$4="(все)",B180=$S$4),IF($S$4="(все)",COUNTIF($U$4:U180,U180),COUNTIFS($U$4:U180,U180,$B$4:B180,B180))=1),MAX($W$3:W179)+1,"")</f>
        <v/>
      </c>
      <c r="X180" s="38" t="str">
        <f t="shared" si="21"/>
        <v/>
      </c>
      <c r="Y180" s="38" t="str">
        <f>IF(AND(A180="Аппарат",C180&lt;&gt;"",OR($S$5="(все)",B180=$S$5)),MAX($Y$3:Y179)+1,"")</f>
        <v/>
      </c>
      <c r="Z180" s="38" t="str">
        <f t="shared" si="22"/>
        <v/>
      </c>
      <c r="AA180" s="38" t="str">
        <f>IF(AND(A180="Модуль",C180&lt;&gt;"",OR($S$6="(все)",B180=$S$6)),MAX($AA$3:AA179)+1,"")</f>
        <v/>
      </c>
      <c r="AB180" s="38" t="str">
        <f t="shared" si="23"/>
        <v/>
      </c>
      <c r="AC180" s="38" t="str">
        <f>IF(OR(B180="",COUNTIF($B$4:B180,B180)&gt;1),"",MAX($AC$3:AC179)+1)</f>
        <v/>
      </c>
      <c r="AD180" s="38" t="str">
        <f t="shared" si="24"/>
        <v/>
      </c>
      <c r="AE180" s="38" t="str">
        <f t="shared" si="25"/>
        <v/>
      </c>
      <c r="AF180" s="38" t="str">
        <f t="shared" si="26"/>
        <v/>
      </c>
    </row>
    <row r="181" spans="1:32" x14ac:dyDescent="0.3">
      <c r="A181" s="74"/>
      <c r="B181" s="74"/>
      <c r="C181" s="74"/>
      <c r="D181" s="74"/>
      <c r="E181" s="74"/>
      <c r="F181" s="74"/>
      <c r="G181" s="74"/>
      <c r="H181" s="74"/>
      <c r="I181" s="74"/>
      <c r="J181" s="74"/>
      <c r="K181" s="74"/>
      <c r="L181" s="74"/>
      <c r="M181" s="74"/>
      <c r="N181" s="38" t="str">
        <f>IF(OR(A181="Автомат",A181="Дифавтомат"),IF(W181="","",COUNTIFS(Однолинейка!$H$3:$H$3000,U181,Однолинейка!$A$3:$A$3000,Щит_спец)),IF(A181="Аппарат",IF(C181="","",COUNTIFS(Однолинейка!$I$3:$I$3000,C181,Однолинейка!$A$3:$A$3000,Щит_спец)+COUNTIFS(Однолинейка!$J$3:$J$3000,C181,Однолинейка!$A$3:$A$3000,Щит_спец)+COUNTIFS(Однолинейка!$K$3:$K$3000,C181,Однолинейка!$A$3:$A$3000,Щит_спец)),IF(A181="Модуль",IF(C181="","",COUNTIFS(Однолинейка!$AW$3:$AW$3000,"?*",Однолинейка!$AI$3:$AI$3000,C181,Однолинейка!$A$3:$A$3000,Щит_спец)),IF(A181="Клемма",IF(C181="","",IF(C181=$S$7,SUMIFS(Однолинейка!$BW$3:$BW$3000,Однолинейка!$A$3:$A$3000,Щит_спец),IF(C181=$S$8,SUMIFS(Однолинейка!$BX$3:$BX$3000,Однолинейка!$A$3:$A$3000,Щит_спец),""))),""))))</f>
        <v/>
      </c>
      <c r="O181" s="74"/>
      <c r="P181" s="38" t="str">
        <f t="shared" si="18"/>
        <v/>
      </c>
      <c r="U181" s="38" t="str">
        <f t="shared" si="19"/>
        <v/>
      </c>
      <c r="V181" s="38" t="str">
        <f t="shared" si="20"/>
        <v/>
      </c>
      <c r="W181" s="38" t="str">
        <f>IF(AND(U181&lt;&gt;"",OR($S$4="(все)",B181=$S$4),IF($S$4="(все)",COUNTIF($U$4:U181,U181),COUNTIFS($U$4:U181,U181,$B$4:B181,B181))=1),MAX($W$3:W180)+1,"")</f>
        <v/>
      </c>
      <c r="X181" s="38" t="str">
        <f t="shared" si="21"/>
        <v/>
      </c>
      <c r="Y181" s="38" t="str">
        <f>IF(AND(A181="Аппарат",C181&lt;&gt;"",OR($S$5="(все)",B181=$S$5)),MAX($Y$3:Y180)+1,"")</f>
        <v/>
      </c>
      <c r="Z181" s="38" t="str">
        <f t="shared" si="22"/>
        <v/>
      </c>
      <c r="AA181" s="38" t="str">
        <f>IF(AND(A181="Модуль",C181&lt;&gt;"",OR($S$6="(все)",B181=$S$6)),MAX($AA$3:AA180)+1,"")</f>
        <v/>
      </c>
      <c r="AB181" s="38" t="str">
        <f t="shared" si="23"/>
        <v/>
      </c>
      <c r="AC181" s="38" t="str">
        <f>IF(OR(B181="",COUNTIF($B$4:B181,B181)&gt;1),"",MAX($AC$3:AC180)+1)</f>
        <v/>
      </c>
      <c r="AD181" s="38" t="str">
        <f t="shared" si="24"/>
        <v/>
      </c>
      <c r="AE181" s="38" t="str">
        <f t="shared" si="25"/>
        <v/>
      </c>
      <c r="AF181" s="38" t="str">
        <f t="shared" si="26"/>
        <v/>
      </c>
    </row>
    <row r="182" spans="1:32" x14ac:dyDescent="0.3">
      <c r="A182" s="74"/>
      <c r="B182" s="74"/>
      <c r="C182" s="74"/>
      <c r="D182" s="74"/>
      <c r="E182" s="74"/>
      <c r="F182" s="74"/>
      <c r="G182" s="74"/>
      <c r="H182" s="74"/>
      <c r="I182" s="74"/>
      <c r="J182" s="74"/>
      <c r="K182" s="74"/>
      <c r="L182" s="74"/>
      <c r="M182" s="74"/>
      <c r="N182" s="38" t="str">
        <f>IF(OR(A182="Автомат",A182="Дифавтомат"),IF(W182="","",COUNTIFS(Однолинейка!$H$3:$H$3000,U182,Однолинейка!$A$3:$A$3000,Щит_спец)),IF(A182="Аппарат",IF(C182="","",COUNTIFS(Однолинейка!$I$3:$I$3000,C182,Однолинейка!$A$3:$A$3000,Щит_спец)+COUNTIFS(Однолинейка!$J$3:$J$3000,C182,Однолинейка!$A$3:$A$3000,Щит_спец)+COUNTIFS(Однолинейка!$K$3:$K$3000,C182,Однолинейка!$A$3:$A$3000,Щит_спец)),IF(A182="Модуль",IF(C182="","",COUNTIFS(Однолинейка!$AW$3:$AW$3000,"?*",Однолинейка!$AI$3:$AI$3000,C182,Однолинейка!$A$3:$A$3000,Щит_спец)),IF(A182="Клемма",IF(C182="","",IF(C182=$S$7,SUMIFS(Однолинейка!$BW$3:$BW$3000,Однолинейка!$A$3:$A$3000,Щит_спец),IF(C182=$S$8,SUMIFS(Однолинейка!$BX$3:$BX$3000,Однолинейка!$A$3:$A$3000,Щит_спец),""))),""))))</f>
        <v/>
      </c>
      <c r="O182" s="74"/>
      <c r="P182" s="38" t="str">
        <f t="shared" si="18"/>
        <v/>
      </c>
      <c r="U182" s="38" t="str">
        <f t="shared" si="19"/>
        <v/>
      </c>
      <c r="V182" s="38" t="str">
        <f t="shared" si="20"/>
        <v/>
      </c>
      <c r="W182" s="38" t="str">
        <f>IF(AND(U182&lt;&gt;"",OR($S$4="(все)",B182=$S$4),IF($S$4="(все)",COUNTIF($U$4:U182,U182),COUNTIFS($U$4:U182,U182,$B$4:B182,B182))=1),MAX($W$3:W181)+1,"")</f>
        <v/>
      </c>
      <c r="X182" s="38" t="str">
        <f t="shared" si="21"/>
        <v/>
      </c>
      <c r="Y182" s="38" t="str">
        <f>IF(AND(A182="Аппарат",C182&lt;&gt;"",OR($S$5="(все)",B182=$S$5)),MAX($Y$3:Y181)+1,"")</f>
        <v/>
      </c>
      <c r="Z182" s="38" t="str">
        <f t="shared" si="22"/>
        <v/>
      </c>
      <c r="AA182" s="38" t="str">
        <f>IF(AND(A182="Модуль",C182&lt;&gt;"",OR($S$6="(все)",B182=$S$6)),MAX($AA$3:AA181)+1,"")</f>
        <v/>
      </c>
      <c r="AB182" s="38" t="str">
        <f t="shared" si="23"/>
        <v/>
      </c>
      <c r="AC182" s="38" t="str">
        <f>IF(OR(B182="",COUNTIF($B$4:B182,B182)&gt;1),"",MAX($AC$3:AC181)+1)</f>
        <v/>
      </c>
      <c r="AD182" s="38" t="str">
        <f t="shared" si="24"/>
        <v/>
      </c>
      <c r="AE182" s="38" t="str">
        <f t="shared" si="25"/>
        <v/>
      </c>
      <c r="AF182" s="38" t="str">
        <f t="shared" si="26"/>
        <v/>
      </c>
    </row>
    <row r="183" spans="1:32" x14ac:dyDescent="0.3">
      <c r="A183" s="74"/>
      <c r="B183" s="74"/>
      <c r="C183" s="74"/>
      <c r="D183" s="74"/>
      <c r="E183" s="74"/>
      <c r="F183" s="74"/>
      <c r="G183" s="74"/>
      <c r="H183" s="74"/>
      <c r="I183" s="74"/>
      <c r="J183" s="74"/>
      <c r="K183" s="74"/>
      <c r="L183" s="74"/>
      <c r="M183" s="74"/>
      <c r="N183" s="38" t="str">
        <f>IF(OR(A183="Автомат",A183="Дифавтомат"),IF(W183="","",COUNTIFS(Однолинейка!$H$3:$H$3000,U183,Однолинейка!$A$3:$A$3000,Щит_спец)),IF(A183="Аппарат",IF(C183="","",COUNTIFS(Однолинейка!$I$3:$I$3000,C183,Однолинейка!$A$3:$A$3000,Щит_спец)+COUNTIFS(Однолинейка!$J$3:$J$3000,C183,Однолинейка!$A$3:$A$3000,Щит_спец)+COUNTIFS(Однолинейка!$K$3:$K$3000,C183,Однолинейка!$A$3:$A$3000,Щит_спец)),IF(A183="Модуль",IF(C183="","",COUNTIFS(Однолинейка!$AW$3:$AW$3000,"?*",Однолинейка!$AI$3:$AI$3000,C183,Однолинейка!$A$3:$A$3000,Щит_спец)),IF(A183="Клемма",IF(C183="","",IF(C183=$S$7,SUMIFS(Однолинейка!$BW$3:$BW$3000,Однолинейка!$A$3:$A$3000,Щит_спец),IF(C183=$S$8,SUMIFS(Однолинейка!$BX$3:$BX$3000,Однолинейка!$A$3:$A$3000,Щит_спец),""))),""))))</f>
        <v/>
      </c>
      <c r="O183" s="74"/>
      <c r="P183" s="38" t="str">
        <f t="shared" si="18"/>
        <v/>
      </c>
      <c r="U183" s="38" t="str">
        <f t="shared" si="19"/>
        <v/>
      </c>
      <c r="V183" s="38" t="str">
        <f t="shared" si="20"/>
        <v/>
      </c>
      <c r="W183" s="38" t="str">
        <f>IF(AND(U183&lt;&gt;"",OR($S$4="(все)",B183=$S$4),IF($S$4="(все)",COUNTIF($U$4:U183,U183),COUNTIFS($U$4:U183,U183,$B$4:B183,B183))=1),MAX($W$3:W182)+1,"")</f>
        <v/>
      </c>
      <c r="X183" s="38" t="str">
        <f t="shared" si="21"/>
        <v/>
      </c>
      <c r="Y183" s="38" t="str">
        <f>IF(AND(A183="Аппарат",C183&lt;&gt;"",OR($S$5="(все)",B183=$S$5)),MAX($Y$3:Y182)+1,"")</f>
        <v/>
      </c>
      <c r="Z183" s="38" t="str">
        <f t="shared" si="22"/>
        <v/>
      </c>
      <c r="AA183" s="38" t="str">
        <f>IF(AND(A183="Модуль",C183&lt;&gt;"",OR($S$6="(все)",B183=$S$6)),MAX($AA$3:AA182)+1,"")</f>
        <v/>
      </c>
      <c r="AB183" s="38" t="str">
        <f t="shared" si="23"/>
        <v/>
      </c>
      <c r="AC183" s="38" t="str">
        <f>IF(OR(B183="",COUNTIF($B$4:B183,B183)&gt;1),"",MAX($AC$3:AC182)+1)</f>
        <v/>
      </c>
      <c r="AD183" s="38" t="str">
        <f t="shared" si="24"/>
        <v/>
      </c>
      <c r="AE183" s="38" t="str">
        <f t="shared" si="25"/>
        <v/>
      </c>
      <c r="AF183" s="38" t="str">
        <f t="shared" si="26"/>
        <v/>
      </c>
    </row>
    <row r="184" spans="1:32" x14ac:dyDescent="0.3">
      <c r="A184" s="74"/>
      <c r="B184" s="74"/>
      <c r="C184" s="74"/>
      <c r="D184" s="74"/>
      <c r="E184" s="74"/>
      <c r="F184" s="74"/>
      <c r="G184" s="74"/>
      <c r="H184" s="74"/>
      <c r="I184" s="74"/>
      <c r="J184" s="74"/>
      <c r="K184" s="74"/>
      <c r="L184" s="74"/>
      <c r="M184" s="74"/>
      <c r="N184" s="38" t="str">
        <f>IF(OR(A184="Автомат",A184="Дифавтомат"),IF(W184="","",COUNTIFS(Однолинейка!$H$3:$H$3000,U184,Однолинейка!$A$3:$A$3000,Щит_спец)),IF(A184="Аппарат",IF(C184="","",COUNTIFS(Однолинейка!$I$3:$I$3000,C184,Однолинейка!$A$3:$A$3000,Щит_спец)+COUNTIFS(Однолинейка!$J$3:$J$3000,C184,Однолинейка!$A$3:$A$3000,Щит_спец)+COUNTIFS(Однолинейка!$K$3:$K$3000,C184,Однолинейка!$A$3:$A$3000,Щит_спец)),IF(A184="Модуль",IF(C184="","",COUNTIFS(Однолинейка!$AW$3:$AW$3000,"?*",Однолинейка!$AI$3:$AI$3000,C184,Однолинейка!$A$3:$A$3000,Щит_спец)),IF(A184="Клемма",IF(C184="","",IF(C184=$S$7,SUMIFS(Однолинейка!$BW$3:$BW$3000,Однолинейка!$A$3:$A$3000,Щит_спец),IF(C184=$S$8,SUMIFS(Однолинейка!$BX$3:$BX$3000,Однолинейка!$A$3:$A$3000,Щит_спец),""))),""))))</f>
        <v/>
      </c>
      <c r="O184" s="74"/>
      <c r="P184" s="38" t="str">
        <f t="shared" si="18"/>
        <v/>
      </c>
      <c r="U184" s="38" t="str">
        <f t="shared" si="19"/>
        <v/>
      </c>
      <c r="V184" s="38" t="str">
        <f t="shared" si="20"/>
        <v/>
      </c>
      <c r="W184" s="38" t="str">
        <f>IF(AND(U184&lt;&gt;"",OR($S$4="(все)",B184=$S$4),IF($S$4="(все)",COUNTIF($U$4:U184,U184),COUNTIFS($U$4:U184,U184,$B$4:B184,B184))=1),MAX($W$3:W183)+1,"")</f>
        <v/>
      </c>
      <c r="X184" s="38" t="str">
        <f t="shared" si="21"/>
        <v/>
      </c>
      <c r="Y184" s="38" t="str">
        <f>IF(AND(A184="Аппарат",C184&lt;&gt;"",OR($S$5="(все)",B184=$S$5)),MAX($Y$3:Y183)+1,"")</f>
        <v/>
      </c>
      <c r="Z184" s="38" t="str">
        <f t="shared" si="22"/>
        <v/>
      </c>
      <c r="AA184" s="38" t="str">
        <f>IF(AND(A184="Модуль",C184&lt;&gt;"",OR($S$6="(все)",B184=$S$6)),MAX($AA$3:AA183)+1,"")</f>
        <v/>
      </c>
      <c r="AB184" s="38" t="str">
        <f t="shared" si="23"/>
        <v/>
      </c>
      <c r="AC184" s="38" t="str">
        <f>IF(OR(B184="",COUNTIF($B$4:B184,B184)&gt;1),"",MAX($AC$3:AC183)+1)</f>
        <v/>
      </c>
      <c r="AD184" s="38" t="str">
        <f t="shared" si="24"/>
        <v/>
      </c>
      <c r="AE184" s="38" t="str">
        <f t="shared" si="25"/>
        <v/>
      </c>
      <c r="AF184" s="38" t="str">
        <f t="shared" si="26"/>
        <v/>
      </c>
    </row>
    <row r="185" spans="1:32" x14ac:dyDescent="0.3">
      <c r="A185" s="74"/>
      <c r="B185" s="74"/>
      <c r="C185" s="74"/>
      <c r="D185" s="74"/>
      <c r="E185" s="74"/>
      <c r="F185" s="74"/>
      <c r="G185" s="74"/>
      <c r="H185" s="74"/>
      <c r="I185" s="74"/>
      <c r="J185" s="74"/>
      <c r="K185" s="74"/>
      <c r="L185" s="74"/>
      <c r="M185" s="74"/>
      <c r="N185" s="38" t="str">
        <f>IF(OR(A185="Автомат",A185="Дифавтомат"),IF(W185="","",COUNTIFS(Однолинейка!$H$3:$H$3000,U185,Однолинейка!$A$3:$A$3000,Щит_спец)),IF(A185="Аппарат",IF(C185="","",COUNTIFS(Однолинейка!$I$3:$I$3000,C185,Однолинейка!$A$3:$A$3000,Щит_спец)+COUNTIFS(Однолинейка!$J$3:$J$3000,C185,Однолинейка!$A$3:$A$3000,Щит_спец)+COUNTIFS(Однолинейка!$K$3:$K$3000,C185,Однолинейка!$A$3:$A$3000,Щит_спец)),IF(A185="Модуль",IF(C185="","",COUNTIFS(Однолинейка!$AW$3:$AW$3000,"?*",Однолинейка!$AI$3:$AI$3000,C185,Однолинейка!$A$3:$A$3000,Щит_спец)),IF(A185="Клемма",IF(C185="","",IF(C185=$S$7,SUMIFS(Однолинейка!$BW$3:$BW$3000,Однолинейка!$A$3:$A$3000,Щит_спец),IF(C185=$S$8,SUMIFS(Однолинейка!$BX$3:$BX$3000,Однолинейка!$A$3:$A$3000,Щит_спец),""))),""))))</f>
        <v/>
      </c>
      <c r="O185" s="74"/>
      <c r="P185" s="38" t="str">
        <f t="shared" si="18"/>
        <v/>
      </c>
      <c r="U185" s="38" t="str">
        <f t="shared" si="19"/>
        <v/>
      </c>
      <c r="V185" s="38" t="str">
        <f t="shared" si="20"/>
        <v/>
      </c>
      <c r="W185" s="38" t="str">
        <f>IF(AND(U185&lt;&gt;"",OR($S$4="(все)",B185=$S$4),IF($S$4="(все)",COUNTIF($U$4:U185,U185),COUNTIFS($U$4:U185,U185,$B$4:B185,B185))=1),MAX($W$3:W184)+1,"")</f>
        <v/>
      </c>
      <c r="X185" s="38" t="str">
        <f t="shared" si="21"/>
        <v/>
      </c>
      <c r="Y185" s="38" t="str">
        <f>IF(AND(A185="Аппарат",C185&lt;&gt;"",OR($S$5="(все)",B185=$S$5)),MAX($Y$3:Y184)+1,"")</f>
        <v/>
      </c>
      <c r="Z185" s="38" t="str">
        <f t="shared" si="22"/>
        <v/>
      </c>
      <c r="AA185" s="38" t="str">
        <f>IF(AND(A185="Модуль",C185&lt;&gt;"",OR($S$6="(все)",B185=$S$6)),MAX($AA$3:AA184)+1,"")</f>
        <v/>
      </c>
      <c r="AB185" s="38" t="str">
        <f t="shared" si="23"/>
        <v/>
      </c>
      <c r="AC185" s="38" t="str">
        <f>IF(OR(B185="",COUNTIF($B$4:B185,B185)&gt;1),"",MAX($AC$3:AC184)+1)</f>
        <v/>
      </c>
      <c r="AD185" s="38" t="str">
        <f t="shared" si="24"/>
        <v/>
      </c>
      <c r="AE185" s="38" t="str">
        <f t="shared" si="25"/>
        <v/>
      </c>
      <c r="AF185" s="38" t="str">
        <f t="shared" si="26"/>
        <v/>
      </c>
    </row>
    <row r="186" spans="1:32" x14ac:dyDescent="0.3">
      <c r="A186" s="74"/>
      <c r="B186" s="74"/>
      <c r="C186" s="74"/>
      <c r="D186" s="74"/>
      <c r="E186" s="74"/>
      <c r="F186" s="74"/>
      <c r="G186" s="74"/>
      <c r="H186" s="74"/>
      <c r="I186" s="74"/>
      <c r="J186" s="74"/>
      <c r="K186" s="74"/>
      <c r="L186" s="74"/>
      <c r="M186" s="74"/>
      <c r="N186" s="38" t="str">
        <f>IF(OR(A186="Автомат",A186="Дифавтомат"),IF(W186="","",COUNTIFS(Однолинейка!$H$3:$H$3000,U186,Однолинейка!$A$3:$A$3000,Щит_спец)),IF(A186="Аппарат",IF(C186="","",COUNTIFS(Однолинейка!$I$3:$I$3000,C186,Однолинейка!$A$3:$A$3000,Щит_спец)+COUNTIFS(Однолинейка!$J$3:$J$3000,C186,Однолинейка!$A$3:$A$3000,Щит_спец)+COUNTIFS(Однолинейка!$K$3:$K$3000,C186,Однолинейка!$A$3:$A$3000,Щит_спец)),IF(A186="Модуль",IF(C186="","",COUNTIFS(Однолинейка!$AW$3:$AW$3000,"?*",Однолинейка!$AI$3:$AI$3000,C186,Однолинейка!$A$3:$A$3000,Щит_спец)),IF(A186="Клемма",IF(C186="","",IF(C186=$S$7,SUMIFS(Однолинейка!$BW$3:$BW$3000,Однолинейка!$A$3:$A$3000,Щит_спец),IF(C186=$S$8,SUMIFS(Однолинейка!$BX$3:$BX$3000,Однолинейка!$A$3:$A$3000,Щит_спец),""))),""))))</f>
        <v/>
      </c>
      <c r="O186" s="74"/>
      <c r="P186" s="38" t="str">
        <f t="shared" si="18"/>
        <v/>
      </c>
      <c r="U186" s="38" t="str">
        <f t="shared" si="19"/>
        <v/>
      </c>
      <c r="V186" s="38" t="str">
        <f t="shared" si="20"/>
        <v/>
      </c>
      <c r="W186" s="38" t="str">
        <f>IF(AND(U186&lt;&gt;"",OR($S$4="(все)",B186=$S$4),IF($S$4="(все)",COUNTIF($U$4:U186,U186),COUNTIFS($U$4:U186,U186,$B$4:B186,B186))=1),MAX($W$3:W185)+1,"")</f>
        <v/>
      </c>
      <c r="X186" s="38" t="str">
        <f t="shared" si="21"/>
        <v/>
      </c>
      <c r="Y186" s="38" t="str">
        <f>IF(AND(A186="Аппарат",C186&lt;&gt;"",OR($S$5="(все)",B186=$S$5)),MAX($Y$3:Y185)+1,"")</f>
        <v/>
      </c>
      <c r="Z186" s="38" t="str">
        <f t="shared" si="22"/>
        <v/>
      </c>
      <c r="AA186" s="38" t="str">
        <f>IF(AND(A186="Модуль",C186&lt;&gt;"",OR($S$6="(все)",B186=$S$6)),MAX($AA$3:AA185)+1,"")</f>
        <v/>
      </c>
      <c r="AB186" s="38" t="str">
        <f t="shared" si="23"/>
        <v/>
      </c>
      <c r="AC186" s="38" t="str">
        <f>IF(OR(B186="",COUNTIF($B$4:B186,B186)&gt;1),"",MAX($AC$3:AC185)+1)</f>
        <v/>
      </c>
      <c r="AD186" s="38" t="str">
        <f t="shared" si="24"/>
        <v/>
      </c>
      <c r="AE186" s="38" t="str">
        <f t="shared" si="25"/>
        <v/>
      </c>
      <c r="AF186" s="38" t="str">
        <f t="shared" si="26"/>
        <v/>
      </c>
    </row>
    <row r="187" spans="1:32" x14ac:dyDescent="0.3">
      <c r="A187" s="74"/>
      <c r="B187" s="74"/>
      <c r="C187" s="74"/>
      <c r="D187" s="74"/>
      <c r="E187" s="74"/>
      <c r="F187" s="74"/>
      <c r="G187" s="74"/>
      <c r="H187" s="74"/>
      <c r="I187" s="74"/>
      <c r="J187" s="74"/>
      <c r="K187" s="74"/>
      <c r="L187" s="74"/>
      <c r="M187" s="74"/>
      <c r="N187" s="38" t="str">
        <f>IF(OR(A187="Автомат",A187="Дифавтомат"),IF(W187="","",COUNTIFS(Однолинейка!$H$3:$H$3000,U187,Однолинейка!$A$3:$A$3000,Щит_спец)),IF(A187="Аппарат",IF(C187="","",COUNTIFS(Однолинейка!$I$3:$I$3000,C187,Однолинейка!$A$3:$A$3000,Щит_спец)+COUNTIFS(Однолинейка!$J$3:$J$3000,C187,Однолинейка!$A$3:$A$3000,Щит_спец)+COUNTIFS(Однолинейка!$K$3:$K$3000,C187,Однолинейка!$A$3:$A$3000,Щит_спец)),IF(A187="Модуль",IF(C187="","",COUNTIFS(Однолинейка!$AW$3:$AW$3000,"?*",Однолинейка!$AI$3:$AI$3000,C187,Однолинейка!$A$3:$A$3000,Щит_спец)),IF(A187="Клемма",IF(C187="","",IF(C187=$S$7,SUMIFS(Однолинейка!$BW$3:$BW$3000,Однолинейка!$A$3:$A$3000,Щит_спец),IF(C187=$S$8,SUMIFS(Однолинейка!$BX$3:$BX$3000,Однолинейка!$A$3:$A$3000,Щит_спец),""))),""))))</f>
        <v/>
      </c>
      <c r="O187" s="74"/>
      <c r="P187" s="38" t="str">
        <f t="shared" si="18"/>
        <v/>
      </c>
      <c r="U187" s="38" t="str">
        <f t="shared" si="19"/>
        <v/>
      </c>
      <c r="V187" s="38" t="str">
        <f t="shared" si="20"/>
        <v/>
      </c>
      <c r="W187" s="38" t="str">
        <f>IF(AND(U187&lt;&gt;"",OR($S$4="(все)",B187=$S$4),IF($S$4="(все)",COUNTIF($U$4:U187,U187),COUNTIFS($U$4:U187,U187,$B$4:B187,B187))=1),MAX($W$3:W186)+1,"")</f>
        <v/>
      </c>
      <c r="X187" s="38" t="str">
        <f t="shared" si="21"/>
        <v/>
      </c>
      <c r="Y187" s="38" t="str">
        <f>IF(AND(A187="Аппарат",C187&lt;&gt;"",OR($S$5="(все)",B187=$S$5)),MAX($Y$3:Y186)+1,"")</f>
        <v/>
      </c>
      <c r="Z187" s="38" t="str">
        <f t="shared" si="22"/>
        <v/>
      </c>
      <c r="AA187" s="38" t="str">
        <f>IF(AND(A187="Модуль",C187&lt;&gt;"",OR($S$6="(все)",B187=$S$6)),MAX($AA$3:AA186)+1,"")</f>
        <v/>
      </c>
      <c r="AB187" s="38" t="str">
        <f t="shared" si="23"/>
        <v/>
      </c>
      <c r="AC187" s="38" t="str">
        <f>IF(OR(B187="",COUNTIF($B$4:B187,B187)&gt;1),"",MAX($AC$3:AC186)+1)</f>
        <v/>
      </c>
      <c r="AD187" s="38" t="str">
        <f t="shared" si="24"/>
        <v/>
      </c>
      <c r="AE187" s="38" t="str">
        <f t="shared" si="25"/>
        <v/>
      </c>
      <c r="AF187" s="38" t="str">
        <f t="shared" si="26"/>
        <v/>
      </c>
    </row>
    <row r="188" spans="1:32" x14ac:dyDescent="0.3">
      <c r="A188" s="74"/>
      <c r="B188" s="74"/>
      <c r="C188" s="74"/>
      <c r="D188" s="74"/>
      <c r="E188" s="74"/>
      <c r="F188" s="74"/>
      <c r="G188" s="74"/>
      <c r="H188" s="74"/>
      <c r="I188" s="74"/>
      <c r="J188" s="74"/>
      <c r="K188" s="74"/>
      <c r="L188" s="74"/>
      <c r="M188" s="74"/>
      <c r="N188" s="38" t="str">
        <f>IF(OR(A188="Автомат",A188="Дифавтомат"),IF(W188="","",COUNTIFS(Однолинейка!$H$3:$H$3000,U188,Однолинейка!$A$3:$A$3000,Щит_спец)),IF(A188="Аппарат",IF(C188="","",COUNTIFS(Однолинейка!$I$3:$I$3000,C188,Однолинейка!$A$3:$A$3000,Щит_спец)+COUNTIFS(Однолинейка!$J$3:$J$3000,C188,Однолинейка!$A$3:$A$3000,Щит_спец)+COUNTIFS(Однолинейка!$K$3:$K$3000,C188,Однолинейка!$A$3:$A$3000,Щит_спец)),IF(A188="Модуль",IF(C188="","",COUNTIFS(Однолинейка!$AW$3:$AW$3000,"?*",Однолинейка!$AI$3:$AI$3000,C188,Однолинейка!$A$3:$A$3000,Щит_спец)),IF(A188="Клемма",IF(C188="","",IF(C188=$S$7,SUMIFS(Однолинейка!$BW$3:$BW$3000,Однолинейка!$A$3:$A$3000,Щит_спец),IF(C188=$S$8,SUMIFS(Однолинейка!$BX$3:$BX$3000,Однолинейка!$A$3:$A$3000,Щит_спец),""))),""))))</f>
        <v/>
      </c>
      <c r="O188" s="74"/>
      <c r="P188" s="38" t="str">
        <f t="shared" si="18"/>
        <v/>
      </c>
      <c r="U188" s="38" t="str">
        <f t="shared" si="19"/>
        <v/>
      </c>
      <c r="V188" s="38" t="str">
        <f t="shared" si="20"/>
        <v/>
      </c>
      <c r="W188" s="38" t="str">
        <f>IF(AND(U188&lt;&gt;"",OR($S$4="(все)",B188=$S$4),IF($S$4="(все)",COUNTIF($U$4:U188,U188),COUNTIFS($U$4:U188,U188,$B$4:B188,B188))=1),MAX($W$3:W187)+1,"")</f>
        <v/>
      </c>
      <c r="X188" s="38" t="str">
        <f t="shared" si="21"/>
        <v/>
      </c>
      <c r="Y188" s="38" t="str">
        <f>IF(AND(A188="Аппарат",C188&lt;&gt;"",OR($S$5="(все)",B188=$S$5)),MAX($Y$3:Y187)+1,"")</f>
        <v/>
      </c>
      <c r="Z188" s="38" t="str">
        <f t="shared" si="22"/>
        <v/>
      </c>
      <c r="AA188" s="38" t="str">
        <f>IF(AND(A188="Модуль",C188&lt;&gt;"",OR($S$6="(все)",B188=$S$6)),MAX($AA$3:AA187)+1,"")</f>
        <v/>
      </c>
      <c r="AB188" s="38" t="str">
        <f t="shared" si="23"/>
        <v/>
      </c>
      <c r="AC188" s="38" t="str">
        <f>IF(OR(B188="",COUNTIF($B$4:B188,B188)&gt;1),"",MAX($AC$3:AC187)+1)</f>
        <v/>
      </c>
      <c r="AD188" s="38" t="str">
        <f t="shared" si="24"/>
        <v/>
      </c>
      <c r="AE188" s="38" t="str">
        <f t="shared" si="25"/>
        <v/>
      </c>
      <c r="AF188" s="38" t="str">
        <f t="shared" si="26"/>
        <v/>
      </c>
    </row>
    <row r="189" spans="1:32" x14ac:dyDescent="0.3">
      <c r="A189" s="74"/>
      <c r="B189" s="74"/>
      <c r="C189" s="74"/>
      <c r="D189" s="74"/>
      <c r="E189" s="74"/>
      <c r="F189" s="74"/>
      <c r="G189" s="74"/>
      <c r="H189" s="74"/>
      <c r="I189" s="74"/>
      <c r="J189" s="74"/>
      <c r="K189" s="74"/>
      <c r="L189" s="74"/>
      <c r="M189" s="74"/>
      <c r="N189" s="38" t="str">
        <f>IF(OR(A189="Автомат",A189="Дифавтомат"),IF(W189="","",COUNTIFS(Однолинейка!$H$3:$H$3000,U189,Однолинейка!$A$3:$A$3000,Щит_спец)),IF(A189="Аппарат",IF(C189="","",COUNTIFS(Однолинейка!$I$3:$I$3000,C189,Однолинейка!$A$3:$A$3000,Щит_спец)+COUNTIFS(Однолинейка!$J$3:$J$3000,C189,Однолинейка!$A$3:$A$3000,Щит_спец)+COUNTIFS(Однолинейка!$K$3:$K$3000,C189,Однолинейка!$A$3:$A$3000,Щит_спец)),IF(A189="Модуль",IF(C189="","",COUNTIFS(Однолинейка!$AW$3:$AW$3000,"?*",Однолинейка!$AI$3:$AI$3000,C189,Однолинейка!$A$3:$A$3000,Щит_спец)),IF(A189="Клемма",IF(C189="","",IF(C189=$S$7,SUMIFS(Однолинейка!$BW$3:$BW$3000,Однолинейка!$A$3:$A$3000,Щит_спец),IF(C189=$S$8,SUMIFS(Однолинейка!$BX$3:$BX$3000,Однолинейка!$A$3:$A$3000,Щит_спец),""))),""))))</f>
        <v/>
      </c>
      <c r="O189" s="74"/>
      <c r="P189" s="38" t="str">
        <f t="shared" si="18"/>
        <v/>
      </c>
      <c r="U189" s="38" t="str">
        <f t="shared" si="19"/>
        <v/>
      </c>
      <c r="V189" s="38" t="str">
        <f t="shared" si="20"/>
        <v/>
      </c>
      <c r="W189" s="38" t="str">
        <f>IF(AND(U189&lt;&gt;"",OR($S$4="(все)",B189=$S$4),IF($S$4="(все)",COUNTIF($U$4:U189,U189),COUNTIFS($U$4:U189,U189,$B$4:B189,B189))=1),MAX($W$3:W188)+1,"")</f>
        <v/>
      </c>
      <c r="X189" s="38" t="str">
        <f t="shared" si="21"/>
        <v/>
      </c>
      <c r="Y189" s="38" t="str">
        <f>IF(AND(A189="Аппарат",C189&lt;&gt;"",OR($S$5="(все)",B189=$S$5)),MAX($Y$3:Y188)+1,"")</f>
        <v/>
      </c>
      <c r="Z189" s="38" t="str">
        <f t="shared" si="22"/>
        <v/>
      </c>
      <c r="AA189" s="38" t="str">
        <f>IF(AND(A189="Модуль",C189&lt;&gt;"",OR($S$6="(все)",B189=$S$6)),MAX($AA$3:AA188)+1,"")</f>
        <v/>
      </c>
      <c r="AB189" s="38" t="str">
        <f t="shared" si="23"/>
        <v/>
      </c>
      <c r="AC189" s="38" t="str">
        <f>IF(OR(B189="",COUNTIF($B$4:B189,B189)&gt;1),"",MAX($AC$3:AC188)+1)</f>
        <v/>
      </c>
      <c r="AD189" s="38" t="str">
        <f t="shared" si="24"/>
        <v/>
      </c>
      <c r="AE189" s="38" t="str">
        <f t="shared" si="25"/>
        <v/>
      </c>
      <c r="AF189" s="38" t="str">
        <f t="shared" si="26"/>
        <v/>
      </c>
    </row>
    <row r="190" spans="1:32" x14ac:dyDescent="0.3">
      <c r="A190" s="74"/>
      <c r="B190" s="74"/>
      <c r="C190" s="74"/>
      <c r="D190" s="74"/>
      <c r="E190" s="74"/>
      <c r="F190" s="74"/>
      <c r="G190" s="74"/>
      <c r="H190" s="74"/>
      <c r="I190" s="74"/>
      <c r="J190" s="74"/>
      <c r="K190" s="74"/>
      <c r="L190" s="74"/>
      <c r="M190" s="74"/>
      <c r="N190" s="38" t="str">
        <f>IF(OR(A190="Автомат",A190="Дифавтомат"),IF(W190="","",COUNTIFS(Однолинейка!$H$3:$H$3000,U190,Однолинейка!$A$3:$A$3000,Щит_спец)),IF(A190="Аппарат",IF(C190="","",COUNTIFS(Однолинейка!$I$3:$I$3000,C190,Однолинейка!$A$3:$A$3000,Щит_спец)+COUNTIFS(Однолинейка!$J$3:$J$3000,C190,Однолинейка!$A$3:$A$3000,Щит_спец)+COUNTIFS(Однолинейка!$K$3:$K$3000,C190,Однолинейка!$A$3:$A$3000,Щит_спец)),IF(A190="Модуль",IF(C190="","",COUNTIFS(Однолинейка!$AW$3:$AW$3000,"?*",Однолинейка!$AI$3:$AI$3000,C190,Однолинейка!$A$3:$A$3000,Щит_спец)),IF(A190="Клемма",IF(C190="","",IF(C190=$S$7,SUMIFS(Однолинейка!$BW$3:$BW$3000,Однолинейка!$A$3:$A$3000,Щит_спец),IF(C190=$S$8,SUMIFS(Однолинейка!$BX$3:$BX$3000,Однолинейка!$A$3:$A$3000,Щит_спец),""))),""))))</f>
        <v/>
      </c>
      <c r="O190" s="74"/>
      <c r="P190" s="38" t="str">
        <f t="shared" si="18"/>
        <v/>
      </c>
      <c r="U190" s="38" t="str">
        <f t="shared" si="19"/>
        <v/>
      </c>
      <c r="V190" s="38" t="str">
        <f t="shared" si="20"/>
        <v/>
      </c>
      <c r="W190" s="38" t="str">
        <f>IF(AND(U190&lt;&gt;"",OR($S$4="(все)",B190=$S$4),IF($S$4="(все)",COUNTIF($U$4:U190,U190),COUNTIFS($U$4:U190,U190,$B$4:B190,B190))=1),MAX($W$3:W189)+1,"")</f>
        <v/>
      </c>
      <c r="X190" s="38" t="str">
        <f t="shared" si="21"/>
        <v/>
      </c>
      <c r="Y190" s="38" t="str">
        <f>IF(AND(A190="Аппарат",C190&lt;&gt;"",OR($S$5="(все)",B190=$S$5)),MAX($Y$3:Y189)+1,"")</f>
        <v/>
      </c>
      <c r="Z190" s="38" t="str">
        <f t="shared" si="22"/>
        <v/>
      </c>
      <c r="AA190" s="38" t="str">
        <f>IF(AND(A190="Модуль",C190&lt;&gt;"",OR($S$6="(все)",B190=$S$6)),MAX($AA$3:AA189)+1,"")</f>
        <v/>
      </c>
      <c r="AB190" s="38" t="str">
        <f t="shared" si="23"/>
        <v/>
      </c>
      <c r="AC190" s="38" t="str">
        <f>IF(OR(B190="",COUNTIF($B$4:B190,B190)&gt;1),"",MAX($AC$3:AC189)+1)</f>
        <v/>
      </c>
      <c r="AD190" s="38" t="str">
        <f t="shared" si="24"/>
        <v/>
      </c>
      <c r="AE190" s="38" t="str">
        <f t="shared" si="25"/>
        <v/>
      </c>
      <c r="AF190" s="38" t="str">
        <f t="shared" si="26"/>
        <v/>
      </c>
    </row>
    <row r="191" spans="1:32" x14ac:dyDescent="0.3">
      <c r="A191" s="74"/>
      <c r="B191" s="74"/>
      <c r="C191" s="74"/>
      <c r="D191" s="74"/>
      <c r="E191" s="74"/>
      <c r="F191" s="74"/>
      <c r="G191" s="74"/>
      <c r="H191" s="74"/>
      <c r="I191" s="74"/>
      <c r="J191" s="74"/>
      <c r="K191" s="74"/>
      <c r="L191" s="74"/>
      <c r="M191" s="74"/>
      <c r="N191" s="38" t="str">
        <f>IF(OR(A191="Автомат",A191="Дифавтомат"),IF(W191="","",COUNTIFS(Однолинейка!$H$3:$H$3000,U191,Однолинейка!$A$3:$A$3000,Щит_спец)),IF(A191="Аппарат",IF(C191="","",COUNTIFS(Однолинейка!$I$3:$I$3000,C191,Однолинейка!$A$3:$A$3000,Щит_спец)+COUNTIFS(Однолинейка!$J$3:$J$3000,C191,Однолинейка!$A$3:$A$3000,Щит_спец)+COUNTIFS(Однолинейка!$K$3:$K$3000,C191,Однолинейка!$A$3:$A$3000,Щит_спец)),IF(A191="Модуль",IF(C191="","",COUNTIFS(Однолинейка!$AW$3:$AW$3000,"?*",Однолинейка!$AI$3:$AI$3000,C191,Однолинейка!$A$3:$A$3000,Щит_спец)),IF(A191="Клемма",IF(C191="","",IF(C191=$S$7,SUMIFS(Однолинейка!$BW$3:$BW$3000,Однолинейка!$A$3:$A$3000,Щит_спец),IF(C191=$S$8,SUMIFS(Однолинейка!$BX$3:$BX$3000,Однолинейка!$A$3:$A$3000,Щит_спец),""))),""))))</f>
        <v/>
      </c>
      <c r="O191" s="74"/>
      <c r="P191" s="38" t="str">
        <f t="shared" si="18"/>
        <v/>
      </c>
      <c r="U191" s="38" t="str">
        <f t="shared" si="19"/>
        <v/>
      </c>
      <c r="V191" s="38" t="str">
        <f t="shared" si="20"/>
        <v/>
      </c>
      <c r="W191" s="38" t="str">
        <f>IF(AND(U191&lt;&gt;"",OR($S$4="(все)",B191=$S$4),IF($S$4="(все)",COUNTIF($U$4:U191,U191),COUNTIFS($U$4:U191,U191,$B$4:B191,B191))=1),MAX($W$3:W190)+1,"")</f>
        <v/>
      </c>
      <c r="X191" s="38" t="str">
        <f t="shared" si="21"/>
        <v/>
      </c>
      <c r="Y191" s="38" t="str">
        <f>IF(AND(A191="Аппарат",C191&lt;&gt;"",OR($S$5="(все)",B191=$S$5)),MAX($Y$3:Y190)+1,"")</f>
        <v/>
      </c>
      <c r="Z191" s="38" t="str">
        <f t="shared" si="22"/>
        <v/>
      </c>
      <c r="AA191" s="38" t="str">
        <f>IF(AND(A191="Модуль",C191&lt;&gt;"",OR($S$6="(все)",B191=$S$6)),MAX($AA$3:AA190)+1,"")</f>
        <v/>
      </c>
      <c r="AB191" s="38" t="str">
        <f t="shared" si="23"/>
        <v/>
      </c>
      <c r="AC191" s="38" t="str">
        <f>IF(OR(B191="",COUNTIF($B$4:B191,B191)&gt;1),"",MAX($AC$3:AC190)+1)</f>
        <v/>
      </c>
      <c r="AD191" s="38" t="str">
        <f t="shared" si="24"/>
        <v/>
      </c>
      <c r="AE191" s="38" t="str">
        <f t="shared" si="25"/>
        <v/>
      </c>
      <c r="AF191" s="38" t="str">
        <f t="shared" si="26"/>
        <v/>
      </c>
    </row>
    <row r="192" spans="1:32" x14ac:dyDescent="0.3">
      <c r="A192" s="74"/>
      <c r="B192" s="74"/>
      <c r="C192" s="74"/>
      <c r="D192" s="74"/>
      <c r="E192" s="74"/>
      <c r="F192" s="74"/>
      <c r="G192" s="74"/>
      <c r="H192" s="74"/>
      <c r="I192" s="74"/>
      <c r="J192" s="74"/>
      <c r="K192" s="74"/>
      <c r="L192" s="74"/>
      <c r="M192" s="74"/>
      <c r="N192" s="38" t="str">
        <f>IF(OR(A192="Автомат",A192="Дифавтомат"),IF(W192="","",COUNTIFS(Однолинейка!$H$3:$H$3000,U192,Однолинейка!$A$3:$A$3000,Щит_спец)),IF(A192="Аппарат",IF(C192="","",COUNTIFS(Однолинейка!$I$3:$I$3000,C192,Однолинейка!$A$3:$A$3000,Щит_спец)+COUNTIFS(Однолинейка!$J$3:$J$3000,C192,Однолинейка!$A$3:$A$3000,Щит_спец)+COUNTIFS(Однолинейка!$K$3:$K$3000,C192,Однолинейка!$A$3:$A$3000,Щит_спец)),IF(A192="Модуль",IF(C192="","",COUNTIFS(Однолинейка!$AW$3:$AW$3000,"?*",Однолинейка!$AI$3:$AI$3000,C192,Однолинейка!$A$3:$A$3000,Щит_спец)),IF(A192="Клемма",IF(C192="","",IF(C192=$S$7,SUMIFS(Однолинейка!$BW$3:$BW$3000,Однолинейка!$A$3:$A$3000,Щит_спец),IF(C192=$S$8,SUMIFS(Однолинейка!$BX$3:$BX$3000,Однолинейка!$A$3:$A$3000,Щит_спец),""))),""))))</f>
        <v/>
      </c>
      <c r="O192" s="74"/>
      <c r="P192" s="38" t="str">
        <f t="shared" si="18"/>
        <v/>
      </c>
      <c r="U192" s="38" t="str">
        <f t="shared" si="19"/>
        <v/>
      </c>
      <c r="V192" s="38" t="str">
        <f t="shared" si="20"/>
        <v/>
      </c>
      <c r="W192" s="38" t="str">
        <f>IF(AND(U192&lt;&gt;"",OR($S$4="(все)",B192=$S$4),IF($S$4="(все)",COUNTIF($U$4:U192,U192),COUNTIFS($U$4:U192,U192,$B$4:B192,B192))=1),MAX($W$3:W191)+1,"")</f>
        <v/>
      </c>
      <c r="X192" s="38" t="str">
        <f t="shared" si="21"/>
        <v/>
      </c>
      <c r="Y192" s="38" t="str">
        <f>IF(AND(A192="Аппарат",C192&lt;&gt;"",OR($S$5="(все)",B192=$S$5)),MAX($Y$3:Y191)+1,"")</f>
        <v/>
      </c>
      <c r="Z192" s="38" t="str">
        <f t="shared" si="22"/>
        <v/>
      </c>
      <c r="AA192" s="38" t="str">
        <f>IF(AND(A192="Модуль",C192&lt;&gt;"",OR($S$6="(все)",B192=$S$6)),MAX($AA$3:AA191)+1,"")</f>
        <v/>
      </c>
      <c r="AB192" s="38" t="str">
        <f t="shared" si="23"/>
        <v/>
      </c>
      <c r="AC192" s="38" t="str">
        <f>IF(OR(B192="",COUNTIF($B$4:B192,B192)&gt;1),"",MAX($AC$3:AC191)+1)</f>
        <v/>
      </c>
      <c r="AD192" s="38" t="str">
        <f t="shared" si="24"/>
        <v/>
      </c>
      <c r="AE192" s="38" t="str">
        <f t="shared" si="25"/>
        <v/>
      </c>
      <c r="AF192" s="38" t="str">
        <f t="shared" si="26"/>
        <v/>
      </c>
    </row>
    <row r="193" spans="1:32" x14ac:dyDescent="0.3">
      <c r="A193" s="74"/>
      <c r="B193" s="74"/>
      <c r="C193" s="74"/>
      <c r="D193" s="74"/>
      <c r="E193" s="74"/>
      <c r="F193" s="74"/>
      <c r="G193" s="74"/>
      <c r="H193" s="74"/>
      <c r="I193" s="74"/>
      <c r="J193" s="74"/>
      <c r="K193" s="74"/>
      <c r="L193" s="74"/>
      <c r="M193" s="74"/>
      <c r="N193" s="38" t="str">
        <f>IF(OR(A193="Автомат",A193="Дифавтомат"),IF(W193="","",COUNTIFS(Однолинейка!$H$3:$H$3000,U193,Однолинейка!$A$3:$A$3000,Щит_спец)),IF(A193="Аппарат",IF(C193="","",COUNTIFS(Однолинейка!$I$3:$I$3000,C193,Однолинейка!$A$3:$A$3000,Щит_спец)+COUNTIFS(Однолинейка!$J$3:$J$3000,C193,Однолинейка!$A$3:$A$3000,Щит_спец)+COUNTIFS(Однолинейка!$K$3:$K$3000,C193,Однолинейка!$A$3:$A$3000,Щит_спец)),IF(A193="Модуль",IF(C193="","",COUNTIFS(Однолинейка!$AW$3:$AW$3000,"?*",Однолинейка!$AI$3:$AI$3000,C193,Однолинейка!$A$3:$A$3000,Щит_спец)),IF(A193="Клемма",IF(C193="","",IF(C193=$S$7,SUMIFS(Однолинейка!$BW$3:$BW$3000,Однолинейка!$A$3:$A$3000,Щит_спец),IF(C193=$S$8,SUMIFS(Однолинейка!$BX$3:$BX$3000,Однолинейка!$A$3:$A$3000,Щит_спец),""))),""))))</f>
        <v/>
      </c>
      <c r="O193" s="74"/>
      <c r="P193" s="38" t="str">
        <f t="shared" si="18"/>
        <v/>
      </c>
      <c r="U193" s="38" t="str">
        <f t="shared" si="19"/>
        <v/>
      </c>
      <c r="V193" s="38" t="str">
        <f t="shared" si="20"/>
        <v/>
      </c>
      <c r="W193" s="38" t="str">
        <f>IF(AND(U193&lt;&gt;"",OR($S$4="(все)",B193=$S$4),IF($S$4="(все)",COUNTIF($U$4:U193,U193),COUNTIFS($U$4:U193,U193,$B$4:B193,B193))=1),MAX($W$3:W192)+1,"")</f>
        <v/>
      </c>
      <c r="X193" s="38" t="str">
        <f t="shared" si="21"/>
        <v/>
      </c>
      <c r="Y193" s="38" t="str">
        <f>IF(AND(A193="Аппарат",C193&lt;&gt;"",OR($S$5="(все)",B193=$S$5)),MAX($Y$3:Y192)+1,"")</f>
        <v/>
      </c>
      <c r="Z193" s="38" t="str">
        <f t="shared" si="22"/>
        <v/>
      </c>
      <c r="AA193" s="38" t="str">
        <f>IF(AND(A193="Модуль",C193&lt;&gt;"",OR($S$6="(все)",B193=$S$6)),MAX($AA$3:AA192)+1,"")</f>
        <v/>
      </c>
      <c r="AB193" s="38" t="str">
        <f t="shared" si="23"/>
        <v/>
      </c>
      <c r="AC193" s="38" t="str">
        <f>IF(OR(B193="",COUNTIF($B$4:B193,B193)&gt;1),"",MAX($AC$3:AC192)+1)</f>
        <v/>
      </c>
      <c r="AD193" s="38" t="str">
        <f t="shared" si="24"/>
        <v/>
      </c>
      <c r="AE193" s="38" t="str">
        <f t="shared" si="25"/>
        <v/>
      </c>
      <c r="AF193" s="38" t="str">
        <f t="shared" si="26"/>
        <v/>
      </c>
    </row>
    <row r="194" spans="1:32" x14ac:dyDescent="0.3">
      <c r="A194" s="74"/>
      <c r="B194" s="74"/>
      <c r="C194" s="74"/>
      <c r="D194" s="74"/>
      <c r="E194" s="74"/>
      <c r="F194" s="74"/>
      <c r="G194" s="74"/>
      <c r="H194" s="74"/>
      <c r="I194" s="74"/>
      <c r="J194" s="74"/>
      <c r="K194" s="74"/>
      <c r="L194" s="74"/>
      <c r="M194" s="74"/>
      <c r="N194" s="38" t="str">
        <f>IF(OR(A194="Автомат",A194="Дифавтомат"),IF(W194="","",COUNTIFS(Однолинейка!$H$3:$H$3000,U194,Однолинейка!$A$3:$A$3000,Щит_спец)),IF(A194="Аппарат",IF(C194="","",COUNTIFS(Однолинейка!$I$3:$I$3000,C194,Однолинейка!$A$3:$A$3000,Щит_спец)+COUNTIFS(Однолинейка!$J$3:$J$3000,C194,Однолинейка!$A$3:$A$3000,Щит_спец)+COUNTIFS(Однолинейка!$K$3:$K$3000,C194,Однолинейка!$A$3:$A$3000,Щит_спец)),IF(A194="Модуль",IF(C194="","",COUNTIFS(Однолинейка!$AW$3:$AW$3000,"?*",Однолинейка!$AI$3:$AI$3000,C194,Однолинейка!$A$3:$A$3000,Щит_спец)),IF(A194="Клемма",IF(C194="","",IF(C194=$S$7,SUMIFS(Однолинейка!$BW$3:$BW$3000,Однолинейка!$A$3:$A$3000,Щит_спец),IF(C194=$S$8,SUMIFS(Однолинейка!$BX$3:$BX$3000,Однолинейка!$A$3:$A$3000,Щит_спец),""))),""))))</f>
        <v/>
      </c>
      <c r="O194" s="74"/>
      <c r="P194" s="38" t="str">
        <f t="shared" si="18"/>
        <v/>
      </c>
      <c r="U194" s="38" t="str">
        <f t="shared" si="19"/>
        <v/>
      </c>
      <c r="V194" s="38" t="str">
        <f t="shared" si="20"/>
        <v/>
      </c>
      <c r="W194" s="38" t="str">
        <f>IF(AND(U194&lt;&gt;"",OR($S$4="(все)",B194=$S$4),IF($S$4="(все)",COUNTIF($U$4:U194,U194),COUNTIFS($U$4:U194,U194,$B$4:B194,B194))=1),MAX($W$3:W193)+1,"")</f>
        <v/>
      </c>
      <c r="X194" s="38" t="str">
        <f t="shared" si="21"/>
        <v/>
      </c>
      <c r="Y194" s="38" t="str">
        <f>IF(AND(A194="Аппарат",C194&lt;&gt;"",OR($S$5="(все)",B194=$S$5)),MAX($Y$3:Y193)+1,"")</f>
        <v/>
      </c>
      <c r="Z194" s="38" t="str">
        <f t="shared" si="22"/>
        <v/>
      </c>
      <c r="AA194" s="38" t="str">
        <f>IF(AND(A194="Модуль",C194&lt;&gt;"",OR($S$6="(все)",B194=$S$6)),MAX($AA$3:AA193)+1,"")</f>
        <v/>
      </c>
      <c r="AB194" s="38" t="str">
        <f t="shared" si="23"/>
        <v/>
      </c>
      <c r="AC194" s="38" t="str">
        <f>IF(OR(B194="",COUNTIF($B$4:B194,B194)&gt;1),"",MAX($AC$3:AC193)+1)</f>
        <v/>
      </c>
      <c r="AD194" s="38" t="str">
        <f t="shared" si="24"/>
        <v/>
      </c>
      <c r="AE194" s="38" t="str">
        <f t="shared" si="25"/>
        <v/>
      </c>
      <c r="AF194" s="38" t="str">
        <f t="shared" si="26"/>
        <v/>
      </c>
    </row>
    <row r="195" spans="1:32" x14ac:dyDescent="0.3">
      <c r="A195" s="74"/>
      <c r="B195" s="74"/>
      <c r="C195" s="74"/>
      <c r="D195" s="74"/>
      <c r="E195" s="74"/>
      <c r="F195" s="74"/>
      <c r="G195" s="74"/>
      <c r="H195" s="74"/>
      <c r="I195" s="74"/>
      <c r="J195" s="74"/>
      <c r="K195" s="74"/>
      <c r="L195" s="74"/>
      <c r="M195" s="74"/>
      <c r="N195" s="38" t="str">
        <f>IF(OR(A195="Автомат",A195="Дифавтомат"),IF(W195="","",COUNTIFS(Однолинейка!$H$3:$H$3000,U195,Однолинейка!$A$3:$A$3000,Щит_спец)),IF(A195="Аппарат",IF(C195="","",COUNTIFS(Однолинейка!$I$3:$I$3000,C195,Однолинейка!$A$3:$A$3000,Щит_спец)+COUNTIFS(Однолинейка!$J$3:$J$3000,C195,Однолинейка!$A$3:$A$3000,Щит_спец)+COUNTIFS(Однолинейка!$K$3:$K$3000,C195,Однолинейка!$A$3:$A$3000,Щит_спец)),IF(A195="Модуль",IF(C195="","",COUNTIFS(Однолинейка!$AW$3:$AW$3000,"?*",Однолинейка!$AI$3:$AI$3000,C195,Однолинейка!$A$3:$A$3000,Щит_спец)),IF(A195="Клемма",IF(C195="","",IF(C195=$S$7,SUMIFS(Однолинейка!$BW$3:$BW$3000,Однолинейка!$A$3:$A$3000,Щит_спец),IF(C195=$S$8,SUMIFS(Однолинейка!$BX$3:$BX$3000,Однолинейка!$A$3:$A$3000,Щит_спец),""))),""))))</f>
        <v/>
      </c>
      <c r="O195" s="74"/>
      <c r="P195" s="38" t="str">
        <f t="shared" si="18"/>
        <v/>
      </c>
      <c r="U195" s="38" t="str">
        <f t="shared" si="19"/>
        <v/>
      </c>
      <c r="V195" s="38" t="str">
        <f t="shared" si="20"/>
        <v/>
      </c>
      <c r="W195" s="38" t="str">
        <f>IF(AND(U195&lt;&gt;"",OR($S$4="(все)",B195=$S$4),IF($S$4="(все)",COUNTIF($U$4:U195,U195),COUNTIFS($U$4:U195,U195,$B$4:B195,B195))=1),MAX($W$3:W194)+1,"")</f>
        <v/>
      </c>
      <c r="X195" s="38" t="str">
        <f t="shared" si="21"/>
        <v/>
      </c>
      <c r="Y195" s="38" t="str">
        <f>IF(AND(A195="Аппарат",C195&lt;&gt;"",OR($S$5="(все)",B195=$S$5)),MAX($Y$3:Y194)+1,"")</f>
        <v/>
      </c>
      <c r="Z195" s="38" t="str">
        <f t="shared" si="22"/>
        <v/>
      </c>
      <c r="AA195" s="38" t="str">
        <f>IF(AND(A195="Модуль",C195&lt;&gt;"",OR($S$6="(все)",B195=$S$6)),MAX($AA$3:AA194)+1,"")</f>
        <v/>
      </c>
      <c r="AB195" s="38" t="str">
        <f t="shared" si="23"/>
        <v/>
      </c>
      <c r="AC195" s="38" t="str">
        <f>IF(OR(B195="",COUNTIF($B$4:B195,B195)&gt;1),"",MAX($AC$3:AC194)+1)</f>
        <v/>
      </c>
      <c r="AD195" s="38" t="str">
        <f t="shared" si="24"/>
        <v/>
      </c>
      <c r="AE195" s="38" t="str">
        <f t="shared" si="25"/>
        <v/>
      </c>
      <c r="AF195" s="38" t="str">
        <f t="shared" si="26"/>
        <v/>
      </c>
    </row>
    <row r="196" spans="1:32" x14ac:dyDescent="0.3">
      <c r="A196" s="74"/>
      <c r="B196" s="74"/>
      <c r="C196" s="74"/>
      <c r="D196" s="74"/>
      <c r="E196" s="74"/>
      <c r="F196" s="74"/>
      <c r="G196" s="74"/>
      <c r="H196" s="74"/>
      <c r="I196" s="74"/>
      <c r="J196" s="74"/>
      <c r="K196" s="74"/>
      <c r="L196" s="74"/>
      <c r="M196" s="74"/>
      <c r="N196" s="38" t="str">
        <f>IF(OR(A196="Автомат",A196="Дифавтомат"),IF(W196="","",COUNTIFS(Однолинейка!$H$3:$H$3000,U196,Однолинейка!$A$3:$A$3000,Щит_спец)),IF(A196="Аппарат",IF(C196="","",COUNTIFS(Однолинейка!$I$3:$I$3000,C196,Однолинейка!$A$3:$A$3000,Щит_спец)+COUNTIFS(Однолинейка!$J$3:$J$3000,C196,Однолинейка!$A$3:$A$3000,Щит_спец)+COUNTIFS(Однолинейка!$K$3:$K$3000,C196,Однолинейка!$A$3:$A$3000,Щит_спец)),IF(A196="Модуль",IF(C196="","",COUNTIFS(Однолинейка!$AW$3:$AW$3000,"?*",Однолинейка!$AI$3:$AI$3000,C196,Однолинейка!$A$3:$A$3000,Щит_спец)),IF(A196="Клемма",IF(C196="","",IF(C196=$S$7,SUMIFS(Однолинейка!$BW$3:$BW$3000,Однолинейка!$A$3:$A$3000,Щит_спец),IF(C196=$S$8,SUMIFS(Однолинейка!$BX$3:$BX$3000,Однолинейка!$A$3:$A$3000,Щит_спец),""))),""))))</f>
        <v/>
      </c>
      <c r="O196" s="74"/>
      <c r="P196" s="38" t="str">
        <f t="shared" ref="P196:P259" si="27">IF(COUNT(N196,O196)=0,"",SUM(N196,O196))</f>
        <v/>
      </c>
      <c r="U196" s="38" t="str">
        <f t="shared" ref="U196:U259" si="28">IF(OR(A196="Автомат",A196="Дифавтомат"),I196&amp;" С"&amp;J196&amp;"А"&amp;IF(K196="да"," 30мА",IF(ISNUMBER(K196)," "&amp;K196&amp;"мА","")),"")</f>
        <v/>
      </c>
      <c r="V196" s="38" t="str">
        <f t="shared" ref="V196:V259" si="29">IF(U196="","",B196&amp;"|"&amp;U196)</f>
        <v/>
      </c>
      <c r="W196" s="38" t="str">
        <f>IF(AND(U196&lt;&gt;"",OR($S$4="(все)",B196=$S$4),IF($S$4="(все)",COUNTIF($U$4:U196,U196),COUNTIFS($U$4:U196,U196,$B$4:B196,B196))=1),MAX($W$3:W195)+1,"")</f>
        <v/>
      </c>
      <c r="X196" s="38" t="str">
        <f t="shared" ref="X196:X259" si="30">IFERROR(INDEX($U$4:$U$500,MATCH(ROW()-3,$W$4:$W$500,0)),"")</f>
        <v/>
      </c>
      <c r="Y196" s="38" t="str">
        <f>IF(AND(A196="Аппарат",C196&lt;&gt;"",OR($S$5="(все)",B196=$S$5)),MAX($Y$3:Y195)+1,"")</f>
        <v/>
      </c>
      <c r="Z196" s="38" t="str">
        <f t="shared" ref="Z196:Z259" si="31">IFERROR(INDEX($C$4:$C$500,MATCH(ROW()-3,$Y$4:$Y$500,0)),"")</f>
        <v/>
      </c>
      <c r="AA196" s="38" t="str">
        <f>IF(AND(A196="Модуль",C196&lt;&gt;"",OR($S$6="(все)",B196=$S$6)),MAX($AA$3:AA195)+1,"")</f>
        <v/>
      </c>
      <c r="AB196" s="38" t="str">
        <f t="shared" ref="AB196:AB259" si="32">IFERROR(INDEX($C$4:$C$500,MATCH(ROW()-3,$AA$4:$AA$500,0)),"")</f>
        <v/>
      </c>
      <c r="AC196" s="38" t="str">
        <f>IF(OR(B196="",COUNTIF($B$4:B196,B196)&gt;1),"",MAX($AC$3:AC195)+1)</f>
        <v/>
      </c>
      <c r="AD196" s="38" t="str">
        <f t="shared" ref="AD196:AD259" si="33">IFERROR(INDEX($B$4:$B$500,MATCH(ROW()-3,$AC$4:$AC$500,0)),"")</f>
        <v/>
      </c>
      <c r="AE196" s="38" t="str">
        <f t="shared" ref="AE196:AE259" si="34">IF(AND(A196&lt;&gt;"",N(P196)&gt;0),IFERROR(MATCH(A196,$R$12:$R$25,0),99)*1000+ROW(),"")</f>
        <v/>
      </c>
      <c r="AF196" s="38" t="str">
        <f t="shared" ref="AF196:AF259" si="35">IF(AE196="","",COUNTIF($AE$4:$AE$500,"&lt;="&amp;AE196))</f>
        <v/>
      </c>
    </row>
    <row r="197" spans="1:32" x14ac:dyDescent="0.3">
      <c r="A197" s="74"/>
      <c r="B197" s="74"/>
      <c r="C197" s="74"/>
      <c r="D197" s="74"/>
      <c r="E197" s="74"/>
      <c r="F197" s="74"/>
      <c r="G197" s="74"/>
      <c r="H197" s="74"/>
      <c r="I197" s="74"/>
      <c r="J197" s="74"/>
      <c r="K197" s="74"/>
      <c r="L197" s="74"/>
      <c r="M197" s="74"/>
      <c r="N197" s="38" t="str">
        <f>IF(OR(A197="Автомат",A197="Дифавтомат"),IF(W197="","",COUNTIFS(Однолинейка!$H$3:$H$3000,U197,Однолинейка!$A$3:$A$3000,Щит_спец)),IF(A197="Аппарат",IF(C197="","",COUNTIFS(Однолинейка!$I$3:$I$3000,C197,Однолинейка!$A$3:$A$3000,Щит_спец)+COUNTIFS(Однолинейка!$J$3:$J$3000,C197,Однолинейка!$A$3:$A$3000,Щит_спец)+COUNTIFS(Однолинейка!$K$3:$K$3000,C197,Однолинейка!$A$3:$A$3000,Щит_спец)),IF(A197="Модуль",IF(C197="","",COUNTIFS(Однолинейка!$AW$3:$AW$3000,"?*",Однолинейка!$AI$3:$AI$3000,C197,Однолинейка!$A$3:$A$3000,Щит_спец)),IF(A197="Клемма",IF(C197="","",IF(C197=$S$7,SUMIFS(Однолинейка!$BW$3:$BW$3000,Однолинейка!$A$3:$A$3000,Щит_спец),IF(C197=$S$8,SUMIFS(Однолинейка!$BX$3:$BX$3000,Однолинейка!$A$3:$A$3000,Щит_спец),""))),""))))</f>
        <v/>
      </c>
      <c r="O197" s="74"/>
      <c r="P197" s="38" t="str">
        <f t="shared" si="27"/>
        <v/>
      </c>
      <c r="U197" s="38" t="str">
        <f t="shared" si="28"/>
        <v/>
      </c>
      <c r="V197" s="38" t="str">
        <f t="shared" si="29"/>
        <v/>
      </c>
      <c r="W197" s="38" t="str">
        <f>IF(AND(U197&lt;&gt;"",OR($S$4="(все)",B197=$S$4),IF($S$4="(все)",COUNTIF($U$4:U197,U197),COUNTIFS($U$4:U197,U197,$B$4:B197,B197))=1),MAX($W$3:W196)+1,"")</f>
        <v/>
      </c>
      <c r="X197" s="38" t="str">
        <f t="shared" si="30"/>
        <v/>
      </c>
      <c r="Y197" s="38" t="str">
        <f>IF(AND(A197="Аппарат",C197&lt;&gt;"",OR($S$5="(все)",B197=$S$5)),MAX($Y$3:Y196)+1,"")</f>
        <v/>
      </c>
      <c r="Z197" s="38" t="str">
        <f t="shared" si="31"/>
        <v/>
      </c>
      <c r="AA197" s="38" t="str">
        <f>IF(AND(A197="Модуль",C197&lt;&gt;"",OR($S$6="(все)",B197=$S$6)),MAX($AA$3:AA196)+1,"")</f>
        <v/>
      </c>
      <c r="AB197" s="38" t="str">
        <f t="shared" si="32"/>
        <v/>
      </c>
      <c r="AC197" s="38" t="str">
        <f>IF(OR(B197="",COUNTIF($B$4:B197,B197)&gt;1),"",MAX($AC$3:AC196)+1)</f>
        <v/>
      </c>
      <c r="AD197" s="38" t="str">
        <f t="shared" si="33"/>
        <v/>
      </c>
      <c r="AE197" s="38" t="str">
        <f t="shared" si="34"/>
        <v/>
      </c>
      <c r="AF197" s="38" t="str">
        <f t="shared" si="35"/>
        <v/>
      </c>
    </row>
    <row r="198" spans="1:32" x14ac:dyDescent="0.3">
      <c r="A198" s="74"/>
      <c r="B198" s="74"/>
      <c r="C198" s="74"/>
      <c r="D198" s="74"/>
      <c r="E198" s="74"/>
      <c r="F198" s="74"/>
      <c r="G198" s="74"/>
      <c r="H198" s="74"/>
      <c r="I198" s="74"/>
      <c r="J198" s="74"/>
      <c r="K198" s="74"/>
      <c r="L198" s="74"/>
      <c r="M198" s="74"/>
      <c r="N198" s="38" t="str">
        <f>IF(OR(A198="Автомат",A198="Дифавтомат"),IF(W198="","",COUNTIFS(Однолинейка!$H$3:$H$3000,U198,Однолинейка!$A$3:$A$3000,Щит_спец)),IF(A198="Аппарат",IF(C198="","",COUNTIFS(Однолинейка!$I$3:$I$3000,C198,Однолинейка!$A$3:$A$3000,Щит_спец)+COUNTIFS(Однолинейка!$J$3:$J$3000,C198,Однолинейка!$A$3:$A$3000,Щит_спец)+COUNTIFS(Однолинейка!$K$3:$K$3000,C198,Однолинейка!$A$3:$A$3000,Щит_спец)),IF(A198="Модуль",IF(C198="","",COUNTIFS(Однолинейка!$AW$3:$AW$3000,"?*",Однолинейка!$AI$3:$AI$3000,C198,Однолинейка!$A$3:$A$3000,Щит_спец)),IF(A198="Клемма",IF(C198="","",IF(C198=$S$7,SUMIFS(Однолинейка!$BW$3:$BW$3000,Однолинейка!$A$3:$A$3000,Щит_спец),IF(C198=$S$8,SUMIFS(Однолинейка!$BX$3:$BX$3000,Однолинейка!$A$3:$A$3000,Щит_спец),""))),""))))</f>
        <v/>
      </c>
      <c r="O198" s="74"/>
      <c r="P198" s="38" t="str">
        <f t="shared" si="27"/>
        <v/>
      </c>
      <c r="U198" s="38" t="str">
        <f t="shared" si="28"/>
        <v/>
      </c>
      <c r="V198" s="38" t="str">
        <f t="shared" si="29"/>
        <v/>
      </c>
      <c r="W198" s="38" t="str">
        <f>IF(AND(U198&lt;&gt;"",OR($S$4="(все)",B198=$S$4),IF($S$4="(все)",COUNTIF($U$4:U198,U198),COUNTIFS($U$4:U198,U198,$B$4:B198,B198))=1),MAX($W$3:W197)+1,"")</f>
        <v/>
      </c>
      <c r="X198" s="38" t="str">
        <f t="shared" si="30"/>
        <v/>
      </c>
      <c r="Y198" s="38" t="str">
        <f>IF(AND(A198="Аппарат",C198&lt;&gt;"",OR($S$5="(все)",B198=$S$5)),MAX($Y$3:Y197)+1,"")</f>
        <v/>
      </c>
      <c r="Z198" s="38" t="str">
        <f t="shared" si="31"/>
        <v/>
      </c>
      <c r="AA198" s="38" t="str">
        <f>IF(AND(A198="Модуль",C198&lt;&gt;"",OR($S$6="(все)",B198=$S$6)),MAX($AA$3:AA197)+1,"")</f>
        <v/>
      </c>
      <c r="AB198" s="38" t="str">
        <f t="shared" si="32"/>
        <v/>
      </c>
      <c r="AC198" s="38" t="str">
        <f>IF(OR(B198="",COUNTIF($B$4:B198,B198)&gt;1),"",MAX($AC$3:AC197)+1)</f>
        <v/>
      </c>
      <c r="AD198" s="38" t="str">
        <f t="shared" si="33"/>
        <v/>
      </c>
      <c r="AE198" s="38" t="str">
        <f t="shared" si="34"/>
        <v/>
      </c>
      <c r="AF198" s="38" t="str">
        <f t="shared" si="35"/>
        <v/>
      </c>
    </row>
    <row r="199" spans="1:32" x14ac:dyDescent="0.3">
      <c r="A199" s="74"/>
      <c r="B199" s="74"/>
      <c r="C199" s="74"/>
      <c r="D199" s="74"/>
      <c r="E199" s="74"/>
      <c r="F199" s="74"/>
      <c r="G199" s="74"/>
      <c r="H199" s="74"/>
      <c r="I199" s="74"/>
      <c r="J199" s="74"/>
      <c r="K199" s="74"/>
      <c r="L199" s="74"/>
      <c r="M199" s="74"/>
      <c r="N199" s="38" t="str">
        <f>IF(OR(A199="Автомат",A199="Дифавтомат"),IF(W199="","",COUNTIFS(Однолинейка!$H$3:$H$3000,U199,Однолинейка!$A$3:$A$3000,Щит_спец)),IF(A199="Аппарат",IF(C199="","",COUNTIFS(Однолинейка!$I$3:$I$3000,C199,Однолинейка!$A$3:$A$3000,Щит_спец)+COUNTIFS(Однолинейка!$J$3:$J$3000,C199,Однолинейка!$A$3:$A$3000,Щит_спец)+COUNTIFS(Однолинейка!$K$3:$K$3000,C199,Однолинейка!$A$3:$A$3000,Щит_спец)),IF(A199="Модуль",IF(C199="","",COUNTIFS(Однолинейка!$AW$3:$AW$3000,"?*",Однолинейка!$AI$3:$AI$3000,C199,Однолинейка!$A$3:$A$3000,Щит_спец)),IF(A199="Клемма",IF(C199="","",IF(C199=$S$7,SUMIFS(Однолинейка!$BW$3:$BW$3000,Однолинейка!$A$3:$A$3000,Щит_спец),IF(C199=$S$8,SUMIFS(Однолинейка!$BX$3:$BX$3000,Однолинейка!$A$3:$A$3000,Щит_спец),""))),""))))</f>
        <v/>
      </c>
      <c r="O199" s="74"/>
      <c r="P199" s="38" t="str">
        <f t="shared" si="27"/>
        <v/>
      </c>
      <c r="U199" s="38" t="str">
        <f t="shared" si="28"/>
        <v/>
      </c>
      <c r="V199" s="38" t="str">
        <f t="shared" si="29"/>
        <v/>
      </c>
      <c r="W199" s="38" t="str">
        <f>IF(AND(U199&lt;&gt;"",OR($S$4="(все)",B199=$S$4),IF($S$4="(все)",COUNTIF($U$4:U199,U199),COUNTIFS($U$4:U199,U199,$B$4:B199,B199))=1),MAX($W$3:W198)+1,"")</f>
        <v/>
      </c>
      <c r="X199" s="38" t="str">
        <f t="shared" si="30"/>
        <v/>
      </c>
      <c r="Y199" s="38" t="str">
        <f>IF(AND(A199="Аппарат",C199&lt;&gt;"",OR($S$5="(все)",B199=$S$5)),MAX($Y$3:Y198)+1,"")</f>
        <v/>
      </c>
      <c r="Z199" s="38" t="str">
        <f t="shared" si="31"/>
        <v/>
      </c>
      <c r="AA199" s="38" t="str">
        <f>IF(AND(A199="Модуль",C199&lt;&gt;"",OR($S$6="(все)",B199=$S$6)),MAX($AA$3:AA198)+1,"")</f>
        <v/>
      </c>
      <c r="AB199" s="38" t="str">
        <f t="shared" si="32"/>
        <v/>
      </c>
      <c r="AC199" s="38" t="str">
        <f>IF(OR(B199="",COUNTIF($B$4:B199,B199)&gt;1),"",MAX($AC$3:AC198)+1)</f>
        <v/>
      </c>
      <c r="AD199" s="38" t="str">
        <f t="shared" si="33"/>
        <v/>
      </c>
      <c r="AE199" s="38" t="str">
        <f t="shared" si="34"/>
        <v/>
      </c>
      <c r="AF199" s="38" t="str">
        <f t="shared" si="35"/>
        <v/>
      </c>
    </row>
    <row r="200" spans="1:32" x14ac:dyDescent="0.3">
      <c r="A200" s="74"/>
      <c r="B200" s="74"/>
      <c r="C200" s="74"/>
      <c r="D200" s="74"/>
      <c r="E200" s="74"/>
      <c r="F200" s="74"/>
      <c r="G200" s="74"/>
      <c r="H200" s="74"/>
      <c r="I200" s="74"/>
      <c r="J200" s="74"/>
      <c r="K200" s="74"/>
      <c r="L200" s="74"/>
      <c r="M200" s="74"/>
      <c r="N200" s="38" t="str">
        <f>IF(OR(A200="Автомат",A200="Дифавтомат"),IF(W200="","",COUNTIFS(Однолинейка!$H$3:$H$3000,U200,Однолинейка!$A$3:$A$3000,Щит_спец)),IF(A200="Аппарат",IF(C200="","",COUNTIFS(Однолинейка!$I$3:$I$3000,C200,Однолинейка!$A$3:$A$3000,Щит_спец)+COUNTIFS(Однолинейка!$J$3:$J$3000,C200,Однолинейка!$A$3:$A$3000,Щит_спец)+COUNTIFS(Однолинейка!$K$3:$K$3000,C200,Однолинейка!$A$3:$A$3000,Щит_спец)),IF(A200="Модуль",IF(C200="","",COUNTIFS(Однолинейка!$AW$3:$AW$3000,"?*",Однолинейка!$AI$3:$AI$3000,C200,Однолинейка!$A$3:$A$3000,Щит_спец)),IF(A200="Клемма",IF(C200="","",IF(C200=$S$7,SUMIFS(Однолинейка!$BW$3:$BW$3000,Однолинейка!$A$3:$A$3000,Щит_спец),IF(C200=$S$8,SUMIFS(Однолинейка!$BX$3:$BX$3000,Однолинейка!$A$3:$A$3000,Щит_спец),""))),""))))</f>
        <v/>
      </c>
      <c r="O200" s="74"/>
      <c r="P200" s="38" t="str">
        <f t="shared" si="27"/>
        <v/>
      </c>
      <c r="U200" s="38" t="str">
        <f t="shared" si="28"/>
        <v/>
      </c>
      <c r="V200" s="38" t="str">
        <f t="shared" si="29"/>
        <v/>
      </c>
      <c r="W200" s="38" t="str">
        <f>IF(AND(U200&lt;&gt;"",OR($S$4="(все)",B200=$S$4),IF($S$4="(все)",COUNTIF($U$4:U200,U200),COUNTIFS($U$4:U200,U200,$B$4:B200,B200))=1),MAX($W$3:W199)+1,"")</f>
        <v/>
      </c>
      <c r="X200" s="38" t="str">
        <f t="shared" si="30"/>
        <v/>
      </c>
      <c r="Y200" s="38" t="str">
        <f>IF(AND(A200="Аппарат",C200&lt;&gt;"",OR($S$5="(все)",B200=$S$5)),MAX($Y$3:Y199)+1,"")</f>
        <v/>
      </c>
      <c r="Z200" s="38" t="str">
        <f t="shared" si="31"/>
        <v/>
      </c>
      <c r="AA200" s="38" t="str">
        <f>IF(AND(A200="Модуль",C200&lt;&gt;"",OR($S$6="(все)",B200=$S$6)),MAX($AA$3:AA199)+1,"")</f>
        <v/>
      </c>
      <c r="AB200" s="38" t="str">
        <f t="shared" si="32"/>
        <v/>
      </c>
      <c r="AC200" s="38" t="str">
        <f>IF(OR(B200="",COUNTIF($B$4:B200,B200)&gt;1),"",MAX($AC$3:AC199)+1)</f>
        <v/>
      </c>
      <c r="AD200" s="38" t="str">
        <f t="shared" si="33"/>
        <v/>
      </c>
      <c r="AE200" s="38" t="str">
        <f t="shared" si="34"/>
        <v/>
      </c>
      <c r="AF200" s="38" t="str">
        <f t="shared" si="35"/>
        <v/>
      </c>
    </row>
    <row r="201" spans="1:32" x14ac:dyDescent="0.3">
      <c r="A201" s="74"/>
      <c r="B201" s="74"/>
      <c r="C201" s="74"/>
      <c r="D201" s="74"/>
      <c r="E201" s="74"/>
      <c r="F201" s="74"/>
      <c r="G201" s="74"/>
      <c r="H201" s="74"/>
      <c r="I201" s="74"/>
      <c r="J201" s="74"/>
      <c r="K201" s="74"/>
      <c r="L201" s="74"/>
      <c r="M201" s="74"/>
      <c r="N201" s="38" t="str">
        <f>IF(OR(A201="Автомат",A201="Дифавтомат"),IF(W201="","",COUNTIFS(Однолинейка!$H$3:$H$3000,U201,Однолинейка!$A$3:$A$3000,Щит_спец)),IF(A201="Аппарат",IF(C201="","",COUNTIFS(Однолинейка!$I$3:$I$3000,C201,Однолинейка!$A$3:$A$3000,Щит_спец)+COUNTIFS(Однолинейка!$J$3:$J$3000,C201,Однолинейка!$A$3:$A$3000,Щит_спец)+COUNTIFS(Однолинейка!$K$3:$K$3000,C201,Однолинейка!$A$3:$A$3000,Щит_спец)),IF(A201="Модуль",IF(C201="","",COUNTIFS(Однолинейка!$AW$3:$AW$3000,"?*",Однолинейка!$AI$3:$AI$3000,C201,Однолинейка!$A$3:$A$3000,Щит_спец)),IF(A201="Клемма",IF(C201="","",IF(C201=$S$7,SUMIFS(Однолинейка!$BW$3:$BW$3000,Однолинейка!$A$3:$A$3000,Щит_спец),IF(C201=$S$8,SUMIFS(Однолинейка!$BX$3:$BX$3000,Однолинейка!$A$3:$A$3000,Щит_спец),""))),""))))</f>
        <v/>
      </c>
      <c r="O201" s="74"/>
      <c r="P201" s="38" t="str">
        <f t="shared" si="27"/>
        <v/>
      </c>
      <c r="U201" s="38" t="str">
        <f t="shared" si="28"/>
        <v/>
      </c>
      <c r="V201" s="38" t="str">
        <f t="shared" si="29"/>
        <v/>
      </c>
      <c r="W201" s="38" t="str">
        <f>IF(AND(U201&lt;&gt;"",OR($S$4="(все)",B201=$S$4),IF($S$4="(все)",COUNTIF($U$4:U201,U201),COUNTIFS($U$4:U201,U201,$B$4:B201,B201))=1),MAX($W$3:W200)+1,"")</f>
        <v/>
      </c>
      <c r="X201" s="38" t="str">
        <f t="shared" si="30"/>
        <v/>
      </c>
      <c r="Y201" s="38" t="str">
        <f>IF(AND(A201="Аппарат",C201&lt;&gt;"",OR($S$5="(все)",B201=$S$5)),MAX($Y$3:Y200)+1,"")</f>
        <v/>
      </c>
      <c r="Z201" s="38" t="str">
        <f t="shared" si="31"/>
        <v/>
      </c>
      <c r="AA201" s="38" t="str">
        <f>IF(AND(A201="Модуль",C201&lt;&gt;"",OR($S$6="(все)",B201=$S$6)),MAX($AA$3:AA200)+1,"")</f>
        <v/>
      </c>
      <c r="AB201" s="38" t="str">
        <f t="shared" si="32"/>
        <v/>
      </c>
      <c r="AC201" s="38" t="str">
        <f>IF(OR(B201="",COUNTIF($B$4:B201,B201)&gt;1),"",MAX($AC$3:AC200)+1)</f>
        <v/>
      </c>
      <c r="AD201" s="38" t="str">
        <f t="shared" si="33"/>
        <v/>
      </c>
      <c r="AE201" s="38" t="str">
        <f t="shared" si="34"/>
        <v/>
      </c>
      <c r="AF201" s="38" t="str">
        <f t="shared" si="35"/>
        <v/>
      </c>
    </row>
    <row r="202" spans="1:32" x14ac:dyDescent="0.3">
      <c r="A202" s="74"/>
      <c r="B202" s="74"/>
      <c r="C202" s="74"/>
      <c r="D202" s="74"/>
      <c r="E202" s="74"/>
      <c r="F202" s="74"/>
      <c r="G202" s="74"/>
      <c r="H202" s="74"/>
      <c r="I202" s="74"/>
      <c r="J202" s="74"/>
      <c r="K202" s="74"/>
      <c r="L202" s="74"/>
      <c r="M202" s="74"/>
      <c r="N202" s="38" t="str">
        <f>IF(OR(A202="Автомат",A202="Дифавтомат"),IF(W202="","",COUNTIFS(Однолинейка!$H$3:$H$3000,U202,Однолинейка!$A$3:$A$3000,Щит_спец)),IF(A202="Аппарат",IF(C202="","",COUNTIFS(Однолинейка!$I$3:$I$3000,C202,Однолинейка!$A$3:$A$3000,Щит_спец)+COUNTIFS(Однолинейка!$J$3:$J$3000,C202,Однолинейка!$A$3:$A$3000,Щит_спец)+COUNTIFS(Однолинейка!$K$3:$K$3000,C202,Однолинейка!$A$3:$A$3000,Щит_спец)),IF(A202="Модуль",IF(C202="","",COUNTIFS(Однолинейка!$AW$3:$AW$3000,"?*",Однолинейка!$AI$3:$AI$3000,C202,Однолинейка!$A$3:$A$3000,Щит_спец)),IF(A202="Клемма",IF(C202="","",IF(C202=$S$7,SUMIFS(Однолинейка!$BW$3:$BW$3000,Однолинейка!$A$3:$A$3000,Щит_спец),IF(C202=$S$8,SUMIFS(Однолинейка!$BX$3:$BX$3000,Однолинейка!$A$3:$A$3000,Щит_спец),""))),""))))</f>
        <v/>
      </c>
      <c r="O202" s="74"/>
      <c r="P202" s="38" t="str">
        <f t="shared" si="27"/>
        <v/>
      </c>
      <c r="U202" s="38" t="str">
        <f t="shared" si="28"/>
        <v/>
      </c>
      <c r="V202" s="38" t="str">
        <f t="shared" si="29"/>
        <v/>
      </c>
      <c r="W202" s="38" t="str">
        <f>IF(AND(U202&lt;&gt;"",OR($S$4="(все)",B202=$S$4),IF($S$4="(все)",COUNTIF($U$4:U202,U202),COUNTIFS($U$4:U202,U202,$B$4:B202,B202))=1),MAX($W$3:W201)+1,"")</f>
        <v/>
      </c>
      <c r="X202" s="38" t="str">
        <f t="shared" si="30"/>
        <v/>
      </c>
      <c r="Y202" s="38" t="str">
        <f>IF(AND(A202="Аппарат",C202&lt;&gt;"",OR($S$5="(все)",B202=$S$5)),MAX($Y$3:Y201)+1,"")</f>
        <v/>
      </c>
      <c r="Z202" s="38" t="str">
        <f t="shared" si="31"/>
        <v/>
      </c>
      <c r="AA202" s="38" t="str">
        <f>IF(AND(A202="Модуль",C202&lt;&gt;"",OR($S$6="(все)",B202=$S$6)),MAX($AA$3:AA201)+1,"")</f>
        <v/>
      </c>
      <c r="AB202" s="38" t="str">
        <f t="shared" si="32"/>
        <v/>
      </c>
      <c r="AC202" s="38" t="str">
        <f>IF(OR(B202="",COUNTIF($B$4:B202,B202)&gt;1),"",MAX($AC$3:AC201)+1)</f>
        <v/>
      </c>
      <c r="AD202" s="38" t="str">
        <f t="shared" si="33"/>
        <v/>
      </c>
      <c r="AE202" s="38" t="str">
        <f t="shared" si="34"/>
        <v/>
      </c>
      <c r="AF202" s="38" t="str">
        <f t="shared" si="35"/>
        <v/>
      </c>
    </row>
    <row r="203" spans="1:32" x14ac:dyDescent="0.3">
      <c r="A203" s="74"/>
      <c r="B203" s="74"/>
      <c r="C203" s="74"/>
      <c r="D203" s="74"/>
      <c r="E203" s="74"/>
      <c r="F203" s="74"/>
      <c r="G203" s="74"/>
      <c r="H203" s="74"/>
      <c r="I203" s="74"/>
      <c r="J203" s="74"/>
      <c r="K203" s="74"/>
      <c r="L203" s="74"/>
      <c r="M203" s="74"/>
      <c r="N203" s="38" t="str">
        <f>IF(OR(A203="Автомат",A203="Дифавтомат"),IF(W203="","",COUNTIFS(Однолинейка!$H$3:$H$3000,U203,Однолинейка!$A$3:$A$3000,Щит_спец)),IF(A203="Аппарат",IF(C203="","",COUNTIFS(Однолинейка!$I$3:$I$3000,C203,Однолинейка!$A$3:$A$3000,Щит_спец)+COUNTIFS(Однолинейка!$J$3:$J$3000,C203,Однолинейка!$A$3:$A$3000,Щит_спец)+COUNTIFS(Однолинейка!$K$3:$K$3000,C203,Однолинейка!$A$3:$A$3000,Щит_спец)),IF(A203="Модуль",IF(C203="","",COUNTIFS(Однолинейка!$AW$3:$AW$3000,"?*",Однолинейка!$AI$3:$AI$3000,C203,Однолинейка!$A$3:$A$3000,Щит_спец)),IF(A203="Клемма",IF(C203="","",IF(C203=$S$7,SUMIFS(Однолинейка!$BW$3:$BW$3000,Однолинейка!$A$3:$A$3000,Щит_спец),IF(C203=$S$8,SUMIFS(Однолинейка!$BX$3:$BX$3000,Однолинейка!$A$3:$A$3000,Щит_спец),""))),""))))</f>
        <v/>
      </c>
      <c r="O203" s="74"/>
      <c r="P203" s="38" t="str">
        <f t="shared" si="27"/>
        <v/>
      </c>
      <c r="U203" s="38" t="str">
        <f t="shared" si="28"/>
        <v/>
      </c>
      <c r="V203" s="38" t="str">
        <f t="shared" si="29"/>
        <v/>
      </c>
      <c r="W203" s="38" t="str">
        <f>IF(AND(U203&lt;&gt;"",OR($S$4="(все)",B203=$S$4),IF($S$4="(все)",COUNTIF($U$4:U203,U203),COUNTIFS($U$4:U203,U203,$B$4:B203,B203))=1),MAX($W$3:W202)+1,"")</f>
        <v/>
      </c>
      <c r="X203" s="38" t="str">
        <f t="shared" si="30"/>
        <v/>
      </c>
      <c r="Y203" s="38" t="str">
        <f>IF(AND(A203="Аппарат",C203&lt;&gt;"",OR($S$5="(все)",B203=$S$5)),MAX($Y$3:Y202)+1,"")</f>
        <v/>
      </c>
      <c r="Z203" s="38" t="str">
        <f t="shared" si="31"/>
        <v/>
      </c>
      <c r="AA203" s="38" t="str">
        <f>IF(AND(A203="Модуль",C203&lt;&gt;"",OR($S$6="(все)",B203=$S$6)),MAX($AA$3:AA202)+1,"")</f>
        <v/>
      </c>
      <c r="AB203" s="38" t="str">
        <f t="shared" si="32"/>
        <v/>
      </c>
      <c r="AC203" s="38" t="str">
        <f>IF(OR(B203="",COUNTIF($B$4:B203,B203)&gt;1),"",MAX($AC$3:AC202)+1)</f>
        <v/>
      </c>
      <c r="AD203" s="38" t="str">
        <f t="shared" si="33"/>
        <v/>
      </c>
      <c r="AE203" s="38" t="str">
        <f t="shared" si="34"/>
        <v/>
      </c>
      <c r="AF203" s="38" t="str">
        <f t="shared" si="35"/>
        <v/>
      </c>
    </row>
    <row r="204" spans="1:32" x14ac:dyDescent="0.3">
      <c r="A204" s="74"/>
      <c r="B204" s="74"/>
      <c r="C204" s="74"/>
      <c r="D204" s="74"/>
      <c r="E204" s="74"/>
      <c r="F204" s="74"/>
      <c r="G204" s="74"/>
      <c r="H204" s="74"/>
      <c r="I204" s="74"/>
      <c r="J204" s="74"/>
      <c r="K204" s="74"/>
      <c r="L204" s="74"/>
      <c r="M204" s="74"/>
      <c r="N204" s="38" t="str">
        <f>IF(OR(A204="Автомат",A204="Дифавтомат"),IF(W204="","",COUNTIFS(Однолинейка!$H$3:$H$3000,U204,Однолинейка!$A$3:$A$3000,Щит_спец)),IF(A204="Аппарат",IF(C204="","",COUNTIFS(Однолинейка!$I$3:$I$3000,C204,Однолинейка!$A$3:$A$3000,Щит_спец)+COUNTIFS(Однолинейка!$J$3:$J$3000,C204,Однолинейка!$A$3:$A$3000,Щит_спец)+COUNTIFS(Однолинейка!$K$3:$K$3000,C204,Однолинейка!$A$3:$A$3000,Щит_спец)),IF(A204="Модуль",IF(C204="","",COUNTIFS(Однолинейка!$AW$3:$AW$3000,"?*",Однолинейка!$AI$3:$AI$3000,C204,Однолинейка!$A$3:$A$3000,Щит_спец)),IF(A204="Клемма",IF(C204="","",IF(C204=$S$7,SUMIFS(Однолинейка!$BW$3:$BW$3000,Однолинейка!$A$3:$A$3000,Щит_спец),IF(C204=$S$8,SUMIFS(Однолинейка!$BX$3:$BX$3000,Однолинейка!$A$3:$A$3000,Щит_спец),""))),""))))</f>
        <v/>
      </c>
      <c r="O204" s="74"/>
      <c r="P204" s="38" t="str">
        <f t="shared" si="27"/>
        <v/>
      </c>
      <c r="U204" s="38" t="str">
        <f t="shared" si="28"/>
        <v/>
      </c>
      <c r="V204" s="38" t="str">
        <f t="shared" si="29"/>
        <v/>
      </c>
      <c r="W204" s="38" t="str">
        <f>IF(AND(U204&lt;&gt;"",OR($S$4="(все)",B204=$S$4),IF($S$4="(все)",COUNTIF($U$4:U204,U204),COUNTIFS($U$4:U204,U204,$B$4:B204,B204))=1),MAX($W$3:W203)+1,"")</f>
        <v/>
      </c>
      <c r="X204" s="38" t="str">
        <f t="shared" si="30"/>
        <v/>
      </c>
      <c r="Y204" s="38" t="str">
        <f>IF(AND(A204="Аппарат",C204&lt;&gt;"",OR($S$5="(все)",B204=$S$5)),MAX($Y$3:Y203)+1,"")</f>
        <v/>
      </c>
      <c r="Z204" s="38" t="str">
        <f t="shared" si="31"/>
        <v/>
      </c>
      <c r="AA204" s="38" t="str">
        <f>IF(AND(A204="Модуль",C204&lt;&gt;"",OR($S$6="(все)",B204=$S$6)),MAX($AA$3:AA203)+1,"")</f>
        <v/>
      </c>
      <c r="AB204" s="38" t="str">
        <f t="shared" si="32"/>
        <v/>
      </c>
      <c r="AC204" s="38" t="str">
        <f>IF(OR(B204="",COUNTIF($B$4:B204,B204)&gt;1),"",MAX($AC$3:AC203)+1)</f>
        <v/>
      </c>
      <c r="AD204" s="38" t="str">
        <f t="shared" si="33"/>
        <v/>
      </c>
      <c r="AE204" s="38" t="str">
        <f t="shared" si="34"/>
        <v/>
      </c>
      <c r="AF204" s="38" t="str">
        <f t="shared" si="35"/>
        <v/>
      </c>
    </row>
    <row r="205" spans="1:32" x14ac:dyDescent="0.3">
      <c r="A205" s="74"/>
      <c r="B205" s="74"/>
      <c r="C205" s="74"/>
      <c r="D205" s="74"/>
      <c r="E205" s="74"/>
      <c r="F205" s="74"/>
      <c r="G205" s="74"/>
      <c r="H205" s="74"/>
      <c r="I205" s="74"/>
      <c r="J205" s="74"/>
      <c r="K205" s="74"/>
      <c r="L205" s="74"/>
      <c r="M205" s="74"/>
      <c r="N205" s="38" t="str">
        <f>IF(OR(A205="Автомат",A205="Дифавтомат"),IF(W205="","",COUNTIFS(Однолинейка!$H$3:$H$3000,U205,Однолинейка!$A$3:$A$3000,Щит_спец)),IF(A205="Аппарат",IF(C205="","",COUNTIFS(Однолинейка!$I$3:$I$3000,C205,Однолинейка!$A$3:$A$3000,Щит_спец)+COUNTIFS(Однолинейка!$J$3:$J$3000,C205,Однолинейка!$A$3:$A$3000,Щит_спец)+COUNTIFS(Однолинейка!$K$3:$K$3000,C205,Однолинейка!$A$3:$A$3000,Щит_спец)),IF(A205="Модуль",IF(C205="","",COUNTIFS(Однолинейка!$AW$3:$AW$3000,"?*",Однолинейка!$AI$3:$AI$3000,C205,Однолинейка!$A$3:$A$3000,Щит_спец)),IF(A205="Клемма",IF(C205="","",IF(C205=$S$7,SUMIFS(Однолинейка!$BW$3:$BW$3000,Однолинейка!$A$3:$A$3000,Щит_спец),IF(C205=$S$8,SUMIFS(Однолинейка!$BX$3:$BX$3000,Однолинейка!$A$3:$A$3000,Щит_спец),""))),""))))</f>
        <v/>
      </c>
      <c r="O205" s="74"/>
      <c r="P205" s="38" t="str">
        <f t="shared" si="27"/>
        <v/>
      </c>
      <c r="U205" s="38" t="str">
        <f t="shared" si="28"/>
        <v/>
      </c>
      <c r="V205" s="38" t="str">
        <f t="shared" si="29"/>
        <v/>
      </c>
      <c r="W205" s="38" t="str">
        <f>IF(AND(U205&lt;&gt;"",OR($S$4="(все)",B205=$S$4),IF($S$4="(все)",COUNTIF($U$4:U205,U205),COUNTIFS($U$4:U205,U205,$B$4:B205,B205))=1),MAX($W$3:W204)+1,"")</f>
        <v/>
      </c>
      <c r="X205" s="38" t="str">
        <f t="shared" si="30"/>
        <v/>
      </c>
      <c r="Y205" s="38" t="str">
        <f>IF(AND(A205="Аппарат",C205&lt;&gt;"",OR($S$5="(все)",B205=$S$5)),MAX($Y$3:Y204)+1,"")</f>
        <v/>
      </c>
      <c r="Z205" s="38" t="str">
        <f t="shared" si="31"/>
        <v/>
      </c>
      <c r="AA205" s="38" t="str">
        <f>IF(AND(A205="Модуль",C205&lt;&gt;"",OR($S$6="(все)",B205=$S$6)),MAX($AA$3:AA204)+1,"")</f>
        <v/>
      </c>
      <c r="AB205" s="38" t="str">
        <f t="shared" si="32"/>
        <v/>
      </c>
      <c r="AC205" s="38" t="str">
        <f>IF(OR(B205="",COUNTIF($B$4:B205,B205)&gt;1),"",MAX($AC$3:AC204)+1)</f>
        <v/>
      </c>
      <c r="AD205" s="38" t="str">
        <f t="shared" si="33"/>
        <v/>
      </c>
      <c r="AE205" s="38" t="str">
        <f t="shared" si="34"/>
        <v/>
      </c>
      <c r="AF205" s="38" t="str">
        <f t="shared" si="35"/>
        <v/>
      </c>
    </row>
    <row r="206" spans="1:32" x14ac:dyDescent="0.3">
      <c r="A206" s="74"/>
      <c r="B206" s="74"/>
      <c r="C206" s="74"/>
      <c r="D206" s="74"/>
      <c r="E206" s="74"/>
      <c r="F206" s="74"/>
      <c r="G206" s="74"/>
      <c r="H206" s="74"/>
      <c r="I206" s="74"/>
      <c r="J206" s="74"/>
      <c r="K206" s="74"/>
      <c r="L206" s="74"/>
      <c r="M206" s="74"/>
      <c r="N206" s="38" t="str">
        <f>IF(OR(A206="Автомат",A206="Дифавтомат"),IF(W206="","",COUNTIFS(Однолинейка!$H$3:$H$3000,U206,Однолинейка!$A$3:$A$3000,Щит_спец)),IF(A206="Аппарат",IF(C206="","",COUNTIFS(Однолинейка!$I$3:$I$3000,C206,Однолинейка!$A$3:$A$3000,Щит_спец)+COUNTIFS(Однолинейка!$J$3:$J$3000,C206,Однолинейка!$A$3:$A$3000,Щит_спец)+COUNTIFS(Однолинейка!$K$3:$K$3000,C206,Однолинейка!$A$3:$A$3000,Щит_спец)),IF(A206="Модуль",IF(C206="","",COUNTIFS(Однолинейка!$AW$3:$AW$3000,"?*",Однолинейка!$AI$3:$AI$3000,C206,Однолинейка!$A$3:$A$3000,Щит_спец)),IF(A206="Клемма",IF(C206="","",IF(C206=$S$7,SUMIFS(Однолинейка!$BW$3:$BW$3000,Однолинейка!$A$3:$A$3000,Щит_спец),IF(C206=$S$8,SUMIFS(Однолинейка!$BX$3:$BX$3000,Однолинейка!$A$3:$A$3000,Щит_спец),""))),""))))</f>
        <v/>
      </c>
      <c r="O206" s="74"/>
      <c r="P206" s="38" t="str">
        <f t="shared" si="27"/>
        <v/>
      </c>
      <c r="U206" s="38" t="str">
        <f t="shared" si="28"/>
        <v/>
      </c>
      <c r="V206" s="38" t="str">
        <f t="shared" si="29"/>
        <v/>
      </c>
      <c r="W206" s="38" t="str">
        <f>IF(AND(U206&lt;&gt;"",OR($S$4="(все)",B206=$S$4),IF($S$4="(все)",COUNTIF($U$4:U206,U206),COUNTIFS($U$4:U206,U206,$B$4:B206,B206))=1),MAX($W$3:W205)+1,"")</f>
        <v/>
      </c>
      <c r="X206" s="38" t="str">
        <f t="shared" si="30"/>
        <v/>
      </c>
      <c r="Y206" s="38" t="str">
        <f>IF(AND(A206="Аппарат",C206&lt;&gt;"",OR($S$5="(все)",B206=$S$5)),MAX($Y$3:Y205)+1,"")</f>
        <v/>
      </c>
      <c r="Z206" s="38" t="str">
        <f t="shared" si="31"/>
        <v/>
      </c>
      <c r="AA206" s="38" t="str">
        <f>IF(AND(A206="Модуль",C206&lt;&gt;"",OR($S$6="(все)",B206=$S$6)),MAX($AA$3:AA205)+1,"")</f>
        <v/>
      </c>
      <c r="AB206" s="38" t="str">
        <f t="shared" si="32"/>
        <v/>
      </c>
      <c r="AC206" s="38" t="str">
        <f>IF(OR(B206="",COUNTIF($B$4:B206,B206)&gt;1),"",MAX($AC$3:AC205)+1)</f>
        <v/>
      </c>
      <c r="AD206" s="38" t="str">
        <f t="shared" si="33"/>
        <v/>
      </c>
      <c r="AE206" s="38" t="str">
        <f t="shared" si="34"/>
        <v/>
      </c>
      <c r="AF206" s="38" t="str">
        <f t="shared" si="35"/>
        <v/>
      </c>
    </row>
    <row r="207" spans="1:32" x14ac:dyDescent="0.3">
      <c r="A207" s="74"/>
      <c r="B207" s="74"/>
      <c r="C207" s="74"/>
      <c r="D207" s="74"/>
      <c r="E207" s="74"/>
      <c r="F207" s="74"/>
      <c r="G207" s="74"/>
      <c r="H207" s="74"/>
      <c r="I207" s="74"/>
      <c r="J207" s="74"/>
      <c r="K207" s="74"/>
      <c r="L207" s="74"/>
      <c r="M207" s="74"/>
      <c r="N207" s="38" t="str">
        <f>IF(OR(A207="Автомат",A207="Дифавтомат"),IF(W207="","",COUNTIFS(Однолинейка!$H$3:$H$3000,U207,Однолинейка!$A$3:$A$3000,Щит_спец)),IF(A207="Аппарат",IF(C207="","",COUNTIFS(Однолинейка!$I$3:$I$3000,C207,Однолинейка!$A$3:$A$3000,Щит_спец)+COUNTIFS(Однолинейка!$J$3:$J$3000,C207,Однолинейка!$A$3:$A$3000,Щит_спец)+COUNTIFS(Однолинейка!$K$3:$K$3000,C207,Однолинейка!$A$3:$A$3000,Щит_спец)),IF(A207="Модуль",IF(C207="","",COUNTIFS(Однолинейка!$AW$3:$AW$3000,"?*",Однолинейка!$AI$3:$AI$3000,C207,Однолинейка!$A$3:$A$3000,Щит_спец)),IF(A207="Клемма",IF(C207="","",IF(C207=$S$7,SUMIFS(Однолинейка!$BW$3:$BW$3000,Однолинейка!$A$3:$A$3000,Щит_спец),IF(C207=$S$8,SUMIFS(Однолинейка!$BX$3:$BX$3000,Однолинейка!$A$3:$A$3000,Щит_спец),""))),""))))</f>
        <v/>
      </c>
      <c r="O207" s="74"/>
      <c r="P207" s="38" t="str">
        <f t="shared" si="27"/>
        <v/>
      </c>
      <c r="U207" s="38" t="str">
        <f t="shared" si="28"/>
        <v/>
      </c>
      <c r="V207" s="38" t="str">
        <f t="shared" si="29"/>
        <v/>
      </c>
      <c r="W207" s="38" t="str">
        <f>IF(AND(U207&lt;&gt;"",OR($S$4="(все)",B207=$S$4),IF($S$4="(все)",COUNTIF($U$4:U207,U207),COUNTIFS($U$4:U207,U207,$B$4:B207,B207))=1),MAX($W$3:W206)+1,"")</f>
        <v/>
      </c>
      <c r="X207" s="38" t="str">
        <f t="shared" si="30"/>
        <v/>
      </c>
      <c r="Y207" s="38" t="str">
        <f>IF(AND(A207="Аппарат",C207&lt;&gt;"",OR($S$5="(все)",B207=$S$5)),MAX($Y$3:Y206)+1,"")</f>
        <v/>
      </c>
      <c r="Z207" s="38" t="str">
        <f t="shared" si="31"/>
        <v/>
      </c>
      <c r="AA207" s="38" t="str">
        <f>IF(AND(A207="Модуль",C207&lt;&gt;"",OR($S$6="(все)",B207=$S$6)),MAX($AA$3:AA206)+1,"")</f>
        <v/>
      </c>
      <c r="AB207" s="38" t="str">
        <f t="shared" si="32"/>
        <v/>
      </c>
      <c r="AC207" s="38" t="str">
        <f>IF(OR(B207="",COUNTIF($B$4:B207,B207)&gt;1),"",MAX($AC$3:AC206)+1)</f>
        <v/>
      </c>
      <c r="AD207" s="38" t="str">
        <f t="shared" si="33"/>
        <v/>
      </c>
      <c r="AE207" s="38" t="str">
        <f t="shared" si="34"/>
        <v/>
      </c>
      <c r="AF207" s="38" t="str">
        <f t="shared" si="35"/>
        <v/>
      </c>
    </row>
    <row r="208" spans="1:32" x14ac:dyDescent="0.3">
      <c r="A208" s="74"/>
      <c r="B208" s="74"/>
      <c r="C208" s="74"/>
      <c r="D208" s="74"/>
      <c r="E208" s="74"/>
      <c r="F208" s="74"/>
      <c r="G208" s="74"/>
      <c r="H208" s="74"/>
      <c r="I208" s="74"/>
      <c r="J208" s="74"/>
      <c r="K208" s="74"/>
      <c r="L208" s="74"/>
      <c r="M208" s="74"/>
      <c r="N208" s="38" t="str">
        <f>IF(OR(A208="Автомат",A208="Дифавтомат"),IF(W208="","",COUNTIFS(Однолинейка!$H$3:$H$3000,U208,Однолинейка!$A$3:$A$3000,Щит_спец)),IF(A208="Аппарат",IF(C208="","",COUNTIFS(Однолинейка!$I$3:$I$3000,C208,Однолинейка!$A$3:$A$3000,Щит_спец)+COUNTIFS(Однолинейка!$J$3:$J$3000,C208,Однолинейка!$A$3:$A$3000,Щит_спец)+COUNTIFS(Однолинейка!$K$3:$K$3000,C208,Однолинейка!$A$3:$A$3000,Щит_спец)),IF(A208="Модуль",IF(C208="","",COUNTIFS(Однолинейка!$AW$3:$AW$3000,"?*",Однолинейка!$AI$3:$AI$3000,C208,Однолинейка!$A$3:$A$3000,Щит_спец)),IF(A208="Клемма",IF(C208="","",IF(C208=$S$7,SUMIFS(Однолинейка!$BW$3:$BW$3000,Однолинейка!$A$3:$A$3000,Щит_спец),IF(C208=$S$8,SUMIFS(Однолинейка!$BX$3:$BX$3000,Однолинейка!$A$3:$A$3000,Щит_спец),""))),""))))</f>
        <v/>
      </c>
      <c r="O208" s="74"/>
      <c r="P208" s="38" t="str">
        <f t="shared" si="27"/>
        <v/>
      </c>
      <c r="U208" s="38" t="str">
        <f t="shared" si="28"/>
        <v/>
      </c>
      <c r="V208" s="38" t="str">
        <f t="shared" si="29"/>
        <v/>
      </c>
      <c r="W208" s="38" t="str">
        <f>IF(AND(U208&lt;&gt;"",OR($S$4="(все)",B208=$S$4),IF($S$4="(все)",COUNTIF($U$4:U208,U208),COUNTIFS($U$4:U208,U208,$B$4:B208,B208))=1),MAX($W$3:W207)+1,"")</f>
        <v/>
      </c>
      <c r="X208" s="38" t="str">
        <f t="shared" si="30"/>
        <v/>
      </c>
      <c r="Y208" s="38" t="str">
        <f>IF(AND(A208="Аппарат",C208&lt;&gt;"",OR($S$5="(все)",B208=$S$5)),MAX($Y$3:Y207)+1,"")</f>
        <v/>
      </c>
      <c r="Z208" s="38" t="str">
        <f t="shared" si="31"/>
        <v/>
      </c>
      <c r="AA208" s="38" t="str">
        <f>IF(AND(A208="Модуль",C208&lt;&gt;"",OR($S$6="(все)",B208=$S$6)),MAX($AA$3:AA207)+1,"")</f>
        <v/>
      </c>
      <c r="AB208" s="38" t="str">
        <f t="shared" si="32"/>
        <v/>
      </c>
      <c r="AC208" s="38" t="str">
        <f>IF(OR(B208="",COUNTIF($B$4:B208,B208)&gt;1),"",MAX($AC$3:AC207)+1)</f>
        <v/>
      </c>
      <c r="AD208" s="38" t="str">
        <f t="shared" si="33"/>
        <v/>
      </c>
      <c r="AE208" s="38" t="str">
        <f t="shared" si="34"/>
        <v/>
      </c>
      <c r="AF208" s="38" t="str">
        <f t="shared" si="35"/>
        <v/>
      </c>
    </row>
    <row r="209" spans="1:32" x14ac:dyDescent="0.3">
      <c r="A209" s="74"/>
      <c r="B209" s="74"/>
      <c r="C209" s="74"/>
      <c r="D209" s="74"/>
      <c r="E209" s="74"/>
      <c r="F209" s="74"/>
      <c r="G209" s="74"/>
      <c r="H209" s="74"/>
      <c r="I209" s="74"/>
      <c r="J209" s="74"/>
      <c r="K209" s="74"/>
      <c r="L209" s="74"/>
      <c r="M209" s="74"/>
      <c r="N209" s="38" t="str">
        <f>IF(OR(A209="Автомат",A209="Дифавтомат"),IF(W209="","",COUNTIFS(Однолинейка!$H$3:$H$3000,U209,Однолинейка!$A$3:$A$3000,Щит_спец)),IF(A209="Аппарат",IF(C209="","",COUNTIFS(Однолинейка!$I$3:$I$3000,C209,Однолинейка!$A$3:$A$3000,Щит_спец)+COUNTIFS(Однолинейка!$J$3:$J$3000,C209,Однолинейка!$A$3:$A$3000,Щит_спец)+COUNTIFS(Однолинейка!$K$3:$K$3000,C209,Однолинейка!$A$3:$A$3000,Щит_спец)),IF(A209="Модуль",IF(C209="","",COUNTIFS(Однолинейка!$AW$3:$AW$3000,"?*",Однолинейка!$AI$3:$AI$3000,C209,Однолинейка!$A$3:$A$3000,Щит_спец)),IF(A209="Клемма",IF(C209="","",IF(C209=$S$7,SUMIFS(Однолинейка!$BW$3:$BW$3000,Однолинейка!$A$3:$A$3000,Щит_спец),IF(C209=$S$8,SUMIFS(Однолинейка!$BX$3:$BX$3000,Однолинейка!$A$3:$A$3000,Щит_спец),""))),""))))</f>
        <v/>
      </c>
      <c r="O209" s="74"/>
      <c r="P209" s="38" t="str">
        <f t="shared" si="27"/>
        <v/>
      </c>
      <c r="U209" s="38" t="str">
        <f t="shared" si="28"/>
        <v/>
      </c>
      <c r="V209" s="38" t="str">
        <f t="shared" si="29"/>
        <v/>
      </c>
      <c r="W209" s="38" t="str">
        <f>IF(AND(U209&lt;&gt;"",OR($S$4="(все)",B209=$S$4),IF($S$4="(все)",COUNTIF($U$4:U209,U209),COUNTIFS($U$4:U209,U209,$B$4:B209,B209))=1),MAX($W$3:W208)+1,"")</f>
        <v/>
      </c>
      <c r="X209" s="38" t="str">
        <f t="shared" si="30"/>
        <v/>
      </c>
      <c r="Y209" s="38" t="str">
        <f>IF(AND(A209="Аппарат",C209&lt;&gt;"",OR($S$5="(все)",B209=$S$5)),MAX($Y$3:Y208)+1,"")</f>
        <v/>
      </c>
      <c r="Z209" s="38" t="str">
        <f t="shared" si="31"/>
        <v/>
      </c>
      <c r="AA209" s="38" t="str">
        <f>IF(AND(A209="Модуль",C209&lt;&gt;"",OR($S$6="(все)",B209=$S$6)),MAX($AA$3:AA208)+1,"")</f>
        <v/>
      </c>
      <c r="AB209" s="38" t="str">
        <f t="shared" si="32"/>
        <v/>
      </c>
      <c r="AC209" s="38" t="str">
        <f>IF(OR(B209="",COUNTIF($B$4:B209,B209)&gt;1),"",MAX($AC$3:AC208)+1)</f>
        <v/>
      </c>
      <c r="AD209" s="38" t="str">
        <f t="shared" si="33"/>
        <v/>
      </c>
      <c r="AE209" s="38" t="str">
        <f t="shared" si="34"/>
        <v/>
      </c>
      <c r="AF209" s="38" t="str">
        <f t="shared" si="35"/>
        <v/>
      </c>
    </row>
    <row r="210" spans="1:32" x14ac:dyDescent="0.3">
      <c r="A210" s="74"/>
      <c r="B210" s="74"/>
      <c r="C210" s="74"/>
      <c r="D210" s="74"/>
      <c r="E210" s="74"/>
      <c r="F210" s="74"/>
      <c r="G210" s="74"/>
      <c r="H210" s="74"/>
      <c r="I210" s="74"/>
      <c r="J210" s="74"/>
      <c r="K210" s="74"/>
      <c r="L210" s="74"/>
      <c r="M210" s="74"/>
      <c r="N210" s="38" t="str">
        <f>IF(OR(A210="Автомат",A210="Дифавтомат"),IF(W210="","",COUNTIFS(Однолинейка!$H$3:$H$3000,U210,Однолинейка!$A$3:$A$3000,Щит_спец)),IF(A210="Аппарат",IF(C210="","",COUNTIFS(Однолинейка!$I$3:$I$3000,C210,Однолинейка!$A$3:$A$3000,Щит_спец)+COUNTIFS(Однолинейка!$J$3:$J$3000,C210,Однолинейка!$A$3:$A$3000,Щит_спец)+COUNTIFS(Однолинейка!$K$3:$K$3000,C210,Однолинейка!$A$3:$A$3000,Щит_спец)),IF(A210="Модуль",IF(C210="","",COUNTIFS(Однолинейка!$AW$3:$AW$3000,"?*",Однолинейка!$AI$3:$AI$3000,C210,Однолинейка!$A$3:$A$3000,Щит_спец)),IF(A210="Клемма",IF(C210="","",IF(C210=$S$7,SUMIFS(Однолинейка!$BW$3:$BW$3000,Однолинейка!$A$3:$A$3000,Щит_спец),IF(C210=$S$8,SUMIFS(Однолинейка!$BX$3:$BX$3000,Однолинейка!$A$3:$A$3000,Щит_спец),""))),""))))</f>
        <v/>
      </c>
      <c r="O210" s="74"/>
      <c r="P210" s="38" t="str">
        <f t="shared" si="27"/>
        <v/>
      </c>
      <c r="U210" s="38" t="str">
        <f t="shared" si="28"/>
        <v/>
      </c>
      <c r="V210" s="38" t="str">
        <f t="shared" si="29"/>
        <v/>
      </c>
      <c r="W210" s="38" t="str">
        <f>IF(AND(U210&lt;&gt;"",OR($S$4="(все)",B210=$S$4),IF($S$4="(все)",COUNTIF($U$4:U210,U210),COUNTIFS($U$4:U210,U210,$B$4:B210,B210))=1),MAX($W$3:W209)+1,"")</f>
        <v/>
      </c>
      <c r="X210" s="38" t="str">
        <f t="shared" si="30"/>
        <v/>
      </c>
      <c r="Y210" s="38" t="str">
        <f>IF(AND(A210="Аппарат",C210&lt;&gt;"",OR($S$5="(все)",B210=$S$5)),MAX($Y$3:Y209)+1,"")</f>
        <v/>
      </c>
      <c r="Z210" s="38" t="str">
        <f t="shared" si="31"/>
        <v/>
      </c>
      <c r="AA210" s="38" t="str">
        <f>IF(AND(A210="Модуль",C210&lt;&gt;"",OR($S$6="(все)",B210=$S$6)),MAX($AA$3:AA209)+1,"")</f>
        <v/>
      </c>
      <c r="AB210" s="38" t="str">
        <f t="shared" si="32"/>
        <v/>
      </c>
      <c r="AC210" s="38" t="str">
        <f>IF(OR(B210="",COUNTIF($B$4:B210,B210)&gt;1),"",MAX($AC$3:AC209)+1)</f>
        <v/>
      </c>
      <c r="AD210" s="38" t="str">
        <f t="shared" si="33"/>
        <v/>
      </c>
      <c r="AE210" s="38" t="str">
        <f t="shared" si="34"/>
        <v/>
      </c>
      <c r="AF210" s="38" t="str">
        <f t="shared" si="35"/>
        <v/>
      </c>
    </row>
    <row r="211" spans="1:32" x14ac:dyDescent="0.3">
      <c r="A211" s="74"/>
      <c r="B211" s="74"/>
      <c r="C211" s="74"/>
      <c r="D211" s="74"/>
      <c r="E211" s="74"/>
      <c r="F211" s="74"/>
      <c r="G211" s="74"/>
      <c r="H211" s="74"/>
      <c r="I211" s="74"/>
      <c r="J211" s="74"/>
      <c r="K211" s="74"/>
      <c r="L211" s="74"/>
      <c r="M211" s="74"/>
      <c r="N211" s="38" t="str">
        <f>IF(OR(A211="Автомат",A211="Дифавтомат"),IF(W211="","",COUNTIFS(Однолинейка!$H$3:$H$3000,U211,Однолинейка!$A$3:$A$3000,Щит_спец)),IF(A211="Аппарат",IF(C211="","",COUNTIFS(Однолинейка!$I$3:$I$3000,C211,Однолинейка!$A$3:$A$3000,Щит_спец)+COUNTIFS(Однолинейка!$J$3:$J$3000,C211,Однолинейка!$A$3:$A$3000,Щит_спец)+COUNTIFS(Однолинейка!$K$3:$K$3000,C211,Однолинейка!$A$3:$A$3000,Щит_спец)),IF(A211="Модуль",IF(C211="","",COUNTIFS(Однолинейка!$AW$3:$AW$3000,"?*",Однолинейка!$AI$3:$AI$3000,C211,Однолинейка!$A$3:$A$3000,Щит_спец)),IF(A211="Клемма",IF(C211="","",IF(C211=$S$7,SUMIFS(Однолинейка!$BW$3:$BW$3000,Однолинейка!$A$3:$A$3000,Щит_спец),IF(C211=$S$8,SUMIFS(Однолинейка!$BX$3:$BX$3000,Однолинейка!$A$3:$A$3000,Щит_спец),""))),""))))</f>
        <v/>
      </c>
      <c r="O211" s="74"/>
      <c r="P211" s="38" t="str">
        <f t="shared" si="27"/>
        <v/>
      </c>
      <c r="U211" s="38" t="str">
        <f t="shared" si="28"/>
        <v/>
      </c>
      <c r="V211" s="38" t="str">
        <f t="shared" si="29"/>
        <v/>
      </c>
      <c r="W211" s="38" t="str">
        <f>IF(AND(U211&lt;&gt;"",OR($S$4="(все)",B211=$S$4),IF($S$4="(все)",COUNTIF($U$4:U211,U211),COUNTIFS($U$4:U211,U211,$B$4:B211,B211))=1),MAX($W$3:W210)+1,"")</f>
        <v/>
      </c>
      <c r="X211" s="38" t="str">
        <f t="shared" si="30"/>
        <v/>
      </c>
      <c r="Y211" s="38" t="str">
        <f>IF(AND(A211="Аппарат",C211&lt;&gt;"",OR($S$5="(все)",B211=$S$5)),MAX($Y$3:Y210)+1,"")</f>
        <v/>
      </c>
      <c r="Z211" s="38" t="str">
        <f t="shared" si="31"/>
        <v/>
      </c>
      <c r="AA211" s="38" t="str">
        <f>IF(AND(A211="Модуль",C211&lt;&gt;"",OR($S$6="(все)",B211=$S$6)),MAX($AA$3:AA210)+1,"")</f>
        <v/>
      </c>
      <c r="AB211" s="38" t="str">
        <f t="shared" si="32"/>
        <v/>
      </c>
      <c r="AC211" s="38" t="str">
        <f>IF(OR(B211="",COUNTIF($B$4:B211,B211)&gt;1),"",MAX($AC$3:AC210)+1)</f>
        <v/>
      </c>
      <c r="AD211" s="38" t="str">
        <f t="shared" si="33"/>
        <v/>
      </c>
      <c r="AE211" s="38" t="str">
        <f t="shared" si="34"/>
        <v/>
      </c>
      <c r="AF211" s="38" t="str">
        <f t="shared" si="35"/>
        <v/>
      </c>
    </row>
    <row r="212" spans="1:32" x14ac:dyDescent="0.3">
      <c r="A212" s="74"/>
      <c r="B212" s="74"/>
      <c r="C212" s="74"/>
      <c r="D212" s="74"/>
      <c r="E212" s="74"/>
      <c r="F212" s="74"/>
      <c r="G212" s="74"/>
      <c r="H212" s="74"/>
      <c r="I212" s="74"/>
      <c r="J212" s="74"/>
      <c r="K212" s="74"/>
      <c r="L212" s="74"/>
      <c r="M212" s="74"/>
      <c r="N212" s="38" t="str">
        <f>IF(OR(A212="Автомат",A212="Дифавтомат"),IF(W212="","",COUNTIFS(Однолинейка!$H$3:$H$3000,U212,Однолинейка!$A$3:$A$3000,Щит_спец)),IF(A212="Аппарат",IF(C212="","",COUNTIFS(Однолинейка!$I$3:$I$3000,C212,Однолинейка!$A$3:$A$3000,Щит_спец)+COUNTIFS(Однолинейка!$J$3:$J$3000,C212,Однолинейка!$A$3:$A$3000,Щит_спец)+COUNTIFS(Однолинейка!$K$3:$K$3000,C212,Однолинейка!$A$3:$A$3000,Щит_спец)),IF(A212="Модуль",IF(C212="","",COUNTIFS(Однолинейка!$AW$3:$AW$3000,"?*",Однолинейка!$AI$3:$AI$3000,C212,Однолинейка!$A$3:$A$3000,Щит_спец)),IF(A212="Клемма",IF(C212="","",IF(C212=$S$7,SUMIFS(Однолинейка!$BW$3:$BW$3000,Однолинейка!$A$3:$A$3000,Щит_спец),IF(C212=$S$8,SUMIFS(Однолинейка!$BX$3:$BX$3000,Однолинейка!$A$3:$A$3000,Щит_спец),""))),""))))</f>
        <v/>
      </c>
      <c r="O212" s="74"/>
      <c r="P212" s="38" t="str">
        <f t="shared" si="27"/>
        <v/>
      </c>
      <c r="U212" s="38" t="str">
        <f t="shared" si="28"/>
        <v/>
      </c>
      <c r="V212" s="38" t="str">
        <f t="shared" si="29"/>
        <v/>
      </c>
      <c r="W212" s="38" t="str">
        <f>IF(AND(U212&lt;&gt;"",OR($S$4="(все)",B212=$S$4),IF($S$4="(все)",COUNTIF($U$4:U212,U212),COUNTIFS($U$4:U212,U212,$B$4:B212,B212))=1),MAX($W$3:W211)+1,"")</f>
        <v/>
      </c>
      <c r="X212" s="38" t="str">
        <f t="shared" si="30"/>
        <v/>
      </c>
      <c r="Y212" s="38" t="str">
        <f>IF(AND(A212="Аппарат",C212&lt;&gt;"",OR($S$5="(все)",B212=$S$5)),MAX($Y$3:Y211)+1,"")</f>
        <v/>
      </c>
      <c r="Z212" s="38" t="str">
        <f t="shared" si="31"/>
        <v/>
      </c>
      <c r="AA212" s="38" t="str">
        <f>IF(AND(A212="Модуль",C212&lt;&gt;"",OR($S$6="(все)",B212=$S$6)),MAX($AA$3:AA211)+1,"")</f>
        <v/>
      </c>
      <c r="AB212" s="38" t="str">
        <f t="shared" si="32"/>
        <v/>
      </c>
      <c r="AC212" s="38" t="str">
        <f>IF(OR(B212="",COUNTIF($B$4:B212,B212)&gt;1),"",MAX($AC$3:AC211)+1)</f>
        <v/>
      </c>
      <c r="AD212" s="38" t="str">
        <f t="shared" si="33"/>
        <v/>
      </c>
      <c r="AE212" s="38" t="str">
        <f t="shared" si="34"/>
        <v/>
      </c>
      <c r="AF212" s="38" t="str">
        <f t="shared" si="35"/>
        <v/>
      </c>
    </row>
    <row r="213" spans="1:32" x14ac:dyDescent="0.3">
      <c r="A213" s="74"/>
      <c r="B213" s="74"/>
      <c r="C213" s="74"/>
      <c r="D213" s="74"/>
      <c r="E213" s="74"/>
      <c r="F213" s="74"/>
      <c r="G213" s="74"/>
      <c r="H213" s="74"/>
      <c r="I213" s="74"/>
      <c r="J213" s="74"/>
      <c r="K213" s="74"/>
      <c r="L213" s="74"/>
      <c r="M213" s="74"/>
      <c r="N213" s="38" t="str">
        <f>IF(OR(A213="Автомат",A213="Дифавтомат"),IF(W213="","",COUNTIFS(Однолинейка!$H$3:$H$3000,U213,Однолинейка!$A$3:$A$3000,Щит_спец)),IF(A213="Аппарат",IF(C213="","",COUNTIFS(Однолинейка!$I$3:$I$3000,C213,Однолинейка!$A$3:$A$3000,Щит_спец)+COUNTIFS(Однолинейка!$J$3:$J$3000,C213,Однолинейка!$A$3:$A$3000,Щит_спец)+COUNTIFS(Однолинейка!$K$3:$K$3000,C213,Однолинейка!$A$3:$A$3000,Щит_спец)),IF(A213="Модуль",IF(C213="","",COUNTIFS(Однолинейка!$AW$3:$AW$3000,"?*",Однолинейка!$AI$3:$AI$3000,C213,Однолинейка!$A$3:$A$3000,Щит_спец)),IF(A213="Клемма",IF(C213="","",IF(C213=$S$7,SUMIFS(Однолинейка!$BW$3:$BW$3000,Однолинейка!$A$3:$A$3000,Щит_спец),IF(C213=$S$8,SUMIFS(Однолинейка!$BX$3:$BX$3000,Однолинейка!$A$3:$A$3000,Щит_спец),""))),""))))</f>
        <v/>
      </c>
      <c r="O213" s="74"/>
      <c r="P213" s="38" t="str">
        <f t="shared" si="27"/>
        <v/>
      </c>
      <c r="U213" s="38" t="str">
        <f t="shared" si="28"/>
        <v/>
      </c>
      <c r="V213" s="38" t="str">
        <f t="shared" si="29"/>
        <v/>
      </c>
      <c r="W213" s="38" t="str">
        <f>IF(AND(U213&lt;&gt;"",OR($S$4="(все)",B213=$S$4),IF($S$4="(все)",COUNTIF($U$4:U213,U213),COUNTIFS($U$4:U213,U213,$B$4:B213,B213))=1),MAX($W$3:W212)+1,"")</f>
        <v/>
      </c>
      <c r="X213" s="38" t="str">
        <f t="shared" si="30"/>
        <v/>
      </c>
      <c r="Y213" s="38" t="str">
        <f>IF(AND(A213="Аппарат",C213&lt;&gt;"",OR($S$5="(все)",B213=$S$5)),MAX($Y$3:Y212)+1,"")</f>
        <v/>
      </c>
      <c r="Z213" s="38" t="str">
        <f t="shared" si="31"/>
        <v/>
      </c>
      <c r="AA213" s="38" t="str">
        <f>IF(AND(A213="Модуль",C213&lt;&gt;"",OR($S$6="(все)",B213=$S$6)),MAX($AA$3:AA212)+1,"")</f>
        <v/>
      </c>
      <c r="AB213" s="38" t="str">
        <f t="shared" si="32"/>
        <v/>
      </c>
      <c r="AC213" s="38" t="str">
        <f>IF(OR(B213="",COUNTIF($B$4:B213,B213)&gt;1),"",MAX($AC$3:AC212)+1)</f>
        <v/>
      </c>
      <c r="AD213" s="38" t="str">
        <f t="shared" si="33"/>
        <v/>
      </c>
      <c r="AE213" s="38" t="str">
        <f t="shared" si="34"/>
        <v/>
      </c>
      <c r="AF213" s="38" t="str">
        <f t="shared" si="35"/>
        <v/>
      </c>
    </row>
    <row r="214" spans="1:32" x14ac:dyDescent="0.3">
      <c r="A214" s="74"/>
      <c r="B214" s="74"/>
      <c r="C214" s="74"/>
      <c r="D214" s="74"/>
      <c r="E214" s="74"/>
      <c r="F214" s="74"/>
      <c r="G214" s="74"/>
      <c r="H214" s="74"/>
      <c r="I214" s="74"/>
      <c r="J214" s="74"/>
      <c r="K214" s="74"/>
      <c r="L214" s="74"/>
      <c r="M214" s="74"/>
      <c r="N214" s="38" t="str">
        <f>IF(OR(A214="Автомат",A214="Дифавтомат"),IF(W214="","",COUNTIFS(Однолинейка!$H$3:$H$3000,U214,Однолинейка!$A$3:$A$3000,Щит_спец)),IF(A214="Аппарат",IF(C214="","",COUNTIFS(Однолинейка!$I$3:$I$3000,C214,Однолинейка!$A$3:$A$3000,Щит_спец)+COUNTIFS(Однолинейка!$J$3:$J$3000,C214,Однолинейка!$A$3:$A$3000,Щит_спец)+COUNTIFS(Однолинейка!$K$3:$K$3000,C214,Однолинейка!$A$3:$A$3000,Щит_спец)),IF(A214="Модуль",IF(C214="","",COUNTIFS(Однолинейка!$AW$3:$AW$3000,"?*",Однолинейка!$AI$3:$AI$3000,C214,Однолинейка!$A$3:$A$3000,Щит_спец)),IF(A214="Клемма",IF(C214="","",IF(C214=$S$7,SUMIFS(Однолинейка!$BW$3:$BW$3000,Однолинейка!$A$3:$A$3000,Щит_спец),IF(C214=$S$8,SUMIFS(Однолинейка!$BX$3:$BX$3000,Однолинейка!$A$3:$A$3000,Щит_спец),""))),""))))</f>
        <v/>
      </c>
      <c r="O214" s="74"/>
      <c r="P214" s="38" t="str">
        <f t="shared" si="27"/>
        <v/>
      </c>
      <c r="U214" s="38" t="str">
        <f t="shared" si="28"/>
        <v/>
      </c>
      <c r="V214" s="38" t="str">
        <f t="shared" si="29"/>
        <v/>
      </c>
      <c r="W214" s="38" t="str">
        <f>IF(AND(U214&lt;&gt;"",OR($S$4="(все)",B214=$S$4),IF($S$4="(все)",COUNTIF($U$4:U214,U214),COUNTIFS($U$4:U214,U214,$B$4:B214,B214))=1),MAX($W$3:W213)+1,"")</f>
        <v/>
      </c>
      <c r="X214" s="38" t="str">
        <f t="shared" si="30"/>
        <v/>
      </c>
      <c r="Y214" s="38" t="str">
        <f>IF(AND(A214="Аппарат",C214&lt;&gt;"",OR($S$5="(все)",B214=$S$5)),MAX($Y$3:Y213)+1,"")</f>
        <v/>
      </c>
      <c r="Z214" s="38" t="str">
        <f t="shared" si="31"/>
        <v/>
      </c>
      <c r="AA214" s="38" t="str">
        <f>IF(AND(A214="Модуль",C214&lt;&gt;"",OR($S$6="(все)",B214=$S$6)),MAX($AA$3:AA213)+1,"")</f>
        <v/>
      </c>
      <c r="AB214" s="38" t="str">
        <f t="shared" si="32"/>
        <v/>
      </c>
      <c r="AC214" s="38" t="str">
        <f>IF(OR(B214="",COUNTIF($B$4:B214,B214)&gt;1),"",MAX($AC$3:AC213)+1)</f>
        <v/>
      </c>
      <c r="AD214" s="38" t="str">
        <f t="shared" si="33"/>
        <v/>
      </c>
      <c r="AE214" s="38" t="str">
        <f t="shared" si="34"/>
        <v/>
      </c>
      <c r="AF214" s="38" t="str">
        <f t="shared" si="35"/>
        <v/>
      </c>
    </row>
    <row r="215" spans="1:32" x14ac:dyDescent="0.3">
      <c r="A215" s="74"/>
      <c r="B215" s="74"/>
      <c r="C215" s="74"/>
      <c r="D215" s="74"/>
      <c r="E215" s="74"/>
      <c r="F215" s="74"/>
      <c r="G215" s="74"/>
      <c r="H215" s="74"/>
      <c r="I215" s="74"/>
      <c r="J215" s="74"/>
      <c r="K215" s="74"/>
      <c r="L215" s="74"/>
      <c r="M215" s="74"/>
      <c r="N215" s="38" t="str">
        <f>IF(OR(A215="Автомат",A215="Дифавтомат"),IF(W215="","",COUNTIFS(Однолинейка!$H$3:$H$3000,U215,Однолинейка!$A$3:$A$3000,Щит_спец)),IF(A215="Аппарат",IF(C215="","",COUNTIFS(Однолинейка!$I$3:$I$3000,C215,Однолинейка!$A$3:$A$3000,Щит_спец)+COUNTIFS(Однолинейка!$J$3:$J$3000,C215,Однолинейка!$A$3:$A$3000,Щит_спец)+COUNTIFS(Однолинейка!$K$3:$K$3000,C215,Однолинейка!$A$3:$A$3000,Щит_спец)),IF(A215="Модуль",IF(C215="","",COUNTIFS(Однолинейка!$AW$3:$AW$3000,"?*",Однолинейка!$AI$3:$AI$3000,C215,Однолинейка!$A$3:$A$3000,Щит_спец)),IF(A215="Клемма",IF(C215="","",IF(C215=$S$7,SUMIFS(Однолинейка!$BW$3:$BW$3000,Однолинейка!$A$3:$A$3000,Щит_спец),IF(C215=$S$8,SUMIFS(Однолинейка!$BX$3:$BX$3000,Однолинейка!$A$3:$A$3000,Щит_спец),""))),""))))</f>
        <v/>
      </c>
      <c r="O215" s="74"/>
      <c r="P215" s="38" t="str">
        <f t="shared" si="27"/>
        <v/>
      </c>
      <c r="U215" s="38" t="str">
        <f t="shared" si="28"/>
        <v/>
      </c>
      <c r="V215" s="38" t="str">
        <f t="shared" si="29"/>
        <v/>
      </c>
      <c r="W215" s="38" t="str">
        <f>IF(AND(U215&lt;&gt;"",OR($S$4="(все)",B215=$S$4),IF($S$4="(все)",COUNTIF($U$4:U215,U215),COUNTIFS($U$4:U215,U215,$B$4:B215,B215))=1),MAX($W$3:W214)+1,"")</f>
        <v/>
      </c>
      <c r="X215" s="38" t="str">
        <f t="shared" si="30"/>
        <v/>
      </c>
      <c r="Y215" s="38" t="str">
        <f>IF(AND(A215="Аппарат",C215&lt;&gt;"",OR($S$5="(все)",B215=$S$5)),MAX($Y$3:Y214)+1,"")</f>
        <v/>
      </c>
      <c r="Z215" s="38" t="str">
        <f t="shared" si="31"/>
        <v/>
      </c>
      <c r="AA215" s="38" t="str">
        <f>IF(AND(A215="Модуль",C215&lt;&gt;"",OR($S$6="(все)",B215=$S$6)),MAX($AA$3:AA214)+1,"")</f>
        <v/>
      </c>
      <c r="AB215" s="38" t="str">
        <f t="shared" si="32"/>
        <v/>
      </c>
      <c r="AC215" s="38" t="str">
        <f>IF(OR(B215="",COUNTIF($B$4:B215,B215)&gt;1),"",MAX($AC$3:AC214)+1)</f>
        <v/>
      </c>
      <c r="AD215" s="38" t="str">
        <f t="shared" si="33"/>
        <v/>
      </c>
      <c r="AE215" s="38" t="str">
        <f t="shared" si="34"/>
        <v/>
      </c>
      <c r="AF215" s="38" t="str">
        <f t="shared" si="35"/>
        <v/>
      </c>
    </row>
    <row r="216" spans="1:32" x14ac:dyDescent="0.3">
      <c r="A216" s="74"/>
      <c r="B216" s="74"/>
      <c r="C216" s="74"/>
      <c r="D216" s="74"/>
      <c r="E216" s="74"/>
      <c r="F216" s="74"/>
      <c r="G216" s="74"/>
      <c r="H216" s="74"/>
      <c r="I216" s="74"/>
      <c r="J216" s="74"/>
      <c r="K216" s="74"/>
      <c r="L216" s="74"/>
      <c r="M216" s="74"/>
      <c r="N216" s="38" t="str">
        <f>IF(OR(A216="Автомат",A216="Дифавтомат"),IF(W216="","",COUNTIFS(Однолинейка!$H$3:$H$3000,U216,Однолинейка!$A$3:$A$3000,Щит_спец)),IF(A216="Аппарат",IF(C216="","",COUNTIFS(Однолинейка!$I$3:$I$3000,C216,Однолинейка!$A$3:$A$3000,Щит_спец)+COUNTIFS(Однолинейка!$J$3:$J$3000,C216,Однолинейка!$A$3:$A$3000,Щит_спец)+COUNTIFS(Однолинейка!$K$3:$K$3000,C216,Однолинейка!$A$3:$A$3000,Щит_спец)),IF(A216="Модуль",IF(C216="","",COUNTIFS(Однолинейка!$AW$3:$AW$3000,"?*",Однолинейка!$AI$3:$AI$3000,C216,Однолинейка!$A$3:$A$3000,Щит_спец)),IF(A216="Клемма",IF(C216="","",IF(C216=$S$7,SUMIFS(Однолинейка!$BW$3:$BW$3000,Однолинейка!$A$3:$A$3000,Щит_спец),IF(C216=$S$8,SUMIFS(Однолинейка!$BX$3:$BX$3000,Однолинейка!$A$3:$A$3000,Щит_спец),""))),""))))</f>
        <v/>
      </c>
      <c r="O216" s="74"/>
      <c r="P216" s="38" t="str">
        <f t="shared" si="27"/>
        <v/>
      </c>
      <c r="U216" s="38" t="str">
        <f t="shared" si="28"/>
        <v/>
      </c>
      <c r="V216" s="38" t="str">
        <f t="shared" si="29"/>
        <v/>
      </c>
      <c r="W216" s="38" t="str">
        <f>IF(AND(U216&lt;&gt;"",OR($S$4="(все)",B216=$S$4),IF($S$4="(все)",COUNTIF($U$4:U216,U216),COUNTIFS($U$4:U216,U216,$B$4:B216,B216))=1),MAX($W$3:W215)+1,"")</f>
        <v/>
      </c>
      <c r="X216" s="38" t="str">
        <f t="shared" si="30"/>
        <v/>
      </c>
      <c r="Y216" s="38" t="str">
        <f>IF(AND(A216="Аппарат",C216&lt;&gt;"",OR($S$5="(все)",B216=$S$5)),MAX($Y$3:Y215)+1,"")</f>
        <v/>
      </c>
      <c r="Z216" s="38" t="str">
        <f t="shared" si="31"/>
        <v/>
      </c>
      <c r="AA216" s="38" t="str">
        <f>IF(AND(A216="Модуль",C216&lt;&gt;"",OR($S$6="(все)",B216=$S$6)),MAX($AA$3:AA215)+1,"")</f>
        <v/>
      </c>
      <c r="AB216" s="38" t="str">
        <f t="shared" si="32"/>
        <v/>
      </c>
      <c r="AC216" s="38" t="str">
        <f>IF(OR(B216="",COUNTIF($B$4:B216,B216)&gt;1),"",MAX($AC$3:AC215)+1)</f>
        <v/>
      </c>
      <c r="AD216" s="38" t="str">
        <f t="shared" si="33"/>
        <v/>
      </c>
      <c r="AE216" s="38" t="str">
        <f t="shared" si="34"/>
        <v/>
      </c>
      <c r="AF216" s="38" t="str">
        <f t="shared" si="35"/>
        <v/>
      </c>
    </row>
    <row r="217" spans="1:32" x14ac:dyDescent="0.3">
      <c r="A217" s="74"/>
      <c r="B217" s="74"/>
      <c r="C217" s="74"/>
      <c r="D217" s="74"/>
      <c r="E217" s="74"/>
      <c r="F217" s="74"/>
      <c r="G217" s="74"/>
      <c r="H217" s="74"/>
      <c r="I217" s="74"/>
      <c r="J217" s="74"/>
      <c r="K217" s="74"/>
      <c r="L217" s="74"/>
      <c r="M217" s="74"/>
      <c r="N217" s="38" t="str">
        <f>IF(OR(A217="Автомат",A217="Дифавтомат"),IF(W217="","",COUNTIFS(Однолинейка!$H$3:$H$3000,U217,Однолинейка!$A$3:$A$3000,Щит_спец)),IF(A217="Аппарат",IF(C217="","",COUNTIFS(Однолинейка!$I$3:$I$3000,C217,Однолинейка!$A$3:$A$3000,Щит_спец)+COUNTIFS(Однолинейка!$J$3:$J$3000,C217,Однолинейка!$A$3:$A$3000,Щит_спец)+COUNTIFS(Однолинейка!$K$3:$K$3000,C217,Однолинейка!$A$3:$A$3000,Щит_спец)),IF(A217="Модуль",IF(C217="","",COUNTIFS(Однолинейка!$AW$3:$AW$3000,"?*",Однолинейка!$AI$3:$AI$3000,C217,Однолинейка!$A$3:$A$3000,Щит_спец)),IF(A217="Клемма",IF(C217="","",IF(C217=$S$7,SUMIFS(Однолинейка!$BW$3:$BW$3000,Однолинейка!$A$3:$A$3000,Щит_спец),IF(C217=$S$8,SUMIFS(Однолинейка!$BX$3:$BX$3000,Однолинейка!$A$3:$A$3000,Щит_спец),""))),""))))</f>
        <v/>
      </c>
      <c r="O217" s="74"/>
      <c r="P217" s="38" t="str">
        <f t="shared" si="27"/>
        <v/>
      </c>
      <c r="U217" s="38" t="str">
        <f t="shared" si="28"/>
        <v/>
      </c>
      <c r="V217" s="38" t="str">
        <f t="shared" si="29"/>
        <v/>
      </c>
      <c r="W217" s="38" t="str">
        <f>IF(AND(U217&lt;&gt;"",OR($S$4="(все)",B217=$S$4),IF($S$4="(все)",COUNTIF($U$4:U217,U217),COUNTIFS($U$4:U217,U217,$B$4:B217,B217))=1),MAX($W$3:W216)+1,"")</f>
        <v/>
      </c>
      <c r="X217" s="38" t="str">
        <f t="shared" si="30"/>
        <v/>
      </c>
      <c r="Y217" s="38" t="str">
        <f>IF(AND(A217="Аппарат",C217&lt;&gt;"",OR($S$5="(все)",B217=$S$5)),MAX($Y$3:Y216)+1,"")</f>
        <v/>
      </c>
      <c r="Z217" s="38" t="str">
        <f t="shared" si="31"/>
        <v/>
      </c>
      <c r="AA217" s="38" t="str">
        <f>IF(AND(A217="Модуль",C217&lt;&gt;"",OR($S$6="(все)",B217=$S$6)),MAX($AA$3:AA216)+1,"")</f>
        <v/>
      </c>
      <c r="AB217" s="38" t="str">
        <f t="shared" si="32"/>
        <v/>
      </c>
      <c r="AC217" s="38" t="str">
        <f>IF(OR(B217="",COUNTIF($B$4:B217,B217)&gt;1),"",MAX($AC$3:AC216)+1)</f>
        <v/>
      </c>
      <c r="AD217" s="38" t="str">
        <f t="shared" si="33"/>
        <v/>
      </c>
      <c r="AE217" s="38" t="str">
        <f t="shared" si="34"/>
        <v/>
      </c>
      <c r="AF217" s="38" t="str">
        <f t="shared" si="35"/>
        <v/>
      </c>
    </row>
    <row r="218" spans="1:32" x14ac:dyDescent="0.3">
      <c r="A218" s="74"/>
      <c r="B218" s="74"/>
      <c r="C218" s="74"/>
      <c r="D218" s="74"/>
      <c r="E218" s="74"/>
      <c r="F218" s="74"/>
      <c r="G218" s="74"/>
      <c r="H218" s="74"/>
      <c r="I218" s="74"/>
      <c r="J218" s="74"/>
      <c r="K218" s="74"/>
      <c r="L218" s="74"/>
      <c r="M218" s="74"/>
      <c r="N218" s="38" t="str">
        <f>IF(OR(A218="Автомат",A218="Дифавтомат"),IF(W218="","",COUNTIFS(Однолинейка!$H$3:$H$3000,U218,Однолинейка!$A$3:$A$3000,Щит_спец)),IF(A218="Аппарат",IF(C218="","",COUNTIFS(Однолинейка!$I$3:$I$3000,C218,Однолинейка!$A$3:$A$3000,Щит_спец)+COUNTIFS(Однолинейка!$J$3:$J$3000,C218,Однолинейка!$A$3:$A$3000,Щит_спец)+COUNTIFS(Однолинейка!$K$3:$K$3000,C218,Однолинейка!$A$3:$A$3000,Щит_спец)),IF(A218="Модуль",IF(C218="","",COUNTIFS(Однолинейка!$AW$3:$AW$3000,"?*",Однолинейка!$AI$3:$AI$3000,C218,Однолинейка!$A$3:$A$3000,Щит_спец)),IF(A218="Клемма",IF(C218="","",IF(C218=$S$7,SUMIFS(Однолинейка!$BW$3:$BW$3000,Однолинейка!$A$3:$A$3000,Щит_спец),IF(C218=$S$8,SUMIFS(Однолинейка!$BX$3:$BX$3000,Однолинейка!$A$3:$A$3000,Щит_спец),""))),""))))</f>
        <v/>
      </c>
      <c r="O218" s="74"/>
      <c r="P218" s="38" t="str">
        <f t="shared" si="27"/>
        <v/>
      </c>
      <c r="U218" s="38" t="str">
        <f t="shared" si="28"/>
        <v/>
      </c>
      <c r="V218" s="38" t="str">
        <f t="shared" si="29"/>
        <v/>
      </c>
      <c r="W218" s="38" t="str">
        <f>IF(AND(U218&lt;&gt;"",OR($S$4="(все)",B218=$S$4),IF($S$4="(все)",COUNTIF($U$4:U218,U218),COUNTIFS($U$4:U218,U218,$B$4:B218,B218))=1),MAX($W$3:W217)+1,"")</f>
        <v/>
      </c>
      <c r="X218" s="38" t="str">
        <f t="shared" si="30"/>
        <v/>
      </c>
      <c r="Y218" s="38" t="str">
        <f>IF(AND(A218="Аппарат",C218&lt;&gt;"",OR($S$5="(все)",B218=$S$5)),MAX($Y$3:Y217)+1,"")</f>
        <v/>
      </c>
      <c r="Z218" s="38" t="str">
        <f t="shared" si="31"/>
        <v/>
      </c>
      <c r="AA218" s="38" t="str">
        <f>IF(AND(A218="Модуль",C218&lt;&gt;"",OR($S$6="(все)",B218=$S$6)),MAX($AA$3:AA217)+1,"")</f>
        <v/>
      </c>
      <c r="AB218" s="38" t="str">
        <f t="shared" si="32"/>
        <v/>
      </c>
      <c r="AC218" s="38" t="str">
        <f>IF(OR(B218="",COUNTIF($B$4:B218,B218)&gt;1),"",MAX($AC$3:AC217)+1)</f>
        <v/>
      </c>
      <c r="AD218" s="38" t="str">
        <f t="shared" si="33"/>
        <v/>
      </c>
      <c r="AE218" s="38" t="str">
        <f t="shared" si="34"/>
        <v/>
      </c>
      <c r="AF218" s="38" t="str">
        <f t="shared" si="35"/>
        <v/>
      </c>
    </row>
    <row r="219" spans="1:32" x14ac:dyDescent="0.3">
      <c r="A219" s="74"/>
      <c r="B219" s="74"/>
      <c r="C219" s="74"/>
      <c r="D219" s="74"/>
      <c r="E219" s="74"/>
      <c r="F219" s="74"/>
      <c r="G219" s="74"/>
      <c r="H219" s="74"/>
      <c r="I219" s="74"/>
      <c r="J219" s="74"/>
      <c r="K219" s="74"/>
      <c r="L219" s="74"/>
      <c r="M219" s="74"/>
      <c r="N219" s="38" t="str">
        <f>IF(OR(A219="Автомат",A219="Дифавтомат"),IF(W219="","",COUNTIFS(Однолинейка!$H$3:$H$3000,U219,Однолинейка!$A$3:$A$3000,Щит_спец)),IF(A219="Аппарат",IF(C219="","",COUNTIFS(Однолинейка!$I$3:$I$3000,C219,Однолинейка!$A$3:$A$3000,Щит_спец)+COUNTIFS(Однолинейка!$J$3:$J$3000,C219,Однолинейка!$A$3:$A$3000,Щит_спец)+COUNTIFS(Однолинейка!$K$3:$K$3000,C219,Однолинейка!$A$3:$A$3000,Щит_спец)),IF(A219="Модуль",IF(C219="","",COUNTIFS(Однолинейка!$AW$3:$AW$3000,"?*",Однолинейка!$AI$3:$AI$3000,C219,Однолинейка!$A$3:$A$3000,Щит_спец)),IF(A219="Клемма",IF(C219="","",IF(C219=$S$7,SUMIFS(Однолинейка!$BW$3:$BW$3000,Однолинейка!$A$3:$A$3000,Щит_спец),IF(C219=$S$8,SUMIFS(Однолинейка!$BX$3:$BX$3000,Однолинейка!$A$3:$A$3000,Щит_спец),""))),""))))</f>
        <v/>
      </c>
      <c r="O219" s="74"/>
      <c r="P219" s="38" t="str">
        <f t="shared" si="27"/>
        <v/>
      </c>
      <c r="U219" s="38" t="str">
        <f t="shared" si="28"/>
        <v/>
      </c>
      <c r="V219" s="38" t="str">
        <f t="shared" si="29"/>
        <v/>
      </c>
      <c r="W219" s="38" t="str">
        <f>IF(AND(U219&lt;&gt;"",OR($S$4="(все)",B219=$S$4),IF($S$4="(все)",COUNTIF($U$4:U219,U219),COUNTIFS($U$4:U219,U219,$B$4:B219,B219))=1),MAX($W$3:W218)+1,"")</f>
        <v/>
      </c>
      <c r="X219" s="38" t="str">
        <f t="shared" si="30"/>
        <v/>
      </c>
      <c r="Y219" s="38" t="str">
        <f>IF(AND(A219="Аппарат",C219&lt;&gt;"",OR($S$5="(все)",B219=$S$5)),MAX($Y$3:Y218)+1,"")</f>
        <v/>
      </c>
      <c r="Z219" s="38" t="str">
        <f t="shared" si="31"/>
        <v/>
      </c>
      <c r="AA219" s="38" t="str">
        <f>IF(AND(A219="Модуль",C219&lt;&gt;"",OR($S$6="(все)",B219=$S$6)),MAX($AA$3:AA218)+1,"")</f>
        <v/>
      </c>
      <c r="AB219" s="38" t="str">
        <f t="shared" si="32"/>
        <v/>
      </c>
      <c r="AC219" s="38" t="str">
        <f>IF(OR(B219="",COUNTIF($B$4:B219,B219)&gt;1),"",MAX($AC$3:AC218)+1)</f>
        <v/>
      </c>
      <c r="AD219" s="38" t="str">
        <f t="shared" si="33"/>
        <v/>
      </c>
      <c r="AE219" s="38" t="str">
        <f t="shared" si="34"/>
        <v/>
      </c>
      <c r="AF219" s="38" t="str">
        <f t="shared" si="35"/>
        <v/>
      </c>
    </row>
    <row r="220" spans="1:32" x14ac:dyDescent="0.3">
      <c r="A220" s="74"/>
      <c r="B220" s="74"/>
      <c r="C220" s="74"/>
      <c r="D220" s="74"/>
      <c r="E220" s="74"/>
      <c r="F220" s="74"/>
      <c r="G220" s="74"/>
      <c r="H220" s="74"/>
      <c r="I220" s="74"/>
      <c r="J220" s="74"/>
      <c r="K220" s="74"/>
      <c r="L220" s="74"/>
      <c r="M220" s="74"/>
      <c r="N220" s="38" t="str">
        <f>IF(OR(A220="Автомат",A220="Дифавтомат"),IF(W220="","",COUNTIFS(Однолинейка!$H$3:$H$3000,U220,Однолинейка!$A$3:$A$3000,Щит_спец)),IF(A220="Аппарат",IF(C220="","",COUNTIFS(Однолинейка!$I$3:$I$3000,C220,Однолинейка!$A$3:$A$3000,Щит_спец)+COUNTIFS(Однолинейка!$J$3:$J$3000,C220,Однолинейка!$A$3:$A$3000,Щит_спец)+COUNTIFS(Однолинейка!$K$3:$K$3000,C220,Однолинейка!$A$3:$A$3000,Щит_спец)),IF(A220="Модуль",IF(C220="","",COUNTIFS(Однолинейка!$AW$3:$AW$3000,"?*",Однолинейка!$AI$3:$AI$3000,C220,Однолинейка!$A$3:$A$3000,Щит_спец)),IF(A220="Клемма",IF(C220="","",IF(C220=$S$7,SUMIFS(Однолинейка!$BW$3:$BW$3000,Однолинейка!$A$3:$A$3000,Щит_спец),IF(C220=$S$8,SUMIFS(Однолинейка!$BX$3:$BX$3000,Однолинейка!$A$3:$A$3000,Щит_спец),""))),""))))</f>
        <v/>
      </c>
      <c r="O220" s="74"/>
      <c r="P220" s="38" t="str">
        <f t="shared" si="27"/>
        <v/>
      </c>
      <c r="U220" s="38" t="str">
        <f t="shared" si="28"/>
        <v/>
      </c>
      <c r="V220" s="38" t="str">
        <f t="shared" si="29"/>
        <v/>
      </c>
      <c r="W220" s="38" t="str">
        <f>IF(AND(U220&lt;&gt;"",OR($S$4="(все)",B220=$S$4),IF($S$4="(все)",COUNTIF($U$4:U220,U220),COUNTIFS($U$4:U220,U220,$B$4:B220,B220))=1),MAX($W$3:W219)+1,"")</f>
        <v/>
      </c>
      <c r="X220" s="38" t="str">
        <f t="shared" si="30"/>
        <v/>
      </c>
      <c r="Y220" s="38" t="str">
        <f>IF(AND(A220="Аппарат",C220&lt;&gt;"",OR($S$5="(все)",B220=$S$5)),MAX($Y$3:Y219)+1,"")</f>
        <v/>
      </c>
      <c r="Z220" s="38" t="str">
        <f t="shared" si="31"/>
        <v/>
      </c>
      <c r="AA220" s="38" t="str">
        <f>IF(AND(A220="Модуль",C220&lt;&gt;"",OR($S$6="(все)",B220=$S$6)),MAX($AA$3:AA219)+1,"")</f>
        <v/>
      </c>
      <c r="AB220" s="38" t="str">
        <f t="shared" si="32"/>
        <v/>
      </c>
      <c r="AC220" s="38" t="str">
        <f>IF(OR(B220="",COUNTIF($B$4:B220,B220)&gt;1),"",MAX($AC$3:AC219)+1)</f>
        <v/>
      </c>
      <c r="AD220" s="38" t="str">
        <f t="shared" si="33"/>
        <v/>
      </c>
      <c r="AE220" s="38" t="str">
        <f t="shared" si="34"/>
        <v/>
      </c>
      <c r="AF220" s="38" t="str">
        <f t="shared" si="35"/>
        <v/>
      </c>
    </row>
    <row r="221" spans="1:32" x14ac:dyDescent="0.3">
      <c r="A221" s="74"/>
      <c r="B221" s="74"/>
      <c r="C221" s="74"/>
      <c r="D221" s="74"/>
      <c r="E221" s="74"/>
      <c r="F221" s="74"/>
      <c r="G221" s="74"/>
      <c r="H221" s="74"/>
      <c r="I221" s="74"/>
      <c r="J221" s="74"/>
      <c r="K221" s="74"/>
      <c r="L221" s="74"/>
      <c r="M221" s="74"/>
      <c r="N221" s="38" t="str">
        <f>IF(OR(A221="Автомат",A221="Дифавтомат"),IF(W221="","",COUNTIFS(Однолинейка!$H$3:$H$3000,U221,Однолинейка!$A$3:$A$3000,Щит_спец)),IF(A221="Аппарат",IF(C221="","",COUNTIFS(Однолинейка!$I$3:$I$3000,C221,Однолинейка!$A$3:$A$3000,Щит_спец)+COUNTIFS(Однолинейка!$J$3:$J$3000,C221,Однолинейка!$A$3:$A$3000,Щит_спец)+COUNTIFS(Однолинейка!$K$3:$K$3000,C221,Однолинейка!$A$3:$A$3000,Щит_спец)),IF(A221="Модуль",IF(C221="","",COUNTIFS(Однолинейка!$AW$3:$AW$3000,"?*",Однолинейка!$AI$3:$AI$3000,C221,Однолинейка!$A$3:$A$3000,Щит_спец)),IF(A221="Клемма",IF(C221="","",IF(C221=$S$7,SUMIFS(Однолинейка!$BW$3:$BW$3000,Однолинейка!$A$3:$A$3000,Щит_спец),IF(C221=$S$8,SUMIFS(Однолинейка!$BX$3:$BX$3000,Однолинейка!$A$3:$A$3000,Щит_спец),""))),""))))</f>
        <v/>
      </c>
      <c r="O221" s="74"/>
      <c r="P221" s="38" t="str">
        <f t="shared" si="27"/>
        <v/>
      </c>
      <c r="U221" s="38" t="str">
        <f t="shared" si="28"/>
        <v/>
      </c>
      <c r="V221" s="38" t="str">
        <f t="shared" si="29"/>
        <v/>
      </c>
      <c r="W221" s="38" t="str">
        <f>IF(AND(U221&lt;&gt;"",OR($S$4="(все)",B221=$S$4),IF($S$4="(все)",COUNTIF($U$4:U221,U221),COUNTIFS($U$4:U221,U221,$B$4:B221,B221))=1),MAX($W$3:W220)+1,"")</f>
        <v/>
      </c>
      <c r="X221" s="38" t="str">
        <f t="shared" si="30"/>
        <v/>
      </c>
      <c r="Y221" s="38" t="str">
        <f>IF(AND(A221="Аппарат",C221&lt;&gt;"",OR($S$5="(все)",B221=$S$5)),MAX($Y$3:Y220)+1,"")</f>
        <v/>
      </c>
      <c r="Z221" s="38" t="str">
        <f t="shared" si="31"/>
        <v/>
      </c>
      <c r="AA221" s="38" t="str">
        <f>IF(AND(A221="Модуль",C221&lt;&gt;"",OR($S$6="(все)",B221=$S$6)),MAX($AA$3:AA220)+1,"")</f>
        <v/>
      </c>
      <c r="AB221" s="38" t="str">
        <f t="shared" si="32"/>
        <v/>
      </c>
      <c r="AC221" s="38" t="str">
        <f>IF(OR(B221="",COUNTIF($B$4:B221,B221)&gt;1),"",MAX($AC$3:AC220)+1)</f>
        <v/>
      </c>
      <c r="AD221" s="38" t="str">
        <f t="shared" si="33"/>
        <v/>
      </c>
      <c r="AE221" s="38" t="str">
        <f t="shared" si="34"/>
        <v/>
      </c>
      <c r="AF221" s="38" t="str">
        <f t="shared" si="35"/>
        <v/>
      </c>
    </row>
    <row r="222" spans="1:32" x14ac:dyDescent="0.3">
      <c r="A222" s="74"/>
      <c r="B222" s="74"/>
      <c r="C222" s="74"/>
      <c r="D222" s="74"/>
      <c r="E222" s="74"/>
      <c r="F222" s="74"/>
      <c r="G222" s="74"/>
      <c r="H222" s="74"/>
      <c r="I222" s="74"/>
      <c r="J222" s="74"/>
      <c r="K222" s="74"/>
      <c r="L222" s="74"/>
      <c r="M222" s="74"/>
      <c r="N222" s="38" t="str">
        <f>IF(OR(A222="Автомат",A222="Дифавтомат"),IF(W222="","",COUNTIFS(Однолинейка!$H$3:$H$3000,U222,Однолинейка!$A$3:$A$3000,Щит_спец)),IF(A222="Аппарат",IF(C222="","",COUNTIFS(Однолинейка!$I$3:$I$3000,C222,Однолинейка!$A$3:$A$3000,Щит_спец)+COUNTIFS(Однолинейка!$J$3:$J$3000,C222,Однолинейка!$A$3:$A$3000,Щит_спец)+COUNTIFS(Однолинейка!$K$3:$K$3000,C222,Однолинейка!$A$3:$A$3000,Щит_спец)),IF(A222="Модуль",IF(C222="","",COUNTIFS(Однолинейка!$AW$3:$AW$3000,"?*",Однолинейка!$AI$3:$AI$3000,C222,Однолинейка!$A$3:$A$3000,Щит_спец)),IF(A222="Клемма",IF(C222="","",IF(C222=$S$7,SUMIFS(Однолинейка!$BW$3:$BW$3000,Однолинейка!$A$3:$A$3000,Щит_спец),IF(C222=$S$8,SUMIFS(Однолинейка!$BX$3:$BX$3000,Однолинейка!$A$3:$A$3000,Щит_спец),""))),""))))</f>
        <v/>
      </c>
      <c r="O222" s="74"/>
      <c r="P222" s="38" t="str">
        <f t="shared" si="27"/>
        <v/>
      </c>
      <c r="U222" s="38" t="str">
        <f t="shared" si="28"/>
        <v/>
      </c>
      <c r="V222" s="38" t="str">
        <f t="shared" si="29"/>
        <v/>
      </c>
      <c r="W222" s="38" t="str">
        <f>IF(AND(U222&lt;&gt;"",OR($S$4="(все)",B222=$S$4),IF($S$4="(все)",COUNTIF($U$4:U222,U222),COUNTIFS($U$4:U222,U222,$B$4:B222,B222))=1),MAX($W$3:W221)+1,"")</f>
        <v/>
      </c>
      <c r="X222" s="38" t="str">
        <f t="shared" si="30"/>
        <v/>
      </c>
      <c r="Y222" s="38" t="str">
        <f>IF(AND(A222="Аппарат",C222&lt;&gt;"",OR($S$5="(все)",B222=$S$5)),MAX($Y$3:Y221)+1,"")</f>
        <v/>
      </c>
      <c r="Z222" s="38" t="str">
        <f t="shared" si="31"/>
        <v/>
      </c>
      <c r="AA222" s="38" t="str">
        <f>IF(AND(A222="Модуль",C222&lt;&gt;"",OR($S$6="(все)",B222=$S$6)),MAX($AA$3:AA221)+1,"")</f>
        <v/>
      </c>
      <c r="AB222" s="38" t="str">
        <f t="shared" si="32"/>
        <v/>
      </c>
      <c r="AC222" s="38" t="str">
        <f>IF(OR(B222="",COUNTIF($B$4:B222,B222)&gt;1),"",MAX($AC$3:AC221)+1)</f>
        <v/>
      </c>
      <c r="AD222" s="38" t="str">
        <f t="shared" si="33"/>
        <v/>
      </c>
      <c r="AE222" s="38" t="str">
        <f t="shared" si="34"/>
        <v/>
      </c>
      <c r="AF222" s="38" t="str">
        <f t="shared" si="35"/>
        <v/>
      </c>
    </row>
    <row r="223" spans="1:32" x14ac:dyDescent="0.3">
      <c r="A223" s="74"/>
      <c r="B223" s="74"/>
      <c r="C223" s="74"/>
      <c r="D223" s="74"/>
      <c r="E223" s="74"/>
      <c r="F223" s="74"/>
      <c r="G223" s="74"/>
      <c r="H223" s="74"/>
      <c r="I223" s="74"/>
      <c r="J223" s="74"/>
      <c r="K223" s="74"/>
      <c r="L223" s="74"/>
      <c r="M223" s="74"/>
      <c r="N223" s="38" t="str">
        <f>IF(OR(A223="Автомат",A223="Дифавтомат"),IF(W223="","",COUNTIFS(Однолинейка!$H$3:$H$3000,U223,Однолинейка!$A$3:$A$3000,Щит_спец)),IF(A223="Аппарат",IF(C223="","",COUNTIFS(Однолинейка!$I$3:$I$3000,C223,Однолинейка!$A$3:$A$3000,Щит_спец)+COUNTIFS(Однолинейка!$J$3:$J$3000,C223,Однолинейка!$A$3:$A$3000,Щит_спец)+COUNTIFS(Однолинейка!$K$3:$K$3000,C223,Однолинейка!$A$3:$A$3000,Щит_спец)),IF(A223="Модуль",IF(C223="","",COUNTIFS(Однолинейка!$AW$3:$AW$3000,"?*",Однолинейка!$AI$3:$AI$3000,C223,Однолинейка!$A$3:$A$3000,Щит_спец)),IF(A223="Клемма",IF(C223="","",IF(C223=$S$7,SUMIFS(Однолинейка!$BW$3:$BW$3000,Однолинейка!$A$3:$A$3000,Щит_спец),IF(C223=$S$8,SUMIFS(Однолинейка!$BX$3:$BX$3000,Однолинейка!$A$3:$A$3000,Щит_спец),""))),""))))</f>
        <v/>
      </c>
      <c r="O223" s="74"/>
      <c r="P223" s="38" t="str">
        <f t="shared" si="27"/>
        <v/>
      </c>
      <c r="U223" s="38" t="str">
        <f t="shared" si="28"/>
        <v/>
      </c>
      <c r="V223" s="38" t="str">
        <f t="shared" si="29"/>
        <v/>
      </c>
      <c r="W223" s="38" t="str">
        <f>IF(AND(U223&lt;&gt;"",OR($S$4="(все)",B223=$S$4),IF($S$4="(все)",COUNTIF($U$4:U223,U223),COUNTIFS($U$4:U223,U223,$B$4:B223,B223))=1),MAX($W$3:W222)+1,"")</f>
        <v/>
      </c>
      <c r="X223" s="38" t="str">
        <f t="shared" si="30"/>
        <v/>
      </c>
      <c r="Y223" s="38" t="str">
        <f>IF(AND(A223="Аппарат",C223&lt;&gt;"",OR($S$5="(все)",B223=$S$5)),MAX($Y$3:Y222)+1,"")</f>
        <v/>
      </c>
      <c r="Z223" s="38" t="str">
        <f t="shared" si="31"/>
        <v/>
      </c>
      <c r="AA223" s="38" t="str">
        <f>IF(AND(A223="Модуль",C223&lt;&gt;"",OR($S$6="(все)",B223=$S$6)),MAX($AA$3:AA222)+1,"")</f>
        <v/>
      </c>
      <c r="AB223" s="38" t="str">
        <f t="shared" si="32"/>
        <v/>
      </c>
      <c r="AC223" s="38" t="str">
        <f>IF(OR(B223="",COUNTIF($B$4:B223,B223)&gt;1),"",MAX($AC$3:AC222)+1)</f>
        <v/>
      </c>
      <c r="AD223" s="38" t="str">
        <f t="shared" si="33"/>
        <v/>
      </c>
      <c r="AE223" s="38" t="str">
        <f t="shared" si="34"/>
        <v/>
      </c>
      <c r="AF223" s="38" t="str">
        <f t="shared" si="35"/>
        <v/>
      </c>
    </row>
    <row r="224" spans="1:32" x14ac:dyDescent="0.3">
      <c r="A224" s="74"/>
      <c r="B224" s="74"/>
      <c r="C224" s="74"/>
      <c r="D224" s="74"/>
      <c r="E224" s="74"/>
      <c r="F224" s="74"/>
      <c r="G224" s="74"/>
      <c r="H224" s="74"/>
      <c r="I224" s="74"/>
      <c r="J224" s="74"/>
      <c r="K224" s="74"/>
      <c r="L224" s="74"/>
      <c r="M224" s="74"/>
      <c r="N224" s="38" t="str">
        <f>IF(OR(A224="Автомат",A224="Дифавтомат"),IF(W224="","",COUNTIFS(Однолинейка!$H$3:$H$3000,U224,Однолинейка!$A$3:$A$3000,Щит_спец)),IF(A224="Аппарат",IF(C224="","",COUNTIFS(Однолинейка!$I$3:$I$3000,C224,Однолинейка!$A$3:$A$3000,Щит_спец)+COUNTIFS(Однолинейка!$J$3:$J$3000,C224,Однолинейка!$A$3:$A$3000,Щит_спец)+COUNTIFS(Однолинейка!$K$3:$K$3000,C224,Однолинейка!$A$3:$A$3000,Щит_спец)),IF(A224="Модуль",IF(C224="","",COUNTIFS(Однолинейка!$AW$3:$AW$3000,"?*",Однолинейка!$AI$3:$AI$3000,C224,Однолинейка!$A$3:$A$3000,Щит_спец)),IF(A224="Клемма",IF(C224="","",IF(C224=$S$7,SUMIFS(Однолинейка!$BW$3:$BW$3000,Однолинейка!$A$3:$A$3000,Щит_спец),IF(C224=$S$8,SUMIFS(Однолинейка!$BX$3:$BX$3000,Однолинейка!$A$3:$A$3000,Щит_спец),""))),""))))</f>
        <v/>
      </c>
      <c r="O224" s="74"/>
      <c r="P224" s="38" t="str">
        <f t="shared" si="27"/>
        <v/>
      </c>
      <c r="U224" s="38" t="str">
        <f t="shared" si="28"/>
        <v/>
      </c>
      <c r="V224" s="38" t="str">
        <f t="shared" si="29"/>
        <v/>
      </c>
      <c r="W224" s="38" t="str">
        <f>IF(AND(U224&lt;&gt;"",OR($S$4="(все)",B224=$S$4),IF($S$4="(все)",COUNTIF($U$4:U224,U224),COUNTIFS($U$4:U224,U224,$B$4:B224,B224))=1),MAX($W$3:W223)+1,"")</f>
        <v/>
      </c>
      <c r="X224" s="38" t="str">
        <f t="shared" si="30"/>
        <v/>
      </c>
      <c r="Y224" s="38" t="str">
        <f>IF(AND(A224="Аппарат",C224&lt;&gt;"",OR($S$5="(все)",B224=$S$5)),MAX($Y$3:Y223)+1,"")</f>
        <v/>
      </c>
      <c r="Z224" s="38" t="str">
        <f t="shared" si="31"/>
        <v/>
      </c>
      <c r="AA224" s="38" t="str">
        <f>IF(AND(A224="Модуль",C224&lt;&gt;"",OR($S$6="(все)",B224=$S$6)),MAX($AA$3:AA223)+1,"")</f>
        <v/>
      </c>
      <c r="AB224" s="38" t="str">
        <f t="shared" si="32"/>
        <v/>
      </c>
      <c r="AC224" s="38" t="str">
        <f>IF(OR(B224="",COUNTIF($B$4:B224,B224)&gt;1),"",MAX($AC$3:AC223)+1)</f>
        <v/>
      </c>
      <c r="AD224" s="38" t="str">
        <f t="shared" si="33"/>
        <v/>
      </c>
      <c r="AE224" s="38" t="str">
        <f t="shared" si="34"/>
        <v/>
      </c>
      <c r="AF224" s="38" t="str">
        <f t="shared" si="35"/>
        <v/>
      </c>
    </row>
    <row r="225" spans="1:32" x14ac:dyDescent="0.3">
      <c r="A225" s="74"/>
      <c r="B225" s="74"/>
      <c r="C225" s="74"/>
      <c r="D225" s="74"/>
      <c r="E225" s="74"/>
      <c r="F225" s="74"/>
      <c r="G225" s="74"/>
      <c r="H225" s="74"/>
      <c r="I225" s="74"/>
      <c r="J225" s="74"/>
      <c r="K225" s="74"/>
      <c r="L225" s="74"/>
      <c r="M225" s="74"/>
      <c r="N225" s="38" t="str">
        <f>IF(OR(A225="Автомат",A225="Дифавтомат"),IF(W225="","",COUNTIFS(Однолинейка!$H$3:$H$3000,U225,Однолинейка!$A$3:$A$3000,Щит_спец)),IF(A225="Аппарат",IF(C225="","",COUNTIFS(Однолинейка!$I$3:$I$3000,C225,Однолинейка!$A$3:$A$3000,Щит_спец)+COUNTIFS(Однолинейка!$J$3:$J$3000,C225,Однолинейка!$A$3:$A$3000,Щит_спец)+COUNTIFS(Однолинейка!$K$3:$K$3000,C225,Однолинейка!$A$3:$A$3000,Щит_спец)),IF(A225="Модуль",IF(C225="","",COUNTIFS(Однолинейка!$AW$3:$AW$3000,"?*",Однолинейка!$AI$3:$AI$3000,C225,Однолинейка!$A$3:$A$3000,Щит_спец)),IF(A225="Клемма",IF(C225="","",IF(C225=$S$7,SUMIFS(Однолинейка!$BW$3:$BW$3000,Однолинейка!$A$3:$A$3000,Щит_спец),IF(C225=$S$8,SUMIFS(Однолинейка!$BX$3:$BX$3000,Однолинейка!$A$3:$A$3000,Щит_спец),""))),""))))</f>
        <v/>
      </c>
      <c r="O225" s="74"/>
      <c r="P225" s="38" t="str">
        <f t="shared" si="27"/>
        <v/>
      </c>
      <c r="U225" s="38" t="str">
        <f t="shared" si="28"/>
        <v/>
      </c>
      <c r="V225" s="38" t="str">
        <f t="shared" si="29"/>
        <v/>
      </c>
      <c r="W225" s="38" t="str">
        <f>IF(AND(U225&lt;&gt;"",OR($S$4="(все)",B225=$S$4),IF($S$4="(все)",COUNTIF($U$4:U225,U225),COUNTIFS($U$4:U225,U225,$B$4:B225,B225))=1),MAX($W$3:W224)+1,"")</f>
        <v/>
      </c>
      <c r="X225" s="38" t="str">
        <f t="shared" si="30"/>
        <v/>
      </c>
      <c r="Y225" s="38" t="str">
        <f>IF(AND(A225="Аппарат",C225&lt;&gt;"",OR($S$5="(все)",B225=$S$5)),MAX($Y$3:Y224)+1,"")</f>
        <v/>
      </c>
      <c r="Z225" s="38" t="str">
        <f t="shared" si="31"/>
        <v/>
      </c>
      <c r="AA225" s="38" t="str">
        <f>IF(AND(A225="Модуль",C225&lt;&gt;"",OR($S$6="(все)",B225=$S$6)),MAX($AA$3:AA224)+1,"")</f>
        <v/>
      </c>
      <c r="AB225" s="38" t="str">
        <f t="shared" si="32"/>
        <v/>
      </c>
      <c r="AC225" s="38" t="str">
        <f>IF(OR(B225="",COUNTIF($B$4:B225,B225)&gt;1),"",MAX($AC$3:AC224)+1)</f>
        <v/>
      </c>
      <c r="AD225" s="38" t="str">
        <f t="shared" si="33"/>
        <v/>
      </c>
      <c r="AE225" s="38" t="str">
        <f t="shared" si="34"/>
        <v/>
      </c>
      <c r="AF225" s="38" t="str">
        <f t="shared" si="35"/>
        <v/>
      </c>
    </row>
    <row r="226" spans="1:32" x14ac:dyDescent="0.3">
      <c r="A226" s="74"/>
      <c r="B226" s="74"/>
      <c r="C226" s="74"/>
      <c r="D226" s="74"/>
      <c r="E226" s="74"/>
      <c r="F226" s="74"/>
      <c r="G226" s="74"/>
      <c r="H226" s="74"/>
      <c r="I226" s="74"/>
      <c r="J226" s="74"/>
      <c r="K226" s="74"/>
      <c r="L226" s="74"/>
      <c r="M226" s="74"/>
      <c r="N226" s="38" t="str">
        <f>IF(OR(A226="Автомат",A226="Дифавтомат"),IF(W226="","",COUNTIFS(Однолинейка!$H$3:$H$3000,U226,Однолинейка!$A$3:$A$3000,Щит_спец)),IF(A226="Аппарат",IF(C226="","",COUNTIFS(Однолинейка!$I$3:$I$3000,C226,Однолинейка!$A$3:$A$3000,Щит_спец)+COUNTIFS(Однолинейка!$J$3:$J$3000,C226,Однолинейка!$A$3:$A$3000,Щит_спец)+COUNTIFS(Однолинейка!$K$3:$K$3000,C226,Однолинейка!$A$3:$A$3000,Щит_спец)),IF(A226="Модуль",IF(C226="","",COUNTIFS(Однолинейка!$AW$3:$AW$3000,"?*",Однолинейка!$AI$3:$AI$3000,C226,Однолинейка!$A$3:$A$3000,Щит_спец)),IF(A226="Клемма",IF(C226="","",IF(C226=$S$7,SUMIFS(Однолинейка!$BW$3:$BW$3000,Однолинейка!$A$3:$A$3000,Щит_спец),IF(C226=$S$8,SUMIFS(Однолинейка!$BX$3:$BX$3000,Однолинейка!$A$3:$A$3000,Щит_спец),""))),""))))</f>
        <v/>
      </c>
      <c r="O226" s="74"/>
      <c r="P226" s="38" t="str">
        <f t="shared" si="27"/>
        <v/>
      </c>
      <c r="U226" s="38" t="str">
        <f t="shared" si="28"/>
        <v/>
      </c>
      <c r="V226" s="38" t="str">
        <f t="shared" si="29"/>
        <v/>
      </c>
      <c r="W226" s="38" t="str">
        <f>IF(AND(U226&lt;&gt;"",OR($S$4="(все)",B226=$S$4),IF($S$4="(все)",COUNTIF($U$4:U226,U226),COUNTIFS($U$4:U226,U226,$B$4:B226,B226))=1),MAX($W$3:W225)+1,"")</f>
        <v/>
      </c>
      <c r="X226" s="38" t="str">
        <f t="shared" si="30"/>
        <v/>
      </c>
      <c r="Y226" s="38" t="str">
        <f>IF(AND(A226="Аппарат",C226&lt;&gt;"",OR($S$5="(все)",B226=$S$5)),MAX($Y$3:Y225)+1,"")</f>
        <v/>
      </c>
      <c r="Z226" s="38" t="str">
        <f t="shared" si="31"/>
        <v/>
      </c>
      <c r="AA226" s="38" t="str">
        <f>IF(AND(A226="Модуль",C226&lt;&gt;"",OR($S$6="(все)",B226=$S$6)),MAX($AA$3:AA225)+1,"")</f>
        <v/>
      </c>
      <c r="AB226" s="38" t="str">
        <f t="shared" si="32"/>
        <v/>
      </c>
      <c r="AC226" s="38" t="str">
        <f>IF(OR(B226="",COUNTIF($B$4:B226,B226)&gt;1),"",MAX($AC$3:AC225)+1)</f>
        <v/>
      </c>
      <c r="AD226" s="38" t="str">
        <f t="shared" si="33"/>
        <v/>
      </c>
      <c r="AE226" s="38" t="str">
        <f t="shared" si="34"/>
        <v/>
      </c>
      <c r="AF226" s="38" t="str">
        <f t="shared" si="35"/>
        <v/>
      </c>
    </row>
    <row r="227" spans="1:32" x14ac:dyDescent="0.3">
      <c r="A227" s="74"/>
      <c r="B227" s="74"/>
      <c r="C227" s="74"/>
      <c r="D227" s="74"/>
      <c r="E227" s="74"/>
      <c r="F227" s="74"/>
      <c r="G227" s="74"/>
      <c r="H227" s="74"/>
      <c r="I227" s="74"/>
      <c r="J227" s="74"/>
      <c r="K227" s="74"/>
      <c r="L227" s="74"/>
      <c r="M227" s="74"/>
      <c r="N227" s="38" t="str">
        <f>IF(OR(A227="Автомат",A227="Дифавтомат"),IF(W227="","",COUNTIFS(Однолинейка!$H$3:$H$3000,U227,Однолинейка!$A$3:$A$3000,Щит_спец)),IF(A227="Аппарат",IF(C227="","",COUNTIFS(Однолинейка!$I$3:$I$3000,C227,Однолинейка!$A$3:$A$3000,Щит_спец)+COUNTIFS(Однолинейка!$J$3:$J$3000,C227,Однолинейка!$A$3:$A$3000,Щит_спец)+COUNTIFS(Однолинейка!$K$3:$K$3000,C227,Однолинейка!$A$3:$A$3000,Щит_спец)),IF(A227="Модуль",IF(C227="","",COUNTIFS(Однолинейка!$AW$3:$AW$3000,"?*",Однолинейка!$AI$3:$AI$3000,C227,Однолинейка!$A$3:$A$3000,Щит_спец)),IF(A227="Клемма",IF(C227="","",IF(C227=$S$7,SUMIFS(Однолинейка!$BW$3:$BW$3000,Однолинейка!$A$3:$A$3000,Щит_спец),IF(C227=$S$8,SUMIFS(Однолинейка!$BX$3:$BX$3000,Однолинейка!$A$3:$A$3000,Щит_спец),""))),""))))</f>
        <v/>
      </c>
      <c r="O227" s="74"/>
      <c r="P227" s="38" t="str">
        <f t="shared" si="27"/>
        <v/>
      </c>
      <c r="U227" s="38" t="str">
        <f t="shared" si="28"/>
        <v/>
      </c>
      <c r="V227" s="38" t="str">
        <f t="shared" si="29"/>
        <v/>
      </c>
      <c r="W227" s="38" t="str">
        <f>IF(AND(U227&lt;&gt;"",OR($S$4="(все)",B227=$S$4),IF($S$4="(все)",COUNTIF($U$4:U227,U227),COUNTIFS($U$4:U227,U227,$B$4:B227,B227))=1),MAX($W$3:W226)+1,"")</f>
        <v/>
      </c>
      <c r="X227" s="38" t="str">
        <f t="shared" si="30"/>
        <v/>
      </c>
      <c r="Y227" s="38" t="str">
        <f>IF(AND(A227="Аппарат",C227&lt;&gt;"",OR($S$5="(все)",B227=$S$5)),MAX($Y$3:Y226)+1,"")</f>
        <v/>
      </c>
      <c r="Z227" s="38" t="str">
        <f t="shared" si="31"/>
        <v/>
      </c>
      <c r="AA227" s="38" t="str">
        <f>IF(AND(A227="Модуль",C227&lt;&gt;"",OR($S$6="(все)",B227=$S$6)),MAX($AA$3:AA226)+1,"")</f>
        <v/>
      </c>
      <c r="AB227" s="38" t="str">
        <f t="shared" si="32"/>
        <v/>
      </c>
      <c r="AC227" s="38" t="str">
        <f>IF(OR(B227="",COUNTIF($B$4:B227,B227)&gt;1),"",MAX($AC$3:AC226)+1)</f>
        <v/>
      </c>
      <c r="AD227" s="38" t="str">
        <f t="shared" si="33"/>
        <v/>
      </c>
      <c r="AE227" s="38" t="str">
        <f t="shared" si="34"/>
        <v/>
      </c>
      <c r="AF227" s="38" t="str">
        <f t="shared" si="35"/>
        <v/>
      </c>
    </row>
    <row r="228" spans="1:32" x14ac:dyDescent="0.3">
      <c r="A228" s="74"/>
      <c r="B228" s="74"/>
      <c r="C228" s="74"/>
      <c r="D228" s="74"/>
      <c r="E228" s="74"/>
      <c r="F228" s="74"/>
      <c r="G228" s="74"/>
      <c r="H228" s="74"/>
      <c r="I228" s="74"/>
      <c r="J228" s="74"/>
      <c r="K228" s="74"/>
      <c r="L228" s="74"/>
      <c r="M228" s="74"/>
      <c r="N228" s="38" t="str">
        <f>IF(OR(A228="Автомат",A228="Дифавтомат"),IF(W228="","",COUNTIFS(Однолинейка!$H$3:$H$3000,U228,Однолинейка!$A$3:$A$3000,Щит_спец)),IF(A228="Аппарат",IF(C228="","",COUNTIFS(Однолинейка!$I$3:$I$3000,C228,Однолинейка!$A$3:$A$3000,Щит_спец)+COUNTIFS(Однолинейка!$J$3:$J$3000,C228,Однолинейка!$A$3:$A$3000,Щит_спец)+COUNTIFS(Однолинейка!$K$3:$K$3000,C228,Однолинейка!$A$3:$A$3000,Щит_спец)),IF(A228="Модуль",IF(C228="","",COUNTIFS(Однолинейка!$AW$3:$AW$3000,"?*",Однолинейка!$AI$3:$AI$3000,C228,Однолинейка!$A$3:$A$3000,Щит_спец)),IF(A228="Клемма",IF(C228="","",IF(C228=$S$7,SUMIFS(Однолинейка!$BW$3:$BW$3000,Однолинейка!$A$3:$A$3000,Щит_спец),IF(C228=$S$8,SUMIFS(Однолинейка!$BX$3:$BX$3000,Однолинейка!$A$3:$A$3000,Щит_спец),""))),""))))</f>
        <v/>
      </c>
      <c r="O228" s="74"/>
      <c r="P228" s="38" t="str">
        <f t="shared" si="27"/>
        <v/>
      </c>
      <c r="U228" s="38" t="str">
        <f t="shared" si="28"/>
        <v/>
      </c>
      <c r="V228" s="38" t="str">
        <f t="shared" si="29"/>
        <v/>
      </c>
      <c r="W228" s="38" t="str">
        <f>IF(AND(U228&lt;&gt;"",OR($S$4="(все)",B228=$S$4),IF($S$4="(все)",COUNTIF($U$4:U228,U228),COUNTIFS($U$4:U228,U228,$B$4:B228,B228))=1),MAX($W$3:W227)+1,"")</f>
        <v/>
      </c>
      <c r="X228" s="38" t="str">
        <f t="shared" si="30"/>
        <v/>
      </c>
      <c r="Y228" s="38" t="str">
        <f>IF(AND(A228="Аппарат",C228&lt;&gt;"",OR($S$5="(все)",B228=$S$5)),MAX($Y$3:Y227)+1,"")</f>
        <v/>
      </c>
      <c r="Z228" s="38" t="str">
        <f t="shared" si="31"/>
        <v/>
      </c>
      <c r="AA228" s="38" t="str">
        <f>IF(AND(A228="Модуль",C228&lt;&gt;"",OR($S$6="(все)",B228=$S$6)),MAX($AA$3:AA227)+1,"")</f>
        <v/>
      </c>
      <c r="AB228" s="38" t="str">
        <f t="shared" si="32"/>
        <v/>
      </c>
      <c r="AC228" s="38" t="str">
        <f>IF(OR(B228="",COUNTIF($B$4:B228,B228)&gt;1),"",MAX($AC$3:AC227)+1)</f>
        <v/>
      </c>
      <c r="AD228" s="38" t="str">
        <f t="shared" si="33"/>
        <v/>
      </c>
      <c r="AE228" s="38" t="str">
        <f t="shared" si="34"/>
        <v/>
      </c>
      <c r="AF228" s="38" t="str">
        <f t="shared" si="35"/>
        <v/>
      </c>
    </row>
    <row r="229" spans="1:32" x14ac:dyDescent="0.3">
      <c r="A229" s="74"/>
      <c r="B229" s="74"/>
      <c r="C229" s="74"/>
      <c r="D229" s="74"/>
      <c r="E229" s="74"/>
      <c r="F229" s="74"/>
      <c r="G229" s="74"/>
      <c r="H229" s="74"/>
      <c r="I229" s="74"/>
      <c r="J229" s="74"/>
      <c r="K229" s="74"/>
      <c r="L229" s="74"/>
      <c r="M229" s="74"/>
      <c r="N229" s="38" t="str">
        <f>IF(OR(A229="Автомат",A229="Дифавтомат"),IF(W229="","",COUNTIFS(Однолинейка!$H$3:$H$3000,U229,Однолинейка!$A$3:$A$3000,Щит_спец)),IF(A229="Аппарат",IF(C229="","",COUNTIFS(Однолинейка!$I$3:$I$3000,C229,Однолинейка!$A$3:$A$3000,Щит_спец)+COUNTIFS(Однолинейка!$J$3:$J$3000,C229,Однолинейка!$A$3:$A$3000,Щит_спец)+COUNTIFS(Однолинейка!$K$3:$K$3000,C229,Однолинейка!$A$3:$A$3000,Щит_спец)),IF(A229="Модуль",IF(C229="","",COUNTIFS(Однолинейка!$AW$3:$AW$3000,"?*",Однолинейка!$AI$3:$AI$3000,C229,Однолинейка!$A$3:$A$3000,Щит_спец)),IF(A229="Клемма",IF(C229="","",IF(C229=$S$7,SUMIFS(Однолинейка!$BW$3:$BW$3000,Однолинейка!$A$3:$A$3000,Щит_спец),IF(C229=$S$8,SUMIFS(Однолинейка!$BX$3:$BX$3000,Однолинейка!$A$3:$A$3000,Щит_спец),""))),""))))</f>
        <v/>
      </c>
      <c r="O229" s="74"/>
      <c r="P229" s="38" t="str">
        <f t="shared" si="27"/>
        <v/>
      </c>
      <c r="U229" s="38" t="str">
        <f t="shared" si="28"/>
        <v/>
      </c>
      <c r="V229" s="38" t="str">
        <f t="shared" si="29"/>
        <v/>
      </c>
      <c r="W229" s="38" t="str">
        <f>IF(AND(U229&lt;&gt;"",OR($S$4="(все)",B229=$S$4),IF($S$4="(все)",COUNTIF($U$4:U229,U229),COUNTIFS($U$4:U229,U229,$B$4:B229,B229))=1),MAX($W$3:W228)+1,"")</f>
        <v/>
      </c>
      <c r="X229" s="38" t="str">
        <f t="shared" si="30"/>
        <v/>
      </c>
      <c r="Y229" s="38" t="str">
        <f>IF(AND(A229="Аппарат",C229&lt;&gt;"",OR($S$5="(все)",B229=$S$5)),MAX($Y$3:Y228)+1,"")</f>
        <v/>
      </c>
      <c r="Z229" s="38" t="str">
        <f t="shared" si="31"/>
        <v/>
      </c>
      <c r="AA229" s="38" t="str">
        <f>IF(AND(A229="Модуль",C229&lt;&gt;"",OR($S$6="(все)",B229=$S$6)),MAX($AA$3:AA228)+1,"")</f>
        <v/>
      </c>
      <c r="AB229" s="38" t="str">
        <f t="shared" si="32"/>
        <v/>
      </c>
      <c r="AC229" s="38" t="str">
        <f>IF(OR(B229="",COUNTIF($B$4:B229,B229)&gt;1),"",MAX($AC$3:AC228)+1)</f>
        <v/>
      </c>
      <c r="AD229" s="38" t="str">
        <f t="shared" si="33"/>
        <v/>
      </c>
      <c r="AE229" s="38" t="str">
        <f t="shared" si="34"/>
        <v/>
      </c>
      <c r="AF229" s="38" t="str">
        <f t="shared" si="35"/>
        <v/>
      </c>
    </row>
    <row r="230" spans="1:32" x14ac:dyDescent="0.3">
      <c r="A230" s="74"/>
      <c r="B230" s="74"/>
      <c r="C230" s="74"/>
      <c r="D230" s="74"/>
      <c r="E230" s="74"/>
      <c r="F230" s="74"/>
      <c r="G230" s="74"/>
      <c r="H230" s="74"/>
      <c r="I230" s="74"/>
      <c r="J230" s="74"/>
      <c r="K230" s="74"/>
      <c r="L230" s="74"/>
      <c r="M230" s="74"/>
      <c r="N230" s="38" t="str">
        <f>IF(OR(A230="Автомат",A230="Дифавтомат"),IF(W230="","",COUNTIFS(Однолинейка!$H$3:$H$3000,U230,Однолинейка!$A$3:$A$3000,Щит_спец)),IF(A230="Аппарат",IF(C230="","",COUNTIFS(Однолинейка!$I$3:$I$3000,C230,Однолинейка!$A$3:$A$3000,Щит_спец)+COUNTIFS(Однолинейка!$J$3:$J$3000,C230,Однолинейка!$A$3:$A$3000,Щит_спец)+COUNTIFS(Однолинейка!$K$3:$K$3000,C230,Однолинейка!$A$3:$A$3000,Щит_спец)),IF(A230="Модуль",IF(C230="","",COUNTIFS(Однолинейка!$AW$3:$AW$3000,"?*",Однолинейка!$AI$3:$AI$3000,C230,Однолинейка!$A$3:$A$3000,Щит_спец)),IF(A230="Клемма",IF(C230="","",IF(C230=$S$7,SUMIFS(Однолинейка!$BW$3:$BW$3000,Однолинейка!$A$3:$A$3000,Щит_спец),IF(C230=$S$8,SUMIFS(Однолинейка!$BX$3:$BX$3000,Однолинейка!$A$3:$A$3000,Щит_спец),""))),""))))</f>
        <v/>
      </c>
      <c r="O230" s="74"/>
      <c r="P230" s="38" t="str">
        <f t="shared" si="27"/>
        <v/>
      </c>
      <c r="U230" s="38" t="str">
        <f t="shared" si="28"/>
        <v/>
      </c>
      <c r="V230" s="38" t="str">
        <f t="shared" si="29"/>
        <v/>
      </c>
      <c r="W230" s="38" t="str">
        <f>IF(AND(U230&lt;&gt;"",OR($S$4="(все)",B230=$S$4),IF($S$4="(все)",COUNTIF($U$4:U230,U230),COUNTIFS($U$4:U230,U230,$B$4:B230,B230))=1),MAX($W$3:W229)+1,"")</f>
        <v/>
      </c>
      <c r="X230" s="38" t="str">
        <f t="shared" si="30"/>
        <v/>
      </c>
      <c r="Y230" s="38" t="str">
        <f>IF(AND(A230="Аппарат",C230&lt;&gt;"",OR($S$5="(все)",B230=$S$5)),MAX($Y$3:Y229)+1,"")</f>
        <v/>
      </c>
      <c r="Z230" s="38" t="str">
        <f t="shared" si="31"/>
        <v/>
      </c>
      <c r="AA230" s="38" t="str">
        <f>IF(AND(A230="Модуль",C230&lt;&gt;"",OR($S$6="(все)",B230=$S$6)),MAX($AA$3:AA229)+1,"")</f>
        <v/>
      </c>
      <c r="AB230" s="38" t="str">
        <f t="shared" si="32"/>
        <v/>
      </c>
      <c r="AC230" s="38" t="str">
        <f>IF(OR(B230="",COUNTIF($B$4:B230,B230)&gt;1),"",MAX($AC$3:AC229)+1)</f>
        <v/>
      </c>
      <c r="AD230" s="38" t="str">
        <f t="shared" si="33"/>
        <v/>
      </c>
      <c r="AE230" s="38" t="str">
        <f t="shared" si="34"/>
        <v/>
      </c>
      <c r="AF230" s="38" t="str">
        <f t="shared" si="35"/>
        <v/>
      </c>
    </row>
    <row r="231" spans="1:32" x14ac:dyDescent="0.3">
      <c r="A231" s="74"/>
      <c r="B231" s="74"/>
      <c r="C231" s="74"/>
      <c r="D231" s="74"/>
      <c r="E231" s="74"/>
      <c r="F231" s="74"/>
      <c r="G231" s="74"/>
      <c r="H231" s="74"/>
      <c r="I231" s="74"/>
      <c r="J231" s="74"/>
      <c r="K231" s="74"/>
      <c r="L231" s="74"/>
      <c r="M231" s="74"/>
      <c r="N231" s="38" t="str">
        <f>IF(OR(A231="Автомат",A231="Дифавтомат"),IF(W231="","",COUNTIFS(Однолинейка!$H$3:$H$3000,U231,Однолинейка!$A$3:$A$3000,Щит_спец)),IF(A231="Аппарат",IF(C231="","",COUNTIFS(Однолинейка!$I$3:$I$3000,C231,Однолинейка!$A$3:$A$3000,Щит_спец)+COUNTIFS(Однолинейка!$J$3:$J$3000,C231,Однолинейка!$A$3:$A$3000,Щит_спец)+COUNTIFS(Однолинейка!$K$3:$K$3000,C231,Однолинейка!$A$3:$A$3000,Щит_спец)),IF(A231="Модуль",IF(C231="","",COUNTIFS(Однолинейка!$AW$3:$AW$3000,"?*",Однолинейка!$AI$3:$AI$3000,C231,Однолинейка!$A$3:$A$3000,Щит_спец)),IF(A231="Клемма",IF(C231="","",IF(C231=$S$7,SUMIFS(Однолинейка!$BW$3:$BW$3000,Однолинейка!$A$3:$A$3000,Щит_спец),IF(C231=$S$8,SUMIFS(Однолинейка!$BX$3:$BX$3000,Однолинейка!$A$3:$A$3000,Щит_спец),""))),""))))</f>
        <v/>
      </c>
      <c r="O231" s="74"/>
      <c r="P231" s="38" t="str">
        <f t="shared" si="27"/>
        <v/>
      </c>
      <c r="U231" s="38" t="str">
        <f t="shared" si="28"/>
        <v/>
      </c>
      <c r="V231" s="38" t="str">
        <f t="shared" si="29"/>
        <v/>
      </c>
      <c r="W231" s="38" t="str">
        <f>IF(AND(U231&lt;&gt;"",OR($S$4="(все)",B231=$S$4),IF($S$4="(все)",COUNTIF($U$4:U231,U231),COUNTIFS($U$4:U231,U231,$B$4:B231,B231))=1),MAX($W$3:W230)+1,"")</f>
        <v/>
      </c>
      <c r="X231" s="38" t="str">
        <f t="shared" si="30"/>
        <v/>
      </c>
      <c r="Y231" s="38" t="str">
        <f>IF(AND(A231="Аппарат",C231&lt;&gt;"",OR($S$5="(все)",B231=$S$5)),MAX($Y$3:Y230)+1,"")</f>
        <v/>
      </c>
      <c r="Z231" s="38" t="str">
        <f t="shared" si="31"/>
        <v/>
      </c>
      <c r="AA231" s="38" t="str">
        <f>IF(AND(A231="Модуль",C231&lt;&gt;"",OR($S$6="(все)",B231=$S$6)),MAX($AA$3:AA230)+1,"")</f>
        <v/>
      </c>
      <c r="AB231" s="38" t="str">
        <f t="shared" si="32"/>
        <v/>
      </c>
      <c r="AC231" s="38" t="str">
        <f>IF(OR(B231="",COUNTIF($B$4:B231,B231)&gt;1),"",MAX($AC$3:AC230)+1)</f>
        <v/>
      </c>
      <c r="AD231" s="38" t="str">
        <f t="shared" si="33"/>
        <v/>
      </c>
      <c r="AE231" s="38" t="str">
        <f t="shared" si="34"/>
        <v/>
      </c>
      <c r="AF231" s="38" t="str">
        <f t="shared" si="35"/>
        <v/>
      </c>
    </row>
    <row r="232" spans="1:32" x14ac:dyDescent="0.3">
      <c r="A232" s="74"/>
      <c r="B232" s="74"/>
      <c r="C232" s="74"/>
      <c r="D232" s="74"/>
      <c r="E232" s="74"/>
      <c r="F232" s="74"/>
      <c r="G232" s="74"/>
      <c r="H232" s="74"/>
      <c r="I232" s="74"/>
      <c r="J232" s="74"/>
      <c r="K232" s="74"/>
      <c r="L232" s="74"/>
      <c r="M232" s="74"/>
      <c r="N232" s="38" t="str">
        <f>IF(OR(A232="Автомат",A232="Дифавтомат"),IF(W232="","",COUNTIFS(Однолинейка!$H$3:$H$3000,U232,Однолинейка!$A$3:$A$3000,Щит_спец)),IF(A232="Аппарат",IF(C232="","",COUNTIFS(Однолинейка!$I$3:$I$3000,C232,Однолинейка!$A$3:$A$3000,Щит_спец)+COUNTIFS(Однолинейка!$J$3:$J$3000,C232,Однолинейка!$A$3:$A$3000,Щит_спец)+COUNTIFS(Однолинейка!$K$3:$K$3000,C232,Однолинейка!$A$3:$A$3000,Щит_спец)),IF(A232="Модуль",IF(C232="","",COUNTIFS(Однолинейка!$AW$3:$AW$3000,"?*",Однолинейка!$AI$3:$AI$3000,C232,Однолинейка!$A$3:$A$3000,Щит_спец)),IF(A232="Клемма",IF(C232="","",IF(C232=$S$7,SUMIFS(Однолинейка!$BW$3:$BW$3000,Однолинейка!$A$3:$A$3000,Щит_спец),IF(C232=$S$8,SUMIFS(Однолинейка!$BX$3:$BX$3000,Однолинейка!$A$3:$A$3000,Щит_спец),""))),""))))</f>
        <v/>
      </c>
      <c r="O232" s="74"/>
      <c r="P232" s="38" t="str">
        <f t="shared" si="27"/>
        <v/>
      </c>
      <c r="U232" s="38" t="str">
        <f t="shared" si="28"/>
        <v/>
      </c>
      <c r="V232" s="38" t="str">
        <f t="shared" si="29"/>
        <v/>
      </c>
      <c r="W232" s="38" t="str">
        <f>IF(AND(U232&lt;&gt;"",OR($S$4="(все)",B232=$S$4),IF($S$4="(все)",COUNTIF($U$4:U232,U232),COUNTIFS($U$4:U232,U232,$B$4:B232,B232))=1),MAX($W$3:W231)+1,"")</f>
        <v/>
      </c>
      <c r="X232" s="38" t="str">
        <f t="shared" si="30"/>
        <v/>
      </c>
      <c r="Y232" s="38" t="str">
        <f>IF(AND(A232="Аппарат",C232&lt;&gt;"",OR($S$5="(все)",B232=$S$5)),MAX($Y$3:Y231)+1,"")</f>
        <v/>
      </c>
      <c r="Z232" s="38" t="str">
        <f t="shared" si="31"/>
        <v/>
      </c>
      <c r="AA232" s="38" t="str">
        <f>IF(AND(A232="Модуль",C232&lt;&gt;"",OR($S$6="(все)",B232=$S$6)),MAX($AA$3:AA231)+1,"")</f>
        <v/>
      </c>
      <c r="AB232" s="38" t="str">
        <f t="shared" si="32"/>
        <v/>
      </c>
      <c r="AC232" s="38" t="str">
        <f>IF(OR(B232="",COUNTIF($B$4:B232,B232)&gt;1),"",MAX($AC$3:AC231)+1)</f>
        <v/>
      </c>
      <c r="AD232" s="38" t="str">
        <f t="shared" si="33"/>
        <v/>
      </c>
      <c r="AE232" s="38" t="str">
        <f t="shared" si="34"/>
        <v/>
      </c>
      <c r="AF232" s="38" t="str">
        <f t="shared" si="35"/>
        <v/>
      </c>
    </row>
    <row r="233" spans="1:32" x14ac:dyDescent="0.3">
      <c r="A233" s="74"/>
      <c r="B233" s="74"/>
      <c r="C233" s="74"/>
      <c r="D233" s="74"/>
      <c r="E233" s="74"/>
      <c r="F233" s="74"/>
      <c r="G233" s="74"/>
      <c r="H233" s="74"/>
      <c r="I233" s="74"/>
      <c r="J233" s="74"/>
      <c r="K233" s="74"/>
      <c r="L233" s="74"/>
      <c r="M233" s="74"/>
      <c r="N233" s="38" t="str">
        <f>IF(OR(A233="Автомат",A233="Дифавтомат"),IF(W233="","",COUNTIFS(Однолинейка!$H$3:$H$3000,U233,Однолинейка!$A$3:$A$3000,Щит_спец)),IF(A233="Аппарат",IF(C233="","",COUNTIFS(Однолинейка!$I$3:$I$3000,C233,Однолинейка!$A$3:$A$3000,Щит_спец)+COUNTIFS(Однолинейка!$J$3:$J$3000,C233,Однолинейка!$A$3:$A$3000,Щит_спец)+COUNTIFS(Однолинейка!$K$3:$K$3000,C233,Однолинейка!$A$3:$A$3000,Щит_спец)),IF(A233="Модуль",IF(C233="","",COUNTIFS(Однолинейка!$AW$3:$AW$3000,"?*",Однолинейка!$AI$3:$AI$3000,C233,Однолинейка!$A$3:$A$3000,Щит_спец)),IF(A233="Клемма",IF(C233="","",IF(C233=$S$7,SUMIFS(Однолинейка!$BW$3:$BW$3000,Однолинейка!$A$3:$A$3000,Щит_спец),IF(C233=$S$8,SUMIFS(Однолинейка!$BX$3:$BX$3000,Однолинейка!$A$3:$A$3000,Щит_спец),""))),""))))</f>
        <v/>
      </c>
      <c r="O233" s="74"/>
      <c r="P233" s="38" t="str">
        <f t="shared" si="27"/>
        <v/>
      </c>
      <c r="U233" s="38" t="str">
        <f t="shared" si="28"/>
        <v/>
      </c>
      <c r="V233" s="38" t="str">
        <f t="shared" si="29"/>
        <v/>
      </c>
      <c r="W233" s="38" t="str">
        <f>IF(AND(U233&lt;&gt;"",OR($S$4="(все)",B233=$S$4),IF($S$4="(все)",COUNTIF($U$4:U233,U233),COUNTIFS($U$4:U233,U233,$B$4:B233,B233))=1),MAX($W$3:W232)+1,"")</f>
        <v/>
      </c>
      <c r="X233" s="38" t="str">
        <f t="shared" si="30"/>
        <v/>
      </c>
      <c r="Y233" s="38" t="str">
        <f>IF(AND(A233="Аппарат",C233&lt;&gt;"",OR($S$5="(все)",B233=$S$5)),MAX($Y$3:Y232)+1,"")</f>
        <v/>
      </c>
      <c r="Z233" s="38" t="str">
        <f t="shared" si="31"/>
        <v/>
      </c>
      <c r="AA233" s="38" t="str">
        <f>IF(AND(A233="Модуль",C233&lt;&gt;"",OR($S$6="(все)",B233=$S$6)),MAX($AA$3:AA232)+1,"")</f>
        <v/>
      </c>
      <c r="AB233" s="38" t="str">
        <f t="shared" si="32"/>
        <v/>
      </c>
      <c r="AC233" s="38" t="str">
        <f>IF(OR(B233="",COUNTIF($B$4:B233,B233)&gt;1),"",MAX($AC$3:AC232)+1)</f>
        <v/>
      </c>
      <c r="AD233" s="38" t="str">
        <f t="shared" si="33"/>
        <v/>
      </c>
      <c r="AE233" s="38" t="str">
        <f t="shared" si="34"/>
        <v/>
      </c>
      <c r="AF233" s="38" t="str">
        <f t="shared" si="35"/>
        <v/>
      </c>
    </row>
    <row r="234" spans="1:32" x14ac:dyDescent="0.3">
      <c r="A234" s="74"/>
      <c r="B234" s="74"/>
      <c r="C234" s="74"/>
      <c r="D234" s="74"/>
      <c r="E234" s="74"/>
      <c r="F234" s="74"/>
      <c r="G234" s="74"/>
      <c r="H234" s="74"/>
      <c r="I234" s="74"/>
      <c r="J234" s="74"/>
      <c r="K234" s="74"/>
      <c r="L234" s="74"/>
      <c r="M234" s="74"/>
      <c r="N234" s="38" t="str">
        <f>IF(OR(A234="Автомат",A234="Дифавтомат"),IF(W234="","",COUNTIFS(Однолинейка!$H$3:$H$3000,U234,Однолинейка!$A$3:$A$3000,Щит_спец)),IF(A234="Аппарат",IF(C234="","",COUNTIFS(Однолинейка!$I$3:$I$3000,C234,Однолинейка!$A$3:$A$3000,Щит_спец)+COUNTIFS(Однолинейка!$J$3:$J$3000,C234,Однолинейка!$A$3:$A$3000,Щит_спец)+COUNTIFS(Однолинейка!$K$3:$K$3000,C234,Однолинейка!$A$3:$A$3000,Щит_спец)),IF(A234="Модуль",IF(C234="","",COUNTIFS(Однолинейка!$AW$3:$AW$3000,"?*",Однолинейка!$AI$3:$AI$3000,C234,Однолинейка!$A$3:$A$3000,Щит_спец)),IF(A234="Клемма",IF(C234="","",IF(C234=$S$7,SUMIFS(Однолинейка!$BW$3:$BW$3000,Однолинейка!$A$3:$A$3000,Щит_спец),IF(C234=$S$8,SUMIFS(Однолинейка!$BX$3:$BX$3000,Однолинейка!$A$3:$A$3000,Щит_спец),""))),""))))</f>
        <v/>
      </c>
      <c r="O234" s="74"/>
      <c r="P234" s="38" t="str">
        <f t="shared" si="27"/>
        <v/>
      </c>
      <c r="U234" s="38" t="str">
        <f t="shared" si="28"/>
        <v/>
      </c>
      <c r="V234" s="38" t="str">
        <f t="shared" si="29"/>
        <v/>
      </c>
      <c r="W234" s="38" t="str">
        <f>IF(AND(U234&lt;&gt;"",OR($S$4="(все)",B234=$S$4),IF($S$4="(все)",COUNTIF($U$4:U234,U234),COUNTIFS($U$4:U234,U234,$B$4:B234,B234))=1),MAX($W$3:W233)+1,"")</f>
        <v/>
      </c>
      <c r="X234" s="38" t="str">
        <f t="shared" si="30"/>
        <v/>
      </c>
      <c r="Y234" s="38" t="str">
        <f>IF(AND(A234="Аппарат",C234&lt;&gt;"",OR($S$5="(все)",B234=$S$5)),MAX($Y$3:Y233)+1,"")</f>
        <v/>
      </c>
      <c r="Z234" s="38" t="str">
        <f t="shared" si="31"/>
        <v/>
      </c>
      <c r="AA234" s="38" t="str">
        <f>IF(AND(A234="Модуль",C234&lt;&gt;"",OR($S$6="(все)",B234=$S$6)),MAX($AA$3:AA233)+1,"")</f>
        <v/>
      </c>
      <c r="AB234" s="38" t="str">
        <f t="shared" si="32"/>
        <v/>
      </c>
      <c r="AC234" s="38" t="str">
        <f>IF(OR(B234="",COUNTIF($B$4:B234,B234)&gt;1),"",MAX($AC$3:AC233)+1)</f>
        <v/>
      </c>
      <c r="AD234" s="38" t="str">
        <f t="shared" si="33"/>
        <v/>
      </c>
      <c r="AE234" s="38" t="str">
        <f t="shared" si="34"/>
        <v/>
      </c>
      <c r="AF234" s="38" t="str">
        <f t="shared" si="35"/>
        <v/>
      </c>
    </row>
    <row r="235" spans="1:32" x14ac:dyDescent="0.3">
      <c r="A235" s="74"/>
      <c r="B235" s="74"/>
      <c r="C235" s="74"/>
      <c r="D235" s="74"/>
      <c r="E235" s="74"/>
      <c r="F235" s="74"/>
      <c r="G235" s="74"/>
      <c r="H235" s="74"/>
      <c r="I235" s="74"/>
      <c r="J235" s="74"/>
      <c r="K235" s="74"/>
      <c r="L235" s="74"/>
      <c r="M235" s="74"/>
      <c r="N235" s="38" t="str">
        <f>IF(OR(A235="Автомат",A235="Дифавтомат"),IF(W235="","",COUNTIFS(Однолинейка!$H$3:$H$3000,U235,Однолинейка!$A$3:$A$3000,Щит_спец)),IF(A235="Аппарат",IF(C235="","",COUNTIFS(Однолинейка!$I$3:$I$3000,C235,Однолинейка!$A$3:$A$3000,Щит_спец)+COUNTIFS(Однолинейка!$J$3:$J$3000,C235,Однолинейка!$A$3:$A$3000,Щит_спец)+COUNTIFS(Однолинейка!$K$3:$K$3000,C235,Однолинейка!$A$3:$A$3000,Щит_спец)),IF(A235="Модуль",IF(C235="","",COUNTIFS(Однолинейка!$AW$3:$AW$3000,"?*",Однолинейка!$AI$3:$AI$3000,C235,Однолинейка!$A$3:$A$3000,Щит_спец)),IF(A235="Клемма",IF(C235="","",IF(C235=$S$7,SUMIFS(Однолинейка!$BW$3:$BW$3000,Однолинейка!$A$3:$A$3000,Щит_спец),IF(C235=$S$8,SUMIFS(Однолинейка!$BX$3:$BX$3000,Однолинейка!$A$3:$A$3000,Щит_спец),""))),""))))</f>
        <v/>
      </c>
      <c r="O235" s="74"/>
      <c r="P235" s="38" t="str">
        <f t="shared" si="27"/>
        <v/>
      </c>
      <c r="U235" s="38" t="str">
        <f t="shared" si="28"/>
        <v/>
      </c>
      <c r="V235" s="38" t="str">
        <f t="shared" si="29"/>
        <v/>
      </c>
      <c r="W235" s="38" t="str">
        <f>IF(AND(U235&lt;&gt;"",OR($S$4="(все)",B235=$S$4),IF($S$4="(все)",COUNTIF($U$4:U235,U235),COUNTIFS($U$4:U235,U235,$B$4:B235,B235))=1),MAX($W$3:W234)+1,"")</f>
        <v/>
      </c>
      <c r="X235" s="38" t="str">
        <f t="shared" si="30"/>
        <v/>
      </c>
      <c r="Y235" s="38" t="str">
        <f>IF(AND(A235="Аппарат",C235&lt;&gt;"",OR($S$5="(все)",B235=$S$5)),MAX($Y$3:Y234)+1,"")</f>
        <v/>
      </c>
      <c r="Z235" s="38" t="str">
        <f t="shared" si="31"/>
        <v/>
      </c>
      <c r="AA235" s="38" t="str">
        <f>IF(AND(A235="Модуль",C235&lt;&gt;"",OR($S$6="(все)",B235=$S$6)),MAX($AA$3:AA234)+1,"")</f>
        <v/>
      </c>
      <c r="AB235" s="38" t="str">
        <f t="shared" si="32"/>
        <v/>
      </c>
      <c r="AC235" s="38" t="str">
        <f>IF(OR(B235="",COUNTIF($B$4:B235,B235)&gt;1),"",MAX($AC$3:AC234)+1)</f>
        <v/>
      </c>
      <c r="AD235" s="38" t="str">
        <f t="shared" si="33"/>
        <v/>
      </c>
      <c r="AE235" s="38" t="str">
        <f t="shared" si="34"/>
        <v/>
      </c>
      <c r="AF235" s="38" t="str">
        <f t="shared" si="35"/>
        <v/>
      </c>
    </row>
    <row r="236" spans="1:32" x14ac:dyDescent="0.3">
      <c r="A236" s="74"/>
      <c r="B236" s="74"/>
      <c r="C236" s="74"/>
      <c r="D236" s="74"/>
      <c r="E236" s="74"/>
      <c r="F236" s="74"/>
      <c r="G236" s="74"/>
      <c r="H236" s="74"/>
      <c r="I236" s="74"/>
      <c r="J236" s="74"/>
      <c r="K236" s="74"/>
      <c r="L236" s="74"/>
      <c r="M236" s="74"/>
      <c r="N236" s="38" t="str">
        <f>IF(OR(A236="Автомат",A236="Дифавтомат"),IF(W236="","",COUNTIFS(Однолинейка!$H$3:$H$3000,U236,Однолинейка!$A$3:$A$3000,Щит_спец)),IF(A236="Аппарат",IF(C236="","",COUNTIFS(Однолинейка!$I$3:$I$3000,C236,Однолинейка!$A$3:$A$3000,Щит_спец)+COUNTIFS(Однолинейка!$J$3:$J$3000,C236,Однолинейка!$A$3:$A$3000,Щит_спец)+COUNTIFS(Однолинейка!$K$3:$K$3000,C236,Однолинейка!$A$3:$A$3000,Щит_спец)),IF(A236="Модуль",IF(C236="","",COUNTIFS(Однолинейка!$AW$3:$AW$3000,"?*",Однолинейка!$AI$3:$AI$3000,C236,Однолинейка!$A$3:$A$3000,Щит_спец)),IF(A236="Клемма",IF(C236="","",IF(C236=$S$7,SUMIFS(Однолинейка!$BW$3:$BW$3000,Однолинейка!$A$3:$A$3000,Щит_спец),IF(C236=$S$8,SUMIFS(Однолинейка!$BX$3:$BX$3000,Однолинейка!$A$3:$A$3000,Щит_спец),""))),""))))</f>
        <v/>
      </c>
      <c r="O236" s="74"/>
      <c r="P236" s="38" t="str">
        <f t="shared" si="27"/>
        <v/>
      </c>
      <c r="U236" s="38" t="str">
        <f t="shared" si="28"/>
        <v/>
      </c>
      <c r="V236" s="38" t="str">
        <f t="shared" si="29"/>
        <v/>
      </c>
      <c r="W236" s="38" t="str">
        <f>IF(AND(U236&lt;&gt;"",OR($S$4="(все)",B236=$S$4),IF($S$4="(все)",COUNTIF($U$4:U236,U236),COUNTIFS($U$4:U236,U236,$B$4:B236,B236))=1),MAX($W$3:W235)+1,"")</f>
        <v/>
      </c>
      <c r="X236" s="38" t="str">
        <f t="shared" si="30"/>
        <v/>
      </c>
      <c r="Y236" s="38" t="str">
        <f>IF(AND(A236="Аппарат",C236&lt;&gt;"",OR($S$5="(все)",B236=$S$5)),MAX($Y$3:Y235)+1,"")</f>
        <v/>
      </c>
      <c r="Z236" s="38" t="str">
        <f t="shared" si="31"/>
        <v/>
      </c>
      <c r="AA236" s="38" t="str">
        <f>IF(AND(A236="Модуль",C236&lt;&gt;"",OR($S$6="(все)",B236=$S$6)),MAX($AA$3:AA235)+1,"")</f>
        <v/>
      </c>
      <c r="AB236" s="38" t="str">
        <f t="shared" si="32"/>
        <v/>
      </c>
      <c r="AC236" s="38" t="str">
        <f>IF(OR(B236="",COUNTIF($B$4:B236,B236)&gt;1),"",MAX($AC$3:AC235)+1)</f>
        <v/>
      </c>
      <c r="AD236" s="38" t="str">
        <f t="shared" si="33"/>
        <v/>
      </c>
      <c r="AE236" s="38" t="str">
        <f t="shared" si="34"/>
        <v/>
      </c>
      <c r="AF236" s="38" t="str">
        <f t="shared" si="35"/>
        <v/>
      </c>
    </row>
    <row r="237" spans="1:32" x14ac:dyDescent="0.3">
      <c r="A237" s="74"/>
      <c r="B237" s="74"/>
      <c r="C237" s="74"/>
      <c r="D237" s="74"/>
      <c r="E237" s="74"/>
      <c r="F237" s="74"/>
      <c r="G237" s="74"/>
      <c r="H237" s="74"/>
      <c r="I237" s="74"/>
      <c r="J237" s="74"/>
      <c r="K237" s="74"/>
      <c r="L237" s="74"/>
      <c r="M237" s="74"/>
      <c r="N237" s="38" t="str">
        <f>IF(OR(A237="Автомат",A237="Дифавтомат"),IF(W237="","",COUNTIFS(Однолинейка!$H$3:$H$3000,U237,Однолинейка!$A$3:$A$3000,Щит_спец)),IF(A237="Аппарат",IF(C237="","",COUNTIFS(Однолинейка!$I$3:$I$3000,C237,Однолинейка!$A$3:$A$3000,Щит_спец)+COUNTIFS(Однолинейка!$J$3:$J$3000,C237,Однолинейка!$A$3:$A$3000,Щит_спец)+COUNTIFS(Однолинейка!$K$3:$K$3000,C237,Однолинейка!$A$3:$A$3000,Щит_спец)),IF(A237="Модуль",IF(C237="","",COUNTIFS(Однолинейка!$AW$3:$AW$3000,"?*",Однолинейка!$AI$3:$AI$3000,C237,Однолинейка!$A$3:$A$3000,Щит_спец)),IF(A237="Клемма",IF(C237="","",IF(C237=$S$7,SUMIFS(Однолинейка!$BW$3:$BW$3000,Однолинейка!$A$3:$A$3000,Щит_спец),IF(C237=$S$8,SUMIFS(Однолинейка!$BX$3:$BX$3000,Однолинейка!$A$3:$A$3000,Щит_спец),""))),""))))</f>
        <v/>
      </c>
      <c r="O237" s="74"/>
      <c r="P237" s="38" t="str">
        <f t="shared" si="27"/>
        <v/>
      </c>
      <c r="U237" s="38" t="str">
        <f t="shared" si="28"/>
        <v/>
      </c>
      <c r="V237" s="38" t="str">
        <f t="shared" si="29"/>
        <v/>
      </c>
      <c r="W237" s="38" t="str">
        <f>IF(AND(U237&lt;&gt;"",OR($S$4="(все)",B237=$S$4),IF($S$4="(все)",COUNTIF($U$4:U237,U237),COUNTIFS($U$4:U237,U237,$B$4:B237,B237))=1),MAX($W$3:W236)+1,"")</f>
        <v/>
      </c>
      <c r="X237" s="38" t="str">
        <f t="shared" si="30"/>
        <v/>
      </c>
      <c r="Y237" s="38" t="str">
        <f>IF(AND(A237="Аппарат",C237&lt;&gt;"",OR($S$5="(все)",B237=$S$5)),MAX($Y$3:Y236)+1,"")</f>
        <v/>
      </c>
      <c r="Z237" s="38" t="str">
        <f t="shared" si="31"/>
        <v/>
      </c>
      <c r="AA237" s="38" t="str">
        <f>IF(AND(A237="Модуль",C237&lt;&gt;"",OR($S$6="(все)",B237=$S$6)),MAX($AA$3:AA236)+1,"")</f>
        <v/>
      </c>
      <c r="AB237" s="38" t="str">
        <f t="shared" si="32"/>
        <v/>
      </c>
      <c r="AC237" s="38" t="str">
        <f>IF(OR(B237="",COUNTIF($B$4:B237,B237)&gt;1),"",MAX($AC$3:AC236)+1)</f>
        <v/>
      </c>
      <c r="AD237" s="38" t="str">
        <f t="shared" si="33"/>
        <v/>
      </c>
      <c r="AE237" s="38" t="str">
        <f t="shared" si="34"/>
        <v/>
      </c>
      <c r="AF237" s="38" t="str">
        <f t="shared" si="35"/>
        <v/>
      </c>
    </row>
    <row r="238" spans="1:32" x14ac:dyDescent="0.3">
      <c r="A238" s="74"/>
      <c r="B238" s="74"/>
      <c r="C238" s="74"/>
      <c r="D238" s="74"/>
      <c r="E238" s="74"/>
      <c r="F238" s="74"/>
      <c r="G238" s="74"/>
      <c r="H238" s="74"/>
      <c r="I238" s="74"/>
      <c r="J238" s="74"/>
      <c r="K238" s="74"/>
      <c r="L238" s="74"/>
      <c r="M238" s="74"/>
      <c r="N238" s="38" t="str">
        <f>IF(OR(A238="Автомат",A238="Дифавтомат"),IF(W238="","",COUNTIFS(Однолинейка!$H$3:$H$3000,U238,Однолинейка!$A$3:$A$3000,Щит_спец)),IF(A238="Аппарат",IF(C238="","",COUNTIFS(Однолинейка!$I$3:$I$3000,C238,Однолинейка!$A$3:$A$3000,Щит_спец)+COUNTIFS(Однолинейка!$J$3:$J$3000,C238,Однолинейка!$A$3:$A$3000,Щит_спец)+COUNTIFS(Однолинейка!$K$3:$K$3000,C238,Однолинейка!$A$3:$A$3000,Щит_спец)),IF(A238="Модуль",IF(C238="","",COUNTIFS(Однолинейка!$AW$3:$AW$3000,"?*",Однолинейка!$AI$3:$AI$3000,C238,Однолинейка!$A$3:$A$3000,Щит_спец)),IF(A238="Клемма",IF(C238="","",IF(C238=$S$7,SUMIFS(Однолинейка!$BW$3:$BW$3000,Однолинейка!$A$3:$A$3000,Щит_спец),IF(C238=$S$8,SUMIFS(Однолинейка!$BX$3:$BX$3000,Однолинейка!$A$3:$A$3000,Щит_спец),""))),""))))</f>
        <v/>
      </c>
      <c r="O238" s="74"/>
      <c r="P238" s="38" t="str">
        <f t="shared" si="27"/>
        <v/>
      </c>
      <c r="U238" s="38" t="str">
        <f t="shared" si="28"/>
        <v/>
      </c>
      <c r="V238" s="38" t="str">
        <f t="shared" si="29"/>
        <v/>
      </c>
      <c r="W238" s="38" t="str">
        <f>IF(AND(U238&lt;&gt;"",OR($S$4="(все)",B238=$S$4),IF($S$4="(все)",COUNTIF($U$4:U238,U238),COUNTIFS($U$4:U238,U238,$B$4:B238,B238))=1),MAX($W$3:W237)+1,"")</f>
        <v/>
      </c>
      <c r="X238" s="38" t="str">
        <f t="shared" si="30"/>
        <v/>
      </c>
      <c r="Y238" s="38" t="str">
        <f>IF(AND(A238="Аппарат",C238&lt;&gt;"",OR($S$5="(все)",B238=$S$5)),MAX($Y$3:Y237)+1,"")</f>
        <v/>
      </c>
      <c r="Z238" s="38" t="str">
        <f t="shared" si="31"/>
        <v/>
      </c>
      <c r="AA238" s="38" t="str">
        <f>IF(AND(A238="Модуль",C238&lt;&gt;"",OR($S$6="(все)",B238=$S$6)),MAX($AA$3:AA237)+1,"")</f>
        <v/>
      </c>
      <c r="AB238" s="38" t="str">
        <f t="shared" si="32"/>
        <v/>
      </c>
      <c r="AC238" s="38" t="str">
        <f>IF(OR(B238="",COUNTIF($B$4:B238,B238)&gt;1),"",MAX($AC$3:AC237)+1)</f>
        <v/>
      </c>
      <c r="AD238" s="38" t="str">
        <f t="shared" si="33"/>
        <v/>
      </c>
      <c r="AE238" s="38" t="str">
        <f t="shared" si="34"/>
        <v/>
      </c>
      <c r="AF238" s="38" t="str">
        <f t="shared" si="35"/>
        <v/>
      </c>
    </row>
    <row r="239" spans="1:32" x14ac:dyDescent="0.3">
      <c r="A239" s="74"/>
      <c r="B239" s="74"/>
      <c r="C239" s="74"/>
      <c r="D239" s="74"/>
      <c r="E239" s="74"/>
      <c r="F239" s="74"/>
      <c r="G239" s="74"/>
      <c r="H239" s="74"/>
      <c r="I239" s="74"/>
      <c r="J239" s="74"/>
      <c r="K239" s="74"/>
      <c r="L239" s="74"/>
      <c r="M239" s="74"/>
      <c r="N239" s="38" t="str">
        <f>IF(OR(A239="Автомат",A239="Дифавтомат"),IF(W239="","",COUNTIFS(Однолинейка!$H$3:$H$3000,U239,Однолинейка!$A$3:$A$3000,Щит_спец)),IF(A239="Аппарат",IF(C239="","",COUNTIFS(Однолинейка!$I$3:$I$3000,C239,Однолинейка!$A$3:$A$3000,Щит_спец)+COUNTIFS(Однолинейка!$J$3:$J$3000,C239,Однолинейка!$A$3:$A$3000,Щит_спец)+COUNTIFS(Однолинейка!$K$3:$K$3000,C239,Однолинейка!$A$3:$A$3000,Щит_спец)),IF(A239="Модуль",IF(C239="","",COUNTIFS(Однолинейка!$AW$3:$AW$3000,"?*",Однолинейка!$AI$3:$AI$3000,C239,Однолинейка!$A$3:$A$3000,Щит_спец)),IF(A239="Клемма",IF(C239="","",IF(C239=$S$7,SUMIFS(Однолинейка!$BW$3:$BW$3000,Однолинейка!$A$3:$A$3000,Щит_спец),IF(C239=$S$8,SUMIFS(Однолинейка!$BX$3:$BX$3000,Однолинейка!$A$3:$A$3000,Щит_спец),""))),""))))</f>
        <v/>
      </c>
      <c r="O239" s="74"/>
      <c r="P239" s="38" t="str">
        <f t="shared" si="27"/>
        <v/>
      </c>
      <c r="U239" s="38" t="str">
        <f t="shared" si="28"/>
        <v/>
      </c>
      <c r="V239" s="38" t="str">
        <f t="shared" si="29"/>
        <v/>
      </c>
      <c r="W239" s="38" t="str">
        <f>IF(AND(U239&lt;&gt;"",OR($S$4="(все)",B239=$S$4),IF($S$4="(все)",COUNTIF($U$4:U239,U239),COUNTIFS($U$4:U239,U239,$B$4:B239,B239))=1),MAX($W$3:W238)+1,"")</f>
        <v/>
      </c>
      <c r="X239" s="38" t="str">
        <f t="shared" si="30"/>
        <v/>
      </c>
      <c r="Y239" s="38" t="str">
        <f>IF(AND(A239="Аппарат",C239&lt;&gt;"",OR($S$5="(все)",B239=$S$5)),MAX($Y$3:Y238)+1,"")</f>
        <v/>
      </c>
      <c r="Z239" s="38" t="str">
        <f t="shared" si="31"/>
        <v/>
      </c>
      <c r="AA239" s="38" t="str">
        <f>IF(AND(A239="Модуль",C239&lt;&gt;"",OR($S$6="(все)",B239=$S$6)),MAX($AA$3:AA238)+1,"")</f>
        <v/>
      </c>
      <c r="AB239" s="38" t="str">
        <f t="shared" si="32"/>
        <v/>
      </c>
      <c r="AC239" s="38" t="str">
        <f>IF(OR(B239="",COUNTIF($B$4:B239,B239)&gt;1),"",MAX($AC$3:AC238)+1)</f>
        <v/>
      </c>
      <c r="AD239" s="38" t="str">
        <f t="shared" si="33"/>
        <v/>
      </c>
      <c r="AE239" s="38" t="str">
        <f t="shared" si="34"/>
        <v/>
      </c>
      <c r="AF239" s="38" t="str">
        <f t="shared" si="35"/>
        <v/>
      </c>
    </row>
    <row r="240" spans="1:32" x14ac:dyDescent="0.3">
      <c r="A240" s="74"/>
      <c r="B240" s="74"/>
      <c r="C240" s="74"/>
      <c r="D240" s="74"/>
      <c r="E240" s="74"/>
      <c r="F240" s="74"/>
      <c r="G240" s="74"/>
      <c r="H240" s="74"/>
      <c r="I240" s="74"/>
      <c r="J240" s="74"/>
      <c r="K240" s="74"/>
      <c r="L240" s="74"/>
      <c r="M240" s="74"/>
      <c r="N240" s="38" t="str">
        <f>IF(OR(A240="Автомат",A240="Дифавтомат"),IF(W240="","",COUNTIFS(Однолинейка!$H$3:$H$3000,U240,Однолинейка!$A$3:$A$3000,Щит_спец)),IF(A240="Аппарат",IF(C240="","",COUNTIFS(Однолинейка!$I$3:$I$3000,C240,Однолинейка!$A$3:$A$3000,Щит_спец)+COUNTIFS(Однолинейка!$J$3:$J$3000,C240,Однолинейка!$A$3:$A$3000,Щит_спец)+COUNTIFS(Однолинейка!$K$3:$K$3000,C240,Однолинейка!$A$3:$A$3000,Щит_спец)),IF(A240="Модуль",IF(C240="","",COUNTIFS(Однолинейка!$AW$3:$AW$3000,"?*",Однолинейка!$AI$3:$AI$3000,C240,Однолинейка!$A$3:$A$3000,Щит_спец)),IF(A240="Клемма",IF(C240="","",IF(C240=$S$7,SUMIFS(Однолинейка!$BW$3:$BW$3000,Однолинейка!$A$3:$A$3000,Щит_спец),IF(C240=$S$8,SUMIFS(Однолинейка!$BX$3:$BX$3000,Однолинейка!$A$3:$A$3000,Щит_спец),""))),""))))</f>
        <v/>
      </c>
      <c r="O240" s="74"/>
      <c r="P240" s="38" t="str">
        <f t="shared" si="27"/>
        <v/>
      </c>
      <c r="U240" s="38" t="str">
        <f t="shared" si="28"/>
        <v/>
      </c>
      <c r="V240" s="38" t="str">
        <f t="shared" si="29"/>
        <v/>
      </c>
      <c r="W240" s="38" t="str">
        <f>IF(AND(U240&lt;&gt;"",OR($S$4="(все)",B240=$S$4),IF($S$4="(все)",COUNTIF($U$4:U240,U240),COUNTIFS($U$4:U240,U240,$B$4:B240,B240))=1),MAX($W$3:W239)+1,"")</f>
        <v/>
      </c>
      <c r="X240" s="38" t="str">
        <f t="shared" si="30"/>
        <v/>
      </c>
      <c r="Y240" s="38" t="str">
        <f>IF(AND(A240="Аппарат",C240&lt;&gt;"",OR($S$5="(все)",B240=$S$5)),MAX($Y$3:Y239)+1,"")</f>
        <v/>
      </c>
      <c r="Z240" s="38" t="str">
        <f t="shared" si="31"/>
        <v/>
      </c>
      <c r="AA240" s="38" t="str">
        <f>IF(AND(A240="Модуль",C240&lt;&gt;"",OR($S$6="(все)",B240=$S$6)),MAX($AA$3:AA239)+1,"")</f>
        <v/>
      </c>
      <c r="AB240" s="38" t="str">
        <f t="shared" si="32"/>
        <v/>
      </c>
      <c r="AC240" s="38" t="str">
        <f>IF(OR(B240="",COUNTIF($B$4:B240,B240)&gt;1),"",MAX($AC$3:AC239)+1)</f>
        <v/>
      </c>
      <c r="AD240" s="38" t="str">
        <f t="shared" si="33"/>
        <v/>
      </c>
      <c r="AE240" s="38" t="str">
        <f t="shared" si="34"/>
        <v/>
      </c>
      <c r="AF240" s="38" t="str">
        <f t="shared" si="35"/>
        <v/>
      </c>
    </row>
    <row r="241" spans="1:32" x14ac:dyDescent="0.3">
      <c r="A241" s="74"/>
      <c r="B241" s="74"/>
      <c r="C241" s="74"/>
      <c r="D241" s="74"/>
      <c r="E241" s="74"/>
      <c r="F241" s="74"/>
      <c r="G241" s="74"/>
      <c r="H241" s="74"/>
      <c r="I241" s="74"/>
      <c r="J241" s="74"/>
      <c r="K241" s="74"/>
      <c r="L241" s="74"/>
      <c r="M241" s="74"/>
      <c r="N241" s="38" t="str">
        <f>IF(OR(A241="Автомат",A241="Дифавтомат"),IF(W241="","",COUNTIFS(Однолинейка!$H$3:$H$3000,U241,Однолинейка!$A$3:$A$3000,Щит_спец)),IF(A241="Аппарат",IF(C241="","",COUNTIFS(Однолинейка!$I$3:$I$3000,C241,Однолинейка!$A$3:$A$3000,Щит_спец)+COUNTIFS(Однолинейка!$J$3:$J$3000,C241,Однолинейка!$A$3:$A$3000,Щит_спец)+COUNTIFS(Однолинейка!$K$3:$K$3000,C241,Однолинейка!$A$3:$A$3000,Щит_спец)),IF(A241="Модуль",IF(C241="","",COUNTIFS(Однолинейка!$AW$3:$AW$3000,"?*",Однолинейка!$AI$3:$AI$3000,C241,Однолинейка!$A$3:$A$3000,Щит_спец)),IF(A241="Клемма",IF(C241="","",IF(C241=$S$7,SUMIFS(Однолинейка!$BW$3:$BW$3000,Однолинейка!$A$3:$A$3000,Щит_спец),IF(C241=$S$8,SUMIFS(Однолинейка!$BX$3:$BX$3000,Однолинейка!$A$3:$A$3000,Щит_спец),""))),""))))</f>
        <v/>
      </c>
      <c r="O241" s="74"/>
      <c r="P241" s="38" t="str">
        <f t="shared" si="27"/>
        <v/>
      </c>
      <c r="U241" s="38" t="str">
        <f t="shared" si="28"/>
        <v/>
      </c>
      <c r="V241" s="38" t="str">
        <f t="shared" si="29"/>
        <v/>
      </c>
      <c r="W241" s="38" t="str">
        <f>IF(AND(U241&lt;&gt;"",OR($S$4="(все)",B241=$S$4),IF($S$4="(все)",COUNTIF($U$4:U241,U241),COUNTIFS($U$4:U241,U241,$B$4:B241,B241))=1),MAX($W$3:W240)+1,"")</f>
        <v/>
      </c>
      <c r="X241" s="38" t="str">
        <f t="shared" si="30"/>
        <v/>
      </c>
      <c r="Y241" s="38" t="str">
        <f>IF(AND(A241="Аппарат",C241&lt;&gt;"",OR($S$5="(все)",B241=$S$5)),MAX($Y$3:Y240)+1,"")</f>
        <v/>
      </c>
      <c r="Z241" s="38" t="str">
        <f t="shared" si="31"/>
        <v/>
      </c>
      <c r="AA241" s="38" t="str">
        <f>IF(AND(A241="Модуль",C241&lt;&gt;"",OR($S$6="(все)",B241=$S$6)),MAX($AA$3:AA240)+1,"")</f>
        <v/>
      </c>
      <c r="AB241" s="38" t="str">
        <f t="shared" si="32"/>
        <v/>
      </c>
      <c r="AC241" s="38" t="str">
        <f>IF(OR(B241="",COUNTIF($B$4:B241,B241)&gt;1),"",MAX($AC$3:AC240)+1)</f>
        <v/>
      </c>
      <c r="AD241" s="38" t="str">
        <f t="shared" si="33"/>
        <v/>
      </c>
      <c r="AE241" s="38" t="str">
        <f t="shared" si="34"/>
        <v/>
      </c>
      <c r="AF241" s="38" t="str">
        <f t="shared" si="35"/>
        <v/>
      </c>
    </row>
    <row r="242" spans="1:32" x14ac:dyDescent="0.3">
      <c r="A242" s="74"/>
      <c r="B242" s="74"/>
      <c r="C242" s="74"/>
      <c r="D242" s="74"/>
      <c r="E242" s="74"/>
      <c r="F242" s="74"/>
      <c r="G242" s="74"/>
      <c r="H242" s="74"/>
      <c r="I242" s="74"/>
      <c r="J242" s="74"/>
      <c r="K242" s="74"/>
      <c r="L242" s="74"/>
      <c r="M242" s="74"/>
      <c r="N242" s="38" t="str">
        <f>IF(OR(A242="Автомат",A242="Дифавтомат"),IF(W242="","",COUNTIFS(Однолинейка!$H$3:$H$3000,U242,Однолинейка!$A$3:$A$3000,Щит_спец)),IF(A242="Аппарат",IF(C242="","",COUNTIFS(Однолинейка!$I$3:$I$3000,C242,Однолинейка!$A$3:$A$3000,Щит_спец)+COUNTIFS(Однолинейка!$J$3:$J$3000,C242,Однолинейка!$A$3:$A$3000,Щит_спец)+COUNTIFS(Однолинейка!$K$3:$K$3000,C242,Однолинейка!$A$3:$A$3000,Щит_спец)),IF(A242="Модуль",IF(C242="","",COUNTIFS(Однолинейка!$AW$3:$AW$3000,"?*",Однолинейка!$AI$3:$AI$3000,C242,Однолинейка!$A$3:$A$3000,Щит_спец)),IF(A242="Клемма",IF(C242="","",IF(C242=$S$7,SUMIFS(Однолинейка!$BW$3:$BW$3000,Однолинейка!$A$3:$A$3000,Щит_спец),IF(C242=$S$8,SUMIFS(Однолинейка!$BX$3:$BX$3000,Однолинейка!$A$3:$A$3000,Щит_спец),""))),""))))</f>
        <v/>
      </c>
      <c r="O242" s="74"/>
      <c r="P242" s="38" t="str">
        <f t="shared" si="27"/>
        <v/>
      </c>
      <c r="U242" s="38" t="str">
        <f t="shared" si="28"/>
        <v/>
      </c>
      <c r="V242" s="38" t="str">
        <f t="shared" si="29"/>
        <v/>
      </c>
      <c r="W242" s="38" t="str">
        <f>IF(AND(U242&lt;&gt;"",OR($S$4="(все)",B242=$S$4),IF($S$4="(все)",COUNTIF($U$4:U242,U242),COUNTIFS($U$4:U242,U242,$B$4:B242,B242))=1),MAX($W$3:W241)+1,"")</f>
        <v/>
      </c>
      <c r="X242" s="38" t="str">
        <f t="shared" si="30"/>
        <v/>
      </c>
      <c r="Y242" s="38" t="str">
        <f>IF(AND(A242="Аппарат",C242&lt;&gt;"",OR($S$5="(все)",B242=$S$5)),MAX($Y$3:Y241)+1,"")</f>
        <v/>
      </c>
      <c r="Z242" s="38" t="str">
        <f t="shared" si="31"/>
        <v/>
      </c>
      <c r="AA242" s="38" t="str">
        <f>IF(AND(A242="Модуль",C242&lt;&gt;"",OR($S$6="(все)",B242=$S$6)),MAX($AA$3:AA241)+1,"")</f>
        <v/>
      </c>
      <c r="AB242" s="38" t="str">
        <f t="shared" si="32"/>
        <v/>
      </c>
      <c r="AC242" s="38" t="str">
        <f>IF(OR(B242="",COUNTIF($B$4:B242,B242)&gt;1),"",MAX($AC$3:AC241)+1)</f>
        <v/>
      </c>
      <c r="AD242" s="38" t="str">
        <f t="shared" si="33"/>
        <v/>
      </c>
      <c r="AE242" s="38" t="str">
        <f t="shared" si="34"/>
        <v/>
      </c>
      <c r="AF242" s="38" t="str">
        <f t="shared" si="35"/>
        <v/>
      </c>
    </row>
    <row r="243" spans="1:32" x14ac:dyDescent="0.3">
      <c r="A243" s="74"/>
      <c r="B243" s="74"/>
      <c r="C243" s="74"/>
      <c r="D243" s="74"/>
      <c r="E243" s="74"/>
      <c r="F243" s="74"/>
      <c r="G243" s="74"/>
      <c r="H243" s="74"/>
      <c r="I243" s="74"/>
      <c r="J243" s="74"/>
      <c r="K243" s="74"/>
      <c r="L243" s="74"/>
      <c r="M243" s="74"/>
      <c r="N243" s="38" t="str">
        <f>IF(OR(A243="Автомат",A243="Дифавтомат"),IF(W243="","",COUNTIFS(Однолинейка!$H$3:$H$3000,U243,Однолинейка!$A$3:$A$3000,Щит_спец)),IF(A243="Аппарат",IF(C243="","",COUNTIFS(Однолинейка!$I$3:$I$3000,C243,Однолинейка!$A$3:$A$3000,Щит_спец)+COUNTIFS(Однолинейка!$J$3:$J$3000,C243,Однолинейка!$A$3:$A$3000,Щит_спец)+COUNTIFS(Однолинейка!$K$3:$K$3000,C243,Однолинейка!$A$3:$A$3000,Щит_спец)),IF(A243="Модуль",IF(C243="","",COUNTIFS(Однолинейка!$AW$3:$AW$3000,"?*",Однолинейка!$AI$3:$AI$3000,C243,Однолинейка!$A$3:$A$3000,Щит_спец)),IF(A243="Клемма",IF(C243="","",IF(C243=$S$7,SUMIFS(Однолинейка!$BW$3:$BW$3000,Однолинейка!$A$3:$A$3000,Щит_спец),IF(C243=$S$8,SUMIFS(Однолинейка!$BX$3:$BX$3000,Однолинейка!$A$3:$A$3000,Щит_спец),""))),""))))</f>
        <v/>
      </c>
      <c r="O243" s="74"/>
      <c r="P243" s="38" t="str">
        <f t="shared" si="27"/>
        <v/>
      </c>
      <c r="U243" s="38" t="str">
        <f t="shared" si="28"/>
        <v/>
      </c>
      <c r="V243" s="38" t="str">
        <f t="shared" si="29"/>
        <v/>
      </c>
      <c r="W243" s="38" t="str">
        <f>IF(AND(U243&lt;&gt;"",OR($S$4="(все)",B243=$S$4),IF($S$4="(все)",COUNTIF($U$4:U243,U243),COUNTIFS($U$4:U243,U243,$B$4:B243,B243))=1),MAX($W$3:W242)+1,"")</f>
        <v/>
      </c>
      <c r="X243" s="38" t="str">
        <f t="shared" si="30"/>
        <v/>
      </c>
      <c r="Y243" s="38" t="str">
        <f>IF(AND(A243="Аппарат",C243&lt;&gt;"",OR($S$5="(все)",B243=$S$5)),MAX($Y$3:Y242)+1,"")</f>
        <v/>
      </c>
      <c r="Z243" s="38" t="str">
        <f t="shared" si="31"/>
        <v/>
      </c>
      <c r="AA243" s="38" t="str">
        <f>IF(AND(A243="Модуль",C243&lt;&gt;"",OR($S$6="(все)",B243=$S$6)),MAX($AA$3:AA242)+1,"")</f>
        <v/>
      </c>
      <c r="AB243" s="38" t="str">
        <f t="shared" si="32"/>
        <v/>
      </c>
      <c r="AC243" s="38" t="str">
        <f>IF(OR(B243="",COUNTIF($B$4:B243,B243)&gt;1),"",MAX($AC$3:AC242)+1)</f>
        <v/>
      </c>
      <c r="AD243" s="38" t="str">
        <f t="shared" si="33"/>
        <v/>
      </c>
      <c r="AE243" s="38" t="str">
        <f t="shared" si="34"/>
        <v/>
      </c>
      <c r="AF243" s="38" t="str">
        <f t="shared" si="35"/>
        <v/>
      </c>
    </row>
    <row r="244" spans="1:32" x14ac:dyDescent="0.3">
      <c r="A244" s="74"/>
      <c r="B244" s="74"/>
      <c r="C244" s="74"/>
      <c r="D244" s="74"/>
      <c r="E244" s="74"/>
      <c r="F244" s="74"/>
      <c r="G244" s="74"/>
      <c r="H244" s="74"/>
      <c r="I244" s="74"/>
      <c r="J244" s="74"/>
      <c r="K244" s="74"/>
      <c r="L244" s="74"/>
      <c r="M244" s="74"/>
      <c r="N244" s="38" t="str">
        <f>IF(OR(A244="Автомат",A244="Дифавтомат"),IF(W244="","",COUNTIFS(Однолинейка!$H$3:$H$3000,U244,Однолинейка!$A$3:$A$3000,Щит_спец)),IF(A244="Аппарат",IF(C244="","",COUNTIFS(Однолинейка!$I$3:$I$3000,C244,Однолинейка!$A$3:$A$3000,Щит_спец)+COUNTIFS(Однолинейка!$J$3:$J$3000,C244,Однолинейка!$A$3:$A$3000,Щит_спец)+COUNTIFS(Однолинейка!$K$3:$K$3000,C244,Однолинейка!$A$3:$A$3000,Щит_спец)),IF(A244="Модуль",IF(C244="","",COUNTIFS(Однолинейка!$AW$3:$AW$3000,"?*",Однолинейка!$AI$3:$AI$3000,C244,Однолинейка!$A$3:$A$3000,Щит_спец)),IF(A244="Клемма",IF(C244="","",IF(C244=$S$7,SUMIFS(Однолинейка!$BW$3:$BW$3000,Однолинейка!$A$3:$A$3000,Щит_спец),IF(C244=$S$8,SUMIFS(Однолинейка!$BX$3:$BX$3000,Однолинейка!$A$3:$A$3000,Щит_спец),""))),""))))</f>
        <v/>
      </c>
      <c r="O244" s="74"/>
      <c r="P244" s="38" t="str">
        <f t="shared" si="27"/>
        <v/>
      </c>
      <c r="U244" s="38" t="str">
        <f t="shared" si="28"/>
        <v/>
      </c>
      <c r="V244" s="38" t="str">
        <f t="shared" si="29"/>
        <v/>
      </c>
      <c r="W244" s="38" t="str">
        <f>IF(AND(U244&lt;&gt;"",OR($S$4="(все)",B244=$S$4),IF($S$4="(все)",COUNTIF($U$4:U244,U244),COUNTIFS($U$4:U244,U244,$B$4:B244,B244))=1),MAX($W$3:W243)+1,"")</f>
        <v/>
      </c>
      <c r="X244" s="38" t="str">
        <f t="shared" si="30"/>
        <v/>
      </c>
      <c r="Y244" s="38" t="str">
        <f>IF(AND(A244="Аппарат",C244&lt;&gt;"",OR($S$5="(все)",B244=$S$5)),MAX($Y$3:Y243)+1,"")</f>
        <v/>
      </c>
      <c r="Z244" s="38" t="str">
        <f t="shared" si="31"/>
        <v/>
      </c>
      <c r="AA244" s="38" t="str">
        <f>IF(AND(A244="Модуль",C244&lt;&gt;"",OR($S$6="(все)",B244=$S$6)),MAX($AA$3:AA243)+1,"")</f>
        <v/>
      </c>
      <c r="AB244" s="38" t="str">
        <f t="shared" si="32"/>
        <v/>
      </c>
      <c r="AC244" s="38" t="str">
        <f>IF(OR(B244="",COUNTIF($B$4:B244,B244)&gt;1),"",MAX($AC$3:AC243)+1)</f>
        <v/>
      </c>
      <c r="AD244" s="38" t="str">
        <f t="shared" si="33"/>
        <v/>
      </c>
      <c r="AE244" s="38" t="str">
        <f t="shared" si="34"/>
        <v/>
      </c>
      <c r="AF244" s="38" t="str">
        <f t="shared" si="35"/>
        <v/>
      </c>
    </row>
    <row r="245" spans="1:32" x14ac:dyDescent="0.3">
      <c r="A245" s="74"/>
      <c r="B245" s="74"/>
      <c r="C245" s="74"/>
      <c r="D245" s="74"/>
      <c r="E245" s="74"/>
      <c r="F245" s="74"/>
      <c r="G245" s="74"/>
      <c r="H245" s="74"/>
      <c r="I245" s="74"/>
      <c r="J245" s="74"/>
      <c r="K245" s="74"/>
      <c r="L245" s="74"/>
      <c r="M245" s="74"/>
      <c r="N245" s="38" t="str">
        <f>IF(OR(A245="Автомат",A245="Дифавтомат"),IF(W245="","",COUNTIFS(Однолинейка!$H$3:$H$3000,U245,Однолинейка!$A$3:$A$3000,Щит_спец)),IF(A245="Аппарат",IF(C245="","",COUNTIFS(Однолинейка!$I$3:$I$3000,C245,Однолинейка!$A$3:$A$3000,Щит_спец)+COUNTIFS(Однолинейка!$J$3:$J$3000,C245,Однолинейка!$A$3:$A$3000,Щит_спец)+COUNTIFS(Однолинейка!$K$3:$K$3000,C245,Однолинейка!$A$3:$A$3000,Щит_спец)),IF(A245="Модуль",IF(C245="","",COUNTIFS(Однолинейка!$AW$3:$AW$3000,"?*",Однолинейка!$AI$3:$AI$3000,C245,Однолинейка!$A$3:$A$3000,Щит_спец)),IF(A245="Клемма",IF(C245="","",IF(C245=$S$7,SUMIFS(Однолинейка!$BW$3:$BW$3000,Однолинейка!$A$3:$A$3000,Щит_спец),IF(C245=$S$8,SUMIFS(Однолинейка!$BX$3:$BX$3000,Однолинейка!$A$3:$A$3000,Щит_спец),""))),""))))</f>
        <v/>
      </c>
      <c r="O245" s="74"/>
      <c r="P245" s="38" t="str">
        <f t="shared" si="27"/>
        <v/>
      </c>
      <c r="U245" s="38" t="str">
        <f t="shared" si="28"/>
        <v/>
      </c>
      <c r="V245" s="38" t="str">
        <f t="shared" si="29"/>
        <v/>
      </c>
      <c r="W245" s="38" t="str">
        <f>IF(AND(U245&lt;&gt;"",OR($S$4="(все)",B245=$S$4),IF($S$4="(все)",COUNTIF($U$4:U245,U245),COUNTIFS($U$4:U245,U245,$B$4:B245,B245))=1),MAX($W$3:W244)+1,"")</f>
        <v/>
      </c>
      <c r="X245" s="38" t="str">
        <f t="shared" si="30"/>
        <v/>
      </c>
      <c r="Y245" s="38" t="str">
        <f>IF(AND(A245="Аппарат",C245&lt;&gt;"",OR($S$5="(все)",B245=$S$5)),MAX($Y$3:Y244)+1,"")</f>
        <v/>
      </c>
      <c r="Z245" s="38" t="str">
        <f t="shared" si="31"/>
        <v/>
      </c>
      <c r="AA245" s="38" t="str">
        <f>IF(AND(A245="Модуль",C245&lt;&gt;"",OR($S$6="(все)",B245=$S$6)),MAX($AA$3:AA244)+1,"")</f>
        <v/>
      </c>
      <c r="AB245" s="38" t="str">
        <f t="shared" si="32"/>
        <v/>
      </c>
      <c r="AC245" s="38" t="str">
        <f>IF(OR(B245="",COUNTIF($B$4:B245,B245)&gt;1),"",MAX($AC$3:AC244)+1)</f>
        <v/>
      </c>
      <c r="AD245" s="38" t="str">
        <f t="shared" si="33"/>
        <v/>
      </c>
      <c r="AE245" s="38" t="str">
        <f t="shared" si="34"/>
        <v/>
      </c>
      <c r="AF245" s="38" t="str">
        <f t="shared" si="35"/>
        <v/>
      </c>
    </row>
    <row r="246" spans="1:32" x14ac:dyDescent="0.3">
      <c r="A246" s="74"/>
      <c r="B246" s="74"/>
      <c r="C246" s="74"/>
      <c r="D246" s="74"/>
      <c r="E246" s="74"/>
      <c r="F246" s="74"/>
      <c r="G246" s="74"/>
      <c r="H246" s="74"/>
      <c r="I246" s="74"/>
      <c r="J246" s="74"/>
      <c r="K246" s="74"/>
      <c r="L246" s="74"/>
      <c r="M246" s="74"/>
      <c r="N246" s="38" t="str">
        <f>IF(OR(A246="Автомат",A246="Дифавтомат"),IF(W246="","",COUNTIFS(Однолинейка!$H$3:$H$3000,U246,Однолинейка!$A$3:$A$3000,Щит_спец)),IF(A246="Аппарат",IF(C246="","",COUNTIFS(Однолинейка!$I$3:$I$3000,C246,Однолинейка!$A$3:$A$3000,Щит_спец)+COUNTIFS(Однолинейка!$J$3:$J$3000,C246,Однолинейка!$A$3:$A$3000,Щит_спец)+COUNTIFS(Однолинейка!$K$3:$K$3000,C246,Однолинейка!$A$3:$A$3000,Щит_спец)),IF(A246="Модуль",IF(C246="","",COUNTIFS(Однолинейка!$AW$3:$AW$3000,"?*",Однолинейка!$AI$3:$AI$3000,C246,Однолинейка!$A$3:$A$3000,Щит_спец)),IF(A246="Клемма",IF(C246="","",IF(C246=$S$7,SUMIFS(Однолинейка!$BW$3:$BW$3000,Однолинейка!$A$3:$A$3000,Щит_спец),IF(C246=$S$8,SUMIFS(Однолинейка!$BX$3:$BX$3000,Однолинейка!$A$3:$A$3000,Щит_спец),""))),""))))</f>
        <v/>
      </c>
      <c r="O246" s="74"/>
      <c r="P246" s="38" t="str">
        <f t="shared" si="27"/>
        <v/>
      </c>
      <c r="U246" s="38" t="str">
        <f t="shared" si="28"/>
        <v/>
      </c>
      <c r="V246" s="38" t="str">
        <f t="shared" si="29"/>
        <v/>
      </c>
      <c r="W246" s="38" t="str">
        <f>IF(AND(U246&lt;&gt;"",OR($S$4="(все)",B246=$S$4),IF($S$4="(все)",COUNTIF($U$4:U246,U246),COUNTIFS($U$4:U246,U246,$B$4:B246,B246))=1),MAX($W$3:W245)+1,"")</f>
        <v/>
      </c>
      <c r="X246" s="38" t="str">
        <f t="shared" si="30"/>
        <v/>
      </c>
      <c r="Y246" s="38" t="str">
        <f>IF(AND(A246="Аппарат",C246&lt;&gt;"",OR($S$5="(все)",B246=$S$5)),MAX($Y$3:Y245)+1,"")</f>
        <v/>
      </c>
      <c r="Z246" s="38" t="str">
        <f t="shared" si="31"/>
        <v/>
      </c>
      <c r="AA246" s="38" t="str">
        <f>IF(AND(A246="Модуль",C246&lt;&gt;"",OR($S$6="(все)",B246=$S$6)),MAX($AA$3:AA245)+1,"")</f>
        <v/>
      </c>
      <c r="AB246" s="38" t="str">
        <f t="shared" si="32"/>
        <v/>
      </c>
      <c r="AC246" s="38" t="str">
        <f>IF(OR(B246="",COUNTIF($B$4:B246,B246)&gt;1),"",MAX($AC$3:AC245)+1)</f>
        <v/>
      </c>
      <c r="AD246" s="38" t="str">
        <f t="shared" si="33"/>
        <v/>
      </c>
      <c r="AE246" s="38" t="str">
        <f t="shared" si="34"/>
        <v/>
      </c>
      <c r="AF246" s="38" t="str">
        <f t="shared" si="35"/>
        <v/>
      </c>
    </row>
    <row r="247" spans="1:32" x14ac:dyDescent="0.3">
      <c r="A247" s="74"/>
      <c r="B247" s="74"/>
      <c r="C247" s="74"/>
      <c r="D247" s="74"/>
      <c r="E247" s="74"/>
      <c r="F247" s="74"/>
      <c r="G247" s="74"/>
      <c r="H247" s="74"/>
      <c r="I247" s="74"/>
      <c r="J247" s="74"/>
      <c r="K247" s="74"/>
      <c r="L247" s="74"/>
      <c r="M247" s="74"/>
      <c r="N247" s="38" t="str">
        <f>IF(OR(A247="Автомат",A247="Дифавтомат"),IF(W247="","",COUNTIFS(Однолинейка!$H$3:$H$3000,U247,Однолинейка!$A$3:$A$3000,Щит_спец)),IF(A247="Аппарат",IF(C247="","",COUNTIFS(Однолинейка!$I$3:$I$3000,C247,Однолинейка!$A$3:$A$3000,Щит_спец)+COUNTIFS(Однолинейка!$J$3:$J$3000,C247,Однолинейка!$A$3:$A$3000,Щит_спец)+COUNTIFS(Однолинейка!$K$3:$K$3000,C247,Однолинейка!$A$3:$A$3000,Щит_спец)),IF(A247="Модуль",IF(C247="","",COUNTIFS(Однолинейка!$AW$3:$AW$3000,"?*",Однолинейка!$AI$3:$AI$3000,C247,Однолинейка!$A$3:$A$3000,Щит_спец)),IF(A247="Клемма",IF(C247="","",IF(C247=$S$7,SUMIFS(Однолинейка!$BW$3:$BW$3000,Однолинейка!$A$3:$A$3000,Щит_спец),IF(C247=$S$8,SUMIFS(Однолинейка!$BX$3:$BX$3000,Однолинейка!$A$3:$A$3000,Щит_спец),""))),""))))</f>
        <v/>
      </c>
      <c r="O247" s="74"/>
      <c r="P247" s="38" t="str">
        <f t="shared" si="27"/>
        <v/>
      </c>
      <c r="U247" s="38" t="str">
        <f t="shared" si="28"/>
        <v/>
      </c>
      <c r="V247" s="38" t="str">
        <f t="shared" si="29"/>
        <v/>
      </c>
      <c r="W247" s="38" t="str">
        <f>IF(AND(U247&lt;&gt;"",OR($S$4="(все)",B247=$S$4),IF($S$4="(все)",COUNTIF($U$4:U247,U247),COUNTIFS($U$4:U247,U247,$B$4:B247,B247))=1),MAX($W$3:W246)+1,"")</f>
        <v/>
      </c>
      <c r="X247" s="38" t="str">
        <f t="shared" si="30"/>
        <v/>
      </c>
      <c r="Y247" s="38" t="str">
        <f>IF(AND(A247="Аппарат",C247&lt;&gt;"",OR($S$5="(все)",B247=$S$5)),MAX($Y$3:Y246)+1,"")</f>
        <v/>
      </c>
      <c r="Z247" s="38" t="str">
        <f t="shared" si="31"/>
        <v/>
      </c>
      <c r="AA247" s="38" t="str">
        <f>IF(AND(A247="Модуль",C247&lt;&gt;"",OR($S$6="(все)",B247=$S$6)),MAX($AA$3:AA246)+1,"")</f>
        <v/>
      </c>
      <c r="AB247" s="38" t="str">
        <f t="shared" si="32"/>
        <v/>
      </c>
      <c r="AC247" s="38" t="str">
        <f>IF(OR(B247="",COUNTIF($B$4:B247,B247)&gt;1),"",MAX($AC$3:AC246)+1)</f>
        <v/>
      </c>
      <c r="AD247" s="38" t="str">
        <f t="shared" si="33"/>
        <v/>
      </c>
      <c r="AE247" s="38" t="str">
        <f t="shared" si="34"/>
        <v/>
      </c>
      <c r="AF247" s="38" t="str">
        <f t="shared" si="35"/>
        <v/>
      </c>
    </row>
    <row r="248" spans="1:32" x14ac:dyDescent="0.3">
      <c r="A248" s="74"/>
      <c r="B248" s="74"/>
      <c r="C248" s="74"/>
      <c r="D248" s="74"/>
      <c r="E248" s="74"/>
      <c r="F248" s="74"/>
      <c r="G248" s="74"/>
      <c r="H248" s="74"/>
      <c r="I248" s="74"/>
      <c r="J248" s="74"/>
      <c r="K248" s="74"/>
      <c r="L248" s="74"/>
      <c r="M248" s="74"/>
      <c r="N248" s="38" t="str">
        <f>IF(OR(A248="Автомат",A248="Дифавтомат"),IF(W248="","",COUNTIFS(Однолинейка!$H$3:$H$3000,U248,Однолинейка!$A$3:$A$3000,Щит_спец)),IF(A248="Аппарат",IF(C248="","",COUNTIFS(Однолинейка!$I$3:$I$3000,C248,Однолинейка!$A$3:$A$3000,Щит_спец)+COUNTIFS(Однолинейка!$J$3:$J$3000,C248,Однолинейка!$A$3:$A$3000,Щит_спец)+COUNTIFS(Однолинейка!$K$3:$K$3000,C248,Однолинейка!$A$3:$A$3000,Щит_спец)),IF(A248="Модуль",IF(C248="","",COUNTIFS(Однолинейка!$AW$3:$AW$3000,"?*",Однолинейка!$AI$3:$AI$3000,C248,Однолинейка!$A$3:$A$3000,Щит_спец)),IF(A248="Клемма",IF(C248="","",IF(C248=$S$7,SUMIFS(Однолинейка!$BW$3:$BW$3000,Однолинейка!$A$3:$A$3000,Щит_спец),IF(C248=$S$8,SUMIFS(Однолинейка!$BX$3:$BX$3000,Однолинейка!$A$3:$A$3000,Щит_спец),""))),""))))</f>
        <v/>
      </c>
      <c r="O248" s="74"/>
      <c r="P248" s="38" t="str">
        <f t="shared" si="27"/>
        <v/>
      </c>
      <c r="U248" s="38" t="str">
        <f t="shared" si="28"/>
        <v/>
      </c>
      <c r="V248" s="38" t="str">
        <f t="shared" si="29"/>
        <v/>
      </c>
      <c r="W248" s="38" t="str">
        <f>IF(AND(U248&lt;&gt;"",OR($S$4="(все)",B248=$S$4),IF($S$4="(все)",COUNTIF($U$4:U248,U248),COUNTIFS($U$4:U248,U248,$B$4:B248,B248))=1),MAX($W$3:W247)+1,"")</f>
        <v/>
      </c>
      <c r="X248" s="38" t="str">
        <f t="shared" si="30"/>
        <v/>
      </c>
      <c r="Y248" s="38" t="str">
        <f>IF(AND(A248="Аппарат",C248&lt;&gt;"",OR($S$5="(все)",B248=$S$5)),MAX($Y$3:Y247)+1,"")</f>
        <v/>
      </c>
      <c r="Z248" s="38" t="str">
        <f t="shared" si="31"/>
        <v/>
      </c>
      <c r="AA248" s="38" t="str">
        <f>IF(AND(A248="Модуль",C248&lt;&gt;"",OR($S$6="(все)",B248=$S$6)),MAX($AA$3:AA247)+1,"")</f>
        <v/>
      </c>
      <c r="AB248" s="38" t="str">
        <f t="shared" si="32"/>
        <v/>
      </c>
      <c r="AC248" s="38" t="str">
        <f>IF(OR(B248="",COUNTIF($B$4:B248,B248)&gt;1),"",MAX($AC$3:AC247)+1)</f>
        <v/>
      </c>
      <c r="AD248" s="38" t="str">
        <f t="shared" si="33"/>
        <v/>
      </c>
      <c r="AE248" s="38" t="str">
        <f t="shared" si="34"/>
        <v/>
      </c>
      <c r="AF248" s="38" t="str">
        <f t="shared" si="35"/>
        <v/>
      </c>
    </row>
    <row r="249" spans="1:32" x14ac:dyDescent="0.3">
      <c r="A249" s="74"/>
      <c r="B249" s="74"/>
      <c r="C249" s="74"/>
      <c r="D249" s="74"/>
      <c r="E249" s="74"/>
      <c r="F249" s="74"/>
      <c r="G249" s="74"/>
      <c r="H249" s="74"/>
      <c r="I249" s="74"/>
      <c r="J249" s="74"/>
      <c r="K249" s="74"/>
      <c r="L249" s="74"/>
      <c r="M249" s="74"/>
      <c r="N249" s="38" t="str">
        <f>IF(OR(A249="Автомат",A249="Дифавтомат"),IF(W249="","",COUNTIFS(Однолинейка!$H$3:$H$3000,U249,Однолинейка!$A$3:$A$3000,Щит_спец)),IF(A249="Аппарат",IF(C249="","",COUNTIFS(Однолинейка!$I$3:$I$3000,C249,Однолинейка!$A$3:$A$3000,Щит_спец)+COUNTIFS(Однолинейка!$J$3:$J$3000,C249,Однолинейка!$A$3:$A$3000,Щит_спец)+COUNTIFS(Однолинейка!$K$3:$K$3000,C249,Однолинейка!$A$3:$A$3000,Щит_спец)),IF(A249="Модуль",IF(C249="","",COUNTIFS(Однолинейка!$AW$3:$AW$3000,"?*",Однолинейка!$AI$3:$AI$3000,C249,Однолинейка!$A$3:$A$3000,Щит_спец)),IF(A249="Клемма",IF(C249="","",IF(C249=$S$7,SUMIFS(Однолинейка!$BW$3:$BW$3000,Однолинейка!$A$3:$A$3000,Щит_спец),IF(C249=$S$8,SUMIFS(Однолинейка!$BX$3:$BX$3000,Однолинейка!$A$3:$A$3000,Щит_спец),""))),""))))</f>
        <v/>
      </c>
      <c r="O249" s="74"/>
      <c r="P249" s="38" t="str">
        <f t="shared" si="27"/>
        <v/>
      </c>
      <c r="U249" s="38" t="str">
        <f t="shared" si="28"/>
        <v/>
      </c>
      <c r="V249" s="38" t="str">
        <f t="shared" si="29"/>
        <v/>
      </c>
      <c r="W249" s="38" t="str">
        <f>IF(AND(U249&lt;&gt;"",OR($S$4="(все)",B249=$S$4),IF($S$4="(все)",COUNTIF($U$4:U249,U249),COUNTIFS($U$4:U249,U249,$B$4:B249,B249))=1),MAX($W$3:W248)+1,"")</f>
        <v/>
      </c>
      <c r="X249" s="38" t="str">
        <f t="shared" si="30"/>
        <v/>
      </c>
      <c r="Y249" s="38" t="str">
        <f>IF(AND(A249="Аппарат",C249&lt;&gt;"",OR($S$5="(все)",B249=$S$5)),MAX($Y$3:Y248)+1,"")</f>
        <v/>
      </c>
      <c r="Z249" s="38" t="str">
        <f t="shared" si="31"/>
        <v/>
      </c>
      <c r="AA249" s="38" t="str">
        <f>IF(AND(A249="Модуль",C249&lt;&gt;"",OR($S$6="(все)",B249=$S$6)),MAX($AA$3:AA248)+1,"")</f>
        <v/>
      </c>
      <c r="AB249" s="38" t="str">
        <f t="shared" si="32"/>
        <v/>
      </c>
      <c r="AC249" s="38" t="str">
        <f>IF(OR(B249="",COUNTIF($B$4:B249,B249)&gt;1),"",MAX($AC$3:AC248)+1)</f>
        <v/>
      </c>
      <c r="AD249" s="38" t="str">
        <f t="shared" si="33"/>
        <v/>
      </c>
      <c r="AE249" s="38" t="str">
        <f t="shared" si="34"/>
        <v/>
      </c>
      <c r="AF249" s="38" t="str">
        <f t="shared" si="35"/>
        <v/>
      </c>
    </row>
    <row r="250" spans="1:32" x14ac:dyDescent="0.3">
      <c r="A250" s="74"/>
      <c r="B250" s="74"/>
      <c r="C250" s="74"/>
      <c r="D250" s="74"/>
      <c r="E250" s="74"/>
      <c r="F250" s="74"/>
      <c r="G250" s="74"/>
      <c r="H250" s="74"/>
      <c r="I250" s="74"/>
      <c r="J250" s="74"/>
      <c r="K250" s="74"/>
      <c r="L250" s="74"/>
      <c r="M250" s="74"/>
      <c r="N250" s="38" t="str">
        <f>IF(OR(A250="Автомат",A250="Дифавтомат"),IF(W250="","",COUNTIFS(Однолинейка!$H$3:$H$3000,U250,Однолинейка!$A$3:$A$3000,Щит_спец)),IF(A250="Аппарат",IF(C250="","",COUNTIFS(Однолинейка!$I$3:$I$3000,C250,Однолинейка!$A$3:$A$3000,Щит_спец)+COUNTIFS(Однолинейка!$J$3:$J$3000,C250,Однолинейка!$A$3:$A$3000,Щит_спец)+COUNTIFS(Однолинейка!$K$3:$K$3000,C250,Однолинейка!$A$3:$A$3000,Щит_спец)),IF(A250="Модуль",IF(C250="","",COUNTIFS(Однолинейка!$AW$3:$AW$3000,"?*",Однолинейка!$AI$3:$AI$3000,C250,Однолинейка!$A$3:$A$3000,Щит_спец)),IF(A250="Клемма",IF(C250="","",IF(C250=$S$7,SUMIFS(Однолинейка!$BW$3:$BW$3000,Однолинейка!$A$3:$A$3000,Щит_спец),IF(C250=$S$8,SUMIFS(Однолинейка!$BX$3:$BX$3000,Однолинейка!$A$3:$A$3000,Щит_спец),""))),""))))</f>
        <v/>
      </c>
      <c r="O250" s="74"/>
      <c r="P250" s="38" t="str">
        <f t="shared" si="27"/>
        <v/>
      </c>
      <c r="U250" s="38" t="str">
        <f t="shared" si="28"/>
        <v/>
      </c>
      <c r="V250" s="38" t="str">
        <f t="shared" si="29"/>
        <v/>
      </c>
      <c r="W250" s="38" t="str">
        <f>IF(AND(U250&lt;&gt;"",OR($S$4="(все)",B250=$S$4),IF($S$4="(все)",COUNTIF($U$4:U250,U250),COUNTIFS($U$4:U250,U250,$B$4:B250,B250))=1),MAX($W$3:W249)+1,"")</f>
        <v/>
      </c>
      <c r="X250" s="38" t="str">
        <f t="shared" si="30"/>
        <v/>
      </c>
      <c r="Y250" s="38" t="str">
        <f>IF(AND(A250="Аппарат",C250&lt;&gt;"",OR($S$5="(все)",B250=$S$5)),MAX($Y$3:Y249)+1,"")</f>
        <v/>
      </c>
      <c r="Z250" s="38" t="str">
        <f t="shared" si="31"/>
        <v/>
      </c>
      <c r="AA250" s="38" t="str">
        <f>IF(AND(A250="Модуль",C250&lt;&gt;"",OR($S$6="(все)",B250=$S$6)),MAX($AA$3:AA249)+1,"")</f>
        <v/>
      </c>
      <c r="AB250" s="38" t="str">
        <f t="shared" si="32"/>
        <v/>
      </c>
      <c r="AC250" s="38" t="str">
        <f>IF(OR(B250="",COUNTIF($B$4:B250,B250)&gt;1),"",MAX($AC$3:AC249)+1)</f>
        <v/>
      </c>
      <c r="AD250" s="38" t="str">
        <f t="shared" si="33"/>
        <v/>
      </c>
      <c r="AE250" s="38" t="str">
        <f t="shared" si="34"/>
        <v/>
      </c>
      <c r="AF250" s="38" t="str">
        <f t="shared" si="35"/>
        <v/>
      </c>
    </row>
    <row r="251" spans="1:32" x14ac:dyDescent="0.3">
      <c r="A251" s="74"/>
      <c r="B251" s="74"/>
      <c r="C251" s="74"/>
      <c r="D251" s="74"/>
      <c r="E251" s="74"/>
      <c r="F251" s="74"/>
      <c r="G251" s="74"/>
      <c r="H251" s="74"/>
      <c r="I251" s="74"/>
      <c r="J251" s="74"/>
      <c r="K251" s="74"/>
      <c r="L251" s="74"/>
      <c r="M251" s="74"/>
      <c r="N251" s="38" t="str">
        <f>IF(OR(A251="Автомат",A251="Дифавтомат"),IF(W251="","",COUNTIFS(Однолинейка!$H$3:$H$3000,U251,Однолинейка!$A$3:$A$3000,Щит_спец)),IF(A251="Аппарат",IF(C251="","",COUNTIFS(Однолинейка!$I$3:$I$3000,C251,Однолинейка!$A$3:$A$3000,Щит_спец)+COUNTIFS(Однолинейка!$J$3:$J$3000,C251,Однолинейка!$A$3:$A$3000,Щит_спец)+COUNTIFS(Однолинейка!$K$3:$K$3000,C251,Однолинейка!$A$3:$A$3000,Щит_спец)),IF(A251="Модуль",IF(C251="","",COUNTIFS(Однолинейка!$AW$3:$AW$3000,"?*",Однолинейка!$AI$3:$AI$3000,C251,Однолинейка!$A$3:$A$3000,Щит_спец)),IF(A251="Клемма",IF(C251="","",IF(C251=$S$7,SUMIFS(Однолинейка!$BW$3:$BW$3000,Однолинейка!$A$3:$A$3000,Щит_спец),IF(C251=$S$8,SUMIFS(Однолинейка!$BX$3:$BX$3000,Однолинейка!$A$3:$A$3000,Щит_спец),""))),""))))</f>
        <v/>
      </c>
      <c r="O251" s="74"/>
      <c r="P251" s="38" t="str">
        <f t="shared" si="27"/>
        <v/>
      </c>
      <c r="U251" s="38" t="str">
        <f t="shared" si="28"/>
        <v/>
      </c>
      <c r="V251" s="38" t="str">
        <f t="shared" si="29"/>
        <v/>
      </c>
      <c r="W251" s="38" t="str">
        <f>IF(AND(U251&lt;&gt;"",OR($S$4="(все)",B251=$S$4),IF($S$4="(все)",COUNTIF($U$4:U251,U251),COUNTIFS($U$4:U251,U251,$B$4:B251,B251))=1),MAX($W$3:W250)+1,"")</f>
        <v/>
      </c>
      <c r="X251" s="38" t="str">
        <f t="shared" si="30"/>
        <v/>
      </c>
      <c r="Y251" s="38" t="str">
        <f>IF(AND(A251="Аппарат",C251&lt;&gt;"",OR($S$5="(все)",B251=$S$5)),MAX($Y$3:Y250)+1,"")</f>
        <v/>
      </c>
      <c r="Z251" s="38" t="str">
        <f t="shared" si="31"/>
        <v/>
      </c>
      <c r="AA251" s="38" t="str">
        <f>IF(AND(A251="Модуль",C251&lt;&gt;"",OR($S$6="(все)",B251=$S$6)),MAX($AA$3:AA250)+1,"")</f>
        <v/>
      </c>
      <c r="AB251" s="38" t="str">
        <f t="shared" si="32"/>
        <v/>
      </c>
      <c r="AC251" s="38" t="str">
        <f>IF(OR(B251="",COUNTIF($B$4:B251,B251)&gt;1),"",MAX($AC$3:AC250)+1)</f>
        <v/>
      </c>
      <c r="AD251" s="38" t="str">
        <f t="shared" si="33"/>
        <v/>
      </c>
      <c r="AE251" s="38" t="str">
        <f t="shared" si="34"/>
        <v/>
      </c>
      <c r="AF251" s="38" t="str">
        <f t="shared" si="35"/>
        <v/>
      </c>
    </row>
    <row r="252" spans="1:32" x14ac:dyDescent="0.3">
      <c r="A252" s="74"/>
      <c r="B252" s="74"/>
      <c r="C252" s="74"/>
      <c r="D252" s="74"/>
      <c r="E252" s="74"/>
      <c r="F252" s="74"/>
      <c r="G252" s="74"/>
      <c r="H252" s="74"/>
      <c r="I252" s="74"/>
      <c r="J252" s="74"/>
      <c r="K252" s="74"/>
      <c r="L252" s="74"/>
      <c r="M252" s="74"/>
      <c r="N252" s="38" t="str">
        <f>IF(OR(A252="Автомат",A252="Дифавтомат"),IF(W252="","",COUNTIFS(Однолинейка!$H$3:$H$3000,U252,Однолинейка!$A$3:$A$3000,Щит_спец)),IF(A252="Аппарат",IF(C252="","",COUNTIFS(Однолинейка!$I$3:$I$3000,C252,Однолинейка!$A$3:$A$3000,Щит_спец)+COUNTIFS(Однолинейка!$J$3:$J$3000,C252,Однолинейка!$A$3:$A$3000,Щит_спец)+COUNTIFS(Однолинейка!$K$3:$K$3000,C252,Однолинейка!$A$3:$A$3000,Щит_спец)),IF(A252="Модуль",IF(C252="","",COUNTIFS(Однолинейка!$AW$3:$AW$3000,"?*",Однолинейка!$AI$3:$AI$3000,C252,Однолинейка!$A$3:$A$3000,Щит_спец)),IF(A252="Клемма",IF(C252="","",IF(C252=$S$7,SUMIFS(Однолинейка!$BW$3:$BW$3000,Однолинейка!$A$3:$A$3000,Щит_спец),IF(C252=$S$8,SUMIFS(Однолинейка!$BX$3:$BX$3000,Однолинейка!$A$3:$A$3000,Щит_спец),""))),""))))</f>
        <v/>
      </c>
      <c r="O252" s="74"/>
      <c r="P252" s="38" t="str">
        <f t="shared" si="27"/>
        <v/>
      </c>
      <c r="U252" s="38" t="str">
        <f t="shared" si="28"/>
        <v/>
      </c>
      <c r="V252" s="38" t="str">
        <f t="shared" si="29"/>
        <v/>
      </c>
      <c r="W252" s="38" t="str">
        <f>IF(AND(U252&lt;&gt;"",OR($S$4="(все)",B252=$S$4),IF($S$4="(все)",COUNTIF($U$4:U252,U252),COUNTIFS($U$4:U252,U252,$B$4:B252,B252))=1),MAX($W$3:W251)+1,"")</f>
        <v/>
      </c>
      <c r="X252" s="38" t="str">
        <f t="shared" si="30"/>
        <v/>
      </c>
      <c r="Y252" s="38" t="str">
        <f>IF(AND(A252="Аппарат",C252&lt;&gt;"",OR($S$5="(все)",B252=$S$5)),MAX($Y$3:Y251)+1,"")</f>
        <v/>
      </c>
      <c r="Z252" s="38" t="str">
        <f t="shared" si="31"/>
        <v/>
      </c>
      <c r="AA252" s="38" t="str">
        <f>IF(AND(A252="Модуль",C252&lt;&gt;"",OR($S$6="(все)",B252=$S$6)),MAX($AA$3:AA251)+1,"")</f>
        <v/>
      </c>
      <c r="AB252" s="38" t="str">
        <f t="shared" si="32"/>
        <v/>
      </c>
      <c r="AC252" s="38" t="str">
        <f>IF(OR(B252="",COUNTIF($B$4:B252,B252)&gt;1),"",MAX($AC$3:AC251)+1)</f>
        <v/>
      </c>
      <c r="AD252" s="38" t="str">
        <f t="shared" si="33"/>
        <v/>
      </c>
      <c r="AE252" s="38" t="str">
        <f t="shared" si="34"/>
        <v/>
      </c>
      <c r="AF252" s="38" t="str">
        <f t="shared" si="35"/>
        <v/>
      </c>
    </row>
    <row r="253" spans="1:32" x14ac:dyDescent="0.3">
      <c r="A253" s="74"/>
      <c r="B253" s="74"/>
      <c r="C253" s="74"/>
      <c r="D253" s="74"/>
      <c r="E253" s="74"/>
      <c r="F253" s="74"/>
      <c r="G253" s="74"/>
      <c r="H253" s="74"/>
      <c r="I253" s="74"/>
      <c r="J253" s="74"/>
      <c r="K253" s="74"/>
      <c r="L253" s="74"/>
      <c r="M253" s="74"/>
      <c r="N253" s="38" t="str">
        <f>IF(OR(A253="Автомат",A253="Дифавтомат"),IF(W253="","",COUNTIFS(Однолинейка!$H$3:$H$3000,U253,Однолинейка!$A$3:$A$3000,Щит_спец)),IF(A253="Аппарат",IF(C253="","",COUNTIFS(Однолинейка!$I$3:$I$3000,C253,Однолинейка!$A$3:$A$3000,Щит_спец)+COUNTIFS(Однолинейка!$J$3:$J$3000,C253,Однолинейка!$A$3:$A$3000,Щит_спец)+COUNTIFS(Однолинейка!$K$3:$K$3000,C253,Однолинейка!$A$3:$A$3000,Щит_спец)),IF(A253="Модуль",IF(C253="","",COUNTIFS(Однолинейка!$AW$3:$AW$3000,"?*",Однолинейка!$AI$3:$AI$3000,C253,Однолинейка!$A$3:$A$3000,Щит_спец)),IF(A253="Клемма",IF(C253="","",IF(C253=$S$7,SUMIFS(Однолинейка!$BW$3:$BW$3000,Однолинейка!$A$3:$A$3000,Щит_спец),IF(C253=$S$8,SUMIFS(Однолинейка!$BX$3:$BX$3000,Однолинейка!$A$3:$A$3000,Щит_спец),""))),""))))</f>
        <v/>
      </c>
      <c r="O253" s="74"/>
      <c r="P253" s="38" t="str">
        <f t="shared" si="27"/>
        <v/>
      </c>
      <c r="U253" s="38" t="str">
        <f t="shared" si="28"/>
        <v/>
      </c>
      <c r="V253" s="38" t="str">
        <f t="shared" si="29"/>
        <v/>
      </c>
      <c r="W253" s="38" t="str">
        <f>IF(AND(U253&lt;&gt;"",OR($S$4="(все)",B253=$S$4),IF($S$4="(все)",COUNTIF($U$4:U253,U253),COUNTIFS($U$4:U253,U253,$B$4:B253,B253))=1),MAX($W$3:W252)+1,"")</f>
        <v/>
      </c>
      <c r="X253" s="38" t="str">
        <f t="shared" si="30"/>
        <v/>
      </c>
      <c r="Y253" s="38" t="str">
        <f>IF(AND(A253="Аппарат",C253&lt;&gt;"",OR($S$5="(все)",B253=$S$5)),MAX($Y$3:Y252)+1,"")</f>
        <v/>
      </c>
      <c r="Z253" s="38" t="str">
        <f t="shared" si="31"/>
        <v/>
      </c>
      <c r="AA253" s="38" t="str">
        <f>IF(AND(A253="Модуль",C253&lt;&gt;"",OR($S$6="(все)",B253=$S$6)),MAX($AA$3:AA252)+1,"")</f>
        <v/>
      </c>
      <c r="AB253" s="38" t="str">
        <f t="shared" si="32"/>
        <v/>
      </c>
      <c r="AC253" s="38" t="str">
        <f>IF(OR(B253="",COUNTIF($B$4:B253,B253)&gt;1),"",MAX($AC$3:AC252)+1)</f>
        <v/>
      </c>
      <c r="AD253" s="38" t="str">
        <f t="shared" si="33"/>
        <v/>
      </c>
      <c r="AE253" s="38" t="str">
        <f t="shared" si="34"/>
        <v/>
      </c>
      <c r="AF253" s="38" t="str">
        <f t="shared" si="35"/>
        <v/>
      </c>
    </row>
    <row r="254" spans="1:32" x14ac:dyDescent="0.3">
      <c r="A254" s="74"/>
      <c r="B254" s="74"/>
      <c r="C254" s="74"/>
      <c r="D254" s="74"/>
      <c r="E254" s="74"/>
      <c r="F254" s="74"/>
      <c r="G254" s="74"/>
      <c r="H254" s="74"/>
      <c r="I254" s="74"/>
      <c r="J254" s="74"/>
      <c r="K254" s="74"/>
      <c r="L254" s="74"/>
      <c r="M254" s="74"/>
      <c r="N254" s="38" t="str">
        <f>IF(OR(A254="Автомат",A254="Дифавтомат"),IF(W254="","",COUNTIFS(Однолинейка!$H$3:$H$3000,U254,Однолинейка!$A$3:$A$3000,Щит_спец)),IF(A254="Аппарат",IF(C254="","",COUNTIFS(Однолинейка!$I$3:$I$3000,C254,Однолинейка!$A$3:$A$3000,Щит_спец)+COUNTIFS(Однолинейка!$J$3:$J$3000,C254,Однолинейка!$A$3:$A$3000,Щит_спец)+COUNTIFS(Однолинейка!$K$3:$K$3000,C254,Однолинейка!$A$3:$A$3000,Щит_спец)),IF(A254="Модуль",IF(C254="","",COUNTIFS(Однолинейка!$AW$3:$AW$3000,"?*",Однолинейка!$AI$3:$AI$3000,C254,Однолинейка!$A$3:$A$3000,Щит_спец)),IF(A254="Клемма",IF(C254="","",IF(C254=$S$7,SUMIFS(Однолинейка!$BW$3:$BW$3000,Однолинейка!$A$3:$A$3000,Щит_спец),IF(C254=$S$8,SUMIFS(Однолинейка!$BX$3:$BX$3000,Однолинейка!$A$3:$A$3000,Щит_спец),""))),""))))</f>
        <v/>
      </c>
      <c r="O254" s="74"/>
      <c r="P254" s="38" t="str">
        <f t="shared" si="27"/>
        <v/>
      </c>
      <c r="U254" s="38" t="str">
        <f t="shared" si="28"/>
        <v/>
      </c>
      <c r="V254" s="38" t="str">
        <f t="shared" si="29"/>
        <v/>
      </c>
      <c r="W254" s="38" t="str">
        <f>IF(AND(U254&lt;&gt;"",OR($S$4="(все)",B254=$S$4),IF($S$4="(все)",COUNTIF($U$4:U254,U254),COUNTIFS($U$4:U254,U254,$B$4:B254,B254))=1),MAX($W$3:W253)+1,"")</f>
        <v/>
      </c>
      <c r="X254" s="38" t="str">
        <f t="shared" si="30"/>
        <v/>
      </c>
      <c r="Y254" s="38" t="str">
        <f>IF(AND(A254="Аппарат",C254&lt;&gt;"",OR($S$5="(все)",B254=$S$5)),MAX($Y$3:Y253)+1,"")</f>
        <v/>
      </c>
      <c r="Z254" s="38" t="str">
        <f t="shared" si="31"/>
        <v/>
      </c>
      <c r="AA254" s="38" t="str">
        <f>IF(AND(A254="Модуль",C254&lt;&gt;"",OR($S$6="(все)",B254=$S$6)),MAX($AA$3:AA253)+1,"")</f>
        <v/>
      </c>
      <c r="AB254" s="38" t="str">
        <f t="shared" si="32"/>
        <v/>
      </c>
      <c r="AC254" s="38" t="str">
        <f>IF(OR(B254="",COUNTIF($B$4:B254,B254)&gt;1),"",MAX($AC$3:AC253)+1)</f>
        <v/>
      </c>
      <c r="AD254" s="38" t="str">
        <f t="shared" si="33"/>
        <v/>
      </c>
      <c r="AE254" s="38" t="str">
        <f t="shared" si="34"/>
        <v/>
      </c>
      <c r="AF254" s="38" t="str">
        <f t="shared" si="35"/>
        <v/>
      </c>
    </row>
    <row r="255" spans="1:32" x14ac:dyDescent="0.3">
      <c r="A255" s="74"/>
      <c r="B255" s="74"/>
      <c r="C255" s="74"/>
      <c r="D255" s="74"/>
      <c r="E255" s="74"/>
      <c r="F255" s="74"/>
      <c r="G255" s="74"/>
      <c r="H255" s="74"/>
      <c r="I255" s="74"/>
      <c r="J255" s="74"/>
      <c r="K255" s="74"/>
      <c r="L255" s="74"/>
      <c r="M255" s="74"/>
      <c r="N255" s="38" t="str">
        <f>IF(OR(A255="Автомат",A255="Дифавтомат"),IF(W255="","",COUNTIFS(Однолинейка!$H$3:$H$3000,U255,Однолинейка!$A$3:$A$3000,Щит_спец)),IF(A255="Аппарат",IF(C255="","",COUNTIFS(Однолинейка!$I$3:$I$3000,C255,Однолинейка!$A$3:$A$3000,Щит_спец)+COUNTIFS(Однолинейка!$J$3:$J$3000,C255,Однолинейка!$A$3:$A$3000,Щит_спец)+COUNTIFS(Однолинейка!$K$3:$K$3000,C255,Однолинейка!$A$3:$A$3000,Щит_спец)),IF(A255="Модуль",IF(C255="","",COUNTIFS(Однолинейка!$AW$3:$AW$3000,"?*",Однолинейка!$AI$3:$AI$3000,C255,Однолинейка!$A$3:$A$3000,Щит_спец)),IF(A255="Клемма",IF(C255="","",IF(C255=$S$7,SUMIFS(Однолинейка!$BW$3:$BW$3000,Однолинейка!$A$3:$A$3000,Щит_спец),IF(C255=$S$8,SUMIFS(Однолинейка!$BX$3:$BX$3000,Однолинейка!$A$3:$A$3000,Щит_спец),""))),""))))</f>
        <v/>
      </c>
      <c r="O255" s="74"/>
      <c r="P255" s="38" t="str">
        <f t="shared" si="27"/>
        <v/>
      </c>
      <c r="U255" s="38" t="str">
        <f t="shared" si="28"/>
        <v/>
      </c>
      <c r="V255" s="38" t="str">
        <f t="shared" si="29"/>
        <v/>
      </c>
      <c r="W255" s="38" t="str">
        <f>IF(AND(U255&lt;&gt;"",OR($S$4="(все)",B255=$S$4),IF($S$4="(все)",COUNTIF($U$4:U255,U255),COUNTIFS($U$4:U255,U255,$B$4:B255,B255))=1),MAX($W$3:W254)+1,"")</f>
        <v/>
      </c>
      <c r="X255" s="38" t="str">
        <f t="shared" si="30"/>
        <v/>
      </c>
      <c r="Y255" s="38" t="str">
        <f>IF(AND(A255="Аппарат",C255&lt;&gt;"",OR($S$5="(все)",B255=$S$5)),MAX($Y$3:Y254)+1,"")</f>
        <v/>
      </c>
      <c r="Z255" s="38" t="str">
        <f t="shared" si="31"/>
        <v/>
      </c>
      <c r="AA255" s="38" t="str">
        <f>IF(AND(A255="Модуль",C255&lt;&gt;"",OR($S$6="(все)",B255=$S$6)),MAX($AA$3:AA254)+1,"")</f>
        <v/>
      </c>
      <c r="AB255" s="38" t="str">
        <f t="shared" si="32"/>
        <v/>
      </c>
      <c r="AC255" s="38" t="str">
        <f>IF(OR(B255="",COUNTIF($B$4:B255,B255)&gt;1),"",MAX($AC$3:AC254)+1)</f>
        <v/>
      </c>
      <c r="AD255" s="38" t="str">
        <f t="shared" si="33"/>
        <v/>
      </c>
      <c r="AE255" s="38" t="str">
        <f t="shared" si="34"/>
        <v/>
      </c>
      <c r="AF255" s="38" t="str">
        <f t="shared" si="35"/>
        <v/>
      </c>
    </row>
    <row r="256" spans="1:32" x14ac:dyDescent="0.3">
      <c r="A256" s="74"/>
      <c r="B256" s="74"/>
      <c r="C256" s="74"/>
      <c r="D256" s="74"/>
      <c r="E256" s="74"/>
      <c r="F256" s="74"/>
      <c r="G256" s="74"/>
      <c r="H256" s="74"/>
      <c r="I256" s="74"/>
      <c r="J256" s="74"/>
      <c r="K256" s="74"/>
      <c r="L256" s="74"/>
      <c r="M256" s="74"/>
      <c r="N256" s="38" t="str">
        <f>IF(OR(A256="Автомат",A256="Дифавтомат"),IF(W256="","",COUNTIFS(Однолинейка!$H$3:$H$3000,U256,Однолинейка!$A$3:$A$3000,Щит_спец)),IF(A256="Аппарат",IF(C256="","",COUNTIFS(Однолинейка!$I$3:$I$3000,C256,Однолинейка!$A$3:$A$3000,Щит_спец)+COUNTIFS(Однолинейка!$J$3:$J$3000,C256,Однолинейка!$A$3:$A$3000,Щит_спец)+COUNTIFS(Однолинейка!$K$3:$K$3000,C256,Однолинейка!$A$3:$A$3000,Щит_спец)),IF(A256="Модуль",IF(C256="","",COUNTIFS(Однолинейка!$AW$3:$AW$3000,"?*",Однолинейка!$AI$3:$AI$3000,C256,Однолинейка!$A$3:$A$3000,Щит_спец)),IF(A256="Клемма",IF(C256="","",IF(C256=$S$7,SUMIFS(Однолинейка!$BW$3:$BW$3000,Однолинейка!$A$3:$A$3000,Щит_спец),IF(C256=$S$8,SUMIFS(Однолинейка!$BX$3:$BX$3000,Однолинейка!$A$3:$A$3000,Щит_спец),""))),""))))</f>
        <v/>
      </c>
      <c r="O256" s="74"/>
      <c r="P256" s="38" t="str">
        <f t="shared" si="27"/>
        <v/>
      </c>
      <c r="U256" s="38" t="str">
        <f t="shared" si="28"/>
        <v/>
      </c>
      <c r="V256" s="38" t="str">
        <f t="shared" si="29"/>
        <v/>
      </c>
      <c r="W256" s="38" t="str">
        <f>IF(AND(U256&lt;&gt;"",OR($S$4="(все)",B256=$S$4),IF($S$4="(все)",COUNTIF($U$4:U256,U256),COUNTIFS($U$4:U256,U256,$B$4:B256,B256))=1),MAX($W$3:W255)+1,"")</f>
        <v/>
      </c>
      <c r="X256" s="38" t="str">
        <f t="shared" si="30"/>
        <v/>
      </c>
      <c r="Y256" s="38" t="str">
        <f>IF(AND(A256="Аппарат",C256&lt;&gt;"",OR($S$5="(все)",B256=$S$5)),MAX($Y$3:Y255)+1,"")</f>
        <v/>
      </c>
      <c r="Z256" s="38" t="str">
        <f t="shared" si="31"/>
        <v/>
      </c>
      <c r="AA256" s="38" t="str">
        <f>IF(AND(A256="Модуль",C256&lt;&gt;"",OR($S$6="(все)",B256=$S$6)),MAX($AA$3:AA255)+1,"")</f>
        <v/>
      </c>
      <c r="AB256" s="38" t="str">
        <f t="shared" si="32"/>
        <v/>
      </c>
      <c r="AC256" s="38" t="str">
        <f>IF(OR(B256="",COUNTIF($B$4:B256,B256)&gt;1),"",MAX($AC$3:AC255)+1)</f>
        <v/>
      </c>
      <c r="AD256" s="38" t="str">
        <f t="shared" si="33"/>
        <v/>
      </c>
      <c r="AE256" s="38" t="str">
        <f t="shared" si="34"/>
        <v/>
      </c>
      <c r="AF256" s="38" t="str">
        <f t="shared" si="35"/>
        <v/>
      </c>
    </row>
    <row r="257" spans="1:32" x14ac:dyDescent="0.3">
      <c r="A257" s="74"/>
      <c r="B257" s="74"/>
      <c r="C257" s="74"/>
      <c r="D257" s="74"/>
      <c r="E257" s="74"/>
      <c r="F257" s="74"/>
      <c r="G257" s="74"/>
      <c r="H257" s="74"/>
      <c r="I257" s="74"/>
      <c r="J257" s="74"/>
      <c r="K257" s="74"/>
      <c r="L257" s="74"/>
      <c r="M257" s="74"/>
      <c r="N257" s="38" t="str">
        <f>IF(OR(A257="Автомат",A257="Дифавтомат"),IF(W257="","",COUNTIFS(Однолинейка!$H$3:$H$3000,U257,Однолинейка!$A$3:$A$3000,Щит_спец)),IF(A257="Аппарат",IF(C257="","",COUNTIFS(Однолинейка!$I$3:$I$3000,C257,Однолинейка!$A$3:$A$3000,Щит_спец)+COUNTIFS(Однолинейка!$J$3:$J$3000,C257,Однолинейка!$A$3:$A$3000,Щит_спец)+COUNTIFS(Однолинейка!$K$3:$K$3000,C257,Однолинейка!$A$3:$A$3000,Щит_спец)),IF(A257="Модуль",IF(C257="","",COUNTIFS(Однолинейка!$AW$3:$AW$3000,"?*",Однолинейка!$AI$3:$AI$3000,C257,Однолинейка!$A$3:$A$3000,Щит_спец)),IF(A257="Клемма",IF(C257="","",IF(C257=$S$7,SUMIFS(Однолинейка!$BW$3:$BW$3000,Однолинейка!$A$3:$A$3000,Щит_спец),IF(C257=$S$8,SUMIFS(Однолинейка!$BX$3:$BX$3000,Однолинейка!$A$3:$A$3000,Щит_спец),""))),""))))</f>
        <v/>
      </c>
      <c r="O257" s="74"/>
      <c r="P257" s="38" t="str">
        <f t="shared" si="27"/>
        <v/>
      </c>
      <c r="U257" s="38" t="str">
        <f t="shared" si="28"/>
        <v/>
      </c>
      <c r="V257" s="38" t="str">
        <f t="shared" si="29"/>
        <v/>
      </c>
      <c r="W257" s="38" t="str">
        <f>IF(AND(U257&lt;&gt;"",OR($S$4="(все)",B257=$S$4),IF($S$4="(все)",COUNTIF($U$4:U257,U257),COUNTIFS($U$4:U257,U257,$B$4:B257,B257))=1),MAX($W$3:W256)+1,"")</f>
        <v/>
      </c>
      <c r="X257" s="38" t="str">
        <f t="shared" si="30"/>
        <v/>
      </c>
      <c r="Y257" s="38" t="str">
        <f>IF(AND(A257="Аппарат",C257&lt;&gt;"",OR($S$5="(все)",B257=$S$5)),MAX($Y$3:Y256)+1,"")</f>
        <v/>
      </c>
      <c r="Z257" s="38" t="str">
        <f t="shared" si="31"/>
        <v/>
      </c>
      <c r="AA257" s="38" t="str">
        <f>IF(AND(A257="Модуль",C257&lt;&gt;"",OR($S$6="(все)",B257=$S$6)),MAX($AA$3:AA256)+1,"")</f>
        <v/>
      </c>
      <c r="AB257" s="38" t="str">
        <f t="shared" si="32"/>
        <v/>
      </c>
      <c r="AC257" s="38" t="str">
        <f>IF(OR(B257="",COUNTIF($B$4:B257,B257)&gt;1),"",MAX($AC$3:AC256)+1)</f>
        <v/>
      </c>
      <c r="AD257" s="38" t="str">
        <f t="shared" si="33"/>
        <v/>
      </c>
      <c r="AE257" s="38" t="str">
        <f t="shared" si="34"/>
        <v/>
      </c>
      <c r="AF257" s="38" t="str">
        <f t="shared" si="35"/>
        <v/>
      </c>
    </row>
    <row r="258" spans="1:32" x14ac:dyDescent="0.3">
      <c r="A258" s="74"/>
      <c r="B258" s="74"/>
      <c r="C258" s="74"/>
      <c r="D258" s="74"/>
      <c r="E258" s="74"/>
      <c r="F258" s="74"/>
      <c r="G258" s="74"/>
      <c r="H258" s="74"/>
      <c r="I258" s="74"/>
      <c r="J258" s="74"/>
      <c r="K258" s="74"/>
      <c r="L258" s="74"/>
      <c r="M258" s="74"/>
      <c r="N258" s="38" t="str">
        <f>IF(OR(A258="Автомат",A258="Дифавтомат"),IF(W258="","",COUNTIFS(Однолинейка!$H$3:$H$3000,U258,Однолинейка!$A$3:$A$3000,Щит_спец)),IF(A258="Аппарат",IF(C258="","",COUNTIFS(Однолинейка!$I$3:$I$3000,C258,Однолинейка!$A$3:$A$3000,Щит_спец)+COUNTIFS(Однолинейка!$J$3:$J$3000,C258,Однолинейка!$A$3:$A$3000,Щит_спец)+COUNTIFS(Однолинейка!$K$3:$K$3000,C258,Однолинейка!$A$3:$A$3000,Щит_спец)),IF(A258="Модуль",IF(C258="","",COUNTIFS(Однолинейка!$AW$3:$AW$3000,"?*",Однолинейка!$AI$3:$AI$3000,C258,Однолинейка!$A$3:$A$3000,Щит_спец)),IF(A258="Клемма",IF(C258="","",IF(C258=$S$7,SUMIFS(Однолинейка!$BW$3:$BW$3000,Однолинейка!$A$3:$A$3000,Щит_спец),IF(C258=$S$8,SUMIFS(Однолинейка!$BX$3:$BX$3000,Однолинейка!$A$3:$A$3000,Щит_спец),""))),""))))</f>
        <v/>
      </c>
      <c r="O258" s="74"/>
      <c r="P258" s="38" t="str">
        <f t="shared" si="27"/>
        <v/>
      </c>
      <c r="U258" s="38" t="str">
        <f t="shared" si="28"/>
        <v/>
      </c>
      <c r="V258" s="38" t="str">
        <f t="shared" si="29"/>
        <v/>
      </c>
      <c r="W258" s="38" t="str">
        <f>IF(AND(U258&lt;&gt;"",OR($S$4="(все)",B258=$S$4),IF($S$4="(все)",COUNTIF($U$4:U258,U258),COUNTIFS($U$4:U258,U258,$B$4:B258,B258))=1),MAX($W$3:W257)+1,"")</f>
        <v/>
      </c>
      <c r="X258" s="38" t="str">
        <f t="shared" si="30"/>
        <v/>
      </c>
      <c r="Y258" s="38" t="str">
        <f>IF(AND(A258="Аппарат",C258&lt;&gt;"",OR($S$5="(все)",B258=$S$5)),MAX($Y$3:Y257)+1,"")</f>
        <v/>
      </c>
      <c r="Z258" s="38" t="str">
        <f t="shared" si="31"/>
        <v/>
      </c>
      <c r="AA258" s="38" t="str">
        <f>IF(AND(A258="Модуль",C258&lt;&gt;"",OR($S$6="(все)",B258=$S$6)),MAX($AA$3:AA257)+1,"")</f>
        <v/>
      </c>
      <c r="AB258" s="38" t="str">
        <f t="shared" si="32"/>
        <v/>
      </c>
      <c r="AC258" s="38" t="str">
        <f>IF(OR(B258="",COUNTIF($B$4:B258,B258)&gt;1),"",MAX($AC$3:AC257)+1)</f>
        <v/>
      </c>
      <c r="AD258" s="38" t="str">
        <f t="shared" si="33"/>
        <v/>
      </c>
      <c r="AE258" s="38" t="str">
        <f t="shared" si="34"/>
        <v/>
      </c>
      <c r="AF258" s="38" t="str">
        <f t="shared" si="35"/>
        <v/>
      </c>
    </row>
    <row r="259" spans="1:32" x14ac:dyDescent="0.3">
      <c r="A259" s="74"/>
      <c r="B259" s="74"/>
      <c r="C259" s="74"/>
      <c r="D259" s="74"/>
      <c r="E259" s="74"/>
      <c r="F259" s="74"/>
      <c r="G259" s="74"/>
      <c r="H259" s="74"/>
      <c r="I259" s="74"/>
      <c r="J259" s="74"/>
      <c r="K259" s="74"/>
      <c r="L259" s="74"/>
      <c r="M259" s="74"/>
      <c r="N259" s="38" t="str">
        <f>IF(OR(A259="Автомат",A259="Дифавтомат"),IF(W259="","",COUNTIFS(Однолинейка!$H$3:$H$3000,U259,Однолинейка!$A$3:$A$3000,Щит_спец)),IF(A259="Аппарат",IF(C259="","",COUNTIFS(Однолинейка!$I$3:$I$3000,C259,Однолинейка!$A$3:$A$3000,Щит_спец)+COUNTIFS(Однолинейка!$J$3:$J$3000,C259,Однолинейка!$A$3:$A$3000,Щит_спец)+COUNTIFS(Однолинейка!$K$3:$K$3000,C259,Однолинейка!$A$3:$A$3000,Щит_спец)),IF(A259="Модуль",IF(C259="","",COUNTIFS(Однолинейка!$AW$3:$AW$3000,"?*",Однолинейка!$AI$3:$AI$3000,C259,Однолинейка!$A$3:$A$3000,Щит_спец)),IF(A259="Клемма",IF(C259="","",IF(C259=$S$7,SUMIFS(Однолинейка!$BW$3:$BW$3000,Однолинейка!$A$3:$A$3000,Щит_спец),IF(C259=$S$8,SUMIFS(Однолинейка!$BX$3:$BX$3000,Однолинейка!$A$3:$A$3000,Щит_спец),""))),""))))</f>
        <v/>
      </c>
      <c r="O259" s="74"/>
      <c r="P259" s="38" t="str">
        <f t="shared" si="27"/>
        <v/>
      </c>
      <c r="U259" s="38" t="str">
        <f t="shared" si="28"/>
        <v/>
      </c>
      <c r="V259" s="38" t="str">
        <f t="shared" si="29"/>
        <v/>
      </c>
      <c r="W259" s="38" t="str">
        <f>IF(AND(U259&lt;&gt;"",OR($S$4="(все)",B259=$S$4),IF($S$4="(все)",COUNTIF($U$4:U259,U259),COUNTIFS($U$4:U259,U259,$B$4:B259,B259))=1),MAX($W$3:W258)+1,"")</f>
        <v/>
      </c>
      <c r="X259" s="38" t="str">
        <f t="shared" si="30"/>
        <v/>
      </c>
      <c r="Y259" s="38" t="str">
        <f>IF(AND(A259="Аппарат",C259&lt;&gt;"",OR($S$5="(все)",B259=$S$5)),MAX($Y$3:Y258)+1,"")</f>
        <v/>
      </c>
      <c r="Z259" s="38" t="str">
        <f t="shared" si="31"/>
        <v/>
      </c>
      <c r="AA259" s="38" t="str">
        <f>IF(AND(A259="Модуль",C259&lt;&gt;"",OR($S$6="(все)",B259=$S$6)),MAX($AA$3:AA258)+1,"")</f>
        <v/>
      </c>
      <c r="AB259" s="38" t="str">
        <f t="shared" si="32"/>
        <v/>
      </c>
      <c r="AC259" s="38" t="str">
        <f>IF(OR(B259="",COUNTIF($B$4:B259,B259)&gt;1),"",MAX($AC$3:AC258)+1)</f>
        <v/>
      </c>
      <c r="AD259" s="38" t="str">
        <f t="shared" si="33"/>
        <v/>
      </c>
      <c r="AE259" s="38" t="str">
        <f t="shared" si="34"/>
        <v/>
      </c>
      <c r="AF259" s="38" t="str">
        <f t="shared" si="35"/>
        <v/>
      </c>
    </row>
    <row r="260" spans="1:32" x14ac:dyDescent="0.3">
      <c r="A260" s="74"/>
      <c r="B260" s="74"/>
      <c r="C260" s="74"/>
      <c r="D260" s="74"/>
      <c r="E260" s="74"/>
      <c r="F260" s="74"/>
      <c r="G260" s="74"/>
      <c r="H260" s="74"/>
      <c r="I260" s="74"/>
      <c r="J260" s="74"/>
      <c r="K260" s="74"/>
      <c r="L260" s="74"/>
      <c r="M260" s="74"/>
      <c r="N260" s="38" t="str">
        <f>IF(OR(A260="Автомат",A260="Дифавтомат"),IF(W260="","",COUNTIFS(Однолинейка!$H$3:$H$3000,U260,Однолинейка!$A$3:$A$3000,Щит_спец)),IF(A260="Аппарат",IF(C260="","",COUNTIFS(Однолинейка!$I$3:$I$3000,C260,Однолинейка!$A$3:$A$3000,Щит_спец)+COUNTIFS(Однолинейка!$J$3:$J$3000,C260,Однолинейка!$A$3:$A$3000,Щит_спец)+COUNTIFS(Однолинейка!$K$3:$K$3000,C260,Однолинейка!$A$3:$A$3000,Щит_спец)),IF(A260="Модуль",IF(C260="","",COUNTIFS(Однолинейка!$AW$3:$AW$3000,"?*",Однолинейка!$AI$3:$AI$3000,C260,Однолинейка!$A$3:$A$3000,Щит_спец)),IF(A260="Клемма",IF(C260="","",IF(C260=$S$7,SUMIFS(Однолинейка!$BW$3:$BW$3000,Однолинейка!$A$3:$A$3000,Щит_спец),IF(C260=$S$8,SUMIFS(Однолинейка!$BX$3:$BX$3000,Однолинейка!$A$3:$A$3000,Щит_спец),""))),""))))</f>
        <v/>
      </c>
      <c r="O260" s="74"/>
      <c r="P260" s="38" t="str">
        <f t="shared" ref="P260:P323" si="36">IF(COUNT(N260,O260)=0,"",SUM(N260,O260))</f>
        <v/>
      </c>
      <c r="U260" s="38" t="str">
        <f t="shared" ref="U260:U323" si="37">IF(OR(A260="Автомат",A260="Дифавтомат"),I260&amp;" С"&amp;J260&amp;"А"&amp;IF(K260="да"," 30мА",IF(ISNUMBER(K260)," "&amp;K260&amp;"мА","")),"")</f>
        <v/>
      </c>
      <c r="V260" s="38" t="str">
        <f t="shared" ref="V260:V323" si="38">IF(U260="","",B260&amp;"|"&amp;U260)</f>
        <v/>
      </c>
      <c r="W260" s="38" t="str">
        <f>IF(AND(U260&lt;&gt;"",OR($S$4="(все)",B260=$S$4),IF($S$4="(все)",COUNTIF($U$4:U260,U260),COUNTIFS($U$4:U260,U260,$B$4:B260,B260))=1),MAX($W$3:W259)+1,"")</f>
        <v/>
      </c>
      <c r="X260" s="38" t="str">
        <f t="shared" ref="X260:X323" si="39">IFERROR(INDEX($U$4:$U$500,MATCH(ROW()-3,$W$4:$W$500,0)),"")</f>
        <v/>
      </c>
      <c r="Y260" s="38" t="str">
        <f>IF(AND(A260="Аппарат",C260&lt;&gt;"",OR($S$5="(все)",B260=$S$5)),MAX($Y$3:Y259)+1,"")</f>
        <v/>
      </c>
      <c r="Z260" s="38" t="str">
        <f t="shared" ref="Z260:Z323" si="40">IFERROR(INDEX($C$4:$C$500,MATCH(ROW()-3,$Y$4:$Y$500,0)),"")</f>
        <v/>
      </c>
      <c r="AA260" s="38" t="str">
        <f>IF(AND(A260="Модуль",C260&lt;&gt;"",OR($S$6="(все)",B260=$S$6)),MAX($AA$3:AA259)+1,"")</f>
        <v/>
      </c>
      <c r="AB260" s="38" t="str">
        <f t="shared" ref="AB260:AB323" si="41">IFERROR(INDEX($C$4:$C$500,MATCH(ROW()-3,$AA$4:$AA$500,0)),"")</f>
        <v/>
      </c>
      <c r="AC260" s="38" t="str">
        <f>IF(OR(B260="",COUNTIF($B$4:B260,B260)&gt;1),"",MAX($AC$3:AC259)+1)</f>
        <v/>
      </c>
      <c r="AD260" s="38" t="str">
        <f t="shared" ref="AD260:AD323" si="42">IFERROR(INDEX($B$4:$B$500,MATCH(ROW()-3,$AC$4:$AC$500,0)),"")</f>
        <v/>
      </c>
      <c r="AE260" s="38" t="str">
        <f t="shared" ref="AE260:AE323" si="43">IF(AND(A260&lt;&gt;"",N(P260)&gt;0),IFERROR(MATCH(A260,$R$12:$R$25,0),99)*1000+ROW(),"")</f>
        <v/>
      </c>
      <c r="AF260" s="38" t="str">
        <f t="shared" ref="AF260:AF323" si="44">IF(AE260="","",COUNTIF($AE$4:$AE$500,"&lt;="&amp;AE260))</f>
        <v/>
      </c>
    </row>
    <row r="261" spans="1:32" x14ac:dyDescent="0.3">
      <c r="A261" s="74"/>
      <c r="B261" s="74"/>
      <c r="C261" s="74"/>
      <c r="D261" s="74"/>
      <c r="E261" s="74"/>
      <c r="F261" s="74"/>
      <c r="G261" s="74"/>
      <c r="H261" s="74"/>
      <c r="I261" s="74"/>
      <c r="J261" s="74"/>
      <c r="K261" s="74"/>
      <c r="L261" s="74"/>
      <c r="M261" s="74"/>
      <c r="N261" s="38" t="str">
        <f>IF(OR(A261="Автомат",A261="Дифавтомат"),IF(W261="","",COUNTIFS(Однолинейка!$H$3:$H$3000,U261,Однолинейка!$A$3:$A$3000,Щит_спец)),IF(A261="Аппарат",IF(C261="","",COUNTIFS(Однолинейка!$I$3:$I$3000,C261,Однолинейка!$A$3:$A$3000,Щит_спец)+COUNTIFS(Однолинейка!$J$3:$J$3000,C261,Однолинейка!$A$3:$A$3000,Щит_спец)+COUNTIFS(Однолинейка!$K$3:$K$3000,C261,Однолинейка!$A$3:$A$3000,Щит_спец)),IF(A261="Модуль",IF(C261="","",COUNTIFS(Однолинейка!$AW$3:$AW$3000,"?*",Однолинейка!$AI$3:$AI$3000,C261,Однолинейка!$A$3:$A$3000,Щит_спец)),IF(A261="Клемма",IF(C261="","",IF(C261=$S$7,SUMIFS(Однолинейка!$BW$3:$BW$3000,Однолинейка!$A$3:$A$3000,Щит_спец),IF(C261=$S$8,SUMIFS(Однолинейка!$BX$3:$BX$3000,Однолинейка!$A$3:$A$3000,Щит_спец),""))),""))))</f>
        <v/>
      </c>
      <c r="O261" s="74"/>
      <c r="P261" s="38" t="str">
        <f t="shared" si="36"/>
        <v/>
      </c>
      <c r="U261" s="38" t="str">
        <f t="shared" si="37"/>
        <v/>
      </c>
      <c r="V261" s="38" t="str">
        <f t="shared" si="38"/>
        <v/>
      </c>
      <c r="W261" s="38" t="str">
        <f>IF(AND(U261&lt;&gt;"",OR($S$4="(все)",B261=$S$4),IF($S$4="(все)",COUNTIF($U$4:U261,U261),COUNTIFS($U$4:U261,U261,$B$4:B261,B261))=1),MAX($W$3:W260)+1,"")</f>
        <v/>
      </c>
      <c r="X261" s="38" t="str">
        <f t="shared" si="39"/>
        <v/>
      </c>
      <c r="Y261" s="38" t="str">
        <f>IF(AND(A261="Аппарат",C261&lt;&gt;"",OR($S$5="(все)",B261=$S$5)),MAX($Y$3:Y260)+1,"")</f>
        <v/>
      </c>
      <c r="Z261" s="38" t="str">
        <f t="shared" si="40"/>
        <v/>
      </c>
      <c r="AA261" s="38" t="str">
        <f>IF(AND(A261="Модуль",C261&lt;&gt;"",OR($S$6="(все)",B261=$S$6)),MAX($AA$3:AA260)+1,"")</f>
        <v/>
      </c>
      <c r="AB261" s="38" t="str">
        <f t="shared" si="41"/>
        <v/>
      </c>
      <c r="AC261" s="38" t="str">
        <f>IF(OR(B261="",COUNTIF($B$4:B261,B261)&gt;1),"",MAX($AC$3:AC260)+1)</f>
        <v/>
      </c>
      <c r="AD261" s="38" t="str">
        <f t="shared" si="42"/>
        <v/>
      </c>
      <c r="AE261" s="38" t="str">
        <f t="shared" si="43"/>
        <v/>
      </c>
      <c r="AF261" s="38" t="str">
        <f t="shared" si="44"/>
        <v/>
      </c>
    </row>
    <row r="262" spans="1:32" x14ac:dyDescent="0.3">
      <c r="A262" s="74"/>
      <c r="B262" s="74"/>
      <c r="C262" s="74"/>
      <c r="D262" s="74"/>
      <c r="E262" s="74"/>
      <c r="F262" s="74"/>
      <c r="G262" s="74"/>
      <c r="H262" s="74"/>
      <c r="I262" s="74"/>
      <c r="J262" s="74"/>
      <c r="K262" s="74"/>
      <c r="L262" s="74"/>
      <c r="M262" s="74"/>
      <c r="N262" s="38" t="str">
        <f>IF(OR(A262="Автомат",A262="Дифавтомат"),IF(W262="","",COUNTIFS(Однолинейка!$H$3:$H$3000,U262,Однолинейка!$A$3:$A$3000,Щит_спец)),IF(A262="Аппарат",IF(C262="","",COUNTIFS(Однолинейка!$I$3:$I$3000,C262,Однолинейка!$A$3:$A$3000,Щит_спец)+COUNTIFS(Однолинейка!$J$3:$J$3000,C262,Однолинейка!$A$3:$A$3000,Щит_спец)+COUNTIFS(Однолинейка!$K$3:$K$3000,C262,Однолинейка!$A$3:$A$3000,Щит_спец)),IF(A262="Модуль",IF(C262="","",COUNTIFS(Однолинейка!$AW$3:$AW$3000,"?*",Однолинейка!$AI$3:$AI$3000,C262,Однолинейка!$A$3:$A$3000,Щит_спец)),IF(A262="Клемма",IF(C262="","",IF(C262=$S$7,SUMIFS(Однолинейка!$BW$3:$BW$3000,Однолинейка!$A$3:$A$3000,Щит_спец),IF(C262=$S$8,SUMIFS(Однолинейка!$BX$3:$BX$3000,Однолинейка!$A$3:$A$3000,Щит_спец),""))),""))))</f>
        <v/>
      </c>
      <c r="O262" s="74"/>
      <c r="P262" s="38" t="str">
        <f t="shared" si="36"/>
        <v/>
      </c>
      <c r="U262" s="38" t="str">
        <f t="shared" si="37"/>
        <v/>
      </c>
      <c r="V262" s="38" t="str">
        <f t="shared" si="38"/>
        <v/>
      </c>
      <c r="W262" s="38" t="str">
        <f>IF(AND(U262&lt;&gt;"",OR($S$4="(все)",B262=$S$4),IF($S$4="(все)",COUNTIF($U$4:U262,U262),COUNTIFS($U$4:U262,U262,$B$4:B262,B262))=1),MAX($W$3:W261)+1,"")</f>
        <v/>
      </c>
      <c r="X262" s="38" t="str">
        <f t="shared" si="39"/>
        <v/>
      </c>
      <c r="Y262" s="38" t="str">
        <f>IF(AND(A262="Аппарат",C262&lt;&gt;"",OR($S$5="(все)",B262=$S$5)),MAX($Y$3:Y261)+1,"")</f>
        <v/>
      </c>
      <c r="Z262" s="38" t="str">
        <f t="shared" si="40"/>
        <v/>
      </c>
      <c r="AA262" s="38" t="str">
        <f>IF(AND(A262="Модуль",C262&lt;&gt;"",OR($S$6="(все)",B262=$S$6)),MAX($AA$3:AA261)+1,"")</f>
        <v/>
      </c>
      <c r="AB262" s="38" t="str">
        <f t="shared" si="41"/>
        <v/>
      </c>
      <c r="AC262" s="38" t="str">
        <f>IF(OR(B262="",COUNTIF($B$4:B262,B262)&gt;1),"",MAX($AC$3:AC261)+1)</f>
        <v/>
      </c>
      <c r="AD262" s="38" t="str">
        <f t="shared" si="42"/>
        <v/>
      </c>
      <c r="AE262" s="38" t="str">
        <f t="shared" si="43"/>
        <v/>
      </c>
      <c r="AF262" s="38" t="str">
        <f t="shared" si="44"/>
        <v/>
      </c>
    </row>
    <row r="263" spans="1:32" x14ac:dyDescent="0.3">
      <c r="A263" s="74"/>
      <c r="B263" s="74"/>
      <c r="C263" s="74"/>
      <c r="D263" s="74"/>
      <c r="E263" s="74"/>
      <c r="F263" s="74"/>
      <c r="G263" s="74"/>
      <c r="H263" s="74"/>
      <c r="I263" s="74"/>
      <c r="J263" s="74"/>
      <c r="K263" s="74"/>
      <c r="L263" s="74"/>
      <c r="M263" s="74"/>
      <c r="N263" s="38" t="str">
        <f>IF(OR(A263="Автомат",A263="Дифавтомат"),IF(W263="","",COUNTIFS(Однолинейка!$H$3:$H$3000,U263,Однолинейка!$A$3:$A$3000,Щит_спец)),IF(A263="Аппарат",IF(C263="","",COUNTIFS(Однолинейка!$I$3:$I$3000,C263,Однолинейка!$A$3:$A$3000,Щит_спец)+COUNTIFS(Однолинейка!$J$3:$J$3000,C263,Однолинейка!$A$3:$A$3000,Щит_спец)+COUNTIFS(Однолинейка!$K$3:$K$3000,C263,Однолинейка!$A$3:$A$3000,Щит_спец)),IF(A263="Модуль",IF(C263="","",COUNTIFS(Однолинейка!$AW$3:$AW$3000,"?*",Однолинейка!$AI$3:$AI$3000,C263,Однолинейка!$A$3:$A$3000,Щит_спец)),IF(A263="Клемма",IF(C263="","",IF(C263=$S$7,SUMIFS(Однолинейка!$BW$3:$BW$3000,Однолинейка!$A$3:$A$3000,Щит_спец),IF(C263=$S$8,SUMIFS(Однолинейка!$BX$3:$BX$3000,Однолинейка!$A$3:$A$3000,Щит_спец),""))),""))))</f>
        <v/>
      </c>
      <c r="O263" s="74"/>
      <c r="P263" s="38" t="str">
        <f t="shared" si="36"/>
        <v/>
      </c>
      <c r="U263" s="38" t="str">
        <f t="shared" si="37"/>
        <v/>
      </c>
      <c r="V263" s="38" t="str">
        <f t="shared" si="38"/>
        <v/>
      </c>
      <c r="W263" s="38" t="str">
        <f>IF(AND(U263&lt;&gt;"",OR($S$4="(все)",B263=$S$4),IF($S$4="(все)",COUNTIF($U$4:U263,U263),COUNTIFS($U$4:U263,U263,$B$4:B263,B263))=1),MAX($W$3:W262)+1,"")</f>
        <v/>
      </c>
      <c r="X263" s="38" t="str">
        <f t="shared" si="39"/>
        <v/>
      </c>
      <c r="Y263" s="38" t="str">
        <f>IF(AND(A263="Аппарат",C263&lt;&gt;"",OR($S$5="(все)",B263=$S$5)),MAX($Y$3:Y262)+1,"")</f>
        <v/>
      </c>
      <c r="Z263" s="38" t="str">
        <f t="shared" si="40"/>
        <v/>
      </c>
      <c r="AA263" s="38" t="str">
        <f>IF(AND(A263="Модуль",C263&lt;&gt;"",OR($S$6="(все)",B263=$S$6)),MAX($AA$3:AA262)+1,"")</f>
        <v/>
      </c>
      <c r="AB263" s="38" t="str">
        <f t="shared" si="41"/>
        <v/>
      </c>
      <c r="AC263" s="38" t="str">
        <f>IF(OR(B263="",COUNTIF($B$4:B263,B263)&gt;1),"",MAX($AC$3:AC262)+1)</f>
        <v/>
      </c>
      <c r="AD263" s="38" t="str">
        <f t="shared" si="42"/>
        <v/>
      </c>
      <c r="AE263" s="38" t="str">
        <f t="shared" si="43"/>
        <v/>
      </c>
      <c r="AF263" s="38" t="str">
        <f t="shared" si="44"/>
        <v/>
      </c>
    </row>
    <row r="264" spans="1:32" x14ac:dyDescent="0.3">
      <c r="A264" s="74"/>
      <c r="B264" s="74"/>
      <c r="C264" s="74"/>
      <c r="D264" s="74"/>
      <c r="E264" s="74"/>
      <c r="F264" s="74"/>
      <c r="G264" s="74"/>
      <c r="H264" s="74"/>
      <c r="I264" s="74"/>
      <c r="J264" s="74"/>
      <c r="K264" s="74"/>
      <c r="L264" s="74"/>
      <c r="M264" s="74"/>
      <c r="N264" s="38" t="str">
        <f>IF(OR(A264="Автомат",A264="Дифавтомат"),IF(W264="","",COUNTIFS(Однолинейка!$H$3:$H$3000,U264,Однолинейка!$A$3:$A$3000,Щит_спец)),IF(A264="Аппарат",IF(C264="","",COUNTIFS(Однолинейка!$I$3:$I$3000,C264,Однолинейка!$A$3:$A$3000,Щит_спец)+COUNTIFS(Однолинейка!$J$3:$J$3000,C264,Однолинейка!$A$3:$A$3000,Щит_спец)+COUNTIFS(Однолинейка!$K$3:$K$3000,C264,Однолинейка!$A$3:$A$3000,Щит_спец)),IF(A264="Модуль",IF(C264="","",COUNTIFS(Однолинейка!$AW$3:$AW$3000,"?*",Однолинейка!$AI$3:$AI$3000,C264,Однолинейка!$A$3:$A$3000,Щит_спец)),IF(A264="Клемма",IF(C264="","",IF(C264=$S$7,SUMIFS(Однолинейка!$BW$3:$BW$3000,Однолинейка!$A$3:$A$3000,Щит_спец),IF(C264=$S$8,SUMIFS(Однолинейка!$BX$3:$BX$3000,Однолинейка!$A$3:$A$3000,Щит_спец),""))),""))))</f>
        <v/>
      </c>
      <c r="O264" s="74"/>
      <c r="P264" s="38" t="str">
        <f t="shared" si="36"/>
        <v/>
      </c>
      <c r="U264" s="38" t="str">
        <f t="shared" si="37"/>
        <v/>
      </c>
      <c r="V264" s="38" t="str">
        <f t="shared" si="38"/>
        <v/>
      </c>
      <c r="W264" s="38" t="str">
        <f>IF(AND(U264&lt;&gt;"",OR($S$4="(все)",B264=$S$4),IF($S$4="(все)",COUNTIF($U$4:U264,U264),COUNTIFS($U$4:U264,U264,$B$4:B264,B264))=1),MAX($W$3:W263)+1,"")</f>
        <v/>
      </c>
      <c r="X264" s="38" t="str">
        <f t="shared" si="39"/>
        <v/>
      </c>
      <c r="Y264" s="38" t="str">
        <f>IF(AND(A264="Аппарат",C264&lt;&gt;"",OR($S$5="(все)",B264=$S$5)),MAX($Y$3:Y263)+1,"")</f>
        <v/>
      </c>
      <c r="Z264" s="38" t="str">
        <f t="shared" si="40"/>
        <v/>
      </c>
      <c r="AA264" s="38" t="str">
        <f>IF(AND(A264="Модуль",C264&lt;&gt;"",OR($S$6="(все)",B264=$S$6)),MAX($AA$3:AA263)+1,"")</f>
        <v/>
      </c>
      <c r="AB264" s="38" t="str">
        <f t="shared" si="41"/>
        <v/>
      </c>
      <c r="AC264" s="38" t="str">
        <f>IF(OR(B264="",COUNTIF($B$4:B264,B264)&gt;1),"",MAX($AC$3:AC263)+1)</f>
        <v/>
      </c>
      <c r="AD264" s="38" t="str">
        <f t="shared" si="42"/>
        <v/>
      </c>
      <c r="AE264" s="38" t="str">
        <f t="shared" si="43"/>
        <v/>
      </c>
      <c r="AF264" s="38" t="str">
        <f t="shared" si="44"/>
        <v/>
      </c>
    </row>
    <row r="265" spans="1:32" x14ac:dyDescent="0.3">
      <c r="A265" s="74"/>
      <c r="B265" s="74"/>
      <c r="C265" s="74"/>
      <c r="D265" s="74"/>
      <c r="E265" s="74"/>
      <c r="F265" s="74"/>
      <c r="G265" s="74"/>
      <c r="H265" s="74"/>
      <c r="I265" s="74"/>
      <c r="J265" s="74"/>
      <c r="K265" s="74"/>
      <c r="L265" s="74"/>
      <c r="M265" s="74"/>
      <c r="N265" s="38" t="str">
        <f>IF(OR(A265="Автомат",A265="Дифавтомат"),IF(W265="","",COUNTIFS(Однолинейка!$H$3:$H$3000,U265,Однолинейка!$A$3:$A$3000,Щит_спец)),IF(A265="Аппарат",IF(C265="","",COUNTIFS(Однолинейка!$I$3:$I$3000,C265,Однолинейка!$A$3:$A$3000,Щит_спец)+COUNTIFS(Однолинейка!$J$3:$J$3000,C265,Однолинейка!$A$3:$A$3000,Щит_спец)+COUNTIFS(Однолинейка!$K$3:$K$3000,C265,Однолинейка!$A$3:$A$3000,Щит_спец)),IF(A265="Модуль",IF(C265="","",COUNTIFS(Однолинейка!$AW$3:$AW$3000,"?*",Однолинейка!$AI$3:$AI$3000,C265,Однолинейка!$A$3:$A$3000,Щит_спец)),IF(A265="Клемма",IF(C265="","",IF(C265=$S$7,SUMIFS(Однолинейка!$BW$3:$BW$3000,Однолинейка!$A$3:$A$3000,Щит_спец),IF(C265=$S$8,SUMIFS(Однолинейка!$BX$3:$BX$3000,Однолинейка!$A$3:$A$3000,Щит_спец),""))),""))))</f>
        <v/>
      </c>
      <c r="O265" s="74"/>
      <c r="P265" s="38" t="str">
        <f t="shared" si="36"/>
        <v/>
      </c>
      <c r="U265" s="38" t="str">
        <f t="shared" si="37"/>
        <v/>
      </c>
      <c r="V265" s="38" t="str">
        <f t="shared" si="38"/>
        <v/>
      </c>
      <c r="W265" s="38" t="str">
        <f>IF(AND(U265&lt;&gt;"",OR($S$4="(все)",B265=$S$4),IF($S$4="(все)",COUNTIF($U$4:U265,U265),COUNTIFS($U$4:U265,U265,$B$4:B265,B265))=1),MAX($W$3:W264)+1,"")</f>
        <v/>
      </c>
      <c r="X265" s="38" t="str">
        <f t="shared" si="39"/>
        <v/>
      </c>
      <c r="Y265" s="38" t="str">
        <f>IF(AND(A265="Аппарат",C265&lt;&gt;"",OR($S$5="(все)",B265=$S$5)),MAX($Y$3:Y264)+1,"")</f>
        <v/>
      </c>
      <c r="Z265" s="38" t="str">
        <f t="shared" si="40"/>
        <v/>
      </c>
      <c r="AA265" s="38" t="str">
        <f>IF(AND(A265="Модуль",C265&lt;&gt;"",OR($S$6="(все)",B265=$S$6)),MAX($AA$3:AA264)+1,"")</f>
        <v/>
      </c>
      <c r="AB265" s="38" t="str">
        <f t="shared" si="41"/>
        <v/>
      </c>
      <c r="AC265" s="38" t="str">
        <f>IF(OR(B265="",COUNTIF($B$4:B265,B265)&gt;1),"",MAX($AC$3:AC264)+1)</f>
        <v/>
      </c>
      <c r="AD265" s="38" t="str">
        <f t="shared" si="42"/>
        <v/>
      </c>
      <c r="AE265" s="38" t="str">
        <f t="shared" si="43"/>
        <v/>
      </c>
      <c r="AF265" s="38" t="str">
        <f t="shared" si="44"/>
        <v/>
      </c>
    </row>
    <row r="266" spans="1:32" x14ac:dyDescent="0.3">
      <c r="A266" s="74"/>
      <c r="B266" s="74"/>
      <c r="C266" s="74"/>
      <c r="D266" s="74"/>
      <c r="E266" s="74"/>
      <c r="F266" s="74"/>
      <c r="G266" s="74"/>
      <c r="H266" s="74"/>
      <c r="I266" s="74"/>
      <c r="J266" s="74"/>
      <c r="K266" s="74"/>
      <c r="L266" s="74"/>
      <c r="M266" s="74"/>
      <c r="N266" s="38" t="str">
        <f>IF(OR(A266="Автомат",A266="Дифавтомат"),IF(W266="","",COUNTIFS(Однолинейка!$H$3:$H$3000,U266,Однолинейка!$A$3:$A$3000,Щит_спец)),IF(A266="Аппарат",IF(C266="","",COUNTIFS(Однолинейка!$I$3:$I$3000,C266,Однолинейка!$A$3:$A$3000,Щит_спец)+COUNTIFS(Однолинейка!$J$3:$J$3000,C266,Однолинейка!$A$3:$A$3000,Щит_спец)+COUNTIFS(Однолинейка!$K$3:$K$3000,C266,Однолинейка!$A$3:$A$3000,Щит_спец)),IF(A266="Модуль",IF(C266="","",COUNTIFS(Однолинейка!$AW$3:$AW$3000,"?*",Однолинейка!$AI$3:$AI$3000,C266,Однолинейка!$A$3:$A$3000,Щит_спец)),IF(A266="Клемма",IF(C266="","",IF(C266=$S$7,SUMIFS(Однолинейка!$BW$3:$BW$3000,Однолинейка!$A$3:$A$3000,Щит_спец),IF(C266=$S$8,SUMIFS(Однолинейка!$BX$3:$BX$3000,Однолинейка!$A$3:$A$3000,Щит_спец),""))),""))))</f>
        <v/>
      </c>
      <c r="O266" s="74"/>
      <c r="P266" s="38" t="str">
        <f t="shared" si="36"/>
        <v/>
      </c>
      <c r="U266" s="38" t="str">
        <f t="shared" si="37"/>
        <v/>
      </c>
      <c r="V266" s="38" t="str">
        <f t="shared" si="38"/>
        <v/>
      </c>
      <c r="W266" s="38" t="str">
        <f>IF(AND(U266&lt;&gt;"",OR($S$4="(все)",B266=$S$4),IF($S$4="(все)",COUNTIF($U$4:U266,U266),COUNTIFS($U$4:U266,U266,$B$4:B266,B266))=1),MAX($W$3:W265)+1,"")</f>
        <v/>
      </c>
      <c r="X266" s="38" t="str">
        <f t="shared" si="39"/>
        <v/>
      </c>
      <c r="Y266" s="38" t="str">
        <f>IF(AND(A266="Аппарат",C266&lt;&gt;"",OR($S$5="(все)",B266=$S$5)),MAX($Y$3:Y265)+1,"")</f>
        <v/>
      </c>
      <c r="Z266" s="38" t="str">
        <f t="shared" si="40"/>
        <v/>
      </c>
      <c r="AA266" s="38" t="str">
        <f>IF(AND(A266="Модуль",C266&lt;&gt;"",OR($S$6="(все)",B266=$S$6)),MAX($AA$3:AA265)+1,"")</f>
        <v/>
      </c>
      <c r="AB266" s="38" t="str">
        <f t="shared" si="41"/>
        <v/>
      </c>
      <c r="AC266" s="38" t="str">
        <f>IF(OR(B266="",COUNTIF($B$4:B266,B266)&gt;1),"",MAX($AC$3:AC265)+1)</f>
        <v/>
      </c>
      <c r="AD266" s="38" t="str">
        <f t="shared" si="42"/>
        <v/>
      </c>
      <c r="AE266" s="38" t="str">
        <f t="shared" si="43"/>
        <v/>
      </c>
      <c r="AF266" s="38" t="str">
        <f t="shared" si="44"/>
        <v/>
      </c>
    </row>
    <row r="267" spans="1:32" x14ac:dyDescent="0.3">
      <c r="A267" s="74"/>
      <c r="B267" s="74"/>
      <c r="C267" s="74"/>
      <c r="D267" s="74"/>
      <c r="E267" s="74"/>
      <c r="F267" s="74"/>
      <c r="G267" s="74"/>
      <c r="H267" s="74"/>
      <c r="I267" s="74"/>
      <c r="J267" s="74"/>
      <c r="K267" s="74"/>
      <c r="L267" s="74"/>
      <c r="M267" s="74"/>
      <c r="N267" s="38" t="str">
        <f>IF(OR(A267="Автомат",A267="Дифавтомат"),IF(W267="","",COUNTIFS(Однолинейка!$H$3:$H$3000,U267,Однолинейка!$A$3:$A$3000,Щит_спец)),IF(A267="Аппарат",IF(C267="","",COUNTIFS(Однолинейка!$I$3:$I$3000,C267,Однолинейка!$A$3:$A$3000,Щит_спец)+COUNTIFS(Однолинейка!$J$3:$J$3000,C267,Однолинейка!$A$3:$A$3000,Щит_спец)+COUNTIFS(Однолинейка!$K$3:$K$3000,C267,Однолинейка!$A$3:$A$3000,Щит_спец)),IF(A267="Модуль",IF(C267="","",COUNTIFS(Однолинейка!$AW$3:$AW$3000,"?*",Однолинейка!$AI$3:$AI$3000,C267,Однолинейка!$A$3:$A$3000,Щит_спец)),IF(A267="Клемма",IF(C267="","",IF(C267=$S$7,SUMIFS(Однолинейка!$BW$3:$BW$3000,Однолинейка!$A$3:$A$3000,Щит_спец),IF(C267=$S$8,SUMIFS(Однолинейка!$BX$3:$BX$3000,Однолинейка!$A$3:$A$3000,Щит_спец),""))),""))))</f>
        <v/>
      </c>
      <c r="O267" s="74"/>
      <c r="P267" s="38" t="str">
        <f t="shared" si="36"/>
        <v/>
      </c>
      <c r="U267" s="38" t="str">
        <f t="shared" si="37"/>
        <v/>
      </c>
      <c r="V267" s="38" t="str">
        <f t="shared" si="38"/>
        <v/>
      </c>
      <c r="W267" s="38" t="str">
        <f>IF(AND(U267&lt;&gt;"",OR($S$4="(все)",B267=$S$4),IF($S$4="(все)",COUNTIF($U$4:U267,U267),COUNTIFS($U$4:U267,U267,$B$4:B267,B267))=1),MAX($W$3:W266)+1,"")</f>
        <v/>
      </c>
      <c r="X267" s="38" t="str">
        <f t="shared" si="39"/>
        <v/>
      </c>
      <c r="Y267" s="38" t="str">
        <f>IF(AND(A267="Аппарат",C267&lt;&gt;"",OR($S$5="(все)",B267=$S$5)),MAX($Y$3:Y266)+1,"")</f>
        <v/>
      </c>
      <c r="Z267" s="38" t="str">
        <f t="shared" si="40"/>
        <v/>
      </c>
      <c r="AA267" s="38" t="str">
        <f>IF(AND(A267="Модуль",C267&lt;&gt;"",OR($S$6="(все)",B267=$S$6)),MAX($AA$3:AA266)+1,"")</f>
        <v/>
      </c>
      <c r="AB267" s="38" t="str">
        <f t="shared" si="41"/>
        <v/>
      </c>
      <c r="AC267" s="38" t="str">
        <f>IF(OR(B267="",COUNTIF($B$4:B267,B267)&gt;1),"",MAX($AC$3:AC266)+1)</f>
        <v/>
      </c>
      <c r="AD267" s="38" t="str">
        <f t="shared" si="42"/>
        <v/>
      </c>
      <c r="AE267" s="38" t="str">
        <f t="shared" si="43"/>
        <v/>
      </c>
      <c r="AF267" s="38" t="str">
        <f t="shared" si="44"/>
        <v/>
      </c>
    </row>
    <row r="268" spans="1:32" x14ac:dyDescent="0.3">
      <c r="A268" s="74"/>
      <c r="B268" s="74"/>
      <c r="C268" s="74"/>
      <c r="D268" s="74"/>
      <c r="E268" s="74"/>
      <c r="F268" s="74"/>
      <c r="G268" s="74"/>
      <c r="H268" s="74"/>
      <c r="I268" s="74"/>
      <c r="J268" s="74"/>
      <c r="K268" s="74"/>
      <c r="L268" s="74"/>
      <c r="M268" s="74"/>
      <c r="N268" s="38" t="str">
        <f>IF(OR(A268="Автомат",A268="Дифавтомат"),IF(W268="","",COUNTIFS(Однолинейка!$H$3:$H$3000,U268,Однолинейка!$A$3:$A$3000,Щит_спец)),IF(A268="Аппарат",IF(C268="","",COUNTIFS(Однолинейка!$I$3:$I$3000,C268,Однолинейка!$A$3:$A$3000,Щит_спец)+COUNTIFS(Однолинейка!$J$3:$J$3000,C268,Однолинейка!$A$3:$A$3000,Щит_спец)+COUNTIFS(Однолинейка!$K$3:$K$3000,C268,Однолинейка!$A$3:$A$3000,Щит_спец)),IF(A268="Модуль",IF(C268="","",COUNTIFS(Однолинейка!$AW$3:$AW$3000,"?*",Однолинейка!$AI$3:$AI$3000,C268,Однолинейка!$A$3:$A$3000,Щит_спец)),IF(A268="Клемма",IF(C268="","",IF(C268=$S$7,SUMIFS(Однолинейка!$BW$3:$BW$3000,Однолинейка!$A$3:$A$3000,Щит_спец),IF(C268=$S$8,SUMIFS(Однолинейка!$BX$3:$BX$3000,Однолинейка!$A$3:$A$3000,Щит_спец),""))),""))))</f>
        <v/>
      </c>
      <c r="O268" s="74"/>
      <c r="P268" s="38" t="str">
        <f t="shared" si="36"/>
        <v/>
      </c>
      <c r="U268" s="38" t="str">
        <f t="shared" si="37"/>
        <v/>
      </c>
      <c r="V268" s="38" t="str">
        <f t="shared" si="38"/>
        <v/>
      </c>
      <c r="W268" s="38" t="str">
        <f>IF(AND(U268&lt;&gt;"",OR($S$4="(все)",B268=$S$4),IF($S$4="(все)",COUNTIF($U$4:U268,U268),COUNTIFS($U$4:U268,U268,$B$4:B268,B268))=1),MAX($W$3:W267)+1,"")</f>
        <v/>
      </c>
      <c r="X268" s="38" t="str">
        <f t="shared" si="39"/>
        <v/>
      </c>
      <c r="Y268" s="38" t="str">
        <f>IF(AND(A268="Аппарат",C268&lt;&gt;"",OR($S$5="(все)",B268=$S$5)),MAX($Y$3:Y267)+1,"")</f>
        <v/>
      </c>
      <c r="Z268" s="38" t="str">
        <f t="shared" si="40"/>
        <v/>
      </c>
      <c r="AA268" s="38" t="str">
        <f>IF(AND(A268="Модуль",C268&lt;&gt;"",OR($S$6="(все)",B268=$S$6)),MAX($AA$3:AA267)+1,"")</f>
        <v/>
      </c>
      <c r="AB268" s="38" t="str">
        <f t="shared" si="41"/>
        <v/>
      </c>
      <c r="AC268" s="38" t="str">
        <f>IF(OR(B268="",COUNTIF($B$4:B268,B268)&gt;1),"",MAX($AC$3:AC267)+1)</f>
        <v/>
      </c>
      <c r="AD268" s="38" t="str">
        <f t="shared" si="42"/>
        <v/>
      </c>
      <c r="AE268" s="38" t="str">
        <f t="shared" si="43"/>
        <v/>
      </c>
      <c r="AF268" s="38" t="str">
        <f t="shared" si="44"/>
        <v/>
      </c>
    </row>
    <row r="269" spans="1:32" x14ac:dyDescent="0.3">
      <c r="A269" s="74"/>
      <c r="B269" s="74"/>
      <c r="C269" s="74"/>
      <c r="D269" s="74"/>
      <c r="E269" s="74"/>
      <c r="F269" s="74"/>
      <c r="G269" s="74"/>
      <c r="H269" s="74"/>
      <c r="I269" s="74"/>
      <c r="J269" s="74"/>
      <c r="K269" s="74"/>
      <c r="L269" s="74"/>
      <c r="M269" s="74"/>
      <c r="N269" s="38" t="str">
        <f>IF(OR(A269="Автомат",A269="Дифавтомат"),IF(W269="","",COUNTIFS(Однолинейка!$H$3:$H$3000,U269,Однолинейка!$A$3:$A$3000,Щит_спец)),IF(A269="Аппарат",IF(C269="","",COUNTIFS(Однолинейка!$I$3:$I$3000,C269,Однолинейка!$A$3:$A$3000,Щит_спец)+COUNTIFS(Однолинейка!$J$3:$J$3000,C269,Однолинейка!$A$3:$A$3000,Щит_спец)+COUNTIFS(Однолинейка!$K$3:$K$3000,C269,Однолинейка!$A$3:$A$3000,Щит_спец)),IF(A269="Модуль",IF(C269="","",COUNTIFS(Однолинейка!$AW$3:$AW$3000,"?*",Однолинейка!$AI$3:$AI$3000,C269,Однолинейка!$A$3:$A$3000,Щит_спец)),IF(A269="Клемма",IF(C269="","",IF(C269=$S$7,SUMIFS(Однолинейка!$BW$3:$BW$3000,Однолинейка!$A$3:$A$3000,Щит_спец),IF(C269=$S$8,SUMIFS(Однолинейка!$BX$3:$BX$3000,Однолинейка!$A$3:$A$3000,Щит_спец),""))),""))))</f>
        <v/>
      </c>
      <c r="O269" s="74"/>
      <c r="P269" s="38" t="str">
        <f t="shared" si="36"/>
        <v/>
      </c>
      <c r="U269" s="38" t="str">
        <f t="shared" si="37"/>
        <v/>
      </c>
      <c r="V269" s="38" t="str">
        <f t="shared" si="38"/>
        <v/>
      </c>
      <c r="W269" s="38" t="str">
        <f>IF(AND(U269&lt;&gt;"",OR($S$4="(все)",B269=$S$4),IF($S$4="(все)",COUNTIF($U$4:U269,U269),COUNTIFS($U$4:U269,U269,$B$4:B269,B269))=1),MAX($W$3:W268)+1,"")</f>
        <v/>
      </c>
      <c r="X269" s="38" t="str">
        <f t="shared" si="39"/>
        <v/>
      </c>
      <c r="Y269" s="38" t="str">
        <f>IF(AND(A269="Аппарат",C269&lt;&gt;"",OR($S$5="(все)",B269=$S$5)),MAX($Y$3:Y268)+1,"")</f>
        <v/>
      </c>
      <c r="Z269" s="38" t="str">
        <f t="shared" si="40"/>
        <v/>
      </c>
      <c r="AA269" s="38" t="str">
        <f>IF(AND(A269="Модуль",C269&lt;&gt;"",OR($S$6="(все)",B269=$S$6)),MAX($AA$3:AA268)+1,"")</f>
        <v/>
      </c>
      <c r="AB269" s="38" t="str">
        <f t="shared" si="41"/>
        <v/>
      </c>
      <c r="AC269" s="38" t="str">
        <f>IF(OR(B269="",COUNTIF($B$4:B269,B269)&gt;1),"",MAX($AC$3:AC268)+1)</f>
        <v/>
      </c>
      <c r="AD269" s="38" t="str">
        <f t="shared" si="42"/>
        <v/>
      </c>
      <c r="AE269" s="38" t="str">
        <f t="shared" si="43"/>
        <v/>
      </c>
      <c r="AF269" s="38" t="str">
        <f t="shared" si="44"/>
        <v/>
      </c>
    </row>
    <row r="270" spans="1:32" x14ac:dyDescent="0.3">
      <c r="A270" s="74"/>
      <c r="B270" s="74"/>
      <c r="C270" s="74"/>
      <c r="D270" s="74"/>
      <c r="E270" s="74"/>
      <c r="F270" s="74"/>
      <c r="G270" s="74"/>
      <c r="H270" s="74"/>
      <c r="I270" s="74"/>
      <c r="J270" s="74"/>
      <c r="K270" s="74"/>
      <c r="L270" s="74"/>
      <c r="M270" s="74"/>
      <c r="N270" s="38" t="str">
        <f>IF(OR(A270="Автомат",A270="Дифавтомат"),IF(W270="","",COUNTIFS(Однолинейка!$H$3:$H$3000,U270,Однолинейка!$A$3:$A$3000,Щит_спец)),IF(A270="Аппарат",IF(C270="","",COUNTIFS(Однолинейка!$I$3:$I$3000,C270,Однолинейка!$A$3:$A$3000,Щит_спец)+COUNTIFS(Однолинейка!$J$3:$J$3000,C270,Однолинейка!$A$3:$A$3000,Щит_спец)+COUNTIFS(Однолинейка!$K$3:$K$3000,C270,Однолинейка!$A$3:$A$3000,Щит_спец)),IF(A270="Модуль",IF(C270="","",COUNTIFS(Однолинейка!$AW$3:$AW$3000,"?*",Однолинейка!$AI$3:$AI$3000,C270,Однолинейка!$A$3:$A$3000,Щит_спец)),IF(A270="Клемма",IF(C270="","",IF(C270=$S$7,SUMIFS(Однолинейка!$BW$3:$BW$3000,Однолинейка!$A$3:$A$3000,Щит_спец),IF(C270=$S$8,SUMIFS(Однолинейка!$BX$3:$BX$3000,Однолинейка!$A$3:$A$3000,Щит_спец),""))),""))))</f>
        <v/>
      </c>
      <c r="O270" s="74"/>
      <c r="P270" s="38" t="str">
        <f t="shared" si="36"/>
        <v/>
      </c>
      <c r="U270" s="38" t="str">
        <f t="shared" si="37"/>
        <v/>
      </c>
      <c r="V270" s="38" t="str">
        <f t="shared" si="38"/>
        <v/>
      </c>
      <c r="W270" s="38" t="str">
        <f>IF(AND(U270&lt;&gt;"",OR($S$4="(все)",B270=$S$4),IF($S$4="(все)",COUNTIF($U$4:U270,U270),COUNTIFS($U$4:U270,U270,$B$4:B270,B270))=1),MAX($W$3:W269)+1,"")</f>
        <v/>
      </c>
      <c r="X270" s="38" t="str">
        <f t="shared" si="39"/>
        <v/>
      </c>
      <c r="Y270" s="38" t="str">
        <f>IF(AND(A270="Аппарат",C270&lt;&gt;"",OR($S$5="(все)",B270=$S$5)),MAX($Y$3:Y269)+1,"")</f>
        <v/>
      </c>
      <c r="Z270" s="38" t="str">
        <f t="shared" si="40"/>
        <v/>
      </c>
      <c r="AA270" s="38" t="str">
        <f>IF(AND(A270="Модуль",C270&lt;&gt;"",OR($S$6="(все)",B270=$S$6)),MAX($AA$3:AA269)+1,"")</f>
        <v/>
      </c>
      <c r="AB270" s="38" t="str">
        <f t="shared" si="41"/>
        <v/>
      </c>
      <c r="AC270" s="38" t="str">
        <f>IF(OR(B270="",COUNTIF($B$4:B270,B270)&gt;1),"",MAX($AC$3:AC269)+1)</f>
        <v/>
      </c>
      <c r="AD270" s="38" t="str">
        <f t="shared" si="42"/>
        <v/>
      </c>
      <c r="AE270" s="38" t="str">
        <f t="shared" si="43"/>
        <v/>
      </c>
      <c r="AF270" s="38" t="str">
        <f t="shared" si="44"/>
        <v/>
      </c>
    </row>
    <row r="271" spans="1:32" x14ac:dyDescent="0.3">
      <c r="A271" s="74"/>
      <c r="B271" s="74"/>
      <c r="C271" s="74"/>
      <c r="D271" s="74"/>
      <c r="E271" s="74"/>
      <c r="F271" s="74"/>
      <c r="G271" s="74"/>
      <c r="H271" s="74"/>
      <c r="I271" s="74"/>
      <c r="J271" s="74"/>
      <c r="K271" s="74"/>
      <c r="L271" s="74"/>
      <c r="M271" s="74"/>
      <c r="N271" s="38" t="str">
        <f>IF(OR(A271="Автомат",A271="Дифавтомат"),IF(W271="","",COUNTIFS(Однолинейка!$H$3:$H$3000,U271,Однолинейка!$A$3:$A$3000,Щит_спец)),IF(A271="Аппарат",IF(C271="","",COUNTIFS(Однолинейка!$I$3:$I$3000,C271,Однолинейка!$A$3:$A$3000,Щит_спец)+COUNTIFS(Однолинейка!$J$3:$J$3000,C271,Однолинейка!$A$3:$A$3000,Щит_спец)+COUNTIFS(Однолинейка!$K$3:$K$3000,C271,Однолинейка!$A$3:$A$3000,Щит_спец)),IF(A271="Модуль",IF(C271="","",COUNTIFS(Однолинейка!$AW$3:$AW$3000,"?*",Однолинейка!$AI$3:$AI$3000,C271,Однолинейка!$A$3:$A$3000,Щит_спец)),IF(A271="Клемма",IF(C271="","",IF(C271=$S$7,SUMIFS(Однолинейка!$BW$3:$BW$3000,Однолинейка!$A$3:$A$3000,Щит_спец),IF(C271=$S$8,SUMIFS(Однолинейка!$BX$3:$BX$3000,Однолинейка!$A$3:$A$3000,Щит_спец),""))),""))))</f>
        <v/>
      </c>
      <c r="O271" s="74"/>
      <c r="P271" s="38" t="str">
        <f t="shared" si="36"/>
        <v/>
      </c>
      <c r="U271" s="38" t="str">
        <f t="shared" si="37"/>
        <v/>
      </c>
      <c r="V271" s="38" t="str">
        <f t="shared" si="38"/>
        <v/>
      </c>
      <c r="W271" s="38" t="str">
        <f>IF(AND(U271&lt;&gt;"",OR($S$4="(все)",B271=$S$4),IF($S$4="(все)",COUNTIF($U$4:U271,U271),COUNTIFS($U$4:U271,U271,$B$4:B271,B271))=1),MAX($W$3:W270)+1,"")</f>
        <v/>
      </c>
      <c r="X271" s="38" t="str">
        <f t="shared" si="39"/>
        <v/>
      </c>
      <c r="Y271" s="38" t="str">
        <f>IF(AND(A271="Аппарат",C271&lt;&gt;"",OR($S$5="(все)",B271=$S$5)),MAX($Y$3:Y270)+1,"")</f>
        <v/>
      </c>
      <c r="Z271" s="38" t="str">
        <f t="shared" si="40"/>
        <v/>
      </c>
      <c r="AA271" s="38" t="str">
        <f>IF(AND(A271="Модуль",C271&lt;&gt;"",OR($S$6="(все)",B271=$S$6)),MAX($AA$3:AA270)+1,"")</f>
        <v/>
      </c>
      <c r="AB271" s="38" t="str">
        <f t="shared" si="41"/>
        <v/>
      </c>
      <c r="AC271" s="38" t="str">
        <f>IF(OR(B271="",COUNTIF($B$4:B271,B271)&gt;1),"",MAX($AC$3:AC270)+1)</f>
        <v/>
      </c>
      <c r="AD271" s="38" t="str">
        <f t="shared" si="42"/>
        <v/>
      </c>
      <c r="AE271" s="38" t="str">
        <f t="shared" si="43"/>
        <v/>
      </c>
      <c r="AF271" s="38" t="str">
        <f t="shared" si="44"/>
        <v/>
      </c>
    </row>
    <row r="272" spans="1:32" x14ac:dyDescent="0.3">
      <c r="A272" s="74"/>
      <c r="B272" s="74"/>
      <c r="C272" s="74"/>
      <c r="D272" s="74"/>
      <c r="E272" s="74"/>
      <c r="F272" s="74"/>
      <c r="G272" s="74"/>
      <c r="H272" s="74"/>
      <c r="I272" s="74"/>
      <c r="J272" s="74"/>
      <c r="K272" s="74"/>
      <c r="L272" s="74"/>
      <c r="M272" s="74"/>
      <c r="N272" s="38" t="str">
        <f>IF(OR(A272="Автомат",A272="Дифавтомат"),IF(W272="","",COUNTIFS(Однолинейка!$H$3:$H$3000,U272,Однолинейка!$A$3:$A$3000,Щит_спец)),IF(A272="Аппарат",IF(C272="","",COUNTIFS(Однолинейка!$I$3:$I$3000,C272,Однолинейка!$A$3:$A$3000,Щит_спец)+COUNTIFS(Однолинейка!$J$3:$J$3000,C272,Однолинейка!$A$3:$A$3000,Щит_спец)+COUNTIFS(Однолинейка!$K$3:$K$3000,C272,Однолинейка!$A$3:$A$3000,Щит_спец)),IF(A272="Модуль",IF(C272="","",COUNTIFS(Однолинейка!$AW$3:$AW$3000,"?*",Однолинейка!$AI$3:$AI$3000,C272,Однолинейка!$A$3:$A$3000,Щит_спец)),IF(A272="Клемма",IF(C272="","",IF(C272=$S$7,SUMIFS(Однолинейка!$BW$3:$BW$3000,Однолинейка!$A$3:$A$3000,Щит_спец),IF(C272=$S$8,SUMIFS(Однолинейка!$BX$3:$BX$3000,Однолинейка!$A$3:$A$3000,Щит_спец),""))),""))))</f>
        <v/>
      </c>
      <c r="O272" s="74"/>
      <c r="P272" s="38" t="str">
        <f t="shared" si="36"/>
        <v/>
      </c>
      <c r="U272" s="38" t="str">
        <f t="shared" si="37"/>
        <v/>
      </c>
      <c r="V272" s="38" t="str">
        <f t="shared" si="38"/>
        <v/>
      </c>
      <c r="W272" s="38" t="str">
        <f>IF(AND(U272&lt;&gt;"",OR($S$4="(все)",B272=$S$4),IF($S$4="(все)",COUNTIF($U$4:U272,U272),COUNTIFS($U$4:U272,U272,$B$4:B272,B272))=1),MAX($W$3:W271)+1,"")</f>
        <v/>
      </c>
      <c r="X272" s="38" t="str">
        <f t="shared" si="39"/>
        <v/>
      </c>
      <c r="Y272" s="38" t="str">
        <f>IF(AND(A272="Аппарат",C272&lt;&gt;"",OR($S$5="(все)",B272=$S$5)),MAX($Y$3:Y271)+1,"")</f>
        <v/>
      </c>
      <c r="Z272" s="38" t="str">
        <f t="shared" si="40"/>
        <v/>
      </c>
      <c r="AA272" s="38" t="str">
        <f>IF(AND(A272="Модуль",C272&lt;&gt;"",OR($S$6="(все)",B272=$S$6)),MAX($AA$3:AA271)+1,"")</f>
        <v/>
      </c>
      <c r="AB272" s="38" t="str">
        <f t="shared" si="41"/>
        <v/>
      </c>
      <c r="AC272" s="38" t="str">
        <f>IF(OR(B272="",COUNTIF($B$4:B272,B272)&gt;1),"",MAX($AC$3:AC271)+1)</f>
        <v/>
      </c>
      <c r="AD272" s="38" t="str">
        <f t="shared" si="42"/>
        <v/>
      </c>
      <c r="AE272" s="38" t="str">
        <f t="shared" si="43"/>
        <v/>
      </c>
      <c r="AF272" s="38" t="str">
        <f t="shared" si="44"/>
        <v/>
      </c>
    </row>
    <row r="273" spans="1:32" x14ac:dyDescent="0.3">
      <c r="A273" s="74"/>
      <c r="B273" s="74"/>
      <c r="C273" s="74"/>
      <c r="D273" s="74"/>
      <c r="E273" s="74"/>
      <c r="F273" s="74"/>
      <c r="G273" s="74"/>
      <c r="H273" s="74"/>
      <c r="I273" s="74"/>
      <c r="J273" s="74"/>
      <c r="K273" s="74"/>
      <c r="L273" s="74"/>
      <c r="M273" s="74"/>
      <c r="N273" s="38" t="str">
        <f>IF(OR(A273="Автомат",A273="Дифавтомат"),IF(W273="","",COUNTIFS(Однолинейка!$H$3:$H$3000,U273,Однолинейка!$A$3:$A$3000,Щит_спец)),IF(A273="Аппарат",IF(C273="","",COUNTIFS(Однолинейка!$I$3:$I$3000,C273,Однолинейка!$A$3:$A$3000,Щит_спец)+COUNTIFS(Однолинейка!$J$3:$J$3000,C273,Однолинейка!$A$3:$A$3000,Щит_спец)+COUNTIFS(Однолинейка!$K$3:$K$3000,C273,Однолинейка!$A$3:$A$3000,Щит_спец)),IF(A273="Модуль",IF(C273="","",COUNTIFS(Однолинейка!$AW$3:$AW$3000,"?*",Однолинейка!$AI$3:$AI$3000,C273,Однолинейка!$A$3:$A$3000,Щит_спец)),IF(A273="Клемма",IF(C273="","",IF(C273=$S$7,SUMIFS(Однолинейка!$BW$3:$BW$3000,Однолинейка!$A$3:$A$3000,Щит_спец),IF(C273=$S$8,SUMIFS(Однолинейка!$BX$3:$BX$3000,Однолинейка!$A$3:$A$3000,Щит_спец),""))),""))))</f>
        <v/>
      </c>
      <c r="O273" s="74"/>
      <c r="P273" s="38" t="str">
        <f t="shared" si="36"/>
        <v/>
      </c>
      <c r="U273" s="38" t="str">
        <f t="shared" si="37"/>
        <v/>
      </c>
      <c r="V273" s="38" t="str">
        <f t="shared" si="38"/>
        <v/>
      </c>
      <c r="W273" s="38" t="str">
        <f>IF(AND(U273&lt;&gt;"",OR($S$4="(все)",B273=$S$4),IF($S$4="(все)",COUNTIF($U$4:U273,U273),COUNTIFS($U$4:U273,U273,$B$4:B273,B273))=1),MAX($W$3:W272)+1,"")</f>
        <v/>
      </c>
      <c r="X273" s="38" t="str">
        <f t="shared" si="39"/>
        <v/>
      </c>
      <c r="Y273" s="38" t="str">
        <f>IF(AND(A273="Аппарат",C273&lt;&gt;"",OR($S$5="(все)",B273=$S$5)),MAX($Y$3:Y272)+1,"")</f>
        <v/>
      </c>
      <c r="Z273" s="38" t="str">
        <f t="shared" si="40"/>
        <v/>
      </c>
      <c r="AA273" s="38" t="str">
        <f>IF(AND(A273="Модуль",C273&lt;&gt;"",OR($S$6="(все)",B273=$S$6)),MAX($AA$3:AA272)+1,"")</f>
        <v/>
      </c>
      <c r="AB273" s="38" t="str">
        <f t="shared" si="41"/>
        <v/>
      </c>
      <c r="AC273" s="38" t="str">
        <f>IF(OR(B273="",COUNTIF($B$4:B273,B273)&gt;1),"",MAX($AC$3:AC272)+1)</f>
        <v/>
      </c>
      <c r="AD273" s="38" t="str">
        <f t="shared" si="42"/>
        <v/>
      </c>
      <c r="AE273" s="38" t="str">
        <f t="shared" si="43"/>
        <v/>
      </c>
      <c r="AF273" s="38" t="str">
        <f t="shared" si="44"/>
        <v/>
      </c>
    </row>
    <row r="274" spans="1:32" x14ac:dyDescent="0.3">
      <c r="A274" s="74"/>
      <c r="B274" s="74"/>
      <c r="C274" s="74"/>
      <c r="D274" s="74"/>
      <c r="E274" s="74"/>
      <c r="F274" s="74"/>
      <c r="G274" s="74"/>
      <c r="H274" s="74"/>
      <c r="I274" s="74"/>
      <c r="J274" s="74"/>
      <c r="K274" s="74"/>
      <c r="L274" s="74"/>
      <c r="M274" s="74"/>
      <c r="N274" s="38" t="str">
        <f>IF(OR(A274="Автомат",A274="Дифавтомат"),IF(W274="","",COUNTIFS(Однолинейка!$H$3:$H$3000,U274,Однолинейка!$A$3:$A$3000,Щит_спец)),IF(A274="Аппарат",IF(C274="","",COUNTIFS(Однолинейка!$I$3:$I$3000,C274,Однолинейка!$A$3:$A$3000,Щит_спец)+COUNTIFS(Однолинейка!$J$3:$J$3000,C274,Однолинейка!$A$3:$A$3000,Щит_спец)+COUNTIFS(Однолинейка!$K$3:$K$3000,C274,Однолинейка!$A$3:$A$3000,Щит_спец)),IF(A274="Модуль",IF(C274="","",COUNTIFS(Однолинейка!$AW$3:$AW$3000,"?*",Однолинейка!$AI$3:$AI$3000,C274,Однолинейка!$A$3:$A$3000,Щит_спец)),IF(A274="Клемма",IF(C274="","",IF(C274=$S$7,SUMIFS(Однолинейка!$BW$3:$BW$3000,Однолинейка!$A$3:$A$3000,Щит_спец),IF(C274=$S$8,SUMIFS(Однолинейка!$BX$3:$BX$3000,Однолинейка!$A$3:$A$3000,Щит_спец),""))),""))))</f>
        <v/>
      </c>
      <c r="O274" s="74"/>
      <c r="P274" s="38" t="str">
        <f t="shared" si="36"/>
        <v/>
      </c>
      <c r="U274" s="38" t="str">
        <f t="shared" si="37"/>
        <v/>
      </c>
      <c r="V274" s="38" t="str">
        <f t="shared" si="38"/>
        <v/>
      </c>
      <c r="W274" s="38" t="str">
        <f>IF(AND(U274&lt;&gt;"",OR($S$4="(все)",B274=$S$4),IF($S$4="(все)",COUNTIF($U$4:U274,U274),COUNTIFS($U$4:U274,U274,$B$4:B274,B274))=1),MAX($W$3:W273)+1,"")</f>
        <v/>
      </c>
      <c r="X274" s="38" t="str">
        <f t="shared" si="39"/>
        <v/>
      </c>
      <c r="Y274" s="38" t="str">
        <f>IF(AND(A274="Аппарат",C274&lt;&gt;"",OR($S$5="(все)",B274=$S$5)),MAX($Y$3:Y273)+1,"")</f>
        <v/>
      </c>
      <c r="Z274" s="38" t="str">
        <f t="shared" si="40"/>
        <v/>
      </c>
      <c r="AA274" s="38" t="str">
        <f>IF(AND(A274="Модуль",C274&lt;&gt;"",OR($S$6="(все)",B274=$S$6)),MAX($AA$3:AA273)+1,"")</f>
        <v/>
      </c>
      <c r="AB274" s="38" t="str">
        <f t="shared" si="41"/>
        <v/>
      </c>
      <c r="AC274" s="38" t="str">
        <f>IF(OR(B274="",COUNTIF($B$4:B274,B274)&gt;1),"",MAX($AC$3:AC273)+1)</f>
        <v/>
      </c>
      <c r="AD274" s="38" t="str">
        <f t="shared" si="42"/>
        <v/>
      </c>
      <c r="AE274" s="38" t="str">
        <f t="shared" si="43"/>
        <v/>
      </c>
      <c r="AF274" s="38" t="str">
        <f t="shared" si="44"/>
        <v/>
      </c>
    </row>
    <row r="275" spans="1:32" x14ac:dyDescent="0.3">
      <c r="A275" s="74"/>
      <c r="B275" s="74"/>
      <c r="C275" s="74"/>
      <c r="D275" s="74"/>
      <c r="E275" s="74"/>
      <c r="F275" s="74"/>
      <c r="G275" s="74"/>
      <c r="H275" s="74"/>
      <c r="I275" s="74"/>
      <c r="J275" s="74"/>
      <c r="K275" s="74"/>
      <c r="L275" s="74"/>
      <c r="M275" s="74"/>
      <c r="N275" s="38" t="str">
        <f>IF(OR(A275="Автомат",A275="Дифавтомат"),IF(W275="","",COUNTIFS(Однолинейка!$H$3:$H$3000,U275,Однолинейка!$A$3:$A$3000,Щит_спец)),IF(A275="Аппарат",IF(C275="","",COUNTIFS(Однолинейка!$I$3:$I$3000,C275,Однолинейка!$A$3:$A$3000,Щит_спец)+COUNTIFS(Однолинейка!$J$3:$J$3000,C275,Однолинейка!$A$3:$A$3000,Щит_спец)+COUNTIFS(Однолинейка!$K$3:$K$3000,C275,Однолинейка!$A$3:$A$3000,Щит_спец)),IF(A275="Модуль",IF(C275="","",COUNTIFS(Однолинейка!$AW$3:$AW$3000,"?*",Однолинейка!$AI$3:$AI$3000,C275,Однолинейка!$A$3:$A$3000,Щит_спец)),IF(A275="Клемма",IF(C275="","",IF(C275=$S$7,SUMIFS(Однолинейка!$BW$3:$BW$3000,Однолинейка!$A$3:$A$3000,Щит_спец),IF(C275=$S$8,SUMIFS(Однолинейка!$BX$3:$BX$3000,Однолинейка!$A$3:$A$3000,Щит_спец),""))),""))))</f>
        <v/>
      </c>
      <c r="O275" s="74"/>
      <c r="P275" s="38" t="str">
        <f t="shared" si="36"/>
        <v/>
      </c>
      <c r="U275" s="38" t="str">
        <f t="shared" si="37"/>
        <v/>
      </c>
      <c r="V275" s="38" t="str">
        <f t="shared" si="38"/>
        <v/>
      </c>
      <c r="W275" s="38" t="str">
        <f>IF(AND(U275&lt;&gt;"",OR($S$4="(все)",B275=$S$4),IF($S$4="(все)",COUNTIF($U$4:U275,U275),COUNTIFS($U$4:U275,U275,$B$4:B275,B275))=1),MAX($W$3:W274)+1,"")</f>
        <v/>
      </c>
      <c r="X275" s="38" t="str">
        <f t="shared" si="39"/>
        <v/>
      </c>
      <c r="Y275" s="38" t="str">
        <f>IF(AND(A275="Аппарат",C275&lt;&gt;"",OR($S$5="(все)",B275=$S$5)),MAX($Y$3:Y274)+1,"")</f>
        <v/>
      </c>
      <c r="Z275" s="38" t="str">
        <f t="shared" si="40"/>
        <v/>
      </c>
      <c r="AA275" s="38" t="str">
        <f>IF(AND(A275="Модуль",C275&lt;&gt;"",OR($S$6="(все)",B275=$S$6)),MAX($AA$3:AA274)+1,"")</f>
        <v/>
      </c>
      <c r="AB275" s="38" t="str">
        <f t="shared" si="41"/>
        <v/>
      </c>
      <c r="AC275" s="38" t="str">
        <f>IF(OR(B275="",COUNTIF($B$4:B275,B275)&gt;1),"",MAX($AC$3:AC274)+1)</f>
        <v/>
      </c>
      <c r="AD275" s="38" t="str">
        <f t="shared" si="42"/>
        <v/>
      </c>
      <c r="AE275" s="38" t="str">
        <f t="shared" si="43"/>
        <v/>
      </c>
      <c r="AF275" s="38" t="str">
        <f t="shared" si="44"/>
        <v/>
      </c>
    </row>
    <row r="276" spans="1:32" x14ac:dyDescent="0.3">
      <c r="A276" s="74"/>
      <c r="B276" s="74"/>
      <c r="C276" s="74"/>
      <c r="D276" s="74"/>
      <c r="E276" s="74"/>
      <c r="F276" s="74"/>
      <c r="G276" s="74"/>
      <c r="H276" s="74"/>
      <c r="I276" s="74"/>
      <c r="J276" s="74"/>
      <c r="K276" s="74"/>
      <c r="L276" s="74"/>
      <c r="M276" s="74"/>
      <c r="N276" s="38" t="str">
        <f>IF(OR(A276="Автомат",A276="Дифавтомат"),IF(W276="","",COUNTIFS(Однолинейка!$H$3:$H$3000,U276,Однолинейка!$A$3:$A$3000,Щит_спец)),IF(A276="Аппарат",IF(C276="","",COUNTIFS(Однолинейка!$I$3:$I$3000,C276,Однолинейка!$A$3:$A$3000,Щит_спец)+COUNTIFS(Однолинейка!$J$3:$J$3000,C276,Однолинейка!$A$3:$A$3000,Щит_спец)+COUNTIFS(Однолинейка!$K$3:$K$3000,C276,Однолинейка!$A$3:$A$3000,Щит_спец)),IF(A276="Модуль",IF(C276="","",COUNTIFS(Однолинейка!$AW$3:$AW$3000,"?*",Однолинейка!$AI$3:$AI$3000,C276,Однолинейка!$A$3:$A$3000,Щит_спец)),IF(A276="Клемма",IF(C276="","",IF(C276=$S$7,SUMIFS(Однолинейка!$BW$3:$BW$3000,Однолинейка!$A$3:$A$3000,Щит_спец),IF(C276=$S$8,SUMIFS(Однолинейка!$BX$3:$BX$3000,Однолинейка!$A$3:$A$3000,Щит_спец),""))),""))))</f>
        <v/>
      </c>
      <c r="O276" s="74"/>
      <c r="P276" s="38" t="str">
        <f t="shared" si="36"/>
        <v/>
      </c>
      <c r="U276" s="38" t="str">
        <f t="shared" si="37"/>
        <v/>
      </c>
      <c r="V276" s="38" t="str">
        <f t="shared" si="38"/>
        <v/>
      </c>
      <c r="W276" s="38" t="str">
        <f>IF(AND(U276&lt;&gt;"",OR($S$4="(все)",B276=$S$4),IF($S$4="(все)",COUNTIF($U$4:U276,U276),COUNTIFS($U$4:U276,U276,$B$4:B276,B276))=1),MAX($W$3:W275)+1,"")</f>
        <v/>
      </c>
      <c r="X276" s="38" t="str">
        <f t="shared" si="39"/>
        <v/>
      </c>
      <c r="Y276" s="38" t="str">
        <f>IF(AND(A276="Аппарат",C276&lt;&gt;"",OR($S$5="(все)",B276=$S$5)),MAX($Y$3:Y275)+1,"")</f>
        <v/>
      </c>
      <c r="Z276" s="38" t="str">
        <f t="shared" si="40"/>
        <v/>
      </c>
      <c r="AA276" s="38" t="str">
        <f>IF(AND(A276="Модуль",C276&lt;&gt;"",OR($S$6="(все)",B276=$S$6)),MAX($AA$3:AA275)+1,"")</f>
        <v/>
      </c>
      <c r="AB276" s="38" t="str">
        <f t="shared" si="41"/>
        <v/>
      </c>
      <c r="AC276" s="38" t="str">
        <f>IF(OR(B276="",COUNTIF($B$4:B276,B276)&gt;1),"",MAX($AC$3:AC275)+1)</f>
        <v/>
      </c>
      <c r="AD276" s="38" t="str">
        <f t="shared" si="42"/>
        <v/>
      </c>
      <c r="AE276" s="38" t="str">
        <f t="shared" si="43"/>
        <v/>
      </c>
      <c r="AF276" s="38" t="str">
        <f t="shared" si="44"/>
        <v/>
      </c>
    </row>
    <row r="277" spans="1:32" x14ac:dyDescent="0.3">
      <c r="A277" s="74"/>
      <c r="B277" s="74"/>
      <c r="C277" s="74"/>
      <c r="D277" s="74"/>
      <c r="E277" s="74"/>
      <c r="F277" s="74"/>
      <c r="G277" s="74"/>
      <c r="H277" s="74"/>
      <c r="I277" s="74"/>
      <c r="J277" s="74"/>
      <c r="K277" s="74"/>
      <c r="L277" s="74"/>
      <c r="M277" s="74"/>
      <c r="N277" s="38" t="str">
        <f>IF(OR(A277="Автомат",A277="Дифавтомат"),IF(W277="","",COUNTIFS(Однолинейка!$H$3:$H$3000,U277,Однолинейка!$A$3:$A$3000,Щит_спец)),IF(A277="Аппарат",IF(C277="","",COUNTIFS(Однолинейка!$I$3:$I$3000,C277,Однолинейка!$A$3:$A$3000,Щит_спец)+COUNTIFS(Однолинейка!$J$3:$J$3000,C277,Однолинейка!$A$3:$A$3000,Щит_спец)+COUNTIFS(Однолинейка!$K$3:$K$3000,C277,Однолинейка!$A$3:$A$3000,Щит_спец)),IF(A277="Модуль",IF(C277="","",COUNTIFS(Однолинейка!$AW$3:$AW$3000,"?*",Однолинейка!$AI$3:$AI$3000,C277,Однолинейка!$A$3:$A$3000,Щит_спец)),IF(A277="Клемма",IF(C277="","",IF(C277=$S$7,SUMIFS(Однолинейка!$BW$3:$BW$3000,Однолинейка!$A$3:$A$3000,Щит_спец),IF(C277=$S$8,SUMIFS(Однолинейка!$BX$3:$BX$3000,Однолинейка!$A$3:$A$3000,Щит_спец),""))),""))))</f>
        <v/>
      </c>
      <c r="O277" s="74"/>
      <c r="P277" s="38" t="str">
        <f t="shared" si="36"/>
        <v/>
      </c>
      <c r="U277" s="38" t="str">
        <f t="shared" si="37"/>
        <v/>
      </c>
      <c r="V277" s="38" t="str">
        <f t="shared" si="38"/>
        <v/>
      </c>
      <c r="W277" s="38" t="str">
        <f>IF(AND(U277&lt;&gt;"",OR($S$4="(все)",B277=$S$4),IF($S$4="(все)",COUNTIF($U$4:U277,U277),COUNTIFS($U$4:U277,U277,$B$4:B277,B277))=1),MAX($W$3:W276)+1,"")</f>
        <v/>
      </c>
      <c r="X277" s="38" t="str">
        <f t="shared" si="39"/>
        <v/>
      </c>
      <c r="Y277" s="38" t="str">
        <f>IF(AND(A277="Аппарат",C277&lt;&gt;"",OR($S$5="(все)",B277=$S$5)),MAX($Y$3:Y276)+1,"")</f>
        <v/>
      </c>
      <c r="Z277" s="38" t="str">
        <f t="shared" si="40"/>
        <v/>
      </c>
      <c r="AA277" s="38" t="str">
        <f>IF(AND(A277="Модуль",C277&lt;&gt;"",OR($S$6="(все)",B277=$S$6)),MAX($AA$3:AA276)+1,"")</f>
        <v/>
      </c>
      <c r="AB277" s="38" t="str">
        <f t="shared" si="41"/>
        <v/>
      </c>
      <c r="AC277" s="38" t="str">
        <f>IF(OR(B277="",COUNTIF($B$4:B277,B277)&gt;1),"",MAX($AC$3:AC276)+1)</f>
        <v/>
      </c>
      <c r="AD277" s="38" t="str">
        <f t="shared" si="42"/>
        <v/>
      </c>
      <c r="AE277" s="38" t="str">
        <f t="shared" si="43"/>
        <v/>
      </c>
      <c r="AF277" s="38" t="str">
        <f t="shared" si="44"/>
        <v/>
      </c>
    </row>
    <row r="278" spans="1:32" x14ac:dyDescent="0.3">
      <c r="A278" s="74"/>
      <c r="B278" s="74"/>
      <c r="C278" s="74"/>
      <c r="D278" s="74"/>
      <c r="E278" s="74"/>
      <c r="F278" s="74"/>
      <c r="G278" s="74"/>
      <c r="H278" s="74"/>
      <c r="I278" s="74"/>
      <c r="J278" s="74"/>
      <c r="K278" s="74"/>
      <c r="L278" s="74"/>
      <c r="M278" s="74"/>
      <c r="N278" s="38" t="str">
        <f>IF(OR(A278="Автомат",A278="Дифавтомат"),IF(W278="","",COUNTIFS(Однолинейка!$H$3:$H$3000,U278,Однолинейка!$A$3:$A$3000,Щит_спец)),IF(A278="Аппарат",IF(C278="","",COUNTIFS(Однолинейка!$I$3:$I$3000,C278,Однолинейка!$A$3:$A$3000,Щит_спец)+COUNTIFS(Однолинейка!$J$3:$J$3000,C278,Однолинейка!$A$3:$A$3000,Щит_спец)+COUNTIFS(Однолинейка!$K$3:$K$3000,C278,Однолинейка!$A$3:$A$3000,Щит_спец)),IF(A278="Модуль",IF(C278="","",COUNTIFS(Однолинейка!$AW$3:$AW$3000,"?*",Однолинейка!$AI$3:$AI$3000,C278,Однолинейка!$A$3:$A$3000,Щит_спец)),IF(A278="Клемма",IF(C278="","",IF(C278=$S$7,SUMIFS(Однолинейка!$BW$3:$BW$3000,Однолинейка!$A$3:$A$3000,Щит_спец),IF(C278=$S$8,SUMIFS(Однолинейка!$BX$3:$BX$3000,Однолинейка!$A$3:$A$3000,Щит_спец),""))),""))))</f>
        <v/>
      </c>
      <c r="O278" s="74"/>
      <c r="P278" s="38" t="str">
        <f t="shared" si="36"/>
        <v/>
      </c>
      <c r="U278" s="38" t="str">
        <f t="shared" si="37"/>
        <v/>
      </c>
      <c r="V278" s="38" t="str">
        <f t="shared" si="38"/>
        <v/>
      </c>
      <c r="W278" s="38" t="str">
        <f>IF(AND(U278&lt;&gt;"",OR($S$4="(все)",B278=$S$4),IF($S$4="(все)",COUNTIF($U$4:U278,U278),COUNTIFS($U$4:U278,U278,$B$4:B278,B278))=1),MAX($W$3:W277)+1,"")</f>
        <v/>
      </c>
      <c r="X278" s="38" t="str">
        <f t="shared" si="39"/>
        <v/>
      </c>
      <c r="Y278" s="38" t="str">
        <f>IF(AND(A278="Аппарат",C278&lt;&gt;"",OR($S$5="(все)",B278=$S$5)),MAX($Y$3:Y277)+1,"")</f>
        <v/>
      </c>
      <c r="Z278" s="38" t="str">
        <f t="shared" si="40"/>
        <v/>
      </c>
      <c r="AA278" s="38" t="str">
        <f>IF(AND(A278="Модуль",C278&lt;&gt;"",OR($S$6="(все)",B278=$S$6)),MAX($AA$3:AA277)+1,"")</f>
        <v/>
      </c>
      <c r="AB278" s="38" t="str">
        <f t="shared" si="41"/>
        <v/>
      </c>
      <c r="AC278" s="38" t="str">
        <f>IF(OR(B278="",COUNTIF($B$4:B278,B278)&gt;1),"",MAX($AC$3:AC277)+1)</f>
        <v/>
      </c>
      <c r="AD278" s="38" t="str">
        <f t="shared" si="42"/>
        <v/>
      </c>
      <c r="AE278" s="38" t="str">
        <f t="shared" si="43"/>
        <v/>
      </c>
      <c r="AF278" s="38" t="str">
        <f t="shared" si="44"/>
        <v/>
      </c>
    </row>
    <row r="279" spans="1:32" x14ac:dyDescent="0.3">
      <c r="A279" s="74"/>
      <c r="B279" s="74"/>
      <c r="C279" s="74"/>
      <c r="D279" s="74"/>
      <c r="E279" s="74"/>
      <c r="F279" s="74"/>
      <c r="G279" s="74"/>
      <c r="H279" s="74"/>
      <c r="I279" s="74"/>
      <c r="J279" s="74"/>
      <c r="K279" s="74"/>
      <c r="L279" s="74"/>
      <c r="M279" s="74"/>
      <c r="N279" s="38" t="str">
        <f>IF(OR(A279="Автомат",A279="Дифавтомат"),IF(W279="","",COUNTIFS(Однолинейка!$H$3:$H$3000,U279,Однолинейка!$A$3:$A$3000,Щит_спец)),IF(A279="Аппарат",IF(C279="","",COUNTIFS(Однолинейка!$I$3:$I$3000,C279,Однолинейка!$A$3:$A$3000,Щит_спец)+COUNTIFS(Однолинейка!$J$3:$J$3000,C279,Однолинейка!$A$3:$A$3000,Щит_спец)+COUNTIFS(Однолинейка!$K$3:$K$3000,C279,Однолинейка!$A$3:$A$3000,Щит_спец)),IF(A279="Модуль",IF(C279="","",COUNTIFS(Однолинейка!$AW$3:$AW$3000,"?*",Однолинейка!$AI$3:$AI$3000,C279,Однолинейка!$A$3:$A$3000,Щит_спец)),IF(A279="Клемма",IF(C279="","",IF(C279=$S$7,SUMIFS(Однолинейка!$BW$3:$BW$3000,Однолинейка!$A$3:$A$3000,Щит_спец),IF(C279=$S$8,SUMIFS(Однолинейка!$BX$3:$BX$3000,Однолинейка!$A$3:$A$3000,Щит_спец),""))),""))))</f>
        <v/>
      </c>
      <c r="O279" s="74"/>
      <c r="P279" s="38" t="str">
        <f t="shared" si="36"/>
        <v/>
      </c>
      <c r="U279" s="38" t="str">
        <f t="shared" si="37"/>
        <v/>
      </c>
      <c r="V279" s="38" t="str">
        <f t="shared" si="38"/>
        <v/>
      </c>
      <c r="W279" s="38" t="str">
        <f>IF(AND(U279&lt;&gt;"",OR($S$4="(все)",B279=$S$4),IF($S$4="(все)",COUNTIF($U$4:U279,U279),COUNTIFS($U$4:U279,U279,$B$4:B279,B279))=1),MAX($W$3:W278)+1,"")</f>
        <v/>
      </c>
      <c r="X279" s="38" t="str">
        <f t="shared" si="39"/>
        <v/>
      </c>
      <c r="Y279" s="38" t="str">
        <f>IF(AND(A279="Аппарат",C279&lt;&gt;"",OR($S$5="(все)",B279=$S$5)),MAX($Y$3:Y278)+1,"")</f>
        <v/>
      </c>
      <c r="Z279" s="38" t="str">
        <f t="shared" si="40"/>
        <v/>
      </c>
      <c r="AA279" s="38" t="str">
        <f>IF(AND(A279="Модуль",C279&lt;&gt;"",OR($S$6="(все)",B279=$S$6)),MAX($AA$3:AA278)+1,"")</f>
        <v/>
      </c>
      <c r="AB279" s="38" t="str">
        <f t="shared" si="41"/>
        <v/>
      </c>
      <c r="AC279" s="38" t="str">
        <f>IF(OR(B279="",COUNTIF($B$4:B279,B279)&gt;1),"",MAX($AC$3:AC278)+1)</f>
        <v/>
      </c>
      <c r="AD279" s="38" t="str">
        <f t="shared" si="42"/>
        <v/>
      </c>
      <c r="AE279" s="38" t="str">
        <f t="shared" si="43"/>
        <v/>
      </c>
      <c r="AF279" s="38" t="str">
        <f t="shared" si="44"/>
        <v/>
      </c>
    </row>
    <row r="280" spans="1:32" x14ac:dyDescent="0.3">
      <c r="A280" s="74"/>
      <c r="B280" s="74"/>
      <c r="C280" s="74"/>
      <c r="D280" s="74"/>
      <c r="E280" s="74"/>
      <c r="F280" s="74"/>
      <c r="G280" s="74"/>
      <c r="H280" s="74"/>
      <c r="I280" s="74"/>
      <c r="J280" s="74"/>
      <c r="K280" s="74"/>
      <c r="L280" s="74"/>
      <c r="M280" s="74"/>
      <c r="N280" s="38" t="str">
        <f>IF(OR(A280="Автомат",A280="Дифавтомат"),IF(W280="","",COUNTIFS(Однолинейка!$H$3:$H$3000,U280,Однолинейка!$A$3:$A$3000,Щит_спец)),IF(A280="Аппарат",IF(C280="","",COUNTIFS(Однолинейка!$I$3:$I$3000,C280,Однолинейка!$A$3:$A$3000,Щит_спец)+COUNTIFS(Однолинейка!$J$3:$J$3000,C280,Однолинейка!$A$3:$A$3000,Щит_спец)+COUNTIFS(Однолинейка!$K$3:$K$3000,C280,Однолинейка!$A$3:$A$3000,Щит_спец)),IF(A280="Модуль",IF(C280="","",COUNTIFS(Однолинейка!$AW$3:$AW$3000,"?*",Однолинейка!$AI$3:$AI$3000,C280,Однолинейка!$A$3:$A$3000,Щит_спец)),IF(A280="Клемма",IF(C280="","",IF(C280=$S$7,SUMIFS(Однолинейка!$BW$3:$BW$3000,Однолинейка!$A$3:$A$3000,Щит_спец),IF(C280=$S$8,SUMIFS(Однолинейка!$BX$3:$BX$3000,Однолинейка!$A$3:$A$3000,Щит_спец),""))),""))))</f>
        <v/>
      </c>
      <c r="O280" s="74"/>
      <c r="P280" s="38" t="str">
        <f t="shared" si="36"/>
        <v/>
      </c>
      <c r="U280" s="38" t="str">
        <f t="shared" si="37"/>
        <v/>
      </c>
      <c r="V280" s="38" t="str">
        <f t="shared" si="38"/>
        <v/>
      </c>
      <c r="W280" s="38" t="str">
        <f>IF(AND(U280&lt;&gt;"",OR($S$4="(все)",B280=$S$4),IF($S$4="(все)",COUNTIF($U$4:U280,U280),COUNTIFS($U$4:U280,U280,$B$4:B280,B280))=1),MAX($W$3:W279)+1,"")</f>
        <v/>
      </c>
      <c r="X280" s="38" t="str">
        <f t="shared" si="39"/>
        <v/>
      </c>
      <c r="Y280" s="38" t="str">
        <f>IF(AND(A280="Аппарат",C280&lt;&gt;"",OR($S$5="(все)",B280=$S$5)),MAX($Y$3:Y279)+1,"")</f>
        <v/>
      </c>
      <c r="Z280" s="38" t="str">
        <f t="shared" si="40"/>
        <v/>
      </c>
      <c r="AA280" s="38" t="str">
        <f>IF(AND(A280="Модуль",C280&lt;&gt;"",OR($S$6="(все)",B280=$S$6)),MAX($AA$3:AA279)+1,"")</f>
        <v/>
      </c>
      <c r="AB280" s="38" t="str">
        <f t="shared" si="41"/>
        <v/>
      </c>
      <c r="AC280" s="38" t="str">
        <f>IF(OR(B280="",COUNTIF($B$4:B280,B280)&gt;1),"",MAX($AC$3:AC279)+1)</f>
        <v/>
      </c>
      <c r="AD280" s="38" t="str">
        <f t="shared" si="42"/>
        <v/>
      </c>
      <c r="AE280" s="38" t="str">
        <f t="shared" si="43"/>
        <v/>
      </c>
      <c r="AF280" s="38" t="str">
        <f t="shared" si="44"/>
        <v/>
      </c>
    </row>
    <row r="281" spans="1:32" x14ac:dyDescent="0.3">
      <c r="A281" s="74"/>
      <c r="B281" s="74"/>
      <c r="C281" s="74"/>
      <c r="D281" s="74"/>
      <c r="E281" s="74"/>
      <c r="F281" s="74"/>
      <c r="G281" s="74"/>
      <c r="H281" s="74"/>
      <c r="I281" s="74"/>
      <c r="J281" s="74"/>
      <c r="K281" s="74"/>
      <c r="L281" s="74"/>
      <c r="M281" s="74"/>
      <c r="N281" s="38" t="str">
        <f>IF(OR(A281="Автомат",A281="Дифавтомат"),IF(W281="","",COUNTIFS(Однолинейка!$H$3:$H$3000,U281,Однолинейка!$A$3:$A$3000,Щит_спец)),IF(A281="Аппарат",IF(C281="","",COUNTIFS(Однолинейка!$I$3:$I$3000,C281,Однолинейка!$A$3:$A$3000,Щит_спец)+COUNTIFS(Однолинейка!$J$3:$J$3000,C281,Однолинейка!$A$3:$A$3000,Щит_спец)+COUNTIFS(Однолинейка!$K$3:$K$3000,C281,Однолинейка!$A$3:$A$3000,Щит_спец)),IF(A281="Модуль",IF(C281="","",COUNTIFS(Однолинейка!$AW$3:$AW$3000,"?*",Однолинейка!$AI$3:$AI$3000,C281,Однолинейка!$A$3:$A$3000,Щит_спец)),IF(A281="Клемма",IF(C281="","",IF(C281=$S$7,SUMIFS(Однолинейка!$BW$3:$BW$3000,Однолинейка!$A$3:$A$3000,Щит_спец),IF(C281=$S$8,SUMIFS(Однолинейка!$BX$3:$BX$3000,Однолинейка!$A$3:$A$3000,Щит_спец),""))),""))))</f>
        <v/>
      </c>
      <c r="O281" s="74"/>
      <c r="P281" s="38" t="str">
        <f t="shared" si="36"/>
        <v/>
      </c>
      <c r="U281" s="38" t="str">
        <f t="shared" si="37"/>
        <v/>
      </c>
      <c r="V281" s="38" t="str">
        <f t="shared" si="38"/>
        <v/>
      </c>
      <c r="W281" s="38" t="str">
        <f>IF(AND(U281&lt;&gt;"",OR($S$4="(все)",B281=$S$4),IF($S$4="(все)",COUNTIF($U$4:U281,U281),COUNTIFS($U$4:U281,U281,$B$4:B281,B281))=1),MAX($W$3:W280)+1,"")</f>
        <v/>
      </c>
      <c r="X281" s="38" t="str">
        <f t="shared" si="39"/>
        <v/>
      </c>
      <c r="Y281" s="38" t="str">
        <f>IF(AND(A281="Аппарат",C281&lt;&gt;"",OR($S$5="(все)",B281=$S$5)),MAX($Y$3:Y280)+1,"")</f>
        <v/>
      </c>
      <c r="Z281" s="38" t="str">
        <f t="shared" si="40"/>
        <v/>
      </c>
      <c r="AA281" s="38" t="str">
        <f>IF(AND(A281="Модуль",C281&lt;&gt;"",OR($S$6="(все)",B281=$S$6)),MAX($AA$3:AA280)+1,"")</f>
        <v/>
      </c>
      <c r="AB281" s="38" t="str">
        <f t="shared" si="41"/>
        <v/>
      </c>
      <c r="AC281" s="38" t="str">
        <f>IF(OR(B281="",COUNTIF($B$4:B281,B281)&gt;1),"",MAX($AC$3:AC280)+1)</f>
        <v/>
      </c>
      <c r="AD281" s="38" t="str">
        <f t="shared" si="42"/>
        <v/>
      </c>
      <c r="AE281" s="38" t="str">
        <f t="shared" si="43"/>
        <v/>
      </c>
      <c r="AF281" s="38" t="str">
        <f t="shared" si="44"/>
        <v/>
      </c>
    </row>
    <row r="282" spans="1:32" x14ac:dyDescent="0.3">
      <c r="A282" s="74"/>
      <c r="B282" s="74"/>
      <c r="C282" s="74"/>
      <c r="D282" s="74"/>
      <c r="E282" s="74"/>
      <c r="F282" s="74"/>
      <c r="G282" s="74"/>
      <c r="H282" s="74"/>
      <c r="I282" s="74"/>
      <c r="J282" s="74"/>
      <c r="K282" s="74"/>
      <c r="L282" s="74"/>
      <c r="M282" s="74"/>
      <c r="N282" s="38" t="str">
        <f>IF(OR(A282="Автомат",A282="Дифавтомат"),IF(W282="","",COUNTIFS(Однолинейка!$H$3:$H$3000,U282,Однолинейка!$A$3:$A$3000,Щит_спец)),IF(A282="Аппарат",IF(C282="","",COUNTIFS(Однолинейка!$I$3:$I$3000,C282,Однолинейка!$A$3:$A$3000,Щит_спец)+COUNTIFS(Однолинейка!$J$3:$J$3000,C282,Однолинейка!$A$3:$A$3000,Щит_спец)+COUNTIFS(Однолинейка!$K$3:$K$3000,C282,Однолинейка!$A$3:$A$3000,Щит_спец)),IF(A282="Модуль",IF(C282="","",COUNTIFS(Однолинейка!$AW$3:$AW$3000,"?*",Однолинейка!$AI$3:$AI$3000,C282,Однолинейка!$A$3:$A$3000,Щит_спец)),IF(A282="Клемма",IF(C282="","",IF(C282=$S$7,SUMIFS(Однолинейка!$BW$3:$BW$3000,Однолинейка!$A$3:$A$3000,Щит_спец),IF(C282=$S$8,SUMIFS(Однолинейка!$BX$3:$BX$3000,Однолинейка!$A$3:$A$3000,Щит_спец),""))),""))))</f>
        <v/>
      </c>
      <c r="O282" s="74"/>
      <c r="P282" s="38" t="str">
        <f t="shared" si="36"/>
        <v/>
      </c>
      <c r="U282" s="38" t="str">
        <f t="shared" si="37"/>
        <v/>
      </c>
      <c r="V282" s="38" t="str">
        <f t="shared" si="38"/>
        <v/>
      </c>
      <c r="W282" s="38" t="str">
        <f>IF(AND(U282&lt;&gt;"",OR($S$4="(все)",B282=$S$4),IF($S$4="(все)",COUNTIF($U$4:U282,U282),COUNTIFS($U$4:U282,U282,$B$4:B282,B282))=1),MAX($W$3:W281)+1,"")</f>
        <v/>
      </c>
      <c r="X282" s="38" t="str">
        <f t="shared" si="39"/>
        <v/>
      </c>
      <c r="Y282" s="38" t="str">
        <f>IF(AND(A282="Аппарат",C282&lt;&gt;"",OR($S$5="(все)",B282=$S$5)),MAX($Y$3:Y281)+1,"")</f>
        <v/>
      </c>
      <c r="Z282" s="38" t="str">
        <f t="shared" si="40"/>
        <v/>
      </c>
      <c r="AA282" s="38" t="str">
        <f>IF(AND(A282="Модуль",C282&lt;&gt;"",OR($S$6="(все)",B282=$S$6)),MAX($AA$3:AA281)+1,"")</f>
        <v/>
      </c>
      <c r="AB282" s="38" t="str">
        <f t="shared" si="41"/>
        <v/>
      </c>
      <c r="AC282" s="38" t="str">
        <f>IF(OR(B282="",COUNTIF($B$4:B282,B282)&gt;1),"",MAX($AC$3:AC281)+1)</f>
        <v/>
      </c>
      <c r="AD282" s="38" t="str">
        <f t="shared" si="42"/>
        <v/>
      </c>
      <c r="AE282" s="38" t="str">
        <f t="shared" si="43"/>
        <v/>
      </c>
      <c r="AF282" s="38" t="str">
        <f t="shared" si="44"/>
        <v/>
      </c>
    </row>
    <row r="283" spans="1:32" x14ac:dyDescent="0.3">
      <c r="A283" s="74"/>
      <c r="B283" s="74"/>
      <c r="C283" s="74"/>
      <c r="D283" s="74"/>
      <c r="E283" s="74"/>
      <c r="F283" s="74"/>
      <c r="G283" s="74"/>
      <c r="H283" s="74"/>
      <c r="I283" s="74"/>
      <c r="J283" s="74"/>
      <c r="K283" s="74"/>
      <c r="L283" s="74"/>
      <c r="M283" s="74"/>
      <c r="N283" s="38" t="str">
        <f>IF(OR(A283="Автомат",A283="Дифавтомат"),IF(W283="","",COUNTIFS(Однолинейка!$H$3:$H$3000,U283,Однолинейка!$A$3:$A$3000,Щит_спец)),IF(A283="Аппарат",IF(C283="","",COUNTIFS(Однолинейка!$I$3:$I$3000,C283,Однолинейка!$A$3:$A$3000,Щит_спец)+COUNTIFS(Однолинейка!$J$3:$J$3000,C283,Однолинейка!$A$3:$A$3000,Щит_спец)+COUNTIFS(Однолинейка!$K$3:$K$3000,C283,Однолинейка!$A$3:$A$3000,Щит_спец)),IF(A283="Модуль",IF(C283="","",COUNTIFS(Однолинейка!$AW$3:$AW$3000,"?*",Однолинейка!$AI$3:$AI$3000,C283,Однолинейка!$A$3:$A$3000,Щит_спец)),IF(A283="Клемма",IF(C283="","",IF(C283=$S$7,SUMIFS(Однолинейка!$BW$3:$BW$3000,Однолинейка!$A$3:$A$3000,Щит_спец),IF(C283=$S$8,SUMIFS(Однолинейка!$BX$3:$BX$3000,Однолинейка!$A$3:$A$3000,Щит_спец),""))),""))))</f>
        <v/>
      </c>
      <c r="O283" s="74"/>
      <c r="P283" s="38" t="str">
        <f t="shared" si="36"/>
        <v/>
      </c>
      <c r="U283" s="38" t="str">
        <f t="shared" si="37"/>
        <v/>
      </c>
      <c r="V283" s="38" t="str">
        <f t="shared" si="38"/>
        <v/>
      </c>
      <c r="W283" s="38" t="str">
        <f>IF(AND(U283&lt;&gt;"",OR($S$4="(все)",B283=$S$4),IF($S$4="(все)",COUNTIF($U$4:U283,U283),COUNTIFS($U$4:U283,U283,$B$4:B283,B283))=1),MAX($W$3:W282)+1,"")</f>
        <v/>
      </c>
      <c r="X283" s="38" t="str">
        <f t="shared" si="39"/>
        <v/>
      </c>
      <c r="Y283" s="38" t="str">
        <f>IF(AND(A283="Аппарат",C283&lt;&gt;"",OR($S$5="(все)",B283=$S$5)),MAX($Y$3:Y282)+1,"")</f>
        <v/>
      </c>
      <c r="Z283" s="38" t="str">
        <f t="shared" si="40"/>
        <v/>
      </c>
      <c r="AA283" s="38" t="str">
        <f>IF(AND(A283="Модуль",C283&lt;&gt;"",OR($S$6="(все)",B283=$S$6)),MAX($AA$3:AA282)+1,"")</f>
        <v/>
      </c>
      <c r="AB283" s="38" t="str">
        <f t="shared" si="41"/>
        <v/>
      </c>
      <c r="AC283" s="38" t="str">
        <f>IF(OR(B283="",COUNTIF($B$4:B283,B283)&gt;1),"",MAX($AC$3:AC282)+1)</f>
        <v/>
      </c>
      <c r="AD283" s="38" t="str">
        <f t="shared" si="42"/>
        <v/>
      </c>
      <c r="AE283" s="38" t="str">
        <f t="shared" si="43"/>
        <v/>
      </c>
      <c r="AF283" s="38" t="str">
        <f t="shared" si="44"/>
        <v/>
      </c>
    </row>
    <row r="284" spans="1:32" x14ac:dyDescent="0.3">
      <c r="A284" s="74"/>
      <c r="B284" s="74"/>
      <c r="C284" s="74"/>
      <c r="D284" s="74"/>
      <c r="E284" s="74"/>
      <c r="F284" s="74"/>
      <c r="G284" s="74"/>
      <c r="H284" s="74"/>
      <c r="I284" s="74"/>
      <c r="J284" s="74"/>
      <c r="K284" s="74"/>
      <c r="L284" s="74"/>
      <c r="M284" s="74"/>
      <c r="N284" s="38" t="str">
        <f>IF(OR(A284="Автомат",A284="Дифавтомат"),IF(W284="","",COUNTIFS(Однолинейка!$H$3:$H$3000,U284,Однолинейка!$A$3:$A$3000,Щит_спец)),IF(A284="Аппарат",IF(C284="","",COUNTIFS(Однолинейка!$I$3:$I$3000,C284,Однолинейка!$A$3:$A$3000,Щит_спец)+COUNTIFS(Однолинейка!$J$3:$J$3000,C284,Однолинейка!$A$3:$A$3000,Щит_спец)+COUNTIFS(Однолинейка!$K$3:$K$3000,C284,Однолинейка!$A$3:$A$3000,Щит_спец)),IF(A284="Модуль",IF(C284="","",COUNTIFS(Однолинейка!$AW$3:$AW$3000,"?*",Однолинейка!$AI$3:$AI$3000,C284,Однолинейка!$A$3:$A$3000,Щит_спец)),IF(A284="Клемма",IF(C284="","",IF(C284=$S$7,SUMIFS(Однолинейка!$BW$3:$BW$3000,Однолинейка!$A$3:$A$3000,Щит_спец),IF(C284=$S$8,SUMIFS(Однолинейка!$BX$3:$BX$3000,Однолинейка!$A$3:$A$3000,Щит_спец),""))),""))))</f>
        <v/>
      </c>
      <c r="O284" s="74"/>
      <c r="P284" s="38" t="str">
        <f t="shared" si="36"/>
        <v/>
      </c>
      <c r="U284" s="38" t="str">
        <f t="shared" si="37"/>
        <v/>
      </c>
      <c r="V284" s="38" t="str">
        <f t="shared" si="38"/>
        <v/>
      </c>
      <c r="W284" s="38" t="str">
        <f>IF(AND(U284&lt;&gt;"",OR($S$4="(все)",B284=$S$4),IF($S$4="(все)",COUNTIF($U$4:U284,U284),COUNTIFS($U$4:U284,U284,$B$4:B284,B284))=1),MAX($W$3:W283)+1,"")</f>
        <v/>
      </c>
      <c r="X284" s="38" t="str">
        <f t="shared" si="39"/>
        <v/>
      </c>
      <c r="Y284" s="38" t="str">
        <f>IF(AND(A284="Аппарат",C284&lt;&gt;"",OR($S$5="(все)",B284=$S$5)),MAX($Y$3:Y283)+1,"")</f>
        <v/>
      </c>
      <c r="Z284" s="38" t="str">
        <f t="shared" si="40"/>
        <v/>
      </c>
      <c r="AA284" s="38" t="str">
        <f>IF(AND(A284="Модуль",C284&lt;&gt;"",OR($S$6="(все)",B284=$S$6)),MAX($AA$3:AA283)+1,"")</f>
        <v/>
      </c>
      <c r="AB284" s="38" t="str">
        <f t="shared" si="41"/>
        <v/>
      </c>
      <c r="AC284" s="38" t="str">
        <f>IF(OR(B284="",COUNTIF($B$4:B284,B284)&gt;1),"",MAX($AC$3:AC283)+1)</f>
        <v/>
      </c>
      <c r="AD284" s="38" t="str">
        <f t="shared" si="42"/>
        <v/>
      </c>
      <c r="AE284" s="38" t="str">
        <f t="shared" si="43"/>
        <v/>
      </c>
      <c r="AF284" s="38" t="str">
        <f t="shared" si="44"/>
        <v/>
      </c>
    </row>
    <row r="285" spans="1:32" x14ac:dyDescent="0.3">
      <c r="A285" s="74"/>
      <c r="B285" s="74"/>
      <c r="C285" s="74"/>
      <c r="D285" s="74"/>
      <c r="E285" s="74"/>
      <c r="F285" s="74"/>
      <c r="G285" s="74"/>
      <c r="H285" s="74"/>
      <c r="I285" s="74"/>
      <c r="J285" s="74"/>
      <c r="K285" s="74"/>
      <c r="L285" s="74"/>
      <c r="M285" s="74"/>
      <c r="N285" s="38" t="str">
        <f>IF(OR(A285="Автомат",A285="Дифавтомат"),IF(W285="","",COUNTIFS(Однолинейка!$H$3:$H$3000,U285,Однолинейка!$A$3:$A$3000,Щит_спец)),IF(A285="Аппарат",IF(C285="","",COUNTIFS(Однолинейка!$I$3:$I$3000,C285,Однолинейка!$A$3:$A$3000,Щит_спец)+COUNTIFS(Однолинейка!$J$3:$J$3000,C285,Однолинейка!$A$3:$A$3000,Щит_спец)+COUNTIFS(Однолинейка!$K$3:$K$3000,C285,Однолинейка!$A$3:$A$3000,Щит_спец)),IF(A285="Модуль",IF(C285="","",COUNTIFS(Однолинейка!$AW$3:$AW$3000,"?*",Однолинейка!$AI$3:$AI$3000,C285,Однолинейка!$A$3:$A$3000,Щит_спец)),IF(A285="Клемма",IF(C285="","",IF(C285=$S$7,SUMIFS(Однолинейка!$BW$3:$BW$3000,Однолинейка!$A$3:$A$3000,Щит_спец),IF(C285=$S$8,SUMIFS(Однолинейка!$BX$3:$BX$3000,Однолинейка!$A$3:$A$3000,Щит_спец),""))),""))))</f>
        <v/>
      </c>
      <c r="O285" s="74"/>
      <c r="P285" s="38" t="str">
        <f t="shared" si="36"/>
        <v/>
      </c>
      <c r="U285" s="38" t="str">
        <f t="shared" si="37"/>
        <v/>
      </c>
      <c r="V285" s="38" t="str">
        <f t="shared" si="38"/>
        <v/>
      </c>
      <c r="W285" s="38" t="str">
        <f>IF(AND(U285&lt;&gt;"",OR($S$4="(все)",B285=$S$4),IF($S$4="(все)",COUNTIF($U$4:U285,U285),COUNTIFS($U$4:U285,U285,$B$4:B285,B285))=1),MAX($W$3:W284)+1,"")</f>
        <v/>
      </c>
      <c r="X285" s="38" t="str">
        <f t="shared" si="39"/>
        <v/>
      </c>
      <c r="Y285" s="38" t="str">
        <f>IF(AND(A285="Аппарат",C285&lt;&gt;"",OR($S$5="(все)",B285=$S$5)),MAX($Y$3:Y284)+1,"")</f>
        <v/>
      </c>
      <c r="Z285" s="38" t="str">
        <f t="shared" si="40"/>
        <v/>
      </c>
      <c r="AA285" s="38" t="str">
        <f>IF(AND(A285="Модуль",C285&lt;&gt;"",OR($S$6="(все)",B285=$S$6)),MAX($AA$3:AA284)+1,"")</f>
        <v/>
      </c>
      <c r="AB285" s="38" t="str">
        <f t="shared" si="41"/>
        <v/>
      </c>
      <c r="AC285" s="38" t="str">
        <f>IF(OR(B285="",COUNTIF($B$4:B285,B285)&gt;1),"",MAX($AC$3:AC284)+1)</f>
        <v/>
      </c>
      <c r="AD285" s="38" t="str">
        <f t="shared" si="42"/>
        <v/>
      </c>
      <c r="AE285" s="38" t="str">
        <f t="shared" si="43"/>
        <v/>
      </c>
      <c r="AF285" s="38" t="str">
        <f t="shared" si="44"/>
        <v/>
      </c>
    </row>
    <row r="286" spans="1:32" x14ac:dyDescent="0.3">
      <c r="A286" s="74"/>
      <c r="B286" s="74"/>
      <c r="C286" s="74"/>
      <c r="D286" s="74"/>
      <c r="E286" s="74"/>
      <c r="F286" s="74"/>
      <c r="G286" s="74"/>
      <c r="H286" s="74"/>
      <c r="I286" s="74"/>
      <c r="J286" s="74"/>
      <c r="K286" s="74"/>
      <c r="L286" s="74"/>
      <c r="M286" s="74"/>
      <c r="N286" s="38" t="str">
        <f>IF(OR(A286="Автомат",A286="Дифавтомат"),IF(W286="","",COUNTIFS(Однолинейка!$H$3:$H$3000,U286,Однолинейка!$A$3:$A$3000,Щит_спец)),IF(A286="Аппарат",IF(C286="","",COUNTIFS(Однолинейка!$I$3:$I$3000,C286,Однолинейка!$A$3:$A$3000,Щит_спец)+COUNTIFS(Однолинейка!$J$3:$J$3000,C286,Однолинейка!$A$3:$A$3000,Щит_спец)+COUNTIFS(Однолинейка!$K$3:$K$3000,C286,Однолинейка!$A$3:$A$3000,Щит_спец)),IF(A286="Модуль",IF(C286="","",COUNTIFS(Однолинейка!$AW$3:$AW$3000,"?*",Однолинейка!$AI$3:$AI$3000,C286,Однолинейка!$A$3:$A$3000,Щит_спец)),IF(A286="Клемма",IF(C286="","",IF(C286=$S$7,SUMIFS(Однолинейка!$BW$3:$BW$3000,Однолинейка!$A$3:$A$3000,Щит_спец),IF(C286=$S$8,SUMIFS(Однолинейка!$BX$3:$BX$3000,Однолинейка!$A$3:$A$3000,Щит_спец),""))),""))))</f>
        <v/>
      </c>
      <c r="O286" s="74"/>
      <c r="P286" s="38" t="str">
        <f t="shared" si="36"/>
        <v/>
      </c>
      <c r="U286" s="38" t="str">
        <f t="shared" si="37"/>
        <v/>
      </c>
      <c r="V286" s="38" t="str">
        <f t="shared" si="38"/>
        <v/>
      </c>
      <c r="W286" s="38" t="str">
        <f>IF(AND(U286&lt;&gt;"",OR($S$4="(все)",B286=$S$4),IF($S$4="(все)",COUNTIF($U$4:U286,U286),COUNTIFS($U$4:U286,U286,$B$4:B286,B286))=1),MAX($W$3:W285)+1,"")</f>
        <v/>
      </c>
      <c r="X286" s="38" t="str">
        <f t="shared" si="39"/>
        <v/>
      </c>
      <c r="Y286" s="38" t="str">
        <f>IF(AND(A286="Аппарат",C286&lt;&gt;"",OR($S$5="(все)",B286=$S$5)),MAX($Y$3:Y285)+1,"")</f>
        <v/>
      </c>
      <c r="Z286" s="38" t="str">
        <f t="shared" si="40"/>
        <v/>
      </c>
      <c r="AA286" s="38" t="str">
        <f>IF(AND(A286="Модуль",C286&lt;&gt;"",OR($S$6="(все)",B286=$S$6)),MAX($AA$3:AA285)+1,"")</f>
        <v/>
      </c>
      <c r="AB286" s="38" t="str">
        <f t="shared" si="41"/>
        <v/>
      </c>
      <c r="AC286" s="38" t="str">
        <f>IF(OR(B286="",COUNTIF($B$4:B286,B286)&gt;1),"",MAX($AC$3:AC285)+1)</f>
        <v/>
      </c>
      <c r="AD286" s="38" t="str">
        <f t="shared" si="42"/>
        <v/>
      </c>
      <c r="AE286" s="38" t="str">
        <f t="shared" si="43"/>
        <v/>
      </c>
      <c r="AF286" s="38" t="str">
        <f t="shared" si="44"/>
        <v/>
      </c>
    </row>
    <row r="287" spans="1:32" x14ac:dyDescent="0.3">
      <c r="A287" s="74"/>
      <c r="B287" s="74"/>
      <c r="C287" s="74"/>
      <c r="D287" s="74"/>
      <c r="E287" s="74"/>
      <c r="F287" s="74"/>
      <c r="G287" s="74"/>
      <c r="H287" s="74"/>
      <c r="I287" s="74"/>
      <c r="J287" s="74"/>
      <c r="K287" s="74"/>
      <c r="L287" s="74"/>
      <c r="M287" s="74"/>
      <c r="N287" s="38" t="str">
        <f>IF(OR(A287="Автомат",A287="Дифавтомат"),IF(W287="","",COUNTIFS(Однолинейка!$H$3:$H$3000,U287,Однолинейка!$A$3:$A$3000,Щит_спец)),IF(A287="Аппарат",IF(C287="","",COUNTIFS(Однолинейка!$I$3:$I$3000,C287,Однолинейка!$A$3:$A$3000,Щит_спец)+COUNTIFS(Однолинейка!$J$3:$J$3000,C287,Однолинейка!$A$3:$A$3000,Щит_спец)+COUNTIFS(Однолинейка!$K$3:$K$3000,C287,Однолинейка!$A$3:$A$3000,Щит_спец)),IF(A287="Модуль",IF(C287="","",COUNTIFS(Однолинейка!$AW$3:$AW$3000,"?*",Однолинейка!$AI$3:$AI$3000,C287,Однолинейка!$A$3:$A$3000,Щит_спец)),IF(A287="Клемма",IF(C287="","",IF(C287=$S$7,SUMIFS(Однолинейка!$BW$3:$BW$3000,Однолинейка!$A$3:$A$3000,Щит_спец),IF(C287=$S$8,SUMIFS(Однолинейка!$BX$3:$BX$3000,Однолинейка!$A$3:$A$3000,Щит_спец),""))),""))))</f>
        <v/>
      </c>
      <c r="O287" s="74"/>
      <c r="P287" s="38" t="str">
        <f t="shared" si="36"/>
        <v/>
      </c>
      <c r="U287" s="38" t="str">
        <f t="shared" si="37"/>
        <v/>
      </c>
      <c r="V287" s="38" t="str">
        <f t="shared" si="38"/>
        <v/>
      </c>
      <c r="W287" s="38" t="str">
        <f>IF(AND(U287&lt;&gt;"",OR($S$4="(все)",B287=$S$4),IF($S$4="(все)",COUNTIF($U$4:U287,U287),COUNTIFS($U$4:U287,U287,$B$4:B287,B287))=1),MAX($W$3:W286)+1,"")</f>
        <v/>
      </c>
      <c r="X287" s="38" t="str">
        <f t="shared" si="39"/>
        <v/>
      </c>
      <c r="Y287" s="38" t="str">
        <f>IF(AND(A287="Аппарат",C287&lt;&gt;"",OR($S$5="(все)",B287=$S$5)),MAX($Y$3:Y286)+1,"")</f>
        <v/>
      </c>
      <c r="Z287" s="38" t="str">
        <f t="shared" si="40"/>
        <v/>
      </c>
      <c r="AA287" s="38" t="str">
        <f>IF(AND(A287="Модуль",C287&lt;&gt;"",OR($S$6="(все)",B287=$S$6)),MAX($AA$3:AA286)+1,"")</f>
        <v/>
      </c>
      <c r="AB287" s="38" t="str">
        <f t="shared" si="41"/>
        <v/>
      </c>
      <c r="AC287" s="38" t="str">
        <f>IF(OR(B287="",COUNTIF($B$4:B287,B287)&gt;1),"",MAX($AC$3:AC286)+1)</f>
        <v/>
      </c>
      <c r="AD287" s="38" t="str">
        <f t="shared" si="42"/>
        <v/>
      </c>
      <c r="AE287" s="38" t="str">
        <f t="shared" si="43"/>
        <v/>
      </c>
      <c r="AF287" s="38" t="str">
        <f t="shared" si="44"/>
        <v/>
      </c>
    </row>
    <row r="288" spans="1:32" x14ac:dyDescent="0.3">
      <c r="A288" s="74"/>
      <c r="B288" s="74"/>
      <c r="C288" s="74"/>
      <c r="D288" s="74"/>
      <c r="E288" s="74"/>
      <c r="F288" s="74"/>
      <c r="G288" s="74"/>
      <c r="H288" s="74"/>
      <c r="I288" s="74"/>
      <c r="J288" s="74"/>
      <c r="K288" s="74"/>
      <c r="L288" s="74"/>
      <c r="M288" s="74"/>
      <c r="N288" s="38" t="str">
        <f>IF(OR(A288="Автомат",A288="Дифавтомат"),IF(W288="","",COUNTIFS(Однолинейка!$H$3:$H$3000,U288,Однолинейка!$A$3:$A$3000,Щит_спец)),IF(A288="Аппарат",IF(C288="","",COUNTIFS(Однолинейка!$I$3:$I$3000,C288,Однолинейка!$A$3:$A$3000,Щит_спец)+COUNTIFS(Однолинейка!$J$3:$J$3000,C288,Однолинейка!$A$3:$A$3000,Щит_спец)+COUNTIFS(Однолинейка!$K$3:$K$3000,C288,Однолинейка!$A$3:$A$3000,Щит_спец)),IF(A288="Модуль",IF(C288="","",COUNTIFS(Однолинейка!$AW$3:$AW$3000,"?*",Однолинейка!$AI$3:$AI$3000,C288,Однолинейка!$A$3:$A$3000,Щит_спец)),IF(A288="Клемма",IF(C288="","",IF(C288=$S$7,SUMIFS(Однолинейка!$BW$3:$BW$3000,Однолинейка!$A$3:$A$3000,Щит_спец),IF(C288=$S$8,SUMIFS(Однолинейка!$BX$3:$BX$3000,Однолинейка!$A$3:$A$3000,Щит_спец),""))),""))))</f>
        <v/>
      </c>
      <c r="O288" s="74"/>
      <c r="P288" s="38" t="str">
        <f t="shared" si="36"/>
        <v/>
      </c>
      <c r="U288" s="38" t="str">
        <f t="shared" si="37"/>
        <v/>
      </c>
      <c r="V288" s="38" t="str">
        <f t="shared" si="38"/>
        <v/>
      </c>
      <c r="W288" s="38" t="str">
        <f>IF(AND(U288&lt;&gt;"",OR($S$4="(все)",B288=$S$4),IF($S$4="(все)",COUNTIF($U$4:U288,U288),COUNTIFS($U$4:U288,U288,$B$4:B288,B288))=1),MAX($W$3:W287)+1,"")</f>
        <v/>
      </c>
      <c r="X288" s="38" t="str">
        <f t="shared" si="39"/>
        <v/>
      </c>
      <c r="Y288" s="38" t="str">
        <f>IF(AND(A288="Аппарат",C288&lt;&gt;"",OR($S$5="(все)",B288=$S$5)),MAX($Y$3:Y287)+1,"")</f>
        <v/>
      </c>
      <c r="Z288" s="38" t="str">
        <f t="shared" si="40"/>
        <v/>
      </c>
      <c r="AA288" s="38" t="str">
        <f>IF(AND(A288="Модуль",C288&lt;&gt;"",OR($S$6="(все)",B288=$S$6)),MAX($AA$3:AA287)+1,"")</f>
        <v/>
      </c>
      <c r="AB288" s="38" t="str">
        <f t="shared" si="41"/>
        <v/>
      </c>
      <c r="AC288" s="38" t="str">
        <f>IF(OR(B288="",COUNTIF($B$4:B288,B288)&gt;1),"",MAX($AC$3:AC287)+1)</f>
        <v/>
      </c>
      <c r="AD288" s="38" t="str">
        <f t="shared" si="42"/>
        <v/>
      </c>
      <c r="AE288" s="38" t="str">
        <f t="shared" si="43"/>
        <v/>
      </c>
      <c r="AF288" s="38" t="str">
        <f t="shared" si="44"/>
        <v/>
      </c>
    </row>
    <row r="289" spans="1:32" x14ac:dyDescent="0.3">
      <c r="A289" s="74"/>
      <c r="B289" s="74"/>
      <c r="C289" s="74"/>
      <c r="D289" s="74"/>
      <c r="E289" s="74"/>
      <c r="F289" s="74"/>
      <c r="G289" s="74"/>
      <c r="H289" s="74"/>
      <c r="I289" s="74"/>
      <c r="J289" s="74"/>
      <c r="K289" s="74"/>
      <c r="L289" s="74"/>
      <c r="M289" s="74"/>
      <c r="N289" s="38" t="str">
        <f>IF(OR(A289="Автомат",A289="Дифавтомат"),IF(W289="","",COUNTIFS(Однолинейка!$H$3:$H$3000,U289,Однолинейка!$A$3:$A$3000,Щит_спец)),IF(A289="Аппарат",IF(C289="","",COUNTIFS(Однолинейка!$I$3:$I$3000,C289,Однолинейка!$A$3:$A$3000,Щит_спец)+COUNTIFS(Однолинейка!$J$3:$J$3000,C289,Однолинейка!$A$3:$A$3000,Щит_спец)+COUNTIFS(Однолинейка!$K$3:$K$3000,C289,Однолинейка!$A$3:$A$3000,Щит_спец)),IF(A289="Модуль",IF(C289="","",COUNTIFS(Однолинейка!$AW$3:$AW$3000,"?*",Однолинейка!$AI$3:$AI$3000,C289,Однолинейка!$A$3:$A$3000,Щит_спец)),IF(A289="Клемма",IF(C289="","",IF(C289=$S$7,SUMIFS(Однолинейка!$BW$3:$BW$3000,Однолинейка!$A$3:$A$3000,Щит_спец),IF(C289=$S$8,SUMIFS(Однолинейка!$BX$3:$BX$3000,Однолинейка!$A$3:$A$3000,Щит_спец),""))),""))))</f>
        <v/>
      </c>
      <c r="O289" s="74"/>
      <c r="P289" s="38" t="str">
        <f t="shared" si="36"/>
        <v/>
      </c>
      <c r="U289" s="38" t="str">
        <f t="shared" si="37"/>
        <v/>
      </c>
      <c r="V289" s="38" t="str">
        <f t="shared" si="38"/>
        <v/>
      </c>
      <c r="W289" s="38" t="str">
        <f>IF(AND(U289&lt;&gt;"",OR($S$4="(все)",B289=$S$4),IF($S$4="(все)",COUNTIF($U$4:U289,U289),COUNTIFS($U$4:U289,U289,$B$4:B289,B289))=1),MAX($W$3:W288)+1,"")</f>
        <v/>
      </c>
      <c r="X289" s="38" t="str">
        <f t="shared" si="39"/>
        <v/>
      </c>
      <c r="Y289" s="38" t="str">
        <f>IF(AND(A289="Аппарат",C289&lt;&gt;"",OR($S$5="(все)",B289=$S$5)),MAX($Y$3:Y288)+1,"")</f>
        <v/>
      </c>
      <c r="Z289" s="38" t="str">
        <f t="shared" si="40"/>
        <v/>
      </c>
      <c r="AA289" s="38" t="str">
        <f>IF(AND(A289="Модуль",C289&lt;&gt;"",OR($S$6="(все)",B289=$S$6)),MAX($AA$3:AA288)+1,"")</f>
        <v/>
      </c>
      <c r="AB289" s="38" t="str">
        <f t="shared" si="41"/>
        <v/>
      </c>
      <c r="AC289" s="38" t="str">
        <f>IF(OR(B289="",COUNTIF($B$4:B289,B289)&gt;1),"",MAX($AC$3:AC288)+1)</f>
        <v/>
      </c>
      <c r="AD289" s="38" t="str">
        <f t="shared" si="42"/>
        <v/>
      </c>
      <c r="AE289" s="38" t="str">
        <f t="shared" si="43"/>
        <v/>
      </c>
      <c r="AF289" s="38" t="str">
        <f t="shared" si="44"/>
        <v/>
      </c>
    </row>
    <row r="290" spans="1:32" x14ac:dyDescent="0.3">
      <c r="A290" s="74"/>
      <c r="B290" s="74"/>
      <c r="C290" s="74"/>
      <c r="D290" s="74"/>
      <c r="E290" s="74"/>
      <c r="F290" s="74"/>
      <c r="G290" s="74"/>
      <c r="H290" s="74"/>
      <c r="I290" s="74"/>
      <c r="J290" s="74"/>
      <c r="K290" s="74"/>
      <c r="L290" s="74"/>
      <c r="M290" s="74"/>
      <c r="N290" s="38" t="str">
        <f>IF(OR(A290="Автомат",A290="Дифавтомат"),IF(W290="","",COUNTIFS(Однолинейка!$H$3:$H$3000,U290,Однолинейка!$A$3:$A$3000,Щит_спец)),IF(A290="Аппарат",IF(C290="","",COUNTIFS(Однолинейка!$I$3:$I$3000,C290,Однолинейка!$A$3:$A$3000,Щит_спец)+COUNTIFS(Однолинейка!$J$3:$J$3000,C290,Однолинейка!$A$3:$A$3000,Щит_спец)+COUNTIFS(Однолинейка!$K$3:$K$3000,C290,Однолинейка!$A$3:$A$3000,Щит_спец)),IF(A290="Модуль",IF(C290="","",COUNTIFS(Однолинейка!$AW$3:$AW$3000,"?*",Однолинейка!$AI$3:$AI$3000,C290,Однолинейка!$A$3:$A$3000,Щит_спец)),IF(A290="Клемма",IF(C290="","",IF(C290=$S$7,SUMIFS(Однолинейка!$BW$3:$BW$3000,Однолинейка!$A$3:$A$3000,Щит_спец),IF(C290=$S$8,SUMIFS(Однолинейка!$BX$3:$BX$3000,Однолинейка!$A$3:$A$3000,Щит_спец),""))),""))))</f>
        <v/>
      </c>
      <c r="O290" s="74"/>
      <c r="P290" s="38" t="str">
        <f t="shared" si="36"/>
        <v/>
      </c>
      <c r="U290" s="38" t="str">
        <f t="shared" si="37"/>
        <v/>
      </c>
      <c r="V290" s="38" t="str">
        <f t="shared" si="38"/>
        <v/>
      </c>
      <c r="W290" s="38" t="str">
        <f>IF(AND(U290&lt;&gt;"",OR($S$4="(все)",B290=$S$4),IF($S$4="(все)",COUNTIF($U$4:U290,U290),COUNTIFS($U$4:U290,U290,$B$4:B290,B290))=1),MAX($W$3:W289)+1,"")</f>
        <v/>
      </c>
      <c r="X290" s="38" t="str">
        <f t="shared" si="39"/>
        <v/>
      </c>
      <c r="Y290" s="38" t="str">
        <f>IF(AND(A290="Аппарат",C290&lt;&gt;"",OR($S$5="(все)",B290=$S$5)),MAX($Y$3:Y289)+1,"")</f>
        <v/>
      </c>
      <c r="Z290" s="38" t="str">
        <f t="shared" si="40"/>
        <v/>
      </c>
      <c r="AA290" s="38" t="str">
        <f>IF(AND(A290="Модуль",C290&lt;&gt;"",OR($S$6="(все)",B290=$S$6)),MAX($AA$3:AA289)+1,"")</f>
        <v/>
      </c>
      <c r="AB290" s="38" t="str">
        <f t="shared" si="41"/>
        <v/>
      </c>
      <c r="AC290" s="38" t="str">
        <f>IF(OR(B290="",COUNTIF($B$4:B290,B290)&gt;1),"",MAX($AC$3:AC289)+1)</f>
        <v/>
      </c>
      <c r="AD290" s="38" t="str">
        <f t="shared" si="42"/>
        <v/>
      </c>
      <c r="AE290" s="38" t="str">
        <f t="shared" si="43"/>
        <v/>
      </c>
      <c r="AF290" s="38" t="str">
        <f t="shared" si="44"/>
        <v/>
      </c>
    </row>
    <row r="291" spans="1:32" x14ac:dyDescent="0.3">
      <c r="A291" s="74"/>
      <c r="B291" s="74"/>
      <c r="C291" s="74"/>
      <c r="D291" s="74"/>
      <c r="E291" s="74"/>
      <c r="F291" s="74"/>
      <c r="G291" s="74"/>
      <c r="H291" s="74"/>
      <c r="I291" s="74"/>
      <c r="J291" s="74"/>
      <c r="K291" s="74"/>
      <c r="L291" s="74"/>
      <c r="M291" s="74"/>
      <c r="N291" s="38" t="str">
        <f>IF(OR(A291="Автомат",A291="Дифавтомат"),IF(W291="","",COUNTIFS(Однолинейка!$H$3:$H$3000,U291,Однолинейка!$A$3:$A$3000,Щит_спец)),IF(A291="Аппарат",IF(C291="","",COUNTIFS(Однолинейка!$I$3:$I$3000,C291,Однолинейка!$A$3:$A$3000,Щит_спец)+COUNTIFS(Однолинейка!$J$3:$J$3000,C291,Однолинейка!$A$3:$A$3000,Щит_спец)+COUNTIFS(Однолинейка!$K$3:$K$3000,C291,Однолинейка!$A$3:$A$3000,Щит_спец)),IF(A291="Модуль",IF(C291="","",COUNTIFS(Однолинейка!$AW$3:$AW$3000,"?*",Однолинейка!$AI$3:$AI$3000,C291,Однолинейка!$A$3:$A$3000,Щит_спец)),IF(A291="Клемма",IF(C291="","",IF(C291=$S$7,SUMIFS(Однолинейка!$BW$3:$BW$3000,Однолинейка!$A$3:$A$3000,Щит_спец),IF(C291=$S$8,SUMIFS(Однолинейка!$BX$3:$BX$3000,Однолинейка!$A$3:$A$3000,Щит_спец),""))),""))))</f>
        <v/>
      </c>
      <c r="O291" s="74"/>
      <c r="P291" s="38" t="str">
        <f t="shared" si="36"/>
        <v/>
      </c>
      <c r="U291" s="38" t="str">
        <f t="shared" si="37"/>
        <v/>
      </c>
      <c r="V291" s="38" t="str">
        <f t="shared" si="38"/>
        <v/>
      </c>
      <c r="W291" s="38" t="str">
        <f>IF(AND(U291&lt;&gt;"",OR($S$4="(все)",B291=$S$4),IF($S$4="(все)",COUNTIF($U$4:U291,U291),COUNTIFS($U$4:U291,U291,$B$4:B291,B291))=1),MAX($W$3:W290)+1,"")</f>
        <v/>
      </c>
      <c r="X291" s="38" t="str">
        <f t="shared" si="39"/>
        <v/>
      </c>
      <c r="Y291" s="38" t="str">
        <f>IF(AND(A291="Аппарат",C291&lt;&gt;"",OR($S$5="(все)",B291=$S$5)),MAX($Y$3:Y290)+1,"")</f>
        <v/>
      </c>
      <c r="Z291" s="38" t="str">
        <f t="shared" si="40"/>
        <v/>
      </c>
      <c r="AA291" s="38" t="str">
        <f>IF(AND(A291="Модуль",C291&lt;&gt;"",OR($S$6="(все)",B291=$S$6)),MAX($AA$3:AA290)+1,"")</f>
        <v/>
      </c>
      <c r="AB291" s="38" t="str">
        <f t="shared" si="41"/>
        <v/>
      </c>
      <c r="AC291" s="38" t="str">
        <f>IF(OR(B291="",COUNTIF($B$4:B291,B291)&gt;1),"",MAX($AC$3:AC290)+1)</f>
        <v/>
      </c>
      <c r="AD291" s="38" t="str">
        <f t="shared" si="42"/>
        <v/>
      </c>
      <c r="AE291" s="38" t="str">
        <f t="shared" si="43"/>
        <v/>
      </c>
      <c r="AF291" s="38" t="str">
        <f t="shared" si="44"/>
        <v/>
      </c>
    </row>
    <row r="292" spans="1:32" x14ac:dyDescent="0.3">
      <c r="A292" s="74"/>
      <c r="B292" s="74"/>
      <c r="C292" s="74"/>
      <c r="D292" s="74"/>
      <c r="E292" s="74"/>
      <c r="F292" s="74"/>
      <c r="G292" s="74"/>
      <c r="H292" s="74"/>
      <c r="I292" s="74"/>
      <c r="J292" s="74"/>
      <c r="K292" s="74"/>
      <c r="L292" s="74"/>
      <c r="M292" s="74"/>
      <c r="N292" s="38" t="str">
        <f>IF(OR(A292="Автомат",A292="Дифавтомат"),IF(W292="","",COUNTIFS(Однолинейка!$H$3:$H$3000,U292,Однолинейка!$A$3:$A$3000,Щит_спец)),IF(A292="Аппарат",IF(C292="","",COUNTIFS(Однолинейка!$I$3:$I$3000,C292,Однолинейка!$A$3:$A$3000,Щит_спец)+COUNTIFS(Однолинейка!$J$3:$J$3000,C292,Однолинейка!$A$3:$A$3000,Щит_спец)+COUNTIFS(Однолинейка!$K$3:$K$3000,C292,Однолинейка!$A$3:$A$3000,Щит_спец)),IF(A292="Модуль",IF(C292="","",COUNTIFS(Однолинейка!$AW$3:$AW$3000,"?*",Однолинейка!$AI$3:$AI$3000,C292,Однолинейка!$A$3:$A$3000,Щит_спец)),IF(A292="Клемма",IF(C292="","",IF(C292=$S$7,SUMIFS(Однолинейка!$BW$3:$BW$3000,Однолинейка!$A$3:$A$3000,Щит_спец),IF(C292=$S$8,SUMIFS(Однолинейка!$BX$3:$BX$3000,Однолинейка!$A$3:$A$3000,Щит_спец),""))),""))))</f>
        <v/>
      </c>
      <c r="O292" s="74"/>
      <c r="P292" s="38" t="str">
        <f t="shared" si="36"/>
        <v/>
      </c>
      <c r="U292" s="38" t="str">
        <f t="shared" si="37"/>
        <v/>
      </c>
      <c r="V292" s="38" t="str">
        <f t="shared" si="38"/>
        <v/>
      </c>
      <c r="W292" s="38" t="str">
        <f>IF(AND(U292&lt;&gt;"",OR($S$4="(все)",B292=$S$4),IF($S$4="(все)",COUNTIF($U$4:U292,U292),COUNTIFS($U$4:U292,U292,$B$4:B292,B292))=1),MAX($W$3:W291)+1,"")</f>
        <v/>
      </c>
      <c r="X292" s="38" t="str">
        <f t="shared" si="39"/>
        <v/>
      </c>
      <c r="Y292" s="38" t="str">
        <f>IF(AND(A292="Аппарат",C292&lt;&gt;"",OR($S$5="(все)",B292=$S$5)),MAX($Y$3:Y291)+1,"")</f>
        <v/>
      </c>
      <c r="Z292" s="38" t="str">
        <f t="shared" si="40"/>
        <v/>
      </c>
      <c r="AA292" s="38" t="str">
        <f>IF(AND(A292="Модуль",C292&lt;&gt;"",OR($S$6="(все)",B292=$S$6)),MAX($AA$3:AA291)+1,"")</f>
        <v/>
      </c>
      <c r="AB292" s="38" t="str">
        <f t="shared" si="41"/>
        <v/>
      </c>
      <c r="AC292" s="38" t="str">
        <f>IF(OR(B292="",COUNTIF($B$4:B292,B292)&gt;1),"",MAX($AC$3:AC291)+1)</f>
        <v/>
      </c>
      <c r="AD292" s="38" t="str">
        <f t="shared" si="42"/>
        <v/>
      </c>
      <c r="AE292" s="38" t="str">
        <f t="shared" si="43"/>
        <v/>
      </c>
      <c r="AF292" s="38" t="str">
        <f t="shared" si="44"/>
        <v/>
      </c>
    </row>
    <row r="293" spans="1:32" x14ac:dyDescent="0.3">
      <c r="A293" s="74"/>
      <c r="B293" s="74"/>
      <c r="C293" s="74"/>
      <c r="D293" s="74"/>
      <c r="E293" s="74"/>
      <c r="F293" s="74"/>
      <c r="G293" s="74"/>
      <c r="H293" s="74"/>
      <c r="I293" s="74"/>
      <c r="J293" s="74"/>
      <c r="K293" s="74"/>
      <c r="L293" s="74"/>
      <c r="M293" s="74"/>
      <c r="N293" s="38" t="str">
        <f>IF(OR(A293="Автомат",A293="Дифавтомат"),IF(W293="","",COUNTIFS(Однолинейка!$H$3:$H$3000,U293,Однолинейка!$A$3:$A$3000,Щит_спец)),IF(A293="Аппарат",IF(C293="","",COUNTIFS(Однолинейка!$I$3:$I$3000,C293,Однолинейка!$A$3:$A$3000,Щит_спец)+COUNTIFS(Однолинейка!$J$3:$J$3000,C293,Однолинейка!$A$3:$A$3000,Щит_спец)+COUNTIFS(Однолинейка!$K$3:$K$3000,C293,Однолинейка!$A$3:$A$3000,Щит_спец)),IF(A293="Модуль",IF(C293="","",COUNTIFS(Однолинейка!$AW$3:$AW$3000,"?*",Однолинейка!$AI$3:$AI$3000,C293,Однолинейка!$A$3:$A$3000,Щит_спец)),IF(A293="Клемма",IF(C293="","",IF(C293=$S$7,SUMIFS(Однолинейка!$BW$3:$BW$3000,Однолинейка!$A$3:$A$3000,Щит_спец),IF(C293=$S$8,SUMIFS(Однолинейка!$BX$3:$BX$3000,Однолинейка!$A$3:$A$3000,Щит_спец),""))),""))))</f>
        <v/>
      </c>
      <c r="O293" s="74"/>
      <c r="P293" s="38" t="str">
        <f t="shared" si="36"/>
        <v/>
      </c>
      <c r="U293" s="38" t="str">
        <f t="shared" si="37"/>
        <v/>
      </c>
      <c r="V293" s="38" t="str">
        <f t="shared" si="38"/>
        <v/>
      </c>
      <c r="W293" s="38" t="str">
        <f>IF(AND(U293&lt;&gt;"",OR($S$4="(все)",B293=$S$4),IF($S$4="(все)",COUNTIF($U$4:U293,U293),COUNTIFS($U$4:U293,U293,$B$4:B293,B293))=1),MAX($W$3:W292)+1,"")</f>
        <v/>
      </c>
      <c r="X293" s="38" t="str">
        <f t="shared" si="39"/>
        <v/>
      </c>
      <c r="Y293" s="38" t="str">
        <f>IF(AND(A293="Аппарат",C293&lt;&gt;"",OR($S$5="(все)",B293=$S$5)),MAX($Y$3:Y292)+1,"")</f>
        <v/>
      </c>
      <c r="Z293" s="38" t="str">
        <f t="shared" si="40"/>
        <v/>
      </c>
      <c r="AA293" s="38" t="str">
        <f>IF(AND(A293="Модуль",C293&lt;&gt;"",OR($S$6="(все)",B293=$S$6)),MAX($AA$3:AA292)+1,"")</f>
        <v/>
      </c>
      <c r="AB293" s="38" t="str">
        <f t="shared" si="41"/>
        <v/>
      </c>
      <c r="AC293" s="38" t="str">
        <f>IF(OR(B293="",COUNTIF($B$4:B293,B293)&gt;1),"",MAX($AC$3:AC292)+1)</f>
        <v/>
      </c>
      <c r="AD293" s="38" t="str">
        <f t="shared" si="42"/>
        <v/>
      </c>
      <c r="AE293" s="38" t="str">
        <f t="shared" si="43"/>
        <v/>
      </c>
      <c r="AF293" s="38" t="str">
        <f t="shared" si="44"/>
        <v/>
      </c>
    </row>
    <row r="294" spans="1:32" x14ac:dyDescent="0.3">
      <c r="A294" s="74"/>
      <c r="B294" s="74"/>
      <c r="C294" s="74"/>
      <c r="D294" s="74"/>
      <c r="E294" s="74"/>
      <c r="F294" s="74"/>
      <c r="G294" s="74"/>
      <c r="H294" s="74"/>
      <c r="I294" s="74"/>
      <c r="J294" s="74"/>
      <c r="K294" s="74"/>
      <c r="L294" s="74"/>
      <c r="M294" s="74"/>
      <c r="N294" s="38" t="str">
        <f>IF(OR(A294="Автомат",A294="Дифавтомат"),IF(W294="","",COUNTIFS(Однолинейка!$H$3:$H$3000,U294,Однолинейка!$A$3:$A$3000,Щит_спец)),IF(A294="Аппарат",IF(C294="","",COUNTIFS(Однолинейка!$I$3:$I$3000,C294,Однолинейка!$A$3:$A$3000,Щит_спец)+COUNTIFS(Однолинейка!$J$3:$J$3000,C294,Однолинейка!$A$3:$A$3000,Щит_спец)+COUNTIFS(Однолинейка!$K$3:$K$3000,C294,Однолинейка!$A$3:$A$3000,Щит_спец)),IF(A294="Модуль",IF(C294="","",COUNTIFS(Однолинейка!$AW$3:$AW$3000,"?*",Однолинейка!$AI$3:$AI$3000,C294,Однолинейка!$A$3:$A$3000,Щит_спец)),IF(A294="Клемма",IF(C294="","",IF(C294=$S$7,SUMIFS(Однолинейка!$BW$3:$BW$3000,Однолинейка!$A$3:$A$3000,Щит_спец),IF(C294=$S$8,SUMIFS(Однолинейка!$BX$3:$BX$3000,Однолинейка!$A$3:$A$3000,Щит_спец),""))),""))))</f>
        <v/>
      </c>
      <c r="O294" s="74"/>
      <c r="P294" s="38" t="str">
        <f t="shared" si="36"/>
        <v/>
      </c>
      <c r="U294" s="38" t="str">
        <f t="shared" si="37"/>
        <v/>
      </c>
      <c r="V294" s="38" t="str">
        <f t="shared" si="38"/>
        <v/>
      </c>
      <c r="W294" s="38" t="str">
        <f>IF(AND(U294&lt;&gt;"",OR($S$4="(все)",B294=$S$4),IF($S$4="(все)",COUNTIF($U$4:U294,U294),COUNTIFS($U$4:U294,U294,$B$4:B294,B294))=1),MAX($W$3:W293)+1,"")</f>
        <v/>
      </c>
      <c r="X294" s="38" t="str">
        <f t="shared" si="39"/>
        <v/>
      </c>
      <c r="Y294" s="38" t="str">
        <f>IF(AND(A294="Аппарат",C294&lt;&gt;"",OR($S$5="(все)",B294=$S$5)),MAX($Y$3:Y293)+1,"")</f>
        <v/>
      </c>
      <c r="Z294" s="38" t="str">
        <f t="shared" si="40"/>
        <v/>
      </c>
      <c r="AA294" s="38" t="str">
        <f>IF(AND(A294="Модуль",C294&lt;&gt;"",OR($S$6="(все)",B294=$S$6)),MAX($AA$3:AA293)+1,"")</f>
        <v/>
      </c>
      <c r="AB294" s="38" t="str">
        <f t="shared" si="41"/>
        <v/>
      </c>
      <c r="AC294" s="38" t="str">
        <f>IF(OR(B294="",COUNTIF($B$4:B294,B294)&gt;1),"",MAX($AC$3:AC293)+1)</f>
        <v/>
      </c>
      <c r="AD294" s="38" t="str">
        <f t="shared" si="42"/>
        <v/>
      </c>
      <c r="AE294" s="38" t="str">
        <f t="shared" si="43"/>
        <v/>
      </c>
      <c r="AF294" s="38" t="str">
        <f t="shared" si="44"/>
        <v/>
      </c>
    </row>
    <row r="295" spans="1:32" x14ac:dyDescent="0.3">
      <c r="A295" s="74"/>
      <c r="B295" s="74"/>
      <c r="C295" s="74"/>
      <c r="D295" s="74"/>
      <c r="E295" s="74"/>
      <c r="F295" s="74"/>
      <c r="G295" s="74"/>
      <c r="H295" s="74"/>
      <c r="I295" s="74"/>
      <c r="J295" s="74"/>
      <c r="K295" s="74"/>
      <c r="L295" s="74"/>
      <c r="M295" s="74"/>
      <c r="N295" s="38" t="str">
        <f>IF(OR(A295="Автомат",A295="Дифавтомат"),IF(W295="","",COUNTIFS(Однолинейка!$H$3:$H$3000,U295,Однолинейка!$A$3:$A$3000,Щит_спец)),IF(A295="Аппарат",IF(C295="","",COUNTIFS(Однолинейка!$I$3:$I$3000,C295,Однолинейка!$A$3:$A$3000,Щит_спец)+COUNTIFS(Однолинейка!$J$3:$J$3000,C295,Однолинейка!$A$3:$A$3000,Щит_спец)+COUNTIFS(Однолинейка!$K$3:$K$3000,C295,Однолинейка!$A$3:$A$3000,Щит_спец)),IF(A295="Модуль",IF(C295="","",COUNTIFS(Однолинейка!$AW$3:$AW$3000,"?*",Однолинейка!$AI$3:$AI$3000,C295,Однолинейка!$A$3:$A$3000,Щит_спец)),IF(A295="Клемма",IF(C295="","",IF(C295=$S$7,SUMIFS(Однолинейка!$BW$3:$BW$3000,Однолинейка!$A$3:$A$3000,Щит_спец),IF(C295=$S$8,SUMIFS(Однолинейка!$BX$3:$BX$3000,Однолинейка!$A$3:$A$3000,Щит_спец),""))),""))))</f>
        <v/>
      </c>
      <c r="O295" s="74"/>
      <c r="P295" s="38" t="str">
        <f t="shared" si="36"/>
        <v/>
      </c>
      <c r="U295" s="38" t="str">
        <f t="shared" si="37"/>
        <v/>
      </c>
      <c r="V295" s="38" t="str">
        <f t="shared" si="38"/>
        <v/>
      </c>
      <c r="W295" s="38" t="str">
        <f>IF(AND(U295&lt;&gt;"",OR($S$4="(все)",B295=$S$4),IF($S$4="(все)",COUNTIF($U$4:U295,U295),COUNTIFS($U$4:U295,U295,$B$4:B295,B295))=1),MAX($W$3:W294)+1,"")</f>
        <v/>
      </c>
      <c r="X295" s="38" t="str">
        <f t="shared" si="39"/>
        <v/>
      </c>
      <c r="Y295" s="38" t="str">
        <f>IF(AND(A295="Аппарат",C295&lt;&gt;"",OR($S$5="(все)",B295=$S$5)),MAX($Y$3:Y294)+1,"")</f>
        <v/>
      </c>
      <c r="Z295" s="38" t="str">
        <f t="shared" si="40"/>
        <v/>
      </c>
      <c r="AA295" s="38" t="str">
        <f>IF(AND(A295="Модуль",C295&lt;&gt;"",OR($S$6="(все)",B295=$S$6)),MAX($AA$3:AA294)+1,"")</f>
        <v/>
      </c>
      <c r="AB295" s="38" t="str">
        <f t="shared" si="41"/>
        <v/>
      </c>
      <c r="AC295" s="38" t="str">
        <f>IF(OR(B295="",COUNTIF($B$4:B295,B295)&gt;1),"",MAX($AC$3:AC294)+1)</f>
        <v/>
      </c>
      <c r="AD295" s="38" t="str">
        <f t="shared" si="42"/>
        <v/>
      </c>
      <c r="AE295" s="38" t="str">
        <f t="shared" si="43"/>
        <v/>
      </c>
      <c r="AF295" s="38" t="str">
        <f t="shared" si="44"/>
        <v/>
      </c>
    </row>
    <row r="296" spans="1:32" x14ac:dyDescent="0.3">
      <c r="A296" s="74"/>
      <c r="B296" s="74"/>
      <c r="C296" s="74"/>
      <c r="D296" s="74"/>
      <c r="E296" s="74"/>
      <c r="F296" s="74"/>
      <c r="G296" s="74"/>
      <c r="H296" s="74"/>
      <c r="I296" s="74"/>
      <c r="J296" s="74"/>
      <c r="K296" s="74"/>
      <c r="L296" s="74"/>
      <c r="M296" s="74"/>
      <c r="N296" s="38" t="str">
        <f>IF(OR(A296="Автомат",A296="Дифавтомат"),IF(W296="","",COUNTIFS(Однолинейка!$H$3:$H$3000,U296,Однолинейка!$A$3:$A$3000,Щит_спец)),IF(A296="Аппарат",IF(C296="","",COUNTIFS(Однолинейка!$I$3:$I$3000,C296,Однолинейка!$A$3:$A$3000,Щит_спец)+COUNTIFS(Однолинейка!$J$3:$J$3000,C296,Однолинейка!$A$3:$A$3000,Щит_спец)+COUNTIFS(Однолинейка!$K$3:$K$3000,C296,Однолинейка!$A$3:$A$3000,Щит_спец)),IF(A296="Модуль",IF(C296="","",COUNTIFS(Однолинейка!$AW$3:$AW$3000,"?*",Однолинейка!$AI$3:$AI$3000,C296,Однолинейка!$A$3:$A$3000,Щит_спец)),IF(A296="Клемма",IF(C296="","",IF(C296=$S$7,SUMIFS(Однолинейка!$BW$3:$BW$3000,Однолинейка!$A$3:$A$3000,Щит_спец),IF(C296=$S$8,SUMIFS(Однолинейка!$BX$3:$BX$3000,Однолинейка!$A$3:$A$3000,Щит_спец),""))),""))))</f>
        <v/>
      </c>
      <c r="O296" s="74"/>
      <c r="P296" s="38" t="str">
        <f t="shared" si="36"/>
        <v/>
      </c>
      <c r="U296" s="38" t="str">
        <f t="shared" si="37"/>
        <v/>
      </c>
      <c r="V296" s="38" t="str">
        <f t="shared" si="38"/>
        <v/>
      </c>
      <c r="W296" s="38" t="str">
        <f>IF(AND(U296&lt;&gt;"",OR($S$4="(все)",B296=$S$4),IF($S$4="(все)",COUNTIF($U$4:U296,U296),COUNTIFS($U$4:U296,U296,$B$4:B296,B296))=1),MAX($W$3:W295)+1,"")</f>
        <v/>
      </c>
      <c r="X296" s="38" t="str">
        <f t="shared" si="39"/>
        <v/>
      </c>
      <c r="Y296" s="38" t="str">
        <f>IF(AND(A296="Аппарат",C296&lt;&gt;"",OR($S$5="(все)",B296=$S$5)),MAX($Y$3:Y295)+1,"")</f>
        <v/>
      </c>
      <c r="Z296" s="38" t="str">
        <f t="shared" si="40"/>
        <v/>
      </c>
      <c r="AA296" s="38" t="str">
        <f>IF(AND(A296="Модуль",C296&lt;&gt;"",OR($S$6="(все)",B296=$S$6)),MAX($AA$3:AA295)+1,"")</f>
        <v/>
      </c>
      <c r="AB296" s="38" t="str">
        <f t="shared" si="41"/>
        <v/>
      </c>
      <c r="AC296" s="38" t="str">
        <f>IF(OR(B296="",COUNTIF($B$4:B296,B296)&gt;1),"",MAX($AC$3:AC295)+1)</f>
        <v/>
      </c>
      <c r="AD296" s="38" t="str">
        <f t="shared" si="42"/>
        <v/>
      </c>
      <c r="AE296" s="38" t="str">
        <f t="shared" si="43"/>
        <v/>
      </c>
      <c r="AF296" s="38" t="str">
        <f t="shared" si="44"/>
        <v/>
      </c>
    </row>
    <row r="297" spans="1:32" x14ac:dyDescent="0.3">
      <c r="A297" s="74"/>
      <c r="B297" s="74"/>
      <c r="C297" s="74"/>
      <c r="D297" s="74"/>
      <c r="E297" s="74"/>
      <c r="F297" s="74"/>
      <c r="G297" s="74"/>
      <c r="H297" s="74"/>
      <c r="I297" s="74"/>
      <c r="J297" s="74"/>
      <c r="K297" s="74"/>
      <c r="L297" s="74"/>
      <c r="M297" s="74"/>
      <c r="N297" s="38" t="str">
        <f>IF(OR(A297="Автомат",A297="Дифавтомат"),IF(W297="","",COUNTIFS(Однолинейка!$H$3:$H$3000,U297,Однолинейка!$A$3:$A$3000,Щит_спец)),IF(A297="Аппарат",IF(C297="","",COUNTIFS(Однолинейка!$I$3:$I$3000,C297,Однолинейка!$A$3:$A$3000,Щит_спец)+COUNTIFS(Однолинейка!$J$3:$J$3000,C297,Однолинейка!$A$3:$A$3000,Щит_спец)+COUNTIFS(Однолинейка!$K$3:$K$3000,C297,Однолинейка!$A$3:$A$3000,Щит_спец)),IF(A297="Модуль",IF(C297="","",COUNTIFS(Однолинейка!$AW$3:$AW$3000,"?*",Однолинейка!$AI$3:$AI$3000,C297,Однолинейка!$A$3:$A$3000,Щит_спец)),IF(A297="Клемма",IF(C297="","",IF(C297=$S$7,SUMIFS(Однолинейка!$BW$3:$BW$3000,Однолинейка!$A$3:$A$3000,Щит_спец),IF(C297=$S$8,SUMIFS(Однолинейка!$BX$3:$BX$3000,Однолинейка!$A$3:$A$3000,Щит_спец),""))),""))))</f>
        <v/>
      </c>
      <c r="O297" s="74"/>
      <c r="P297" s="38" t="str">
        <f t="shared" si="36"/>
        <v/>
      </c>
      <c r="U297" s="38" t="str">
        <f t="shared" si="37"/>
        <v/>
      </c>
      <c r="V297" s="38" t="str">
        <f t="shared" si="38"/>
        <v/>
      </c>
      <c r="W297" s="38" t="str">
        <f>IF(AND(U297&lt;&gt;"",OR($S$4="(все)",B297=$S$4),IF($S$4="(все)",COUNTIF($U$4:U297,U297),COUNTIFS($U$4:U297,U297,$B$4:B297,B297))=1),MAX($W$3:W296)+1,"")</f>
        <v/>
      </c>
      <c r="X297" s="38" t="str">
        <f t="shared" si="39"/>
        <v/>
      </c>
      <c r="Y297" s="38" t="str">
        <f>IF(AND(A297="Аппарат",C297&lt;&gt;"",OR($S$5="(все)",B297=$S$5)),MAX($Y$3:Y296)+1,"")</f>
        <v/>
      </c>
      <c r="Z297" s="38" t="str">
        <f t="shared" si="40"/>
        <v/>
      </c>
      <c r="AA297" s="38" t="str">
        <f>IF(AND(A297="Модуль",C297&lt;&gt;"",OR($S$6="(все)",B297=$S$6)),MAX($AA$3:AA296)+1,"")</f>
        <v/>
      </c>
      <c r="AB297" s="38" t="str">
        <f t="shared" si="41"/>
        <v/>
      </c>
      <c r="AC297" s="38" t="str">
        <f>IF(OR(B297="",COUNTIF($B$4:B297,B297)&gt;1),"",MAX($AC$3:AC296)+1)</f>
        <v/>
      </c>
      <c r="AD297" s="38" t="str">
        <f t="shared" si="42"/>
        <v/>
      </c>
      <c r="AE297" s="38" t="str">
        <f t="shared" si="43"/>
        <v/>
      </c>
      <c r="AF297" s="38" t="str">
        <f t="shared" si="44"/>
        <v/>
      </c>
    </row>
    <row r="298" spans="1:32" x14ac:dyDescent="0.3">
      <c r="A298" s="74"/>
      <c r="B298" s="74"/>
      <c r="C298" s="74"/>
      <c r="D298" s="74"/>
      <c r="E298" s="74"/>
      <c r="F298" s="74"/>
      <c r="G298" s="74"/>
      <c r="H298" s="74"/>
      <c r="I298" s="74"/>
      <c r="J298" s="74"/>
      <c r="K298" s="74"/>
      <c r="L298" s="74"/>
      <c r="M298" s="74"/>
      <c r="N298" s="38" t="str">
        <f>IF(OR(A298="Автомат",A298="Дифавтомат"),IF(W298="","",COUNTIFS(Однолинейка!$H$3:$H$3000,U298,Однолинейка!$A$3:$A$3000,Щит_спец)),IF(A298="Аппарат",IF(C298="","",COUNTIFS(Однолинейка!$I$3:$I$3000,C298,Однолинейка!$A$3:$A$3000,Щит_спец)+COUNTIFS(Однолинейка!$J$3:$J$3000,C298,Однолинейка!$A$3:$A$3000,Щит_спец)+COUNTIFS(Однолинейка!$K$3:$K$3000,C298,Однолинейка!$A$3:$A$3000,Щит_спец)),IF(A298="Модуль",IF(C298="","",COUNTIFS(Однолинейка!$AW$3:$AW$3000,"?*",Однолинейка!$AI$3:$AI$3000,C298,Однолинейка!$A$3:$A$3000,Щит_спец)),IF(A298="Клемма",IF(C298="","",IF(C298=$S$7,SUMIFS(Однолинейка!$BW$3:$BW$3000,Однолинейка!$A$3:$A$3000,Щит_спец),IF(C298=$S$8,SUMIFS(Однолинейка!$BX$3:$BX$3000,Однолинейка!$A$3:$A$3000,Щит_спец),""))),""))))</f>
        <v/>
      </c>
      <c r="O298" s="74"/>
      <c r="P298" s="38" t="str">
        <f t="shared" si="36"/>
        <v/>
      </c>
      <c r="U298" s="38" t="str">
        <f t="shared" si="37"/>
        <v/>
      </c>
      <c r="V298" s="38" t="str">
        <f t="shared" si="38"/>
        <v/>
      </c>
      <c r="W298" s="38" t="str">
        <f>IF(AND(U298&lt;&gt;"",OR($S$4="(все)",B298=$S$4),IF($S$4="(все)",COUNTIF($U$4:U298,U298),COUNTIFS($U$4:U298,U298,$B$4:B298,B298))=1),MAX($W$3:W297)+1,"")</f>
        <v/>
      </c>
      <c r="X298" s="38" t="str">
        <f t="shared" si="39"/>
        <v/>
      </c>
      <c r="Y298" s="38" t="str">
        <f>IF(AND(A298="Аппарат",C298&lt;&gt;"",OR($S$5="(все)",B298=$S$5)),MAX($Y$3:Y297)+1,"")</f>
        <v/>
      </c>
      <c r="Z298" s="38" t="str">
        <f t="shared" si="40"/>
        <v/>
      </c>
      <c r="AA298" s="38" t="str">
        <f>IF(AND(A298="Модуль",C298&lt;&gt;"",OR($S$6="(все)",B298=$S$6)),MAX($AA$3:AA297)+1,"")</f>
        <v/>
      </c>
      <c r="AB298" s="38" t="str">
        <f t="shared" si="41"/>
        <v/>
      </c>
      <c r="AC298" s="38" t="str">
        <f>IF(OR(B298="",COUNTIF($B$4:B298,B298)&gt;1),"",MAX($AC$3:AC297)+1)</f>
        <v/>
      </c>
      <c r="AD298" s="38" t="str">
        <f t="shared" si="42"/>
        <v/>
      </c>
      <c r="AE298" s="38" t="str">
        <f t="shared" si="43"/>
        <v/>
      </c>
      <c r="AF298" s="38" t="str">
        <f t="shared" si="44"/>
        <v/>
      </c>
    </row>
    <row r="299" spans="1:32" x14ac:dyDescent="0.3">
      <c r="A299" s="74"/>
      <c r="B299" s="74"/>
      <c r="C299" s="74"/>
      <c r="D299" s="74"/>
      <c r="E299" s="74"/>
      <c r="F299" s="74"/>
      <c r="G299" s="74"/>
      <c r="H299" s="74"/>
      <c r="I299" s="74"/>
      <c r="J299" s="74"/>
      <c r="K299" s="74"/>
      <c r="L299" s="74"/>
      <c r="M299" s="74"/>
      <c r="N299" s="38" t="str">
        <f>IF(OR(A299="Автомат",A299="Дифавтомат"),IF(W299="","",COUNTIFS(Однолинейка!$H$3:$H$3000,U299,Однолинейка!$A$3:$A$3000,Щит_спец)),IF(A299="Аппарат",IF(C299="","",COUNTIFS(Однолинейка!$I$3:$I$3000,C299,Однолинейка!$A$3:$A$3000,Щит_спец)+COUNTIFS(Однолинейка!$J$3:$J$3000,C299,Однолинейка!$A$3:$A$3000,Щит_спец)+COUNTIFS(Однолинейка!$K$3:$K$3000,C299,Однолинейка!$A$3:$A$3000,Щит_спец)),IF(A299="Модуль",IF(C299="","",COUNTIFS(Однолинейка!$AW$3:$AW$3000,"?*",Однолинейка!$AI$3:$AI$3000,C299,Однолинейка!$A$3:$A$3000,Щит_спец)),IF(A299="Клемма",IF(C299="","",IF(C299=$S$7,SUMIFS(Однолинейка!$BW$3:$BW$3000,Однолинейка!$A$3:$A$3000,Щит_спец),IF(C299=$S$8,SUMIFS(Однолинейка!$BX$3:$BX$3000,Однолинейка!$A$3:$A$3000,Щит_спец),""))),""))))</f>
        <v/>
      </c>
      <c r="O299" s="74"/>
      <c r="P299" s="38" t="str">
        <f t="shared" si="36"/>
        <v/>
      </c>
      <c r="U299" s="38" t="str">
        <f t="shared" si="37"/>
        <v/>
      </c>
      <c r="V299" s="38" t="str">
        <f t="shared" si="38"/>
        <v/>
      </c>
      <c r="W299" s="38" t="str">
        <f>IF(AND(U299&lt;&gt;"",OR($S$4="(все)",B299=$S$4),IF($S$4="(все)",COUNTIF($U$4:U299,U299),COUNTIFS($U$4:U299,U299,$B$4:B299,B299))=1),MAX($W$3:W298)+1,"")</f>
        <v/>
      </c>
      <c r="X299" s="38" t="str">
        <f t="shared" si="39"/>
        <v/>
      </c>
      <c r="Y299" s="38" t="str">
        <f>IF(AND(A299="Аппарат",C299&lt;&gt;"",OR($S$5="(все)",B299=$S$5)),MAX($Y$3:Y298)+1,"")</f>
        <v/>
      </c>
      <c r="Z299" s="38" t="str">
        <f t="shared" si="40"/>
        <v/>
      </c>
      <c r="AA299" s="38" t="str">
        <f>IF(AND(A299="Модуль",C299&lt;&gt;"",OR($S$6="(все)",B299=$S$6)),MAX($AA$3:AA298)+1,"")</f>
        <v/>
      </c>
      <c r="AB299" s="38" t="str">
        <f t="shared" si="41"/>
        <v/>
      </c>
      <c r="AC299" s="38" t="str">
        <f>IF(OR(B299="",COUNTIF($B$4:B299,B299)&gt;1),"",MAX($AC$3:AC298)+1)</f>
        <v/>
      </c>
      <c r="AD299" s="38" t="str">
        <f t="shared" si="42"/>
        <v/>
      </c>
      <c r="AE299" s="38" t="str">
        <f t="shared" si="43"/>
        <v/>
      </c>
      <c r="AF299" s="38" t="str">
        <f t="shared" si="44"/>
        <v/>
      </c>
    </row>
    <row r="300" spans="1:32" x14ac:dyDescent="0.3">
      <c r="A300" s="74"/>
      <c r="B300" s="74"/>
      <c r="C300" s="74"/>
      <c r="D300" s="74"/>
      <c r="E300" s="74"/>
      <c r="F300" s="74"/>
      <c r="G300" s="74"/>
      <c r="H300" s="74"/>
      <c r="I300" s="74"/>
      <c r="J300" s="74"/>
      <c r="K300" s="74"/>
      <c r="L300" s="74"/>
      <c r="M300" s="74"/>
      <c r="N300" s="38" t="str">
        <f>IF(OR(A300="Автомат",A300="Дифавтомат"),IF(W300="","",COUNTIFS(Однолинейка!$H$3:$H$3000,U300,Однолинейка!$A$3:$A$3000,Щит_спец)),IF(A300="Аппарат",IF(C300="","",COUNTIFS(Однолинейка!$I$3:$I$3000,C300,Однолинейка!$A$3:$A$3000,Щит_спец)+COUNTIFS(Однолинейка!$J$3:$J$3000,C300,Однолинейка!$A$3:$A$3000,Щит_спец)+COUNTIFS(Однолинейка!$K$3:$K$3000,C300,Однолинейка!$A$3:$A$3000,Щит_спец)),IF(A300="Модуль",IF(C300="","",COUNTIFS(Однолинейка!$AW$3:$AW$3000,"?*",Однолинейка!$AI$3:$AI$3000,C300,Однолинейка!$A$3:$A$3000,Щит_спец)),IF(A300="Клемма",IF(C300="","",IF(C300=$S$7,SUMIFS(Однолинейка!$BW$3:$BW$3000,Однолинейка!$A$3:$A$3000,Щит_спец),IF(C300=$S$8,SUMIFS(Однолинейка!$BX$3:$BX$3000,Однолинейка!$A$3:$A$3000,Щит_спец),""))),""))))</f>
        <v/>
      </c>
      <c r="O300" s="74"/>
      <c r="P300" s="38" t="str">
        <f t="shared" si="36"/>
        <v/>
      </c>
      <c r="U300" s="38" t="str">
        <f t="shared" si="37"/>
        <v/>
      </c>
      <c r="V300" s="38" t="str">
        <f t="shared" si="38"/>
        <v/>
      </c>
      <c r="W300" s="38" t="str">
        <f>IF(AND(U300&lt;&gt;"",OR($S$4="(все)",B300=$S$4),IF($S$4="(все)",COUNTIF($U$4:U300,U300),COUNTIFS($U$4:U300,U300,$B$4:B300,B300))=1),MAX($W$3:W299)+1,"")</f>
        <v/>
      </c>
      <c r="X300" s="38" t="str">
        <f t="shared" si="39"/>
        <v/>
      </c>
      <c r="Y300" s="38" t="str">
        <f>IF(AND(A300="Аппарат",C300&lt;&gt;"",OR($S$5="(все)",B300=$S$5)),MAX($Y$3:Y299)+1,"")</f>
        <v/>
      </c>
      <c r="Z300" s="38" t="str">
        <f t="shared" si="40"/>
        <v/>
      </c>
      <c r="AA300" s="38" t="str">
        <f>IF(AND(A300="Модуль",C300&lt;&gt;"",OR($S$6="(все)",B300=$S$6)),MAX($AA$3:AA299)+1,"")</f>
        <v/>
      </c>
      <c r="AB300" s="38" t="str">
        <f t="shared" si="41"/>
        <v/>
      </c>
      <c r="AC300" s="38" t="str">
        <f>IF(OR(B300="",COUNTIF($B$4:B300,B300)&gt;1),"",MAX($AC$3:AC299)+1)</f>
        <v/>
      </c>
      <c r="AD300" s="38" t="str">
        <f t="shared" si="42"/>
        <v/>
      </c>
      <c r="AE300" s="38" t="str">
        <f t="shared" si="43"/>
        <v/>
      </c>
      <c r="AF300" s="38" t="str">
        <f t="shared" si="44"/>
        <v/>
      </c>
    </row>
    <row r="301" spans="1:32" x14ac:dyDescent="0.3">
      <c r="A301" s="74"/>
      <c r="B301" s="74"/>
      <c r="C301" s="74"/>
      <c r="D301" s="74"/>
      <c r="E301" s="74"/>
      <c r="F301" s="74"/>
      <c r="G301" s="74"/>
      <c r="H301" s="74"/>
      <c r="I301" s="74"/>
      <c r="J301" s="74"/>
      <c r="K301" s="74"/>
      <c r="L301" s="74"/>
      <c r="M301" s="74"/>
      <c r="N301" s="38" t="str">
        <f>IF(OR(A301="Автомат",A301="Дифавтомат"),IF(W301="","",COUNTIFS(Однолинейка!$H$3:$H$3000,U301,Однолинейка!$A$3:$A$3000,Щит_спец)),IF(A301="Аппарат",IF(C301="","",COUNTIFS(Однолинейка!$I$3:$I$3000,C301,Однолинейка!$A$3:$A$3000,Щит_спец)+COUNTIFS(Однолинейка!$J$3:$J$3000,C301,Однолинейка!$A$3:$A$3000,Щит_спец)+COUNTIFS(Однолинейка!$K$3:$K$3000,C301,Однолинейка!$A$3:$A$3000,Щит_спец)),IF(A301="Модуль",IF(C301="","",COUNTIFS(Однолинейка!$AW$3:$AW$3000,"?*",Однолинейка!$AI$3:$AI$3000,C301,Однолинейка!$A$3:$A$3000,Щит_спец)),IF(A301="Клемма",IF(C301="","",IF(C301=$S$7,SUMIFS(Однолинейка!$BW$3:$BW$3000,Однолинейка!$A$3:$A$3000,Щит_спец),IF(C301=$S$8,SUMIFS(Однолинейка!$BX$3:$BX$3000,Однолинейка!$A$3:$A$3000,Щит_спец),""))),""))))</f>
        <v/>
      </c>
      <c r="O301" s="74"/>
      <c r="P301" s="38" t="str">
        <f t="shared" si="36"/>
        <v/>
      </c>
      <c r="U301" s="38" t="str">
        <f t="shared" si="37"/>
        <v/>
      </c>
      <c r="V301" s="38" t="str">
        <f t="shared" si="38"/>
        <v/>
      </c>
      <c r="W301" s="38" t="str">
        <f>IF(AND(U301&lt;&gt;"",OR($S$4="(все)",B301=$S$4),IF($S$4="(все)",COUNTIF($U$4:U301,U301),COUNTIFS($U$4:U301,U301,$B$4:B301,B301))=1),MAX($W$3:W300)+1,"")</f>
        <v/>
      </c>
      <c r="X301" s="38" t="str">
        <f t="shared" si="39"/>
        <v/>
      </c>
      <c r="Y301" s="38" t="str">
        <f>IF(AND(A301="Аппарат",C301&lt;&gt;"",OR($S$5="(все)",B301=$S$5)),MAX($Y$3:Y300)+1,"")</f>
        <v/>
      </c>
      <c r="Z301" s="38" t="str">
        <f t="shared" si="40"/>
        <v/>
      </c>
      <c r="AA301" s="38" t="str">
        <f>IF(AND(A301="Модуль",C301&lt;&gt;"",OR($S$6="(все)",B301=$S$6)),MAX($AA$3:AA300)+1,"")</f>
        <v/>
      </c>
      <c r="AB301" s="38" t="str">
        <f t="shared" si="41"/>
        <v/>
      </c>
      <c r="AC301" s="38" t="str">
        <f>IF(OR(B301="",COUNTIF($B$4:B301,B301)&gt;1),"",MAX($AC$3:AC300)+1)</f>
        <v/>
      </c>
      <c r="AD301" s="38" t="str">
        <f t="shared" si="42"/>
        <v/>
      </c>
      <c r="AE301" s="38" t="str">
        <f t="shared" si="43"/>
        <v/>
      </c>
      <c r="AF301" s="38" t="str">
        <f t="shared" si="44"/>
        <v/>
      </c>
    </row>
    <row r="302" spans="1:32" x14ac:dyDescent="0.3">
      <c r="A302" s="74"/>
      <c r="B302" s="74"/>
      <c r="C302" s="74"/>
      <c r="D302" s="74"/>
      <c r="E302" s="74"/>
      <c r="F302" s="74"/>
      <c r="G302" s="74"/>
      <c r="H302" s="74"/>
      <c r="I302" s="74"/>
      <c r="J302" s="74"/>
      <c r="K302" s="74"/>
      <c r="L302" s="74"/>
      <c r="M302" s="74"/>
      <c r="N302" s="38" t="str">
        <f>IF(OR(A302="Автомат",A302="Дифавтомат"),IF(W302="","",COUNTIFS(Однолинейка!$H$3:$H$3000,U302,Однолинейка!$A$3:$A$3000,Щит_спец)),IF(A302="Аппарат",IF(C302="","",COUNTIFS(Однолинейка!$I$3:$I$3000,C302,Однолинейка!$A$3:$A$3000,Щит_спец)+COUNTIFS(Однолинейка!$J$3:$J$3000,C302,Однолинейка!$A$3:$A$3000,Щит_спец)+COUNTIFS(Однолинейка!$K$3:$K$3000,C302,Однолинейка!$A$3:$A$3000,Щит_спец)),IF(A302="Модуль",IF(C302="","",COUNTIFS(Однолинейка!$AW$3:$AW$3000,"?*",Однолинейка!$AI$3:$AI$3000,C302,Однолинейка!$A$3:$A$3000,Щит_спец)),IF(A302="Клемма",IF(C302="","",IF(C302=$S$7,SUMIFS(Однолинейка!$BW$3:$BW$3000,Однолинейка!$A$3:$A$3000,Щит_спец),IF(C302=$S$8,SUMIFS(Однолинейка!$BX$3:$BX$3000,Однолинейка!$A$3:$A$3000,Щит_спец),""))),""))))</f>
        <v/>
      </c>
      <c r="O302" s="74"/>
      <c r="P302" s="38" t="str">
        <f t="shared" si="36"/>
        <v/>
      </c>
      <c r="U302" s="38" t="str">
        <f t="shared" si="37"/>
        <v/>
      </c>
      <c r="V302" s="38" t="str">
        <f t="shared" si="38"/>
        <v/>
      </c>
      <c r="W302" s="38" t="str">
        <f>IF(AND(U302&lt;&gt;"",OR($S$4="(все)",B302=$S$4),IF($S$4="(все)",COUNTIF($U$4:U302,U302),COUNTIFS($U$4:U302,U302,$B$4:B302,B302))=1),MAX($W$3:W301)+1,"")</f>
        <v/>
      </c>
      <c r="X302" s="38" t="str">
        <f t="shared" si="39"/>
        <v/>
      </c>
      <c r="Y302" s="38" t="str">
        <f>IF(AND(A302="Аппарат",C302&lt;&gt;"",OR($S$5="(все)",B302=$S$5)),MAX($Y$3:Y301)+1,"")</f>
        <v/>
      </c>
      <c r="Z302" s="38" t="str">
        <f t="shared" si="40"/>
        <v/>
      </c>
      <c r="AA302" s="38" t="str">
        <f>IF(AND(A302="Модуль",C302&lt;&gt;"",OR($S$6="(все)",B302=$S$6)),MAX($AA$3:AA301)+1,"")</f>
        <v/>
      </c>
      <c r="AB302" s="38" t="str">
        <f t="shared" si="41"/>
        <v/>
      </c>
      <c r="AC302" s="38" t="str">
        <f>IF(OR(B302="",COUNTIF($B$4:B302,B302)&gt;1),"",MAX($AC$3:AC301)+1)</f>
        <v/>
      </c>
      <c r="AD302" s="38" t="str">
        <f t="shared" si="42"/>
        <v/>
      </c>
      <c r="AE302" s="38" t="str">
        <f t="shared" si="43"/>
        <v/>
      </c>
      <c r="AF302" s="38" t="str">
        <f t="shared" si="44"/>
        <v/>
      </c>
    </row>
    <row r="303" spans="1:32" x14ac:dyDescent="0.3">
      <c r="A303" s="74"/>
      <c r="B303" s="74"/>
      <c r="C303" s="74"/>
      <c r="D303" s="74"/>
      <c r="E303" s="74"/>
      <c r="F303" s="74"/>
      <c r="G303" s="74"/>
      <c r="H303" s="74"/>
      <c r="I303" s="74"/>
      <c r="J303" s="74"/>
      <c r="K303" s="74"/>
      <c r="L303" s="74"/>
      <c r="M303" s="74"/>
      <c r="N303" s="38" t="str">
        <f>IF(OR(A303="Автомат",A303="Дифавтомат"),IF(W303="","",COUNTIFS(Однолинейка!$H$3:$H$3000,U303,Однолинейка!$A$3:$A$3000,Щит_спец)),IF(A303="Аппарат",IF(C303="","",COUNTIFS(Однолинейка!$I$3:$I$3000,C303,Однолинейка!$A$3:$A$3000,Щит_спец)+COUNTIFS(Однолинейка!$J$3:$J$3000,C303,Однолинейка!$A$3:$A$3000,Щит_спец)+COUNTIFS(Однолинейка!$K$3:$K$3000,C303,Однолинейка!$A$3:$A$3000,Щит_спец)),IF(A303="Модуль",IF(C303="","",COUNTIFS(Однолинейка!$AW$3:$AW$3000,"?*",Однолинейка!$AI$3:$AI$3000,C303,Однолинейка!$A$3:$A$3000,Щит_спец)),IF(A303="Клемма",IF(C303="","",IF(C303=$S$7,SUMIFS(Однолинейка!$BW$3:$BW$3000,Однолинейка!$A$3:$A$3000,Щит_спец),IF(C303=$S$8,SUMIFS(Однолинейка!$BX$3:$BX$3000,Однолинейка!$A$3:$A$3000,Щит_спец),""))),""))))</f>
        <v/>
      </c>
      <c r="O303" s="74"/>
      <c r="P303" s="38" t="str">
        <f t="shared" si="36"/>
        <v/>
      </c>
      <c r="U303" s="38" t="str">
        <f t="shared" si="37"/>
        <v/>
      </c>
      <c r="V303" s="38" t="str">
        <f t="shared" si="38"/>
        <v/>
      </c>
      <c r="W303" s="38" t="str">
        <f>IF(AND(U303&lt;&gt;"",OR($S$4="(все)",B303=$S$4),IF($S$4="(все)",COUNTIF($U$4:U303,U303),COUNTIFS($U$4:U303,U303,$B$4:B303,B303))=1),MAX($W$3:W302)+1,"")</f>
        <v/>
      </c>
      <c r="X303" s="38" t="str">
        <f t="shared" si="39"/>
        <v/>
      </c>
      <c r="Y303" s="38" t="str">
        <f>IF(AND(A303="Аппарат",C303&lt;&gt;"",OR($S$5="(все)",B303=$S$5)),MAX($Y$3:Y302)+1,"")</f>
        <v/>
      </c>
      <c r="Z303" s="38" t="str">
        <f t="shared" si="40"/>
        <v/>
      </c>
      <c r="AA303" s="38" t="str">
        <f>IF(AND(A303="Модуль",C303&lt;&gt;"",OR($S$6="(все)",B303=$S$6)),MAX($AA$3:AA302)+1,"")</f>
        <v/>
      </c>
      <c r="AB303" s="38" t="str">
        <f t="shared" si="41"/>
        <v/>
      </c>
      <c r="AC303" s="38" t="str">
        <f>IF(OR(B303="",COUNTIF($B$4:B303,B303)&gt;1),"",MAX($AC$3:AC302)+1)</f>
        <v/>
      </c>
      <c r="AD303" s="38" t="str">
        <f t="shared" si="42"/>
        <v/>
      </c>
      <c r="AE303" s="38" t="str">
        <f t="shared" si="43"/>
        <v/>
      </c>
      <c r="AF303" s="38" t="str">
        <f t="shared" si="44"/>
        <v/>
      </c>
    </row>
    <row r="304" spans="1:32" x14ac:dyDescent="0.3">
      <c r="A304" s="74"/>
      <c r="B304" s="74"/>
      <c r="C304" s="74"/>
      <c r="D304" s="74"/>
      <c r="E304" s="74"/>
      <c r="F304" s="74"/>
      <c r="G304" s="74"/>
      <c r="H304" s="74"/>
      <c r="I304" s="74"/>
      <c r="J304" s="74"/>
      <c r="K304" s="74"/>
      <c r="L304" s="74"/>
      <c r="M304" s="74"/>
      <c r="N304" s="38" t="str">
        <f>IF(OR(A304="Автомат",A304="Дифавтомат"),IF(W304="","",COUNTIFS(Однолинейка!$H$3:$H$3000,U304,Однолинейка!$A$3:$A$3000,Щит_спец)),IF(A304="Аппарат",IF(C304="","",COUNTIFS(Однолинейка!$I$3:$I$3000,C304,Однолинейка!$A$3:$A$3000,Щит_спец)+COUNTIFS(Однолинейка!$J$3:$J$3000,C304,Однолинейка!$A$3:$A$3000,Щит_спец)+COUNTIFS(Однолинейка!$K$3:$K$3000,C304,Однолинейка!$A$3:$A$3000,Щит_спец)),IF(A304="Модуль",IF(C304="","",COUNTIFS(Однолинейка!$AW$3:$AW$3000,"?*",Однолинейка!$AI$3:$AI$3000,C304,Однолинейка!$A$3:$A$3000,Щит_спец)),IF(A304="Клемма",IF(C304="","",IF(C304=$S$7,SUMIFS(Однолинейка!$BW$3:$BW$3000,Однолинейка!$A$3:$A$3000,Щит_спец),IF(C304=$S$8,SUMIFS(Однолинейка!$BX$3:$BX$3000,Однолинейка!$A$3:$A$3000,Щит_спец),""))),""))))</f>
        <v/>
      </c>
      <c r="O304" s="74"/>
      <c r="P304" s="38" t="str">
        <f t="shared" si="36"/>
        <v/>
      </c>
      <c r="U304" s="38" t="str">
        <f t="shared" si="37"/>
        <v/>
      </c>
      <c r="V304" s="38" t="str">
        <f t="shared" si="38"/>
        <v/>
      </c>
      <c r="W304" s="38" t="str">
        <f>IF(AND(U304&lt;&gt;"",OR($S$4="(все)",B304=$S$4),IF($S$4="(все)",COUNTIF($U$4:U304,U304),COUNTIFS($U$4:U304,U304,$B$4:B304,B304))=1),MAX($W$3:W303)+1,"")</f>
        <v/>
      </c>
      <c r="X304" s="38" t="str">
        <f t="shared" si="39"/>
        <v/>
      </c>
      <c r="Y304" s="38" t="str">
        <f>IF(AND(A304="Аппарат",C304&lt;&gt;"",OR($S$5="(все)",B304=$S$5)),MAX($Y$3:Y303)+1,"")</f>
        <v/>
      </c>
      <c r="Z304" s="38" t="str">
        <f t="shared" si="40"/>
        <v/>
      </c>
      <c r="AA304" s="38" t="str">
        <f>IF(AND(A304="Модуль",C304&lt;&gt;"",OR($S$6="(все)",B304=$S$6)),MAX($AA$3:AA303)+1,"")</f>
        <v/>
      </c>
      <c r="AB304" s="38" t="str">
        <f t="shared" si="41"/>
        <v/>
      </c>
      <c r="AC304" s="38" t="str">
        <f>IF(OR(B304="",COUNTIF($B$4:B304,B304)&gt;1),"",MAX($AC$3:AC303)+1)</f>
        <v/>
      </c>
      <c r="AD304" s="38" t="str">
        <f t="shared" si="42"/>
        <v/>
      </c>
      <c r="AE304" s="38" t="str">
        <f t="shared" si="43"/>
        <v/>
      </c>
      <c r="AF304" s="38" t="str">
        <f t="shared" si="44"/>
        <v/>
      </c>
    </row>
    <row r="305" spans="1:32" x14ac:dyDescent="0.3">
      <c r="A305" s="74"/>
      <c r="B305" s="74"/>
      <c r="C305" s="74"/>
      <c r="D305" s="74"/>
      <c r="E305" s="74"/>
      <c r="F305" s="74"/>
      <c r="G305" s="74"/>
      <c r="H305" s="74"/>
      <c r="I305" s="74"/>
      <c r="J305" s="74"/>
      <c r="K305" s="74"/>
      <c r="L305" s="74"/>
      <c r="M305" s="74"/>
      <c r="N305" s="38" t="str">
        <f>IF(OR(A305="Автомат",A305="Дифавтомат"),IF(W305="","",COUNTIFS(Однолинейка!$H$3:$H$3000,U305,Однолинейка!$A$3:$A$3000,Щит_спец)),IF(A305="Аппарат",IF(C305="","",COUNTIFS(Однолинейка!$I$3:$I$3000,C305,Однолинейка!$A$3:$A$3000,Щит_спец)+COUNTIFS(Однолинейка!$J$3:$J$3000,C305,Однолинейка!$A$3:$A$3000,Щит_спец)+COUNTIFS(Однолинейка!$K$3:$K$3000,C305,Однолинейка!$A$3:$A$3000,Щит_спец)),IF(A305="Модуль",IF(C305="","",COUNTIFS(Однолинейка!$AW$3:$AW$3000,"?*",Однолинейка!$AI$3:$AI$3000,C305,Однолинейка!$A$3:$A$3000,Щит_спец)),IF(A305="Клемма",IF(C305="","",IF(C305=$S$7,SUMIFS(Однолинейка!$BW$3:$BW$3000,Однолинейка!$A$3:$A$3000,Щит_спец),IF(C305=$S$8,SUMIFS(Однолинейка!$BX$3:$BX$3000,Однолинейка!$A$3:$A$3000,Щит_спец),""))),""))))</f>
        <v/>
      </c>
      <c r="O305" s="74"/>
      <c r="P305" s="38" t="str">
        <f t="shared" si="36"/>
        <v/>
      </c>
      <c r="U305" s="38" t="str">
        <f t="shared" si="37"/>
        <v/>
      </c>
      <c r="V305" s="38" t="str">
        <f t="shared" si="38"/>
        <v/>
      </c>
      <c r="W305" s="38" t="str">
        <f>IF(AND(U305&lt;&gt;"",OR($S$4="(все)",B305=$S$4),IF($S$4="(все)",COUNTIF($U$4:U305,U305),COUNTIFS($U$4:U305,U305,$B$4:B305,B305))=1),MAX($W$3:W304)+1,"")</f>
        <v/>
      </c>
      <c r="X305" s="38" t="str">
        <f t="shared" si="39"/>
        <v/>
      </c>
      <c r="Y305" s="38" t="str">
        <f>IF(AND(A305="Аппарат",C305&lt;&gt;"",OR($S$5="(все)",B305=$S$5)),MAX($Y$3:Y304)+1,"")</f>
        <v/>
      </c>
      <c r="Z305" s="38" t="str">
        <f t="shared" si="40"/>
        <v/>
      </c>
      <c r="AA305" s="38" t="str">
        <f>IF(AND(A305="Модуль",C305&lt;&gt;"",OR($S$6="(все)",B305=$S$6)),MAX($AA$3:AA304)+1,"")</f>
        <v/>
      </c>
      <c r="AB305" s="38" t="str">
        <f t="shared" si="41"/>
        <v/>
      </c>
      <c r="AC305" s="38" t="str">
        <f>IF(OR(B305="",COUNTIF($B$4:B305,B305)&gt;1),"",MAX($AC$3:AC304)+1)</f>
        <v/>
      </c>
      <c r="AD305" s="38" t="str">
        <f t="shared" si="42"/>
        <v/>
      </c>
      <c r="AE305" s="38" t="str">
        <f t="shared" si="43"/>
        <v/>
      </c>
      <c r="AF305" s="38" t="str">
        <f t="shared" si="44"/>
        <v/>
      </c>
    </row>
    <row r="306" spans="1:32" x14ac:dyDescent="0.3">
      <c r="A306" s="74"/>
      <c r="B306" s="74"/>
      <c r="C306" s="74"/>
      <c r="D306" s="74"/>
      <c r="E306" s="74"/>
      <c r="F306" s="74"/>
      <c r="G306" s="74"/>
      <c r="H306" s="74"/>
      <c r="I306" s="74"/>
      <c r="J306" s="74"/>
      <c r="K306" s="74"/>
      <c r="L306" s="74"/>
      <c r="M306" s="74"/>
      <c r="N306" s="38" t="str">
        <f>IF(OR(A306="Автомат",A306="Дифавтомат"),IF(W306="","",COUNTIFS(Однолинейка!$H$3:$H$3000,U306,Однолинейка!$A$3:$A$3000,Щит_спец)),IF(A306="Аппарат",IF(C306="","",COUNTIFS(Однолинейка!$I$3:$I$3000,C306,Однолинейка!$A$3:$A$3000,Щит_спец)+COUNTIFS(Однолинейка!$J$3:$J$3000,C306,Однолинейка!$A$3:$A$3000,Щит_спец)+COUNTIFS(Однолинейка!$K$3:$K$3000,C306,Однолинейка!$A$3:$A$3000,Щит_спец)),IF(A306="Модуль",IF(C306="","",COUNTIFS(Однолинейка!$AW$3:$AW$3000,"?*",Однолинейка!$AI$3:$AI$3000,C306,Однолинейка!$A$3:$A$3000,Щит_спец)),IF(A306="Клемма",IF(C306="","",IF(C306=$S$7,SUMIFS(Однолинейка!$BW$3:$BW$3000,Однолинейка!$A$3:$A$3000,Щит_спец),IF(C306=$S$8,SUMIFS(Однолинейка!$BX$3:$BX$3000,Однолинейка!$A$3:$A$3000,Щит_спец),""))),""))))</f>
        <v/>
      </c>
      <c r="O306" s="74"/>
      <c r="P306" s="38" t="str">
        <f t="shared" si="36"/>
        <v/>
      </c>
      <c r="U306" s="38" t="str">
        <f t="shared" si="37"/>
        <v/>
      </c>
      <c r="V306" s="38" t="str">
        <f t="shared" si="38"/>
        <v/>
      </c>
      <c r="W306" s="38" t="str">
        <f>IF(AND(U306&lt;&gt;"",OR($S$4="(все)",B306=$S$4),IF($S$4="(все)",COUNTIF($U$4:U306,U306),COUNTIFS($U$4:U306,U306,$B$4:B306,B306))=1),MAX($W$3:W305)+1,"")</f>
        <v/>
      </c>
      <c r="X306" s="38" t="str">
        <f t="shared" si="39"/>
        <v/>
      </c>
      <c r="Y306" s="38" t="str">
        <f>IF(AND(A306="Аппарат",C306&lt;&gt;"",OR($S$5="(все)",B306=$S$5)),MAX($Y$3:Y305)+1,"")</f>
        <v/>
      </c>
      <c r="Z306" s="38" t="str">
        <f t="shared" si="40"/>
        <v/>
      </c>
      <c r="AA306" s="38" t="str">
        <f>IF(AND(A306="Модуль",C306&lt;&gt;"",OR($S$6="(все)",B306=$S$6)),MAX($AA$3:AA305)+1,"")</f>
        <v/>
      </c>
      <c r="AB306" s="38" t="str">
        <f t="shared" si="41"/>
        <v/>
      </c>
      <c r="AC306" s="38" t="str">
        <f>IF(OR(B306="",COUNTIF($B$4:B306,B306)&gt;1),"",MAX($AC$3:AC305)+1)</f>
        <v/>
      </c>
      <c r="AD306" s="38" t="str">
        <f t="shared" si="42"/>
        <v/>
      </c>
      <c r="AE306" s="38" t="str">
        <f t="shared" si="43"/>
        <v/>
      </c>
      <c r="AF306" s="38" t="str">
        <f t="shared" si="44"/>
        <v/>
      </c>
    </row>
    <row r="307" spans="1:32" x14ac:dyDescent="0.3">
      <c r="A307" s="74"/>
      <c r="B307" s="74"/>
      <c r="C307" s="74"/>
      <c r="D307" s="74"/>
      <c r="E307" s="74"/>
      <c r="F307" s="74"/>
      <c r="G307" s="74"/>
      <c r="H307" s="74"/>
      <c r="I307" s="74"/>
      <c r="J307" s="74"/>
      <c r="K307" s="74"/>
      <c r="L307" s="74"/>
      <c r="M307" s="74"/>
      <c r="N307" s="38" t="str">
        <f>IF(OR(A307="Автомат",A307="Дифавтомат"),IF(W307="","",COUNTIFS(Однолинейка!$H$3:$H$3000,U307,Однолинейка!$A$3:$A$3000,Щит_спец)),IF(A307="Аппарат",IF(C307="","",COUNTIFS(Однолинейка!$I$3:$I$3000,C307,Однолинейка!$A$3:$A$3000,Щит_спец)+COUNTIFS(Однолинейка!$J$3:$J$3000,C307,Однолинейка!$A$3:$A$3000,Щит_спец)+COUNTIFS(Однолинейка!$K$3:$K$3000,C307,Однолинейка!$A$3:$A$3000,Щит_спец)),IF(A307="Модуль",IF(C307="","",COUNTIFS(Однолинейка!$AW$3:$AW$3000,"?*",Однолинейка!$AI$3:$AI$3000,C307,Однолинейка!$A$3:$A$3000,Щит_спец)),IF(A307="Клемма",IF(C307="","",IF(C307=$S$7,SUMIFS(Однолинейка!$BW$3:$BW$3000,Однолинейка!$A$3:$A$3000,Щит_спец),IF(C307=$S$8,SUMIFS(Однолинейка!$BX$3:$BX$3000,Однолинейка!$A$3:$A$3000,Щит_спец),""))),""))))</f>
        <v/>
      </c>
      <c r="O307" s="74"/>
      <c r="P307" s="38" t="str">
        <f t="shared" si="36"/>
        <v/>
      </c>
      <c r="U307" s="38" t="str">
        <f t="shared" si="37"/>
        <v/>
      </c>
      <c r="V307" s="38" t="str">
        <f t="shared" si="38"/>
        <v/>
      </c>
      <c r="W307" s="38" t="str">
        <f>IF(AND(U307&lt;&gt;"",OR($S$4="(все)",B307=$S$4),IF($S$4="(все)",COUNTIF($U$4:U307,U307),COUNTIFS($U$4:U307,U307,$B$4:B307,B307))=1),MAX($W$3:W306)+1,"")</f>
        <v/>
      </c>
      <c r="X307" s="38" t="str">
        <f t="shared" si="39"/>
        <v/>
      </c>
      <c r="Y307" s="38" t="str">
        <f>IF(AND(A307="Аппарат",C307&lt;&gt;"",OR($S$5="(все)",B307=$S$5)),MAX($Y$3:Y306)+1,"")</f>
        <v/>
      </c>
      <c r="Z307" s="38" t="str">
        <f t="shared" si="40"/>
        <v/>
      </c>
      <c r="AA307" s="38" t="str">
        <f>IF(AND(A307="Модуль",C307&lt;&gt;"",OR($S$6="(все)",B307=$S$6)),MAX($AA$3:AA306)+1,"")</f>
        <v/>
      </c>
      <c r="AB307" s="38" t="str">
        <f t="shared" si="41"/>
        <v/>
      </c>
      <c r="AC307" s="38" t="str">
        <f>IF(OR(B307="",COUNTIF($B$4:B307,B307)&gt;1),"",MAX($AC$3:AC306)+1)</f>
        <v/>
      </c>
      <c r="AD307" s="38" t="str">
        <f t="shared" si="42"/>
        <v/>
      </c>
      <c r="AE307" s="38" t="str">
        <f t="shared" si="43"/>
        <v/>
      </c>
      <c r="AF307" s="38" t="str">
        <f t="shared" si="44"/>
        <v/>
      </c>
    </row>
    <row r="308" spans="1:32" x14ac:dyDescent="0.3">
      <c r="A308" s="74"/>
      <c r="B308" s="74"/>
      <c r="C308" s="74"/>
      <c r="D308" s="74"/>
      <c r="E308" s="74"/>
      <c r="F308" s="74"/>
      <c r="G308" s="74"/>
      <c r="H308" s="74"/>
      <c r="I308" s="74"/>
      <c r="J308" s="74"/>
      <c r="K308" s="74"/>
      <c r="L308" s="74"/>
      <c r="M308" s="74"/>
      <c r="N308" s="38" t="str">
        <f>IF(OR(A308="Автомат",A308="Дифавтомат"),IF(W308="","",COUNTIFS(Однолинейка!$H$3:$H$3000,U308,Однолинейка!$A$3:$A$3000,Щит_спец)),IF(A308="Аппарат",IF(C308="","",COUNTIFS(Однолинейка!$I$3:$I$3000,C308,Однолинейка!$A$3:$A$3000,Щит_спец)+COUNTIFS(Однолинейка!$J$3:$J$3000,C308,Однолинейка!$A$3:$A$3000,Щит_спец)+COUNTIFS(Однолинейка!$K$3:$K$3000,C308,Однолинейка!$A$3:$A$3000,Щит_спец)),IF(A308="Модуль",IF(C308="","",COUNTIFS(Однолинейка!$AW$3:$AW$3000,"?*",Однолинейка!$AI$3:$AI$3000,C308,Однолинейка!$A$3:$A$3000,Щит_спец)),IF(A308="Клемма",IF(C308="","",IF(C308=$S$7,SUMIFS(Однолинейка!$BW$3:$BW$3000,Однолинейка!$A$3:$A$3000,Щит_спец),IF(C308=$S$8,SUMIFS(Однолинейка!$BX$3:$BX$3000,Однолинейка!$A$3:$A$3000,Щит_спец),""))),""))))</f>
        <v/>
      </c>
      <c r="O308" s="74"/>
      <c r="P308" s="38" t="str">
        <f t="shared" si="36"/>
        <v/>
      </c>
      <c r="U308" s="38" t="str">
        <f t="shared" si="37"/>
        <v/>
      </c>
      <c r="V308" s="38" t="str">
        <f t="shared" si="38"/>
        <v/>
      </c>
      <c r="W308" s="38" t="str">
        <f>IF(AND(U308&lt;&gt;"",OR($S$4="(все)",B308=$S$4),IF($S$4="(все)",COUNTIF($U$4:U308,U308),COUNTIFS($U$4:U308,U308,$B$4:B308,B308))=1),MAX($W$3:W307)+1,"")</f>
        <v/>
      </c>
      <c r="X308" s="38" t="str">
        <f t="shared" si="39"/>
        <v/>
      </c>
      <c r="Y308" s="38" t="str">
        <f>IF(AND(A308="Аппарат",C308&lt;&gt;"",OR($S$5="(все)",B308=$S$5)),MAX($Y$3:Y307)+1,"")</f>
        <v/>
      </c>
      <c r="Z308" s="38" t="str">
        <f t="shared" si="40"/>
        <v/>
      </c>
      <c r="AA308" s="38" t="str">
        <f>IF(AND(A308="Модуль",C308&lt;&gt;"",OR($S$6="(все)",B308=$S$6)),MAX($AA$3:AA307)+1,"")</f>
        <v/>
      </c>
      <c r="AB308" s="38" t="str">
        <f t="shared" si="41"/>
        <v/>
      </c>
      <c r="AC308" s="38" t="str">
        <f>IF(OR(B308="",COUNTIF($B$4:B308,B308)&gt;1),"",MAX($AC$3:AC307)+1)</f>
        <v/>
      </c>
      <c r="AD308" s="38" t="str">
        <f t="shared" si="42"/>
        <v/>
      </c>
      <c r="AE308" s="38" t="str">
        <f t="shared" si="43"/>
        <v/>
      </c>
      <c r="AF308" s="38" t="str">
        <f t="shared" si="44"/>
        <v/>
      </c>
    </row>
    <row r="309" spans="1:32" x14ac:dyDescent="0.3">
      <c r="A309" s="74"/>
      <c r="B309" s="74"/>
      <c r="C309" s="74"/>
      <c r="D309" s="74"/>
      <c r="E309" s="74"/>
      <c r="F309" s="74"/>
      <c r="G309" s="74"/>
      <c r="H309" s="74"/>
      <c r="I309" s="74"/>
      <c r="J309" s="74"/>
      <c r="K309" s="74"/>
      <c r="L309" s="74"/>
      <c r="M309" s="74"/>
      <c r="N309" s="38" t="str">
        <f>IF(OR(A309="Автомат",A309="Дифавтомат"),IF(W309="","",COUNTIFS(Однолинейка!$H$3:$H$3000,U309,Однолинейка!$A$3:$A$3000,Щит_спец)),IF(A309="Аппарат",IF(C309="","",COUNTIFS(Однолинейка!$I$3:$I$3000,C309,Однолинейка!$A$3:$A$3000,Щит_спец)+COUNTIFS(Однолинейка!$J$3:$J$3000,C309,Однолинейка!$A$3:$A$3000,Щит_спец)+COUNTIFS(Однолинейка!$K$3:$K$3000,C309,Однолинейка!$A$3:$A$3000,Щит_спец)),IF(A309="Модуль",IF(C309="","",COUNTIFS(Однолинейка!$AW$3:$AW$3000,"?*",Однолинейка!$AI$3:$AI$3000,C309,Однолинейка!$A$3:$A$3000,Щит_спец)),IF(A309="Клемма",IF(C309="","",IF(C309=$S$7,SUMIFS(Однолинейка!$BW$3:$BW$3000,Однолинейка!$A$3:$A$3000,Щит_спец),IF(C309=$S$8,SUMIFS(Однолинейка!$BX$3:$BX$3000,Однолинейка!$A$3:$A$3000,Щит_спец),""))),""))))</f>
        <v/>
      </c>
      <c r="O309" s="74"/>
      <c r="P309" s="38" t="str">
        <f t="shared" si="36"/>
        <v/>
      </c>
      <c r="U309" s="38" t="str">
        <f t="shared" si="37"/>
        <v/>
      </c>
      <c r="V309" s="38" t="str">
        <f t="shared" si="38"/>
        <v/>
      </c>
      <c r="W309" s="38" t="str">
        <f>IF(AND(U309&lt;&gt;"",OR($S$4="(все)",B309=$S$4),IF($S$4="(все)",COUNTIF($U$4:U309,U309),COUNTIFS($U$4:U309,U309,$B$4:B309,B309))=1),MAX($W$3:W308)+1,"")</f>
        <v/>
      </c>
      <c r="X309" s="38" t="str">
        <f t="shared" si="39"/>
        <v/>
      </c>
      <c r="Y309" s="38" t="str">
        <f>IF(AND(A309="Аппарат",C309&lt;&gt;"",OR($S$5="(все)",B309=$S$5)),MAX($Y$3:Y308)+1,"")</f>
        <v/>
      </c>
      <c r="Z309" s="38" t="str">
        <f t="shared" si="40"/>
        <v/>
      </c>
      <c r="AA309" s="38" t="str">
        <f>IF(AND(A309="Модуль",C309&lt;&gt;"",OR($S$6="(все)",B309=$S$6)),MAX($AA$3:AA308)+1,"")</f>
        <v/>
      </c>
      <c r="AB309" s="38" t="str">
        <f t="shared" si="41"/>
        <v/>
      </c>
      <c r="AC309" s="38" t="str">
        <f>IF(OR(B309="",COUNTIF($B$4:B309,B309)&gt;1),"",MAX($AC$3:AC308)+1)</f>
        <v/>
      </c>
      <c r="AD309" s="38" t="str">
        <f t="shared" si="42"/>
        <v/>
      </c>
      <c r="AE309" s="38" t="str">
        <f t="shared" si="43"/>
        <v/>
      </c>
      <c r="AF309" s="38" t="str">
        <f t="shared" si="44"/>
        <v/>
      </c>
    </row>
    <row r="310" spans="1:32" x14ac:dyDescent="0.3">
      <c r="A310" s="74"/>
      <c r="B310" s="74"/>
      <c r="C310" s="74"/>
      <c r="D310" s="74"/>
      <c r="E310" s="74"/>
      <c r="F310" s="74"/>
      <c r="G310" s="74"/>
      <c r="H310" s="74"/>
      <c r="I310" s="74"/>
      <c r="J310" s="74"/>
      <c r="K310" s="74"/>
      <c r="L310" s="74"/>
      <c r="M310" s="74"/>
      <c r="N310" s="38" t="str">
        <f>IF(OR(A310="Автомат",A310="Дифавтомат"),IF(W310="","",COUNTIFS(Однолинейка!$H$3:$H$3000,U310,Однолинейка!$A$3:$A$3000,Щит_спец)),IF(A310="Аппарат",IF(C310="","",COUNTIFS(Однолинейка!$I$3:$I$3000,C310,Однолинейка!$A$3:$A$3000,Щит_спец)+COUNTIFS(Однолинейка!$J$3:$J$3000,C310,Однолинейка!$A$3:$A$3000,Щит_спец)+COUNTIFS(Однолинейка!$K$3:$K$3000,C310,Однолинейка!$A$3:$A$3000,Щит_спец)),IF(A310="Модуль",IF(C310="","",COUNTIFS(Однолинейка!$AW$3:$AW$3000,"?*",Однолинейка!$AI$3:$AI$3000,C310,Однолинейка!$A$3:$A$3000,Щит_спец)),IF(A310="Клемма",IF(C310="","",IF(C310=$S$7,SUMIFS(Однолинейка!$BW$3:$BW$3000,Однолинейка!$A$3:$A$3000,Щит_спец),IF(C310=$S$8,SUMIFS(Однолинейка!$BX$3:$BX$3000,Однолинейка!$A$3:$A$3000,Щит_спец),""))),""))))</f>
        <v/>
      </c>
      <c r="O310" s="74"/>
      <c r="P310" s="38" t="str">
        <f t="shared" si="36"/>
        <v/>
      </c>
      <c r="U310" s="38" t="str">
        <f t="shared" si="37"/>
        <v/>
      </c>
      <c r="V310" s="38" t="str">
        <f t="shared" si="38"/>
        <v/>
      </c>
      <c r="W310" s="38" t="str">
        <f>IF(AND(U310&lt;&gt;"",OR($S$4="(все)",B310=$S$4),IF($S$4="(все)",COUNTIF($U$4:U310,U310),COUNTIFS($U$4:U310,U310,$B$4:B310,B310))=1),MAX($W$3:W309)+1,"")</f>
        <v/>
      </c>
      <c r="X310" s="38" t="str">
        <f t="shared" si="39"/>
        <v/>
      </c>
      <c r="Y310" s="38" t="str">
        <f>IF(AND(A310="Аппарат",C310&lt;&gt;"",OR($S$5="(все)",B310=$S$5)),MAX($Y$3:Y309)+1,"")</f>
        <v/>
      </c>
      <c r="Z310" s="38" t="str">
        <f t="shared" si="40"/>
        <v/>
      </c>
      <c r="AA310" s="38" t="str">
        <f>IF(AND(A310="Модуль",C310&lt;&gt;"",OR($S$6="(все)",B310=$S$6)),MAX($AA$3:AA309)+1,"")</f>
        <v/>
      </c>
      <c r="AB310" s="38" t="str">
        <f t="shared" si="41"/>
        <v/>
      </c>
      <c r="AC310" s="38" t="str">
        <f>IF(OR(B310="",COUNTIF($B$4:B310,B310)&gt;1),"",MAX($AC$3:AC309)+1)</f>
        <v/>
      </c>
      <c r="AD310" s="38" t="str">
        <f t="shared" si="42"/>
        <v/>
      </c>
      <c r="AE310" s="38" t="str">
        <f t="shared" si="43"/>
        <v/>
      </c>
      <c r="AF310" s="38" t="str">
        <f t="shared" si="44"/>
        <v/>
      </c>
    </row>
    <row r="311" spans="1:32" x14ac:dyDescent="0.3">
      <c r="A311" s="74"/>
      <c r="B311" s="74"/>
      <c r="C311" s="74"/>
      <c r="D311" s="74"/>
      <c r="E311" s="74"/>
      <c r="F311" s="74"/>
      <c r="G311" s="74"/>
      <c r="H311" s="74"/>
      <c r="I311" s="74"/>
      <c r="J311" s="74"/>
      <c r="K311" s="74"/>
      <c r="L311" s="74"/>
      <c r="M311" s="74"/>
      <c r="N311" s="38" t="str">
        <f>IF(OR(A311="Автомат",A311="Дифавтомат"),IF(W311="","",COUNTIFS(Однолинейка!$H$3:$H$3000,U311,Однолинейка!$A$3:$A$3000,Щит_спец)),IF(A311="Аппарат",IF(C311="","",COUNTIFS(Однолинейка!$I$3:$I$3000,C311,Однолинейка!$A$3:$A$3000,Щит_спец)+COUNTIFS(Однолинейка!$J$3:$J$3000,C311,Однолинейка!$A$3:$A$3000,Щит_спец)+COUNTIFS(Однолинейка!$K$3:$K$3000,C311,Однолинейка!$A$3:$A$3000,Щит_спец)),IF(A311="Модуль",IF(C311="","",COUNTIFS(Однолинейка!$AW$3:$AW$3000,"?*",Однолинейка!$AI$3:$AI$3000,C311,Однолинейка!$A$3:$A$3000,Щит_спец)),IF(A311="Клемма",IF(C311="","",IF(C311=$S$7,SUMIFS(Однолинейка!$BW$3:$BW$3000,Однолинейка!$A$3:$A$3000,Щит_спец),IF(C311=$S$8,SUMIFS(Однолинейка!$BX$3:$BX$3000,Однолинейка!$A$3:$A$3000,Щит_спец),""))),""))))</f>
        <v/>
      </c>
      <c r="O311" s="74"/>
      <c r="P311" s="38" t="str">
        <f t="shared" si="36"/>
        <v/>
      </c>
      <c r="U311" s="38" t="str">
        <f t="shared" si="37"/>
        <v/>
      </c>
      <c r="V311" s="38" t="str">
        <f t="shared" si="38"/>
        <v/>
      </c>
      <c r="W311" s="38" t="str">
        <f>IF(AND(U311&lt;&gt;"",OR($S$4="(все)",B311=$S$4),IF($S$4="(все)",COUNTIF($U$4:U311,U311),COUNTIFS($U$4:U311,U311,$B$4:B311,B311))=1),MAX($W$3:W310)+1,"")</f>
        <v/>
      </c>
      <c r="X311" s="38" t="str">
        <f t="shared" si="39"/>
        <v/>
      </c>
      <c r="Y311" s="38" t="str">
        <f>IF(AND(A311="Аппарат",C311&lt;&gt;"",OR($S$5="(все)",B311=$S$5)),MAX($Y$3:Y310)+1,"")</f>
        <v/>
      </c>
      <c r="Z311" s="38" t="str">
        <f t="shared" si="40"/>
        <v/>
      </c>
      <c r="AA311" s="38" t="str">
        <f>IF(AND(A311="Модуль",C311&lt;&gt;"",OR($S$6="(все)",B311=$S$6)),MAX($AA$3:AA310)+1,"")</f>
        <v/>
      </c>
      <c r="AB311" s="38" t="str">
        <f t="shared" si="41"/>
        <v/>
      </c>
      <c r="AC311" s="38" t="str">
        <f>IF(OR(B311="",COUNTIF($B$4:B311,B311)&gt;1),"",MAX($AC$3:AC310)+1)</f>
        <v/>
      </c>
      <c r="AD311" s="38" t="str">
        <f t="shared" si="42"/>
        <v/>
      </c>
      <c r="AE311" s="38" t="str">
        <f t="shared" si="43"/>
        <v/>
      </c>
      <c r="AF311" s="38" t="str">
        <f t="shared" si="44"/>
        <v/>
      </c>
    </row>
    <row r="312" spans="1:32" x14ac:dyDescent="0.3">
      <c r="A312" s="74"/>
      <c r="B312" s="74"/>
      <c r="C312" s="74"/>
      <c r="D312" s="74"/>
      <c r="E312" s="74"/>
      <c r="F312" s="74"/>
      <c r="G312" s="74"/>
      <c r="H312" s="74"/>
      <c r="I312" s="74"/>
      <c r="J312" s="74"/>
      <c r="K312" s="74"/>
      <c r="L312" s="74"/>
      <c r="M312" s="74"/>
      <c r="N312" s="38" t="str">
        <f>IF(OR(A312="Автомат",A312="Дифавтомат"),IF(W312="","",COUNTIFS(Однолинейка!$H$3:$H$3000,U312,Однолинейка!$A$3:$A$3000,Щит_спец)),IF(A312="Аппарат",IF(C312="","",COUNTIFS(Однолинейка!$I$3:$I$3000,C312,Однолинейка!$A$3:$A$3000,Щит_спец)+COUNTIFS(Однолинейка!$J$3:$J$3000,C312,Однолинейка!$A$3:$A$3000,Щит_спец)+COUNTIFS(Однолинейка!$K$3:$K$3000,C312,Однолинейка!$A$3:$A$3000,Щит_спец)),IF(A312="Модуль",IF(C312="","",COUNTIFS(Однолинейка!$AW$3:$AW$3000,"?*",Однолинейка!$AI$3:$AI$3000,C312,Однолинейка!$A$3:$A$3000,Щит_спец)),IF(A312="Клемма",IF(C312="","",IF(C312=$S$7,SUMIFS(Однолинейка!$BW$3:$BW$3000,Однолинейка!$A$3:$A$3000,Щит_спец),IF(C312=$S$8,SUMIFS(Однолинейка!$BX$3:$BX$3000,Однолинейка!$A$3:$A$3000,Щит_спец),""))),""))))</f>
        <v/>
      </c>
      <c r="O312" s="74"/>
      <c r="P312" s="38" t="str">
        <f t="shared" si="36"/>
        <v/>
      </c>
      <c r="U312" s="38" t="str">
        <f t="shared" si="37"/>
        <v/>
      </c>
      <c r="V312" s="38" t="str">
        <f t="shared" si="38"/>
        <v/>
      </c>
      <c r="W312" s="38" t="str">
        <f>IF(AND(U312&lt;&gt;"",OR($S$4="(все)",B312=$S$4),IF($S$4="(все)",COUNTIF($U$4:U312,U312),COUNTIFS($U$4:U312,U312,$B$4:B312,B312))=1),MAX($W$3:W311)+1,"")</f>
        <v/>
      </c>
      <c r="X312" s="38" t="str">
        <f t="shared" si="39"/>
        <v/>
      </c>
      <c r="Y312" s="38" t="str">
        <f>IF(AND(A312="Аппарат",C312&lt;&gt;"",OR($S$5="(все)",B312=$S$5)),MAX($Y$3:Y311)+1,"")</f>
        <v/>
      </c>
      <c r="Z312" s="38" t="str">
        <f t="shared" si="40"/>
        <v/>
      </c>
      <c r="AA312" s="38" t="str">
        <f>IF(AND(A312="Модуль",C312&lt;&gt;"",OR($S$6="(все)",B312=$S$6)),MAX($AA$3:AA311)+1,"")</f>
        <v/>
      </c>
      <c r="AB312" s="38" t="str">
        <f t="shared" si="41"/>
        <v/>
      </c>
      <c r="AC312" s="38" t="str">
        <f>IF(OR(B312="",COUNTIF($B$4:B312,B312)&gt;1),"",MAX($AC$3:AC311)+1)</f>
        <v/>
      </c>
      <c r="AD312" s="38" t="str">
        <f t="shared" si="42"/>
        <v/>
      </c>
      <c r="AE312" s="38" t="str">
        <f t="shared" si="43"/>
        <v/>
      </c>
      <c r="AF312" s="38" t="str">
        <f t="shared" si="44"/>
        <v/>
      </c>
    </row>
    <row r="313" spans="1:32" x14ac:dyDescent="0.3">
      <c r="A313" s="74"/>
      <c r="B313" s="74"/>
      <c r="C313" s="74"/>
      <c r="D313" s="74"/>
      <c r="E313" s="74"/>
      <c r="F313" s="74"/>
      <c r="G313" s="74"/>
      <c r="H313" s="74"/>
      <c r="I313" s="74"/>
      <c r="J313" s="74"/>
      <c r="K313" s="74"/>
      <c r="L313" s="74"/>
      <c r="M313" s="74"/>
      <c r="N313" s="38" t="str">
        <f>IF(OR(A313="Автомат",A313="Дифавтомат"),IF(W313="","",COUNTIFS(Однолинейка!$H$3:$H$3000,U313,Однолинейка!$A$3:$A$3000,Щит_спец)),IF(A313="Аппарат",IF(C313="","",COUNTIFS(Однолинейка!$I$3:$I$3000,C313,Однолинейка!$A$3:$A$3000,Щит_спец)+COUNTIFS(Однолинейка!$J$3:$J$3000,C313,Однолинейка!$A$3:$A$3000,Щит_спец)+COUNTIFS(Однолинейка!$K$3:$K$3000,C313,Однолинейка!$A$3:$A$3000,Щит_спец)),IF(A313="Модуль",IF(C313="","",COUNTIFS(Однолинейка!$AW$3:$AW$3000,"?*",Однолинейка!$AI$3:$AI$3000,C313,Однолинейка!$A$3:$A$3000,Щит_спец)),IF(A313="Клемма",IF(C313="","",IF(C313=$S$7,SUMIFS(Однолинейка!$BW$3:$BW$3000,Однолинейка!$A$3:$A$3000,Щит_спец),IF(C313=$S$8,SUMIFS(Однолинейка!$BX$3:$BX$3000,Однолинейка!$A$3:$A$3000,Щит_спец),""))),""))))</f>
        <v/>
      </c>
      <c r="O313" s="74"/>
      <c r="P313" s="38" t="str">
        <f t="shared" si="36"/>
        <v/>
      </c>
      <c r="U313" s="38" t="str">
        <f t="shared" si="37"/>
        <v/>
      </c>
      <c r="V313" s="38" t="str">
        <f t="shared" si="38"/>
        <v/>
      </c>
      <c r="W313" s="38" t="str">
        <f>IF(AND(U313&lt;&gt;"",OR($S$4="(все)",B313=$S$4),IF($S$4="(все)",COUNTIF($U$4:U313,U313),COUNTIFS($U$4:U313,U313,$B$4:B313,B313))=1),MAX($W$3:W312)+1,"")</f>
        <v/>
      </c>
      <c r="X313" s="38" t="str">
        <f t="shared" si="39"/>
        <v/>
      </c>
      <c r="Y313" s="38" t="str">
        <f>IF(AND(A313="Аппарат",C313&lt;&gt;"",OR($S$5="(все)",B313=$S$5)),MAX($Y$3:Y312)+1,"")</f>
        <v/>
      </c>
      <c r="Z313" s="38" t="str">
        <f t="shared" si="40"/>
        <v/>
      </c>
      <c r="AA313" s="38" t="str">
        <f>IF(AND(A313="Модуль",C313&lt;&gt;"",OR($S$6="(все)",B313=$S$6)),MAX($AA$3:AA312)+1,"")</f>
        <v/>
      </c>
      <c r="AB313" s="38" t="str">
        <f t="shared" si="41"/>
        <v/>
      </c>
      <c r="AC313" s="38" t="str">
        <f>IF(OR(B313="",COUNTIF($B$4:B313,B313)&gt;1),"",MAX($AC$3:AC312)+1)</f>
        <v/>
      </c>
      <c r="AD313" s="38" t="str">
        <f t="shared" si="42"/>
        <v/>
      </c>
      <c r="AE313" s="38" t="str">
        <f t="shared" si="43"/>
        <v/>
      </c>
      <c r="AF313" s="38" t="str">
        <f t="shared" si="44"/>
        <v/>
      </c>
    </row>
    <row r="314" spans="1:32" x14ac:dyDescent="0.3">
      <c r="A314" s="74"/>
      <c r="B314" s="74"/>
      <c r="C314" s="74"/>
      <c r="D314" s="74"/>
      <c r="E314" s="74"/>
      <c r="F314" s="74"/>
      <c r="G314" s="74"/>
      <c r="H314" s="74"/>
      <c r="I314" s="74"/>
      <c r="J314" s="74"/>
      <c r="K314" s="74"/>
      <c r="L314" s="74"/>
      <c r="M314" s="74"/>
      <c r="N314" s="38" t="str">
        <f>IF(OR(A314="Автомат",A314="Дифавтомат"),IF(W314="","",COUNTIFS(Однолинейка!$H$3:$H$3000,U314,Однолинейка!$A$3:$A$3000,Щит_спец)),IF(A314="Аппарат",IF(C314="","",COUNTIFS(Однолинейка!$I$3:$I$3000,C314,Однолинейка!$A$3:$A$3000,Щит_спец)+COUNTIFS(Однолинейка!$J$3:$J$3000,C314,Однолинейка!$A$3:$A$3000,Щит_спец)+COUNTIFS(Однолинейка!$K$3:$K$3000,C314,Однолинейка!$A$3:$A$3000,Щит_спец)),IF(A314="Модуль",IF(C314="","",COUNTIFS(Однолинейка!$AW$3:$AW$3000,"?*",Однолинейка!$AI$3:$AI$3000,C314,Однолинейка!$A$3:$A$3000,Щит_спец)),IF(A314="Клемма",IF(C314="","",IF(C314=$S$7,SUMIFS(Однолинейка!$BW$3:$BW$3000,Однолинейка!$A$3:$A$3000,Щит_спец),IF(C314=$S$8,SUMIFS(Однолинейка!$BX$3:$BX$3000,Однолинейка!$A$3:$A$3000,Щит_спец),""))),""))))</f>
        <v/>
      </c>
      <c r="O314" s="74"/>
      <c r="P314" s="38" t="str">
        <f t="shared" si="36"/>
        <v/>
      </c>
      <c r="U314" s="38" t="str">
        <f t="shared" si="37"/>
        <v/>
      </c>
      <c r="V314" s="38" t="str">
        <f t="shared" si="38"/>
        <v/>
      </c>
      <c r="W314" s="38" t="str">
        <f>IF(AND(U314&lt;&gt;"",OR($S$4="(все)",B314=$S$4),IF($S$4="(все)",COUNTIF($U$4:U314,U314),COUNTIFS($U$4:U314,U314,$B$4:B314,B314))=1),MAX($W$3:W313)+1,"")</f>
        <v/>
      </c>
      <c r="X314" s="38" t="str">
        <f t="shared" si="39"/>
        <v/>
      </c>
      <c r="Y314" s="38" t="str">
        <f>IF(AND(A314="Аппарат",C314&lt;&gt;"",OR($S$5="(все)",B314=$S$5)),MAX($Y$3:Y313)+1,"")</f>
        <v/>
      </c>
      <c r="Z314" s="38" t="str">
        <f t="shared" si="40"/>
        <v/>
      </c>
      <c r="AA314" s="38" t="str">
        <f>IF(AND(A314="Модуль",C314&lt;&gt;"",OR($S$6="(все)",B314=$S$6)),MAX($AA$3:AA313)+1,"")</f>
        <v/>
      </c>
      <c r="AB314" s="38" t="str">
        <f t="shared" si="41"/>
        <v/>
      </c>
      <c r="AC314" s="38" t="str">
        <f>IF(OR(B314="",COUNTIF($B$4:B314,B314)&gt;1),"",MAX($AC$3:AC313)+1)</f>
        <v/>
      </c>
      <c r="AD314" s="38" t="str">
        <f t="shared" si="42"/>
        <v/>
      </c>
      <c r="AE314" s="38" t="str">
        <f t="shared" si="43"/>
        <v/>
      </c>
      <c r="AF314" s="38" t="str">
        <f t="shared" si="44"/>
        <v/>
      </c>
    </row>
    <row r="315" spans="1:32" x14ac:dyDescent="0.3">
      <c r="A315" s="74"/>
      <c r="B315" s="74"/>
      <c r="C315" s="74"/>
      <c r="D315" s="74"/>
      <c r="E315" s="74"/>
      <c r="F315" s="74"/>
      <c r="G315" s="74"/>
      <c r="H315" s="74"/>
      <c r="I315" s="74"/>
      <c r="J315" s="74"/>
      <c r="K315" s="74"/>
      <c r="L315" s="74"/>
      <c r="M315" s="74"/>
      <c r="N315" s="38" t="str">
        <f>IF(OR(A315="Автомат",A315="Дифавтомат"),IF(W315="","",COUNTIFS(Однолинейка!$H$3:$H$3000,U315,Однолинейка!$A$3:$A$3000,Щит_спец)),IF(A315="Аппарат",IF(C315="","",COUNTIFS(Однолинейка!$I$3:$I$3000,C315,Однолинейка!$A$3:$A$3000,Щит_спец)+COUNTIFS(Однолинейка!$J$3:$J$3000,C315,Однолинейка!$A$3:$A$3000,Щит_спец)+COUNTIFS(Однолинейка!$K$3:$K$3000,C315,Однолинейка!$A$3:$A$3000,Щит_спец)),IF(A315="Модуль",IF(C315="","",COUNTIFS(Однолинейка!$AW$3:$AW$3000,"?*",Однолинейка!$AI$3:$AI$3000,C315,Однолинейка!$A$3:$A$3000,Щит_спец)),IF(A315="Клемма",IF(C315="","",IF(C315=$S$7,SUMIFS(Однолинейка!$BW$3:$BW$3000,Однолинейка!$A$3:$A$3000,Щит_спец),IF(C315=$S$8,SUMIFS(Однолинейка!$BX$3:$BX$3000,Однолинейка!$A$3:$A$3000,Щит_спец),""))),""))))</f>
        <v/>
      </c>
      <c r="O315" s="74"/>
      <c r="P315" s="38" t="str">
        <f t="shared" si="36"/>
        <v/>
      </c>
      <c r="U315" s="38" t="str">
        <f t="shared" si="37"/>
        <v/>
      </c>
      <c r="V315" s="38" t="str">
        <f t="shared" si="38"/>
        <v/>
      </c>
      <c r="W315" s="38" t="str">
        <f>IF(AND(U315&lt;&gt;"",OR($S$4="(все)",B315=$S$4),IF($S$4="(все)",COUNTIF($U$4:U315,U315),COUNTIFS($U$4:U315,U315,$B$4:B315,B315))=1),MAX($W$3:W314)+1,"")</f>
        <v/>
      </c>
      <c r="X315" s="38" t="str">
        <f t="shared" si="39"/>
        <v/>
      </c>
      <c r="Y315" s="38" t="str">
        <f>IF(AND(A315="Аппарат",C315&lt;&gt;"",OR($S$5="(все)",B315=$S$5)),MAX($Y$3:Y314)+1,"")</f>
        <v/>
      </c>
      <c r="Z315" s="38" t="str">
        <f t="shared" si="40"/>
        <v/>
      </c>
      <c r="AA315" s="38" t="str">
        <f>IF(AND(A315="Модуль",C315&lt;&gt;"",OR($S$6="(все)",B315=$S$6)),MAX($AA$3:AA314)+1,"")</f>
        <v/>
      </c>
      <c r="AB315" s="38" t="str">
        <f t="shared" si="41"/>
        <v/>
      </c>
      <c r="AC315" s="38" t="str">
        <f>IF(OR(B315="",COUNTIF($B$4:B315,B315)&gt;1),"",MAX($AC$3:AC314)+1)</f>
        <v/>
      </c>
      <c r="AD315" s="38" t="str">
        <f t="shared" si="42"/>
        <v/>
      </c>
      <c r="AE315" s="38" t="str">
        <f t="shared" si="43"/>
        <v/>
      </c>
      <c r="AF315" s="38" t="str">
        <f t="shared" si="44"/>
        <v/>
      </c>
    </row>
    <row r="316" spans="1:32" x14ac:dyDescent="0.3">
      <c r="A316" s="74"/>
      <c r="B316" s="74"/>
      <c r="C316" s="74"/>
      <c r="D316" s="74"/>
      <c r="E316" s="74"/>
      <c r="F316" s="74"/>
      <c r="G316" s="74"/>
      <c r="H316" s="74"/>
      <c r="I316" s="74"/>
      <c r="J316" s="74"/>
      <c r="K316" s="74"/>
      <c r="L316" s="74"/>
      <c r="M316" s="74"/>
      <c r="N316" s="38" t="str">
        <f>IF(OR(A316="Автомат",A316="Дифавтомат"),IF(W316="","",COUNTIFS(Однолинейка!$H$3:$H$3000,U316,Однолинейка!$A$3:$A$3000,Щит_спец)),IF(A316="Аппарат",IF(C316="","",COUNTIFS(Однолинейка!$I$3:$I$3000,C316,Однолинейка!$A$3:$A$3000,Щит_спец)+COUNTIFS(Однолинейка!$J$3:$J$3000,C316,Однолинейка!$A$3:$A$3000,Щит_спец)+COUNTIFS(Однолинейка!$K$3:$K$3000,C316,Однолинейка!$A$3:$A$3000,Щит_спец)),IF(A316="Модуль",IF(C316="","",COUNTIFS(Однолинейка!$AW$3:$AW$3000,"?*",Однолинейка!$AI$3:$AI$3000,C316,Однолинейка!$A$3:$A$3000,Щит_спец)),IF(A316="Клемма",IF(C316="","",IF(C316=$S$7,SUMIFS(Однолинейка!$BW$3:$BW$3000,Однолинейка!$A$3:$A$3000,Щит_спец),IF(C316=$S$8,SUMIFS(Однолинейка!$BX$3:$BX$3000,Однолинейка!$A$3:$A$3000,Щит_спец),""))),""))))</f>
        <v/>
      </c>
      <c r="O316" s="74"/>
      <c r="P316" s="38" t="str">
        <f t="shared" si="36"/>
        <v/>
      </c>
      <c r="U316" s="38" t="str">
        <f t="shared" si="37"/>
        <v/>
      </c>
      <c r="V316" s="38" t="str">
        <f t="shared" si="38"/>
        <v/>
      </c>
      <c r="W316" s="38" t="str">
        <f>IF(AND(U316&lt;&gt;"",OR($S$4="(все)",B316=$S$4),IF($S$4="(все)",COUNTIF($U$4:U316,U316),COUNTIFS($U$4:U316,U316,$B$4:B316,B316))=1),MAX($W$3:W315)+1,"")</f>
        <v/>
      </c>
      <c r="X316" s="38" t="str">
        <f t="shared" si="39"/>
        <v/>
      </c>
      <c r="Y316" s="38" t="str">
        <f>IF(AND(A316="Аппарат",C316&lt;&gt;"",OR($S$5="(все)",B316=$S$5)),MAX($Y$3:Y315)+1,"")</f>
        <v/>
      </c>
      <c r="Z316" s="38" t="str">
        <f t="shared" si="40"/>
        <v/>
      </c>
      <c r="AA316" s="38" t="str">
        <f>IF(AND(A316="Модуль",C316&lt;&gt;"",OR($S$6="(все)",B316=$S$6)),MAX($AA$3:AA315)+1,"")</f>
        <v/>
      </c>
      <c r="AB316" s="38" t="str">
        <f t="shared" si="41"/>
        <v/>
      </c>
      <c r="AC316" s="38" t="str">
        <f>IF(OR(B316="",COUNTIF($B$4:B316,B316)&gt;1),"",MAX($AC$3:AC315)+1)</f>
        <v/>
      </c>
      <c r="AD316" s="38" t="str">
        <f t="shared" si="42"/>
        <v/>
      </c>
      <c r="AE316" s="38" t="str">
        <f t="shared" si="43"/>
        <v/>
      </c>
      <c r="AF316" s="38" t="str">
        <f t="shared" si="44"/>
        <v/>
      </c>
    </row>
    <row r="317" spans="1:32" x14ac:dyDescent="0.3">
      <c r="A317" s="74"/>
      <c r="B317" s="74"/>
      <c r="C317" s="74"/>
      <c r="D317" s="74"/>
      <c r="E317" s="74"/>
      <c r="F317" s="74"/>
      <c r="G317" s="74"/>
      <c r="H317" s="74"/>
      <c r="I317" s="74"/>
      <c r="J317" s="74"/>
      <c r="K317" s="74"/>
      <c r="L317" s="74"/>
      <c r="M317" s="74"/>
      <c r="N317" s="38" t="str">
        <f>IF(OR(A317="Автомат",A317="Дифавтомат"),IF(W317="","",COUNTIFS(Однолинейка!$H$3:$H$3000,U317,Однолинейка!$A$3:$A$3000,Щит_спец)),IF(A317="Аппарат",IF(C317="","",COUNTIFS(Однолинейка!$I$3:$I$3000,C317,Однолинейка!$A$3:$A$3000,Щит_спец)+COUNTIFS(Однолинейка!$J$3:$J$3000,C317,Однолинейка!$A$3:$A$3000,Щит_спец)+COUNTIFS(Однолинейка!$K$3:$K$3000,C317,Однолинейка!$A$3:$A$3000,Щит_спец)),IF(A317="Модуль",IF(C317="","",COUNTIFS(Однолинейка!$AW$3:$AW$3000,"?*",Однолинейка!$AI$3:$AI$3000,C317,Однолинейка!$A$3:$A$3000,Щит_спец)),IF(A317="Клемма",IF(C317="","",IF(C317=$S$7,SUMIFS(Однолинейка!$BW$3:$BW$3000,Однолинейка!$A$3:$A$3000,Щит_спец),IF(C317=$S$8,SUMIFS(Однолинейка!$BX$3:$BX$3000,Однолинейка!$A$3:$A$3000,Щит_спец),""))),""))))</f>
        <v/>
      </c>
      <c r="O317" s="74"/>
      <c r="P317" s="38" t="str">
        <f t="shared" si="36"/>
        <v/>
      </c>
      <c r="U317" s="38" t="str">
        <f t="shared" si="37"/>
        <v/>
      </c>
      <c r="V317" s="38" t="str">
        <f t="shared" si="38"/>
        <v/>
      </c>
      <c r="W317" s="38" t="str">
        <f>IF(AND(U317&lt;&gt;"",OR($S$4="(все)",B317=$S$4),IF($S$4="(все)",COUNTIF($U$4:U317,U317),COUNTIFS($U$4:U317,U317,$B$4:B317,B317))=1),MAX($W$3:W316)+1,"")</f>
        <v/>
      </c>
      <c r="X317" s="38" t="str">
        <f t="shared" si="39"/>
        <v/>
      </c>
      <c r="Y317" s="38" t="str">
        <f>IF(AND(A317="Аппарат",C317&lt;&gt;"",OR($S$5="(все)",B317=$S$5)),MAX($Y$3:Y316)+1,"")</f>
        <v/>
      </c>
      <c r="Z317" s="38" t="str">
        <f t="shared" si="40"/>
        <v/>
      </c>
      <c r="AA317" s="38" t="str">
        <f>IF(AND(A317="Модуль",C317&lt;&gt;"",OR($S$6="(все)",B317=$S$6)),MAX($AA$3:AA316)+1,"")</f>
        <v/>
      </c>
      <c r="AB317" s="38" t="str">
        <f t="shared" si="41"/>
        <v/>
      </c>
      <c r="AC317" s="38" t="str">
        <f>IF(OR(B317="",COUNTIF($B$4:B317,B317)&gt;1),"",MAX($AC$3:AC316)+1)</f>
        <v/>
      </c>
      <c r="AD317" s="38" t="str">
        <f t="shared" si="42"/>
        <v/>
      </c>
      <c r="AE317" s="38" t="str">
        <f t="shared" si="43"/>
        <v/>
      </c>
      <c r="AF317" s="38" t="str">
        <f t="shared" si="44"/>
        <v/>
      </c>
    </row>
    <row r="318" spans="1:32" x14ac:dyDescent="0.3">
      <c r="A318" s="74"/>
      <c r="B318" s="74"/>
      <c r="C318" s="74"/>
      <c r="D318" s="74"/>
      <c r="E318" s="74"/>
      <c r="F318" s="74"/>
      <c r="G318" s="74"/>
      <c r="H318" s="74"/>
      <c r="I318" s="74"/>
      <c r="J318" s="74"/>
      <c r="K318" s="74"/>
      <c r="L318" s="74"/>
      <c r="M318" s="74"/>
      <c r="N318" s="38" t="str">
        <f>IF(OR(A318="Автомат",A318="Дифавтомат"),IF(W318="","",COUNTIFS(Однолинейка!$H$3:$H$3000,U318,Однолинейка!$A$3:$A$3000,Щит_спец)),IF(A318="Аппарат",IF(C318="","",COUNTIFS(Однолинейка!$I$3:$I$3000,C318,Однолинейка!$A$3:$A$3000,Щит_спец)+COUNTIFS(Однолинейка!$J$3:$J$3000,C318,Однолинейка!$A$3:$A$3000,Щит_спец)+COUNTIFS(Однолинейка!$K$3:$K$3000,C318,Однолинейка!$A$3:$A$3000,Щит_спец)),IF(A318="Модуль",IF(C318="","",COUNTIFS(Однолинейка!$AW$3:$AW$3000,"?*",Однолинейка!$AI$3:$AI$3000,C318,Однолинейка!$A$3:$A$3000,Щит_спец)),IF(A318="Клемма",IF(C318="","",IF(C318=$S$7,SUMIFS(Однолинейка!$BW$3:$BW$3000,Однолинейка!$A$3:$A$3000,Щит_спец),IF(C318=$S$8,SUMIFS(Однолинейка!$BX$3:$BX$3000,Однолинейка!$A$3:$A$3000,Щит_спец),""))),""))))</f>
        <v/>
      </c>
      <c r="O318" s="74"/>
      <c r="P318" s="38" t="str">
        <f t="shared" si="36"/>
        <v/>
      </c>
      <c r="U318" s="38" t="str">
        <f t="shared" si="37"/>
        <v/>
      </c>
      <c r="V318" s="38" t="str">
        <f t="shared" si="38"/>
        <v/>
      </c>
      <c r="W318" s="38" t="str">
        <f>IF(AND(U318&lt;&gt;"",OR($S$4="(все)",B318=$S$4),IF($S$4="(все)",COUNTIF($U$4:U318,U318),COUNTIFS($U$4:U318,U318,$B$4:B318,B318))=1),MAX($W$3:W317)+1,"")</f>
        <v/>
      </c>
      <c r="X318" s="38" t="str">
        <f t="shared" si="39"/>
        <v/>
      </c>
      <c r="Y318" s="38" t="str">
        <f>IF(AND(A318="Аппарат",C318&lt;&gt;"",OR($S$5="(все)",B318=$S$5)),MAX($Y$3:Y317)+1,"")</f>
        <v/>
      </c>
      <c r="Z318" s="38" t="str">
        <f t="shared" si="40"/>
        <v/>
      </c>
      <c r="AA318" s="38" t="str">
        <f>IF(AND(A318="Модуль",C318&lt;&gt;"",OR($S$6="(все)",B318=$S$6)),MAX($AA$3:AA317)+1,"")</f>
        <v/>
      </c>
      <c r="AB318" s="38" t="str">
        <f t="shared" si="41"/>
        <v/>
      </c>
      <c r="AC318" s="38" t="str">
        <f>IF(OR(B318="",COUNTIF($B$4:B318,B318)&gt;1),"",MAX($AC$3:AC317)+1)</f>
        <v/>
      </c>
      <c r="AD318" s="38" t="str">
        <f t="shared" si="42"/>
        <v/>
      </c>
      <c r="AE318" s="38" t="str">
        <f t="shared" si="43"/>
        <v/>
      </c>
      <c r="AF318" s="38" t="str">
        <f t="shared" si="44"/>
        <v/>
      </c>
    </row>
    <row r="319" spans="1:32" x14ac:dyDescent="0.3">
      <c r="A319" s="74"/>
      <c r="B319" s="74"/>
      <c r="C319" s="74"/>
      <c r="D319" s="74"/>
      <c r="E319" s="74"/>
      <c r="F319" s="74"/>
      <c r="G319" s="74"/>
      <c r="H319" s="74"/>
      <c r="I319" s="74"/>
      <c r="J319" s="74"/>
      <c r="K319" s="74"/>
      <c r="L319" s="74"/>
      <c r="M319" s="74"/>
      <c r="N319" s="38" t="str">
        <f>IF(OR(A319="Автомат",A319="Дифавтомат"),IF(W319="","",COUNTIFS(Однолинейка!$H$3:$H$3000,U319,Однолинейка!$A$3:$A$3000,Щит_спец)),IF(A319="Аппарат",IF(C319="","",COUNTIFS(Однолинейка!$I$3:$I$3000,C319,Однолинейка!$A$3:$A$3000,Щит_спец)+COUNTIFS(Однолинейка!$J$3:$J$3000,C319,Однолинейка!$A$3:$A$3000,Щит_спец)+COUNTIFS(Однолинейка!$K$3:$K$3000,C319,Однолинейка!$A$3:$A$3000,Щит_спец)),IF(A319="Модуль",IF(C319="","",COUNTIFS(Однолинейка!$AW$3:$AW$3000,"?*",Однолинейка!$AI$3:$AI$3000,C319,Однолинейка!$A$3:$A$3000,Щит_спец)),IF(A319="Клемма",IF(C319="","",IF(C319=$S$7,SUMIFS(Однолинейка!$BW$3:$BW$3000,Однолинейка!$A$3:$A$3000,Щит_спец),IF(C319=$S$8,SUMIFS(Однолинейка!$BX$3:$BX$3000,Однолинейка!$A$3:$A$3000,Щит_спец),""))),""))))</f>
        <v/>
      </c>
      <c r="O319" s="74"/>
      <c r="P319" s="38" t="str">
        <f t="shared" si="36"/>
        <v/>
      </c>
      <c r="U319" s="38" t="str">
        <f t="shared" si="37"/>
        <v/>
      </c>
      <c r="V319" s="38" t="str">
        <f t="shared" si="38"/>
        <v/>
      </c>
      <c r="W319" s="38" t="str">
        <f>IF(AND(U319&lt;&gt;"",OR($S$4="(все)",B319=$S$4),IF($S$4="(все)",COUNTIF($U$4:U319,U319),COUNTIFS($U$4:U319,U319,$B$4:B319,B319))=1),MAX($W$3:W318)+1,"")</f>
        <v/>
      </c>
      <c r="X319" s="38" t="str">
        <f t="shared" si="39"/>
        <v/>
      </c>
      <c r="Y319" s="38" t="str">
        <f>IF(AND(A319="Аппарат",C319&lt;&gt;"",OR($S$5="(все)",B319=$S$5)),MAX($Y$3:Y318)+1,"")</f>
        <v/>
      </c>
      <c r="Z319" s="38" t="str">
        <f t="shared" si="40"/>
        <v/>
      </c>
      <c r="AA319" s="38" t="str">
        <f>IF(AND(A319="Модуль",C319&lt;&gt;"",OR($S$6="(все)",B319=$S$6)),MAX($AA$3:AA318)+1,"")</f>
        <v/>
      </c>
      <c r="AB319" s="38" t="str">
        <f t="shared" si="41"/>
        <v/>
      </c>
      <c r="AC319" s="38" t="str">
        <f>IF(OR(B319="",COUNTIF($B$4:B319,B319)&gt;1),"",MAX($AC$3:AC318)+1)</f>
        <v/>
      </c>
      <c r="AD319" s="38" t="str">
        <f t="shared" si="42"/>
        <v/>
      </c>
      <c r="AE319" s="38" t="str">
        <f t="shared" si="43"/>
        <v/>
      </c>
      <c r="AF319" s="38" t="str">
        <f t="shared" si="44"/>
        <v/>
      </c>
    </row>
    <row r="320" spans="1:32" x14ac:dyDescent="0.3">
      <c r="A320" s="74"/>
      <c r="B320" s="74"/>
      <c r="C320" s="74"/>
      <c r="D320" s="74"/>
      <c r="E320" s="74"/>
      <c r="F320" s="74"/>
      <c r="G320" s="74"/>
      <c r="H320" s="74"/>
      <c r="I320" s="74"/>
      <c r="J320" s="74"/>
      <c r="K320" s="74"/>
      <c r="L320" s="74"/>
      <c r="M320" s="74"/>
      <c r="N320" s="38" t="str">
        <f>IF(OR(A320="Автомат",A320="Дифавтомат"),IF(W320="","",COUNTIFS(Однолинейка!$H$3:$H$3000,U320,Однолинейка!$A$3:$A$3000,Щит_спец)),IF(A320="Аппарат",IF(C320="","",COUNTIFS(Однолинейка!$I$3:$I$3000,C320,Однолинейка!$A$3:$A$3000,Щит_спец)+COUNTIFS(Однолинейка!$J$3:$J$3000,C320,Однолинейка!$A$3:$A$3000,Щит_спец)+COUNTIFS(Однолинейка!$K$3:$K$3000,C320,Однолинейка!$A$3:$A$3000,Щит_спец)),IF(A320="Модуль",IF(C320="","",COUNTIFS(Однолинейка!$AW$3:$AW$3000,"?*",Однолинейка!$AI$3:$AI$3000,C320,Однолинейка!$A$3:$A$3000,Щит_спец)),IF(A320="Клемма",IF(C320="","",IF(C320=$S$7,SUMIFS(Однолинейка!$BW$3:$BW$3000,Однолинейка!$A$3:$A$3000,Щит_спец),IF(C320=$S$8,SUMIFS(Однолинейка!$BX$3:$BX$3000,Однолинейка!$A$3:$A$3000,Щит_спец),""))),""))))</f>
        <v/>
      </c>
      <c r="O320" s="74"/>
      <c r="P320" s="38" t="str">
        <f t="shared" si="36"/>
        <v/>
      </c>
      <c r="U320" s="38" t="str">
        <f t="shared" si="37"/>
        <v/>
      </c>
      <c r="V320" s="38" t="str">
        <f t="shared" si="38"/>
        <v/>
      </c>
      <c r="W320" s="38" t="str">
        <f>IF(AND(U320&lt;&gt;"",OR($S$4="(все)",B320=$S$4),IF($S$4="(все)",COUNTIF($U$4:U320,U320),COUNTIFS($U$4:U320,U320,$B$4:B320,B320))=1),MAX($W$3:W319)+1,"")</f>
        <v/>
      </c>
      <c r="X320" s="38" t="str">
        <f t="shared" si="39"/>
        <v/>
      </c>
      <c r="Y320" s="38" t="str">
        <f>IF(AND(A320="Аппарат",C320&lt;&gt;"",OR($S$5="(все)",B320=$S$5)),MAX($Y$3:Y319)+1,"")</f>
        <v/>
      </c>
      <c r="Z320" s="38" t="str">
        <f t="shared" si="40"/>
        <v/>
      </c>
      <c r="AA320" s="38" t="str">
        <f>IF(AND(A320="Модуль",C320&lt;&gt;"",OR($S$6="(все)",B320=$S$6)),MAX($AA$3:AA319)+1,"")</f>
        <v/>
      </c>
      <c r="AB320" s="38" t="str">
        <f t="shared" si="41"/>
        <v/>
      </c>
      <c r="AC320" s="38" t="str">
        <f>IF(OR(B320="",COUNTIF($B$4:B320,B320)&gt;1),"",MAX($AC$3:AC319)+1)</f>
        <v/>
      </c>
      <c r="AD320" s="38" t="str">
        <f t="shared" si="42"/>
        <v/>
      </c>
      <c r="AE320" s="38" t="str">
        <f t="shared" si="43"/>
        <v/>
      </c>
      <c r="AF320" s="38" t="str">
        <f t="shared" si="44"/>
        <v/>
      </c>
    </row>
    <row r="321" spans="1:32" x14ac:dyDescent="0.3">
      <c r="A321" s="74"/>
      <c r="B321" s="74"/>
      <c r="C321" s="74"/>
      <c r="D321" s="74"/>
      <c r="E321" s="74"/>
      <c r="F321" s="74"/>
      <c r="G321" s="74"/>
      <c r="H321" s="74"/>
      <c r="I321" s="74"/>
      <c r="J321" s="74"/>
      <c r="K321" s="74"/>
      <c r="L321" s="74"/>
      <c r="M321" s="74"/>
      <c r="N321" s="38" t="str">
        <f>IF(OR(A321="Автомат",A321="Дифавтомат"),IF(W321="","",COUNTIFS(Однолинейка!$H$3:$H$3000,U321,Однолинейка!$A$3:$A$3000,Щит_спец)),IF(A321="Аппарат",IF(C321="","",COUNTIFS(Однолинейка!$I$3:$I$3000,C321,Однолинейка!$A$3:$A$3000,Щит_спец)+COUNTIFS(Однолинейка!$J$3:$J$3000,C321,Однолинейка!$A$3:$A$3000,Щит_спец)+COUNTIFS(Однолинейка!$K$3:$K$3000,C321,Однолинейка!$A$3:$A$3000,Щит_спец)),IF(A321="Модуль",IF(C321="","",COUNTIFS(Однолинейка!$AW$3:$AW$3000,"?*",Однолинейка!$AI$3:$AI$3000,C321,Однолинейка!$A$3:$A$3000,Щит_спец)),IF(A321="Клемма",IF(C321="","",IF(C321=$S$7,SUMIFS(Однолинейка!$BW$3:$BW$3000,Однолинейка!$A$3:$A$3000,Щит_спец),IF(C321=$S$8,SUMIFS(Однолинейка!$BX$3:$BX$3000,Однолинейка!$A$3:$A$3000,Щит_спец),""))),""))))</f>
        <v/>
      </c>
      <c r="O321" s="74"/>
      <c r="P321" s="38" t="str">
        <f t="shared" si="36"/>
        <v/>
      </c>
      <c r="U321" s="38" t="str">
        <f t="shared" si="37"/>
        <v/>
      </c>
      <c r="V321" s="38" t="str">
        <f t="shared" si="38"/>
        <v/>
      </c>
      <c r="W321" s="38" t="str">
        <f>IF(AND(U321&lt;&gt;"",OR($S$4="(все)",B321=$S$4),IF($S$4="(все)",COUNTIF($U$4:U321,U321),COUNTIFS($U$4:U321,U321,$B$4:B321,B321))=1),MAX($W$3:W320)+1,"")</f>
        <v/>
      </c>
      <c r="X321" s="38" t="str">
        <f t="shared" si="39"/>
        <v/>
      </c>
      <c r="Y321" s="38" t="str">
        <f>IF(AND(A321="Аппарат",C321&lt;&gt;"",OR($S$5="(все)",B321=$S$5)),MAX($Y$3:Y320)+1,"")</f>
        <v/>
      </c>
      <c r="Z321" s="38" t="str">
        <f t="shared" si="40"/>
        <v/>
      </c>
      <c r="AA321" s="38" t="str">
        <f>IF(AND(A321="Модуль",C321&lt;&gt;"",OR($S$6="(все)",B321=$S$6)),MAX($AA$3:AA320)+1,"")</f>
        <v/>
      </c>
      <c r="AB321" s="38" t="str">
        <f t="shared" si="41"/>
        <v/>
      </c>
      <c r="AC321" s="38" t="str">
        <f>IF(OR(B321="",COUNTIF($B$4:B321,B321)&gt;1),"",MAX($AC$3:AC320)+1)</f>
        <v/>
      </c>
      <c r="AD321" s="38" t="str">
        <f t="shared" si="42"/>
        <v/>
      </c>
      <c r="AE321" s="38" t="str">
        <f t="shared" si="43"/>
        <v/>
      </c>
      <c r="AF321" s="38" t="str">
        <f t="shared" si="44"/>
        <v/>
      </c>
    </row>
    <row r="322" spans="1:32" x14ac:dyDescent="0.3">
      <c r="A322" s="74"/>
      <c r="B322" s="74"/>
      <c r="C322" s="74"/>
      <c r="D322" s="74"/>
      <c r="E322" s="74"/>
      <c r="F322" s="74"/>
      <c r="G322" s="74"/>
      <c r="H322" s="74"/>
      <c r="I322" s="74"/>
      <c r="J322" s="74"/>
      <c r="K322" s="74"/>
      <c r="L322" s="74"/>
      <c r="M322" s="74"/>
      <c r="N322" s="38" t="str">
        <f>IF(OR(A322="Автомат",A322="Дифавтомат"),IF(W322="","",COUNTIFS(Однолинейка!$H$3:$H$3000,U322,Однолинейка!$A$3:$A$3000,Щит_спец)),IF(A322="Аппарат",IF(C322="","",COUNTIFS(Однолинейка!$I$3:$I$3000,C322,Однолинейка!$A$3:$A$3000,Щит_спец)+COUNTIFS(Однолинейка!$J$3:$J$3000,C322,Однолинейка!$A$3:$A$3000,Щит_спец)+COUNTIFS(Однолинейка!$K$3:$K$3000,C322,Однолинейка!$A$3:$A$3000,Щит_спец)),IF(A322="Модуль",IF(C322="","",COUNTIFS(Однолинейка!$AW$3:$AW$3000,"?*",Однолинейка!$AI$3:$AI$3000,C322,Однолинейка!$A$3:$A$3000,Щит_спец)),IF(A322="Клемма",IF(C322="","",IF(C322=$S$7,SUMIFS(Однолинейка!$BW$3:$BW$3000,Однолинейка!$A$3:$A$3000,Щит_спец),IF(C322=$S$8,SUMIFS(Однолинейка!$BX$3:$BX$3000,Однолинейка!$A$3:$A$3000,Щит_спец),""))),""))))</f>
        <v/>
      </c>
      <c r="O322" s="74"/>
      <c r="P322" s="38" t="str">
        <f t="shared" si="36"/>
        <v/>
      </c>
      <c r="U322" s="38" t="str">
        <f t="shared" si="37"/>
        <v/>
      </c>
      <c r="V322" s="38" t="str">
        <f t="shared" si="38"/>
        <v/>
      </c>
      <c r="W322" s="38" t="str">
        <f>IF(AND(U322&lt;&gt;"",OR($S$4="(все)",B322=$S$4),IF($S$4="(все)",COUNTIF($U$4:U322,U322),COUNTIFS($U$4:U322,U322,$B$4:B322,B322))=1),MAX($W$3:W321)+1,"")</f>
        <v/>
      </c>
      <c r="X322" s="38" t="str">
        <f t="shared" si="39"/>
        <v/>
      </c>
      <c r="Y322" s="38" t="str">
        <f>IF(AND(A322="Аппарат",C322&lt;&gt;"",OR($S$5="(все)",B322=$S$5)),MAX($Y$3:Y321)+1,"")</f>
        <v/>
      </c>
      <c r="Z322" s="38" t="str">
        <f t="shared" si="40"/>
        <v/>
      </c>
      <c r="AA322" s="38" t="str">
        <f>IF(AND(A322="Модуль",C322&lt;&gt;"",OR($S$6="(все)",B322=$S$6)),MAX($AA$3:AA321)+1,"")</f>
        <v/>
      </c>
      <c r="AB322" s="38" t="str">
        <f t="shared" si="41"/>
        <v/>
      </c>
      <c r="AC322" s="38" t="str">
        <f>IF(OR(B322="",COUNTIF($B$4:B322,B322)&gt;1),"",MAX($AC$3:AC321)+1)</f>
        <v/>
      </c>
      <c r="AD322" s="38" t="str">
        <f t="shared" si="42"/>
        <v/>
      </c>
      <c r="AE322" s="38" t="str">
        <f t="shared" si="43"/>
        <v/>
      </c>
      <c r="AF322" s="38" t="str">
        <f t="shared" si="44"/>
        <v/>
      </c>
    </row>
    <row r="323" spans="1:32" x14ac:dyDescent="0.3">
      <c r="A323" s="74"/>
      <c r="B323" s="74"/>
      <c r="C323" s="74"/>
      <c r="D323" s="74"/>
      <c r="E323" s="74"/>
      <c r="F323" s="74"/>
      <c r="G323" s="74"/>
      <c r="H323" s="74"/>
      <c r="I323" s="74"/>
      <c r="J323" s="74"/>
      <c r="K323" s="74"/>
      <c r="L323" s="74"/>
      <c r="M323" s="74"/>
      <c r="N323" s="38" t="str">
        <f>IF(OR(A323="Автомат",A323="Дифавтомат"),IF(W323="","",COUNTIFS(Однолинейка!$H$3:$H$3000,U323,Однолинейка!$A$3:$A$3000,Щит_спец)),IF(A323="Аппарат",IF(C323="","",COUNTIFS(Однолинейка!$I$3:$I$3000,C323,Однолинейка!$A$3:$A$3000,Щит_спец)+COUNTIFS(Однолинейка!$J$3:$J$3000,C323,Однолинейка!$A$3:$A$3000,Щит_спец)+COUNTIFS(Однолинейка!$K$3:$K$3000,C323,Однолинейка!$A$3:$A$3000,Щит_спец)),IF(A323="Модуль",IF(C323="","",COUNTIFS(Однолинейка!$AW$3:$AW$3000,"?*",Однолинейка!$AI$3:$AI$3000,C323,Однолинейка!$A$3:$A$3000,Щит_спец)),IF(A323="Клемма",IF(C323="","",IF(C323=$S$7,SUMIFS(Однолинейка!$BW$3:$BW$3000,Однолинейка!$A$3:$A$3000,Щит_спец),IF(C323=$S$8,SUMIFS(Однолинейка!$BX$3:$BX$3000,Однолинейка!$A$3:$A$3000,Щит_спец),""))),""))))</f>
        <v/>
      </c>
      <c r="O323" s="74"/>
      <c r="P323" s="38" t="str">
        <f t="shared" si="36"/>
        <v/>
      </c>
      <c r="U323" s="38" t="str">
        <f t="shared" si="37"/>
        <v/>
      </c>
      <c r="V323" s="38" t="str">
        <f t="shared" si="38"/>
        <v/>
      </c>
      <c r="W323" s="38" t="str">
        <f>IF(AND(U323&lt;&gt;"",OR($S$4="(все)",B323=$S$4),IF($S$4="(все)",COUNTIF($U$4:U323,U323),COUNTIFS($U$4:U323,U323,$B$4:B323,B323))=1),MAX($W$3:W322)+1,"")</f>
        <v/>
      </c>
      <c r="X323" s="38" t="str">
        <f t="shared" si="39"/>
        <v/>
      </c>
      <c r="Y323" s="38" t="str">
        <f>IF(AND(A323="Аппарат",C323&lt;&gt;"",OR($S$5="(все)",B323=$S$5)),MAX($Y$3:Y322)+1,"")</f>
        <v/>
      </c>
      <c r="Z323" s="38" t="str">
        <f t="shared" si="40"/>
        <v/>
      </c>
      <c r="AA323" s="38" t="str">
        <f>IF(AND(A323="Модуль",C323&lt;&gt;"",OR($S$6="(все)",B323=$S$6)),MAX($AA$3:AA322)+1,"")</f>
        <v/>
      </c>
      <c r="AB323" s="38" t="str">
        <f t="shared" si="41"/>
        <v/>
      </c>
      <c r="AC323" s="38" t="str">
        <f>IF(OR(B323="",COUNTIF($B$4:B323,B323)&gt;1),"",MAX($AC$3:AC322)+1)</f>
        <v/>
      </c>
      <c r="AD323" s="38" t="str">
        <f t="shared" si="42"/>
        <v/>
      </c>
      <c r="AE323" s="38" t="str">
        <f t="shared" si="43"/>
        <v/>
      </c>
      <c r="AF323" s="38" t="str">
        <f t="shared" si="44"/>
        <v/>
      </c>
    </row>
    <row r="324" spans="1:32" x14ac:dyDescent="0.3">
      <c r="A324" s="74"/>
      <c r="B324" s="74"/>
      <c r="C324" s="74"/>
      <c r="D324" s="74"/>
      <c r="E324" s="74"/>
      <c r="F324" s="74"/>
      <c r="G324" s="74"/>
      <c r="H324" s="74"/>
      <c r="I324" s="74"/>
      <c r="J324" s="74"/>
      <c r="K324" s="74"/>
      <c r="L324" s="74"/>
      <c r="M324" s="74"/>
      <c r="N324" s="38" t="str">
        <f>IF(OR(A324="Автомат",A324="Дифавтомат"),IF(W324="","",COUNTIFS(Однолинейка!$H$3:$H$3000,U324,Однолинейка!$A$3:$A$3000,Щит_спец)),IF(A324="Аппарат",IF(C324="","",COUNTIFS(Однолинейка!$I$3:$I$3000,C324,Однолинейка!$A$3:$A$3000,Щит_спец)+COUNTIFS(Однолинейка!$J$3:$J$3000,C324,Однолинейка!$A$3:$A$3000,Щит_спец)+COUNTIFS(Однолинейка!$K$3:$K$3000,C324,Однолинейка!$A$3:$A$3000,Щит_спец)),IF(A324="Модуль",IF(C324="","",COUNTIFS(Однолинейка!$AW$3:$AW$3000,"?*",Однолинейка!$AI$3:$AI$3000,C324,Однолинейка!$A$3:$A$3000,Щит_спец)),IF(A324="Клемма",IF(C324="","",IF(C324=$S$7,SUMIFS(Однолинейка!$BW$3:$BW$3000,Однолинейка!$A$3:$A$3000,Щит_спец),IF(C324=$S$8,SUMIFS(Однолинейка!$BX$3:$BX$3000,Однолинейка!$A$3:$A$3000,Щит_спец),""))),""))))</f>
        <v/>
      </c>
      <c r="O324" s="74"/>
      <c r="P324" s="38" t="str">
        <f t="shared" ref="P324:P387" si="45">IF(COUNT(N324,O324)=0,"",SUM(N324,O324))</f>
        <v/>
      </c>
      <c r="U324" s="38" t="str">
        <f t="shared" ref="U324:U387" si="46">IF(OR(A324="Автомат",A324="Дифавтомат"),I324&amp;" С"&amp;J324&amp;"А"&amp;IF(K324="да"," 30мА",IF(ISNUMBER(K324)," "&amp;K324&amp;"мА","")),"")</f>
        <v/>
      </c>
      <c r="V324" s="38" t="str">
        <f t="shared" ref="V324:V387" si="47">IF(U324="","",B324&amp;"|"&amp;U324)</f>
        <v/>
      </c>
      <c r="W324" s="38" t="str">
        <f>IF(AND(U324&lt;&gt;"",OR($S$4="(все)",B324=$S$4),IF($S$4="(все)",COUNTIF($U$4:U324,U324),COUNTIFS($U$4:U324,U324,$B$4:B324,B324))=1),MAX($W$3:W323)+1,"")</f>
        <v/>
      </c>
      <c r="X324" s="38" t="str">
        <f t="shared" ref="X324:X387" si="48">IFERROR(INDEX($U$4:$U$500,MATCH(ROW()-3,$W$4:$W$500,0)),"")</f>
        <v/>
      </c>
      <c r="Y324" s="38" t="str">
        <f>IF(AND(A324="Аппарат",C324&lt;&gt;"",OR($S$5="(все)",B324=$S$5)),MAX($Y$3:Y323)+1,"")</f>
        <v/>
      </c>
      <c r="Z324" s="38" t="str">
        <f t="shared" ref="Z324:Z387" si="49">IFERROR(INDEX($C$4:$C$500,MATCH(ROW()-3,$Y$4:$Y$500,0)),"")</f>
        <v/>
      </c>
      <c r="AA324" s="38" t="str">
        <f>IF(AND(A324="Модуль",C324&lt;&gt;"",OR($S$6="(все)",B324=$S$6)),MAX($AA$3:AA323)+1,"")</f>
        <v/>
      </c>
      <c r="AB324" s="38" t="str">
        <f t="shared" ref="AB324:AB387" si="50">IFERROR(INDEX($C$4:$C$500,MATCH(ROW()-3,$AA$4:$AA$500,0)),"")</f>
        <v/>
      </c>
      <c r="AC324" s="38" t="str">
        <f>IF(OR(B324="",COUNTIF($B$4:B324,B324)&gt;1),"",MAX($AC$3:AC323)+1)</f>
        <v/>
      </c>
      <c r="AD324" s="38" t="str">
        <f t="shared" ref="AD324:AD387" si="51">IFERROR(INDEX($B$4:$B$500,MATCH(ROW()-3,$AC$4:$AC$500,0)),"")</f>
        <v/>
      </c>
      <c r="AE324" s="38" t="str">
        <f t="shared" ref="AE324:AE387" si="52">IF(AND(A324&lt;&gt;"",N(P324)&gt;0),IFERROR(MATCH(A324,$R$12:$R$25,0),99)*1000+ROW(),"")</f>
        <v/>
      </c>
      <c r="AF324" s="38" t="str">
        <f t="shared" ref="AF324:AF387" si="53">IF(AE324="","",COUNTIF($AE$4:$AE$500,"&lt;="&amp;AE324))</f>
        <v/>
      </c>
    </row>
    <row r="325" spans="1:32" x14ac:dyDescent="0.3">
      <c r="A325" s="74"/>
      <c r="B325" s="74"/>
      <c r="C325" s="74"/>
      <c r="D325" s="74"/>
      <c r="E325" s="74"/>
      <c r="F325" s="74"/>
      <c r="G325" s="74"/>
      <c r="H325" s="74"/>
      <c r="I325" s="74"/>
      <c r="J325" s="74"/>
      <c r="K325" s="74"/>
      <c r="L325" s="74"/>
      <c r="M325" s="74"/>
      <c r="N325" s="38" t="str">
        <f>IF(OR(A325="Автомат",A325="Дифавтомат"),IF(W325="","",COUNTIFS(Однолинейка!$H$3:$H$3000,U325,Однолинейка!$A$3:$A$3000,Щит_спец)),IF(A325="Аппарат",IF(C325="","",COUNTIFS(Однолинейка!$I$3:$I$3000,C325,Однолинейка!$A$3:$A$3000,Щит_спец)+COUNTIFS(Однолинейка!$J$3:$J$3000,C325,Однолинейка!$A$3:$A$3000,Щит_спец)+COUNTIFS(Однолинейка!$K$3:$K$3000,C325,Однолинейка!$A$3:$A$3000,Щит_спец)),IF(A325="Модуль",IF(C325="","",COUNTIFS(Однолинейка!$AW$3:$AW$3000,"?*",Однолинейка!$AI$3:$AI$3000,C325,Однолинейка!$A$3:$A$3000,Щит_спец)),IF(A325="Клемма",IF(C325="","",IF(C325=$S$7,SUMIFS(Однолинейка!$BW$3:$BW$3000,Однолинейка!$A$3:$A$3000,Щит_спец),IF(C325=$S$8,SUMIFS(Однолинейка!$BX$3:$BX$3000,Однолинейка!$A$3:$A$3000,Щит_спец),""))),""))))</f>
        <v/>
      </c>
      <c r="O325" s="74"/>
      <c r="P325" s="38" t="str">
        <f t="shared" si="45"/>
        <v/>
      </c>
      <c r="U325" s="38" t="str">
        <f t="shared" si="46"/>
        <v/>
      </c>
      <c r="V325" s="38" t="str">
        <f t="shared" si="47"/>
        <v/>
      </c>
      <c r="W325" s="38" t="str">
        <f>IF(AND(U325&lt;&gt;"",OR($S$4="(все)",B325=$S$4),IF($S$4="(все)",COUNTIF($U$4:U325,U325),COUNTIFS($U$4:U325,U325,$B$4:B325,B325))=1),MAX($W$3:W324)+1,"")</f>
        <v/>
      </c>
      <c r="X325" s="38" t="str">
        <f t="shared" si="48"/>
        <v/>
      </c>
      <c r="Y325" s="38" t="str">
        <f>IF(AND(A325="Аппарат",C325&lt;&gt;"",OR($S$5="(все)",B325=$S$5)),MAX($Y$3:Y324)+1,"")</f>
        <v/>
      </c>
      <c r="Z325" s="38" t="str">
        <f t="shared" si="49"/>
        <v/>
      </c>
      <c r="AA325" s="38" t="str">
        <f>IF(AND(A325="Модуль",C325&lt;&gt;"",OR($S$6="(все)",B325=$S$6)),MAX($AA$3:AA324)+1,"")</f>
        <v/>
      </c>
      <c r="AB325" s="38" t="str">
        <f t="shared" si="50"/>
        <v/>
      </c>
      <c r="AC325" s="38" t="str">
        <f>IF(OR(B325="",COUNTIF($B$4:B325,B325)&gt;1),"",MAX($AC$3:AC324)+1)</f>
        <v/>
      </c>
      <c r="AD325" s="38" t="str">
        <f t="shared" si="51"/>
        <v/>
      </c>
      <c r="AE325" s="38" t="str">
        <f t="shared" si="52"/>
        <v/>
      </c>
      <c r="AF325" s="38" t="str">
        <f t="shared" si="53"/>
        <v/>
      </c>
    </row>
    <row r="326" spans="1:32" x14ac:dyDescent="0.3">
      <c r="A326" s="74"/>
      <c r="B326" s="74"/>
      <c r="C326" s="74"/>
      <c r="D326" s="74"/>
      <c r="E326" s="74"/>
      <c r="F326" s="74"/>
      <c r="G326" s="74"/>
      <c r="H326" s="74"/>
      <c r="I326" s="74"/>
      <c r="J326" s="74"/>
      <c r="K326" s="74"/>
      <c r="L326" s="74"/>
      <c r="M326" s="74"/>
      <c r="N326" s="38" t="str">
        <f>IF(OR(A326="Автомат",A326="Дифавтомат"),IF(W326="","",COUNTIFS(Однолинейка!$H$3:$H$3000,U326,Однолинейка!$A$3:$A$3000,Щит_спец)),IF(A326="Аппарат",IF(C326="","",COUNTIFS(Однолинейка!$I$3:$I$3000,C326,Однолинейка!$A$3:$A$3000,Щит_спец)+COUNTIFS(Однолинейка!$J$3:$J$3000,C326,Однолинейка!$A$3:$A$3000,Щит_спец)+COUNTIFS(Однолинейка!$K$3:$K$3000,C326,Однолинейка!$A$3:$A$3000,Щит_спец)),IF(A326="Модуль",IF(C326="","",COUNTIFS(Однолинейка!$AW$3:$AW$3000,"?*",Однолинейка!$AI$3:$AI$3000,C326,Однолинейка!$A$3:$A$3000,Щит_спец)),IF(A326="Клемма",IF(C326="","",IF(C326=$S$7,SUMIFS(Однолинейка!$BW$3:$BW$3000,Однолинейка!$A$3:$A$3000,Щит_спец),IF(C326=$S$8,SUMIFS(Однолинейка!$BX$3:$BX$3000,Однолинейка!$A$3:$A$3000,Щит_спец),""))),""))))</f>
        <v/>
      </c>
      <c r="O326" s="74"/>
      <c r="P326" s="38" t="str">
        <f t="shared" si="45"/>
        <v/>
      </c>
      <c r="U326" s="38" t="str">
        <f t="shared" si="46"/>
        <v/>
      </c>
      <c r="V326" s="38" t="str">
        <f t="shared" si="47"/>
        <v/>
      </c>
      <c r="W326" s="38" t="str">
        <f>IF(AND(U326&lt;&gt;"",OR($S$4="(все)",B326=$S$4),IF($S$4="(все)",COUNTIF($U$4:U326,U326),COUNTIFS($U$4:U326,U326,$B$4:B326,B326))=1),MAX($W$3:W325)+1,"")</f>
        <v/>
      </c>
      <c r="X326" s="38" t="str">
        <f t="shared" si="48"/>
        <v/>
      </c>
      <c r="Y326" s="38" t="str">
        <f>IF(AND(A326="Аппарат",C326&lt;&gt;"",OR($S$5="(все)",B326=$S$5)),MAX($Y$3:Y325)+1,"")</f>
        <v/>
      </c>
      <c r="Z326" s="38" t="str">
        <f t="shared" si="49"/>
        <v/>
      </c>
      <c r="AA326" s="38" t="str">
        <f>IF(AND(A326="Модуль",C326&lt;&gt;"",OR($S$6="(все)",B326=$S$6)),MAX($AA$3:AA325)+1,"")</f>
        <v/>
      </c>
      <c r="AB326" s="38" t="str">
        <f t="shared" si="50"/>
        <v/>
      </c>
      <c r="AC326" s="38" t="str">
        <f>IF(OR(B326="",COUNTIF($B$4:B326,B326)&gt;1),"",MAX($AC$3:AC325)+1)</f>
        <v/>
      </c>
      <c r="AD326" s="38" t="str">
        <f t="shared" si="51"/>
        <v/>
      </c>
      <c r="AE326" s="38" t="str">
        <f t="shared" si="52"/>
        <v/>
      </c>
      <c r="AF326" s="38" t="str">
        <f t="shared" si="53"/>
        <v/>
      </c>
    </row>
    <row r="327" spans="1:32" x14ac:dyDescent="0.3">
      <c r="A327" s="74"/>
      <c r="B327" s="74"/>
      <c r="C327" s="74"/>
      <c r="D327" s="74"/>
      <c r="E327" s="74"/>
      <c r="F327" s="74"/>
      <c r="G327" s="74"/>
      <c r="H327" s="74"/>
      <c r="I327" s="74"/>
      <c r="J327" s="74"/>
      <c r="K327" s="74"/>
      <c r="L327" s="74"/>
      <c r="M327" s="74"/>
      <c r="N327" s="38" t="str">
        <f>IF(OR(A327="Автомат",A327="Дифавтомат"),IF(W327="","",COUNTIFS(Однолинейка!$H$3:$H$3000,U327,Однолинейка!$A$3:$A$3000,Щит_спец)),IF(A327="Аппарат",IF(C327="","",COUNTIFS(Однолинейка!$I$3:$I$3000,C327,Однолинейка!$A$3:$A$3000,Щит_спец)+COUNTIFS(Однолинейка!$J$3:$J$3000,C327,Однолинейка!$A$3:$A$3000,Щит_спец)+COUNTIFS(Однолинейка!$K$3:$K$3000,C327,Однолинейка!$A$3:$A$3000,Щит_спец)),IF(A327="Модуль",IF(C327="","",COUNTIFS(Однолинейка!$AW$3:$AW$3000,"?*",Однолинейка!$AI$3:$AI$3000,C327,Однолинейка!$A$3:$A$3000,Щит_спец)),IF(A327="Клемма",IF(C327="","",IF(C327=$S$7,SUMIFS(Однолинейка!$BW$3:$BW$3000,Однолинейка!$A$3:$A$3000,Щит_спец),IF(C327=$S$8,SUMIFS(Однолинейка!$BX$3:$BX$3000,Однолинейка!$A$3:$A$3000,Щит_спец),""))),""))))</f>
        <v/>
      </c>
      <c r="O327" s="74"/>
      <c r="P327" s="38" t="str">
        <f t="shared" si="45"/>
        <v/>
      </c>
      <c r="U327" s="38" t="str">
        <f t="shared" si="46"/>
        <v/>
      </c>
      <c r="V327" s="38" t="str">
        <f t="shared" si="47"/>
        <v/>
      </c>
      <c r="W327" s="38" t="str">
        <f>IF(AND(U327&lt;&gt;"",OR($S$4="(все)",B327=$S$4),IF($S$4="(все)",COUNTIF($U$4:U327,U327),COUNTIFS($U$4:U327,U327,$B$4:B327,B327))=1),MAX($W$3:W326)+1,"")</f>
        <v/>
      </c>
      <c r="X327" s="38" t="str">
        <f t="shared" si="48"/>
        <v/>
      </c>
      <c r="Y327" s="38" t="str">
        <f>IF(AND(A327="Аппарат",C327&lt;&gt;"",OR($S$5="(все)",B327=$S$5)),MAX($Y$3:Y326)+1,"")</f>
        <v/>
      </c>
      <c r="Z327" s="38" t="str">
        <f t="shared" si="49"/>
        <v/>
      </c>
      <c r="AA327" s="38" t="str">
        <f>IF(AND(A327="Модуль",C327&lt;&gt;"",OR($S$6="(все)",B327=$S$6)),MAX($AA$3:AA326)+1,"")</f>
        <v/>
      </c>
      <c r="AB327" s="38" t="str">
        <f t="shared" si="50"/>
        <v/>
      </c>
      <c r="AC327" s="38" t="str">
        <f>IF(OR(B327="",COUNTIF($B$4:B327,B327)&gt;1),"",MAX($AC$3:AC326)+1)</f>
        <v/>
      </c>
      <c r="AD327" s="38" t="str">
        <f t="shared" si="51"/>
        <v/>
      </c>
      <c r="AE327" s="38" t="str">
        <f t="shared" si="52"/>
        <v/>
      </c>
      <c r="AF327" s="38" t="str">
        <f t="shared" si="53"/>
        <v/>
      </c>
    </row>
    <row r="328" spans="1:32" x14ac:dyDescent="0.3">
      <c r="A328" s="74"/>
      <c r="B328" s="74"/>
      <c r="C328" s="74"/>
      <c r="D328" s="74"/>
      <c r="E328" s="74"/>
      <c r="F328" s="74"/>
      <c r="G328" s="74"/>
      <c r="H328" s="74"/>
      <c r="I328" s="74"/>
      <c r="J328" s="74"/>
      <c r="K328" s="74"/>
      <c r="L328" s="74"/>
      <c r="M328" s="74"/>
      <c r="N328" s="38" t="str">
        <f>IF(OR(A328="Автомат",A328="Дифавтомат"),IF(W328="","",COUNTIFS(Однолинейка!$H$3:$H$3000,U328,Однолинейка!$A$3:$A$3000,Щит_спец)),IF(A328="Аппарат",IF(C328="","",COUNTIFS(Однолинейка!$I$3:$I$3000,C328,Однолинейка!$A$3:$A$3000,Щит_спец)+COUNTIFS(Однолинейка!$J$3:$J$3000,C328,Однолинейка!$A$3:$A$3000,Щит_спец)+COUNTIFS(Однолинейка!$K$3:$K$3000,C328,Однолинейка!$A$3:$A$3000,Щит_спец)),IF(A328="Модуль",IF(C328="","",COUNTIFS(Однолинейка!$AW$3:$AW$3000,"?*",Однолинейка!$AI$3:$AI$3000,C328,Однолинейка!$A$3:$A$3000,Щит_спец)),IF(A328="Клемма",IF(C328="","",IF(C328=$S$7,SUMIFS(Однолинейка!$BW$3:$BW$3000,Однолинейка!$A$3:$A$3000,Щит_спец),IF(C328=$S$8,SUMIFS(Однолинейка!$BX$3:$BX$3000,Однолинейка!$A$3:$A$3000,Щит_спец),""))),""))))</f>
        <v/>
      </c>
      <c r="O328" s="74"/>
      <c r="P328" s="38" t="str">
        <f t="shared" si="45"/>
        <v/>
      </c>
      <c r="U328" s="38" t="str">
        <f t="shared" si="46"/>
        <v/>
      </c>
      <c r="V328" s="38" t="str">
        <f t="shared" si="47"/>
        <v/>
      </c>
      <c r="W328" s="38" t="str">
        <f>IF(AND(U328&lt;&gt;"",OR($S$4="(все)",B328=$S$4),IF($S$4="(все)",COUNTIF($U$4:U328,U328),COUNTIFS($U$4:U328,U328,$B$4:B328,B328))=1),MAX($W$3:W327)+1,"")</f>
        <v/>
      </c>
      <c r="X328" s="38" t="str">
        <f t="shared" si="48"/>
        <v/>
      </c>
      <c r="Y328" s="38" t="str">
        <f>IF(AND(A328="Аппарат",C328&lt;&gt;"",OR($S$5="(все)",B328=$S$5)),MAX($Y$3:Y327)+1,"")</f>
        <v/>
      </c>
      <c r="Z328" s="38" t="str">
        <f t="shared" si="49"/>
        <v/>
      </c>
      <c r="AA328" s="38" t="str">
        <f>IF(AND(A328="Модуль",C328&lt;&gt;"",OR($S$6="(все)",B328=$S$6)),MAX($AA$3:AA327)+1,"")</f>
        <v/>
      </c>
      <c r="AB328" s="38" t="str">
        <f t="shared" si="50"/>
        <v/>
      </c>
      <c r="AC328" s="38" t="str">
        <f>IF(OR(B328="",COUNTIF($B$4:B328,B328)&gt;1),"",MAX($AC$3:AC327)+1)</f>
        <v/>
      </c>
      <c r="AD328" s="38" t="str">
        <f t="shared" si="51"/>
        <v/>
      </c>
      <c r="AE328" s="38" t="str">
        <f t="shared" si="52"/>
        <v/>
      </c>
      <c r="AF328" s="38" t="str">
        <f t="shared" si="53"/>
        <v/>
      </c>
    </row>
    <row r="329" spans="1:32" x14ac:dyDescent="0.3">
      <c r="A329" s="74"/>
      <c r="B329" s="74"/>
      <c r="C329" s="74"/>
      <c r="D329" s="74"/>
      <c r="E329" s="74"/>
      <c r="F329" s="74"/>
      <c r="G329" s="74"/>
      <c r="H329" s="74"/>
      <c r="I329" s="74"/>
      <c r="J329" s="74"/>
      <c r="K329" s="74"/>
      <c r="L329" s="74"/>
      <c r="M329" s="74"/>
      <c r="N329" s="38" t="str">
        <f>IF(OR(A329="Автомат",A329="Дифавтомат"),IF(W329="","",COUNTIFS(Однолинейка!$H$3:$H$3000,U329,Однолинейка!$A$3:$A$3000,Щит_спец)),IF(A329="Аппарат",IF(C329="","",COUNTIFS(Однолинейка!$I$3:$I$3000,C329,Однолинейка!$A$3:$A$3000,Щит_спец)+COUNTIFS(Однолинейка!$J$3:$J$3000,C329,Однолинейка!$A$3:$A$3000,Щит_спец)+COUNTIFS(Однолинейка!$K$3:$K$3000,C329,Однолинейка!$A$3:$A$3000,Щит_спец)),IF(A329="Модуль",IF(C329="","",COUNTIFS(Однолинейка!$AW$3:$AW$3000,"?*",Однолинейка!$AI$3:$AI$3000,C329,Однолинейка!$A$3:$A$3000,Щит_спец)),IF(A329="Клемма",IF(C329="","",IF(C329=$S$7,SUMIFS(Однолинейка!$BW$3:$BW$3000,Однолинейка!$A$3:$A$3000,Щит_спец),IF(C329=$S$8,SUMIFS(Однолинейка!$BX$3:$BX$3000,Однолинейка!$A$3:$A$3000,Щит_спец),""))),""))))</f>
        <v/>
      </c>
      <c r="O329" s="74"/>
      <c r="P329" s="38" t="str">
        <f t="shared" si="45"/>
        <v/>
      </c>
      <c r="U329" s="38" t="str">
        <f t="shared" si="46"/>
        <v/>
      </c>
      <c r="V329" s="38" t="str">
        <f t="shared" si="47"/>
        <v/>
      </c>
      <c r="W329" s="38" t="str">
        <f>IF(AND(U329&lt;&gt;"",OR($S$4="(все)",B329=$S$4),IF($S$4="(все)",COUNTIF($U$4:U329,U329),COUNTIFS($U$4:U329,U329,$B$4:B329,B329))=1),MAX($W$3:W328)+1,"")</f>
        <v/>
      </c>
      <c r="X329" s="38" t="str">
        <f t="shared" si="48"/>
        <v/>
      </c>
      <c r="Y329" s="38" t="str">
        <f>IF(AND(A329="Аппарат",C329&lt;&gt;"",OR($S$5="(все)",B329=$S$5)),MAX($Y$3:Y328)+1,"")</f>
        <v/>
      </c>
      <c r="Z329" s="38" t="str">
        <f t="shared" si="49"/>
        <v/>
      </c>
      <c r="AA329" s="38" t="str">
        <f>IF(AND(A329="Модуль",C329&lt;&gt;"",OR($S$6="(все)",B329=$S$6)),MAX($AA$3:AA328)+1,"")</f>
        <v/>
      </c>
      <c r="AB329" s="38" t="str">
        <f t="shared" si="50"/>
        <v/>
      </c>
      <c r="AC329" s="38" t="str">
        <f>IF(OR(B329="",COUNTIF($B$4:B329,B329)&gt;1),"",MAX($AC$3:AC328)+1)</f>
        <v/>
      </c>
      <c r="AD329" s="38" t="str">
        <f t="shared" si="51"/>
        <v/>
      </c>
      <c r="AE329" s="38" t="str">
        <f t="shared" si="52"/>
        <v/>
      </c>
      <c r="AF329" s="38" t="str">
        <f t="shared" si="53"/>
        <v/>
      </c>
    </row>
    <row r="330" spans="1:32" x14ac:dyDescent="0.3">
      <c r="A330" s="74"/>
      <c r="B330" s="74"/>
      <c r="C330" s="74"/>
      <c r="D330" s="74"/>
      <c r="E330" s="74"/>
      <c r="F330" s="74"/>
      <c r="G330" s="74"/>
      <c r="H330" s="74"/>
      <c r="I330" s="74"/>
      <c r="J330" s="74"/>
      <c r="K330" s="74"/>
      <c r="L330" s="74"/>
      <c r="M330" s="74"/>
      <c r="N330" s="38" t="str">
        <f>IF(OR(A330="Автомат",A330="Дифавтомат"),IF(W330="","",COUNTIFS(Однолинейка!$H$3:$H$3000,U330,Однолинейка!$A$3:$A$3000,Щит_спец)),IF(A330="Аппарат",IF(C330="","",COUNTIFS(Однолинейка!$I$3:$I$3000,C330,Однолинейка!$A$3:$A$3000,Щит_спец)+COUNTIFS(Однолинейка!$J$3:$J$3000,C330,Однолинейка!$A$3:$A$3000,Щит_спец)+COUNTIFS(Однолинейка!$K$3:$K$3000,C330,Однолинейка!$A$3:$A$3000,Щит_спец)),IF(A330="Модуль",IF(C330="","",COUNTIFS(Однолинейка!$AW$3:$AW$3000,"?*",Однолинейка!$AI$3:$AI$3000,C330,Однолинейка!$A$3:$A$3000,Щит_спец)),IF(A330="Клемма",IF(C330="","",IF(C330=$S$7,SUMIFS(Однолинейка!$BW$3:$BW$3000,Однолинейка!$A$3:$A$3000,Щит_спец),IF(C330=$S$8,SUMIFS(Однолинейка!$BX$3:$BX$3000,Однолинейка!$A$3:$A$3000,Щит_спец),""))),""))))</f>
        <v/>
      </c>
      <c r="O330" s="74"/>
      <c r="P330" s="38" t="str">
        <f t="shared" si="45"/>
        <v/>
      </c>
      <c r="U330" s="38" t="str">
        <f t="shared" si="46"/>
        <v/>
      </c>
      <c r="V330" s="38" t="str">
        <f t="shared" si="47"/>
        <v/>
      </c>
      <c r="W330" s="38" t="str">
        <f>IF(AND(U330&lt;&gt;"",OR($S$4="(все)",B330=$S$4),IF($S$4="(все)",COUNTIF($U$4:U330,U330),COUNTIFS($U$4:U330,U330,$B$4:B330,B330))=1),MAX($W$3:W329)+1,"")</f>
        <v/>
      </c>
      <c r="X330" s="38" t="str">
        <f t="shared" si="48"/>
        <v/>
      </c>
      <c r="Y330" s="38" t="str">
        <f>IF(AND(A330="Аппарат",C330&lt;&gt;"",OR($S$5="(все)",B330=$S$5)),MAX($Y$3:Y329)+1,"")</f>
        <v/>
      </c>
      <c r="Z330" s="38" t="str">
        <f t="shared" si="49"/>
        <v/>
      </c>
      <c r="AA330" s="38" t="str">
        <f>IF(AND(A330="Модуль",C330&lt;&gt;"",OR($S$6="(все)",B330=$S$6)),MAX($AA$3:AA329)+1,"")</f>
        <v/>
      </c>
      <c r="AB330" s="38" t="str">
        <f t="shared" si="50"/>
        <v/>
      </c>
      <c r="AC330" s="38" t="str">
        <f>IF(OR(B330="",COUNTIF($B$4:B330,B330)&gt;1),"",MAX($AC$3:AC329)+1)</f>
        <v/>
      </c>
      <c r="AD330" s="38" t="str">
        <f t="shared" si="51"/>
        <v/>
      </c>
      <c r="AE330" s="38" t="str">
        <f t="shared" si="52"/>
        <v/>
      </c>
      <c r="AF330" s="38" t="str">
        <f t="shared" si="53"/>
        <v/>
      </c>
    </row>
    <row r="331" spans="1:32" x14ac:dyDescent="0.3">
      <c r="A331" s="74"/>
      <c r="B331" s="74"/>
      <c r="C331" s="74"/>
      <c r="D331" s="74"/>
      <c r="E331" s="74"/>
      <c r="F331" s="74"/>
      <c r="G331" s="74"/>
      <c r="H331" s="74"/>
      <c r="I331" s="74"/>
      <c r="J331" s="74"/>
      <c r="K331" s="74"/>
      <c r="L331" s="74"/>
      <c r="M331" s="74"/>
      <c r="N331" s="38" t="str">
        <f>IF(OR(A331="Автомат",A331="Дифавтомат"),IF(W331="","",COUNTIFS(Однолинейка!$H$3:$H$3000,U331,Однолинейка!$A$3:$A$3000,Щит_спец)),IF(A331="Аппарат",IF(C331="","",COUNTIFS(Однолинейка!$I$3:$I$3000,C331,Однолинейка!$A$3:$A$3000,Щит_спец)+COUNTIFS(Однолинейка!$J$3:$J$3000,C331,Однолинейка!$A$3:$A$3000,Щит_спец)+COUNTIFS(Однолинейка!$K$3:$K$3000,C331,Однолинейка!$A$3:$A$3000,Щит_спец)),IF(A331="Модуль",IF(C331="","",COUNTIFS(Однолинейка!$AW$3:$AW$3000,"?*",Однолинейка!$AI$3:$AI$3000,C331,Однолинейка!$A$3:$A$3000,Щит_спец)),IF(A331="Клемма",IF(C331="","",IF(C331=$S$7,SUMIFS(Однолинейка!$BW$3:$BW$3000,Однолинейка!$A$3:$A$3000,Щит_спец),IF(C331=$S$8,SUMIFS(Однолинейка!$BX$3:$BX$3000,Однолинейка!$A$3:$A$3000,Щит_спец),""))),""))))</f>
        <v/>
      </c>
      <c r="O331" s="74"/>
      <c r="P331" s="38" t="str">
        <f t="shared" si="45"/>
        <v/>
      </c>
      <c r="U331" s="38" t="str">
        <f t="shared" si="46"/>
        <v/>
      </c>
      <c r="V331" s="38" t="str">
        <f t="shared" si="47"/>
        <v/>
      </c>
      <c r="W331" s="38" t="str">
        <f>IF(AND(U331&lt;&gt;"",OR($S$4="(все)",B331=$S$4),IF($S$4="(все)",COUNTIF($U$4:U331,U331),COUNTIFS($U$4:U331,U331,$B$4:B331,B331))=1),MAX($W$3:W330)+1,"")</f>
        <v/>
      </c>
      <c r="X331" s="38" t="str">
        <f t="shared" si="48"/>
        <v/>
      </c>
      <c r="Y331" s="38" t="str">
        <f>IF(AND(A331="Аппарат",C331&lt;&gt;"",OR($S$5="(все)",B331=$S$5)),MAX($Y$3:Y330)+1,"")</f>
        <v/>
      </c>
      <c r="Z331" s="38" t="str">
        <f t="shared" si="49"/>
        <v/>
      </c>
      <c r="AA331" s="38" t="str">
        <f>IF(AND(A331="Модуль",C331&lt;&gt;"",OR($S$6="(все)",B331=$S$6)),MAX($AA$3:AA330)+1,"")</f>
        <v/>
      </c>
      <c r="AB331" s="38" t="str">
        <f t="shared" si="50"/>
        <v/>
      </c>
      <c r="AC331" s="38" t="str">
        <f>IF(OR(B331="",COUNTIF($B$4:B331,B331)&gt;1),"",MAX($AC$3:AC330)+1)</f>
        <v/>
      </c>
      <c r="AD331" s="38" t="str">
        <f t="shared" si="51"/>
        <v/>
      </c>
      <c r="AE331" s="38" t="str">
        <f t="shared" si="52"/>
        <v/>
      </c>
      <c r="AF331" s="38" t="str">
        <f t="shared" si="53"/>
        <v/>
      </c>
    </row>
    <row r="332" spans="1:32" x14ac:dyDescent="0.3">
      <c r="A332" s="74"/>
      <c r="B332" s="74"/>
      <c r="C332" s="74"/>
      <c r="D332" s="74"/>
      <c r="E332" s="74"/>
      <c r="F332" s="74"/>
      <c r="G332" s="74"/>
      <c r="H332" s="74"/>
      <c r="I332" s="74"/>
      <c r="J332" s="74"/>
      <c r="K332" s="74"/>
      <c r="L332" s="74"/>
      <c r="M332" s="74"/>
      <c r="N332" s="38" t="str">
        <f>IF(OR(A332="Автомат",A332="Дифавтомат"),IF(W332="","",COUNTIFS(Однолинейка!$H$3:$H$3000,U332,Однолинейка!$A$3:$A$3000,Щит_спец)),IF(A332="Аппарат",IF(C332="","",COUNTIFS(Однолинейка!$I$3:$I$3000,C332,Однолинейка!$A$3:$A$3000,Щит_спец)+COUNTIFS(Однолинейка!$J$3:$J$3000,C332,Однолинейка!$A$3:$A$3000,Щит_спец)+COUNTIFS(Однолинейка!$K$3:$K$3000,C332,Однолинейка!$A$3:$A$3000,Щит_спец)),IF(A332="Модуль",IF(C332="","",COUNTIFS(Однолинейка!$AW$3:$AW$3000,"?*",Однолинейка!$AI$3:$AI$3000,C332,Однолинейка!$A$3:$A$3000,Щит_спец)),IF(A332="Клемма",IF(C332="","",IF(C332=$S$7,SUMIFS(Однолинейка!$BW$3:$BW$3000,Однолинейка!$A$3:$A$3000,Щит_спец),IF(C332=$S$8,SUMIFS(Однолинейка!$BX$3:$BX$3000,Однолинейка!$A$3:$A$3000,Щит_спец),""))),""))))</f>
        <v/>
      </c>
      <c r="O332" s="74"/>
      <c r="P332" s="38" t="str">
        <f t="shared" si="45"/>
        <v/>
      </c>
      <c r="U332" s="38" t="str">
        <f t="shared" si="46"/>
        <v/>
      </c>
      <c r="V332" s="38" t="str">
        <f t="shared" si="47"/>
        <v/>
      </c>
      <c r="W332" s="38" t="str">
        <f>IF(AND(U332&lt;&gt;"",OR($S$4="(все)",B332=$S$4),IF($S$4="(все)",COUNTIF($U$4:U332,U332),COUNTIFS($U$4:U332,U332,$B$4:B332,B332))=1),MAX($W$3:W331)+1,"")</f>
        <v/>
      </c>
      <c r="X332" s="38" t="str">
        <f t="shared" si="48"/>
        <v/>
      </c>
      <c r="Y332" s="38" t="str">
        <f>IF(AND(A332="Аппарат",C332&lt;&gt;"",OR($S$5="(все)",B332=$S$5)),MAX($Y$3:Y331)+1,"")</f>
        <v/>
      </c>
      <c r="Z332" s="38" t="str">
        <f t="shared" si="49"/>
        <v/>
      </c>
      <c r="AA332" s="38" t="str">
        <f>IF(AND(A332="Модуль",C332&lt;&gt;"",OR($S$6="(все)",B332=$S$6)),MAX($AA$3:AA331)+1,"")</f>
        <v/>
      </c>
      <c r="AB332" s="38" t="str">
        <f t="shared" si="50"/>
        <v/>
      </c>
      <c r="AC332" s="38" t="str">
        <f>IF(OR(B332="",COUNTIF($B$4:B332,B332)&gt;1),"",MAX($AC$3:AC331)+1)</f>
        <v/>
      </c>
      <c r="AD332" s="38" t="str">
        <f t="shared" si="51"/>
        <v/>
      </c>
      <c r="AE332" s="38" t="str">
        <f t="shared" si="52"/>
        <v/>
      </c>
      <c r="AF332" s="38" t="str">
        <f t="shared" si="53"/>
        <v/>
      </c>
    </row>
    <row r="333" spans="1:32" x14ac:dyDescent="0.3">
      <c r="A333" s="74"/>
      <c r="B333" s="74"/>
      <c r="C333" s="74"/>
      <c r="D333" s="74"/>
      <c r="E333" s="74"/>
      <c r="F333" s="74"/>
      <c r="G333" s="74"/>
      <c r="H333" s="74"/>
      <c r="I333" s="74"/>
      <c r="J333" s="74"/>
      <c r="K333" s="74"/>
      <c r="L333" s="74"/>
      <c r="M333" s="74"/>
      <c r="N333" s="38" t="str">
        <f>IF(OR(A333="Автомат",A333="Дифавтомат"),IF(W333="","",COUNTIFS(Однолинейка!$H$3:$H$3000,U333,Однолинейка!$A$3:$A$3000,Щит_спец)),IF(A333="Аппарат",IF(C333="","",COUNTIFS(Однолинейка!$I$3:$I$3000,C333,Однолинейка!$A$3:$A$3000,Щит_спец)+COUNTIFS(Однолинейка!$J$3:$J$3000,C333,Однолинейка!$A$3:$A$3000,Щит_спец)+COUNTIFS(Однолинейка!$K$3:$K$3000,C333,Однолинейка!$A$3:$A$3000,Щит_спец)),IF(A333="Модуль",IF(C333="","",COUNTIFS(Однолинейка!$AW$3:$AW$3000,"?*",Однолинейка!$AI$3:$AI$3000,C333,Однолинейка!$A$3:$A$3000,Щит_спец)),IF(A333="Клемма",IF(C333="","",IF(C333=$S$7,SUMIFS(Однолинейка!$BW$3:$BW$3000,Однолинейка!$A$3:$A$3000,Щит_спец),IF(C333=$S$8,SUMIFS(Однолинейка!$BX$3:$BX$3000,Однолинейка!$A$3:$A$3000,Щит_спец),""))),""))))</f>
        <v/>
      </c>
      <c r="O333" s="74"/>
      <c r="P333" s="38" t="str">
        <f t="shared" si="45"/>
        <v/>
      </c>
      <c r="U333" s="38" t="str">
        <f t="shared" si="46"/>
        <v/>
      </c>
      <c r="V333" s="38" t="str">
        <f t="shared" si="47"/>
        <v/>
      </c>
      <c r="W333" s="38" t="str">
        <f>IF(AND(U333&lt;&gt;"",OR($S$4="(все)",B333=$S$4),IF($S$4="(все)",COUNTIF($U$4:U333,U333),COUNTIFS($U$4:U333,U333,$B$4:B333,B333))=1),MAX($W$3:W332)+1,"")</f>
        <v/>
      </c>
      <c r="X333" s="38" t="str">
        <f t="shared" si="48"/>
        <v/>
      </c>
      <c r="Y333" s="38" t="str">
        <f>IF(AND(A333="Аппарат",C333&lt;&gt;"",OR($S$5="(все)",B333=$S$5)),MAX($Y$3:Y332)+1,"")</f>
        <v/>
      </c>
      <c r="Z333" s="38" t="str">
        <f t="shared" si="49"/>
        <v/>
      </c>
      <c r="AA333" s="38" t="str">
        <f>IF(AND(A333="Модуль",C333&lt;&gt;"",OR($S$6="(все)",B333=$S$6)),MAX($AA$3:AA332)+1,"")</f>
        <v/>
      </c>
      <c r="AB333" s="38" t="str">
        <f t="shared" si="50"/>
        <v/>
      </c>
      <c r="AC333" s="38" t="str">
        <f>IF(OR(B333="",COUNTIF($B$4:B333,B333)&gt;1),"",MAX($AC$3:AC332)+1)</f>
        <v/>
      </c>
      <c r="AD333" s="38" t="str">
        <f t="shared" si="51"/>
        <v/>
      </c>
      <c r="AE333" s="38" t="str">
        <f t="shared" si="52"/>
        <v/>
      </c>
      <c r="AF333" s="38" t="str">
        <f t="shared" si="53"/>
        <v/>
      </c>
    </row>
    <row r="334" spans="1:32" x14ac:dyDescent="0.3">
      <c r="A334" s="74"/>
      <c r="B334" s="74"/>
      <c r="C334" s="74"/>
      <c r="D334" s="74"/>
      <c r="E334" s="74"/>
      <c r="F334" s="74"/>
      <c r="G334" s="74"/>
      <c r="H334" s="74"/>
      <c r="I334" s="74"/>
      <c r="J334" s="74"/>
      <c r="K334" s="74"/>
      <c r="L334" s="74"/>
      <c r="M334" s="74"/>
      <c r="N334" s="38" t="str">
        <f>IF(OR(A334="Автомат",A334="Дифавтомат"),IF(W334="","",COUNTIFS(Однолинейка!$H$3:$H$3000,U334,Однолинейка!$A$3:$A$3000,Щит_спец)),IF(A334="Аппарат",IF(C334="","",COUNTIFS(Однолинейка!$I$3:$I$3000,C334,Однолинейка!$A$3:$A$3000,Щит_спец)+COUNTIFS(Однолинейка!$J$3:$J$3000,C334,Однолинейка!$A$3:$A$3000,Щит_спец)+COUNTIFS(Однолинейка!$K$3:$K$3000,C334,Однолинейка!$A$3:$A$3000,Щит_спец)),IF(A334="Модуль",IF(C334="","",COUNTIFS(Однолинейка!$AW$3:$AW$3000,"?*",Однолинейка!$AI$3:$AI$3000,C334,Однолинейка!$A$3:$A$3000,Щит_спец)),IF(A334="Клемма",IF(C334="","",IF(C334=$S$7,SUMIFS(Однолинейка!$BW$3:$BW$3000,Однолинейка!$A$3:$A$3000,Щит_спец),IF(C334=$S$8,SUMIFS(Однолинейка!$BX$3:$BX$3000,Однолинейка!$A$3:$A$3000,Щит_спец),""))),""))))</f>
        <v/>
      </c>
      <c r="O334" s="74"/>
      <c r="P334" s="38" t="str">
        <f t="shared" si="45"/>
        <v/>
      </c>
      <c r="U334" s="38" t="str">
        <f t="shared" si="46"/>
        <v/>
      </c>
      <c r="V334" s="38" t="str">
        <f t="shared" si="47"/>
        <v/>
      </c>
      <c r="W334" s="38" t="str">
        <f>IF(AND(U334&lt;&gt;"",OR($S$4="(все)",B334=$S$4),IF($S$4="(все)",COUNTIF($U$4:U334,U334),COUNTIFS($U$4:U334,U334,$B$4:B334,B334))=1),MAX($W$3:W333)+1,"")</f>
        <v/>
      </c>
      <c r="X334" s="38" t="str">
        <f t="shared" si="48"/>
        <v/>
      </c>
      <c r="Y334" s="38" t="str">
        <f>IF(AND(A334="Аппарат",C334&lt;&gt;"",OR($S$5="(все)",B334=$S$5)),MAX($Y$3:Y333)+1,"")</f>
        <v/>
      </c>
      <c r="Z334" s="38" t="str">
        <f t="shared" si="49"/>
        <v/>
      </c>
      <c r="AA334" s="38" t="str">
        <f>IF(AND(A334="Модуль",C334&lt;&gt;"",OR($S$6="(все)",B334=$S$6)),MAX($AA$3:AA333)+1,"")</f>
        <v/>
      </c>
      <c r="AB334" s="38" t="str">
        <f t="shared" si="50"/>
        <v/>
      </c>
      <c r="AC334" s="38" t="str">
        <f>IF(OR(B334="",COUNTIF($B$4:B334,B334)&gt;1),"",MAX($AC$3:AC333)+1)</f>
        <v/>
      </c>
      <c r="AD334" s="38" t="str">
        <f t="shared" si="51"/>
        <v/>
      </c>
      <c r="AE334" s="38" t="str">
        <f t="shared" si="52"/>
        <v/>
      </c>
      <c r="AF334" s="38" t="str">
        <f t="shared" si="53"/>
        <v/>
      </c>
    </row>
    <row r="335" spans="1:32" x14ac:dyDescent="0.3">
      <c r="A335" s="74"/>
      <c r="B335" s="74"/>
      <c r="C335" s="74"/>
      <c r="D335" s="74"/>
      <c r="E335" s="74"/>
      <c r="F335" s="74"/>
      <c r="G335" s="74"/>
      <c r="H335" s="74"/>
      <c r="I335" s="74"/>
      <c r="J335" s="74"/>
      <c r="K335" s="74"/>
      <c r="L335" s="74"/>
      <c r="M335" s="74"/>
      <c r="N335" s="38" t="str">
        <f>IF(OR(A335="Автомат",A335="Дифавтомат"),IF(W335="","",COUNTIFS(Однолинейка!$H$3:$H$3000,U335,Однолинейка!$A$3:$A$3000,Щит_спец)),IF(A335="Аппарат",IF(C335="","",COUNTIFS(Однолинейка!$I$3:$I$3000,C335,Однолинейка!$A$3:$A$3000,Щит_спец)+COUNTIFS(Однолинейка!$J$3:$J$3000,C335,Однолинейка!$A$3:$A$3000,Щит_спец)+COUNTIFS(Однолинейка!$K$3:$K$3000,C335,Однолинейка!$A$3:$A$3000,Щит_спец)),IF(A335="Модуль",IF(C335="","",COUNTIFS(Однолинейка!$AW$3:$AW$3000,"?*",Однолинейка!$AI$3:$AI$3000,C335,Однолинейка!$A$3:$A$3000,Щит_спец)),IF(A335="Клемма",IF(C335="","",IF(C335=$S$7,SUMIFS(Однолинейка!$BW$3:$BW$3000,Однолинейка!$A$3:$A$3000,Щит_спец),IF(C335=$S$8,SUMIFS(Однолинейка!$BX$3:$BX$3000,Однолинейка!$A$3:$A$3000,Щит_спец),""))),""))))</f>
        <v/>
      </c>
      <c r="O335" s="74"/>
      <c r="P335" s="38" t="str">
        <f t="shared" si="45"/>
        <v/>
      </c>
      <c r="U335" s="38" t="str">
        <f t="shared" si="46"/>
        <v/>
      </c>
      <c r="V335" s="38" t="str">
        <f t="shared" si="47"/>
        <v/>
      </c>
      <c r="W335" s="38" t="str">
        <f>IF(AND(U335&lt;&gt;"",OR($S$4="(все)",B335=$S$4),IF($S$4="(все)",COUNTIF($U$4:U335,U335),COUNTIFS($U$4:U335,U335,$B$4:B335,B335))=1),MAX($W$3:W334)+1,"")</f>
        <v/>
      </c>
      <c r="X335" s="38" t="str">
        <f t="shared" si="48"/>
        <v/>
      </c>
      <c r="Y335" s="38" t="str">
        <f>IF(AND(A335="Аппарат",C335&lt;&gt;"",OR($S$5="(все)",B335=$S$5)),MAX($Y$3:Y334)+1,"")</f>
        <v/>
      </c>
      <c r="Z335" s="38" t="str">
        <f t="shared" si="49"/>
        <v/>
      </c>
      <c r="AA335" s="38" t="str">
        <f>IF(AND(A335="Модуль",C335&lt;&gt;"",OR($S$6="(все)",B335=$S$6)),MAX($AA$3:AA334)+1,"")</f>
        <v/>
      </c>
      <c r="AB335" s="38" t="str">
        <f t="shared" si="50"/>
        <v/>
      </c>
      <c r="AC335" s="38" t="str">
        <f>IF(OR(B335="",COUNTIF($B$4:B335,B335)&gt;1),"",MAX($AC$3:AC334)+1)</f>
        <v/>
      </c>
      <c r="AD335" s="38" t="str">
        <f t="shared" si="51"/>
        <v/>
      </c>
      <c r="AE335" s="38" t="str">
        <f t="shared" si="52"/>
        <v/>
      </c>
      <c r="AF335" s="38" t="str">
        <f t="shared" si="53"/>
        <v/>
      </c>
    </row>
    <row r="336" spans="1:32" x14ac:dyDescent="0.3">
      <c r="A336" s="74"/>
      <c r="B336" s="74"/>
      <c r="C336" s="74"/>
      <c r="D336" s="74"/>
      <c r="E336" s="74"/>
      <c r="F336" s="74"/>
      <c r="G336" s="74"/>
      <c r="H336" s="74"/>
      <c r="I336" s="74"/>
      <c r="J336" s="74"/>
      <c r="K336" s="74"/>
      <c r="L336" s="74"/>
      <c r="M336" s="74"/>
      <c r="N336" s="38" t="str">
        <f>IF(OR(A336="Автомат",A336="Дифавтомат"),IF(W336="","",COUNTIFS(Однолинейка!$H$3:$H$3000,U336,Однолинейка!$A$3:$A$3000,Щит_спец)),IF(A336="Аппарат",IF(C336="","",COUNTIFS(Однолинейка!$I$3:$I$3000,C336,Однолинейка!$A$3:$A$3000,Щит_спец)+COUNTIFS(Однолинейка!$J$3:$J$3000,C336,Однолинейка!$A$3:$A$3000,Щит_спец)+COUNTIFS(Однолинейка!$K$3:$K$3000,C336,Однолинейка!$A$3:$A$3000,Щит_спец)),IF(A336="Модуль",IF(C336="","",COUNTIFS(Однолинейка!$AW$3:$AW$3000,"?*",Однолинейка!$AI$3:$AI$3000,C336,Однолинейка!$A$3:$A$3000,Щит_спец)),IF(A336="Клемма",IF(C336="","",IF(C336=$S$7,SUMIFS(Однолинейка!$BW$3:$BW$3000,Однолинейка!$A$3:$A$3000,Щит_спец),IF(C336=$S$8,SUMIFS(Однолинейка!$BX$3:$BX$3000,Однолинейка!$A$3:$A$3000,Щит_спец),""))),""))))</f>
        <v/>
      </c>
      <c r="O336" s="74"/>
      <c r="P336" s="38" t="str">
        <f t="shared" si="45"/>
        <v/>
      </c>
      <c r="U336" s="38" t="str">
        <f t="shared" si="46"/>
        <v/>
      </c>
      <c r="V336" s="38" t="str">
        <f t="shared" si="47"/>
        <v/>
      </c>
      <c r="W336" s="38" t="str">
        <f>IF(AND(U336&lt;&gt;"",OR($S$4="(все)",B336=$S$4),IF($S$4="(все)",COUNTIF($U$4:U336,U336),COUNTIFS($U$4:U336,U336,$B$4:B336,B336))=1),MAX($W$3:W335)+1,"")</f>
        <v/>
      </c>
      <c r="X336" s="38" t="str">
        <f t="shared" si="48"/>
        <v/>
      </c>
      <c r="Y336" s="38" t="str">
        <f>IF(AND(A336="Аппарат",C336&lt;&gt;"",OR($S$5="(все)",B336=$S$5)),MAX($Y$3:Y335)+1,"")</f>
        <v/>
      </c>
      <c r="Z336" s="38" t="str">
        <f t="shared" si="49"/>
        <v/>
      </c>
      <c r="AA336" s="38" t="str">
        <f>IF(AND(A336="Модуль",C336&lt;&gt;"",OR($S$6="(все)",B336=$S$6)),MAX($AA$3:AA335)+1,"")</f>
        <v/>
      </c>
      <c r="AB336" s="38" t="str">
        <f t="shared" si="50"/>
        <v/>
      </c>
      <c r="AC336" s="38" t="str">
        <f>IF(OR(B336="",COUNTIF($B$4:B336,B336)&gt;1),"",MAX($AC$3:AC335)+1)</f>
        <v/>
      </c>
      <c r="AD336" s="38" t="str">
        <f t="shared" si="51"/>
        <v/>
      </c>
      <c r="AE336" s="38" t="str">
        <f t="shared" si="52"/>
        <v/>
      </c>
      <c r="AF336" s="38" t="str">
        <f t="shared" si="53"/>
        <v/>
      </c>
    </row>
    <row r="337" spans="1:32" x14ac:dyDescent="0.3">
      <c r="A337" s="74"/>
      <c r="B337" s="74"/>
      <c r="C337" s="74"/>
      <c r="D337" s="74"/>
      <c r="E337" s="74"/>
      <c r="F337" s="74"/>
      <c r="G337" s="74"/>
      <c r="H337" s="74"/>
      <c r="I337" s="74"/>
      <c r="J337" s="74"/>
      <c r="K337" s="74"/>
      <c r="L337" s="74"/>
      <c r="M337" s="74"/>
      <c r="N337" s="38" t="str">
        <f>IF(OR(A337="Автомат",A337="Дифавтомат"),IF(W337="","",COUNTIFS(Однолинейка!$H$3:$H$3000,U337,Однолинейка!$A$3:$A$3000,Щит_спец)),IF(A337="Аппарат",IF(C337="","",COUNTIFS(Однолинейка!$I$3:$I$3000,C337,Однолинейка!$A$3:$A$3000,Щит_спец)+COUNTIFS(Однолинейка!$J$3:$J$3000,C337,Однолинейка!$A$3:$A$3000,Щит_спец)+COUNTIFS(Однолинейка!$K$3:$K$3000,C337,Однолинейка!$A$3:$A$3000,Щит_спец)),IF(A337="Модуль",IF(C337="","",COUNTIFS(Однолинейка!$AW$3:$AW$3000,"?*",Однолинейка!$AI$3:$AI$3000,C337,Однолинейка!$A$3:$A$3000,Щит_спец)),IF(A337="Клемма",IF(C337="","",IF(C337=$S$7,SUMIFS(Однолинейка!$BW$3:$BW$3000,Однолинейка!$A$3:$A$3000,Щит_спец),IF(C337=$S$8,SUMIFS(Однолинейка!$BX$3:$BX$3000,Однолинейка!$A$3:$A$3000,Щит_спец),""))),""))))</f>
        <v/>
      </c>
      <c r="O337" s="74"/>
      <c r="P337" s="38" t="str">
        <f t="shared" si="45"/>
        <v/>
      </c>
      <c r="U337" s="38" t="str">
        <f t="shared" si="46"/>
        <v/>
      </c>
      <c r="V337" s="38" t="str">
        <f t="shared" si="47"/>
        <v/>
      </c>
      <c r="W337" s="38" t="str">
        <f>IF(AND(U337&lt;&gt;"",OR($S$4="(все)",B337=$S$4),IF($S$4="(все)",COUNTIF($U$4:U337,U337),COUNTIFS($U$4:U337,U337,$B$4:B337,B337))=1),MAX($W$3:W336)+1,"")</f>
        <v/>
      </c>
      <c r="X337" s="38" t="str">
        <f t="shared" si="48"/>
        <v/>
      </c>
      <c r="Y337" s="38" t="str">
        <f>IF(AND(A337="Аппарат",C337&lt;&gt;"",OR($S$5="(все)",B337=$S$5)),MAX($Y$3:Y336)+1,"")</f>
        <v/>
      </c>
      <c r="Z337" s="38" t="str">
        <f t="shared" si="49"/>
        <v/>
      </c>
      <c r="AA337" s="38" t="str">
        <f>IF(AND(A337="Модуль",C337&lt;&gt;"",OR($S$6="(все)",B337=$S$6)),MAX($AA$3:AA336)+1,"")</f>
        <v/>
      </c>
      <c r="AB337" s="38" t="str">
        <f t="shared" si="50"/>
        <v/>
      </c>
      <c r="AC337" s="38" t="str">
        <f>IF(OR(B337="",COUNTIF($B$4:B337,B337)&gt;1),"",MAX($AC$3:AC336)+1)</f>
        <v/>
      </c>
      <c r="AD337" s="38" t="str">
        <f t="shared" si="51"/>
        <v/>
      </c>
      <c r="AE337" s="38" t="str">
        <f t="shared" si="52"/>
        <v/>
      </c>
      <c r="AF337" s="38" t="str">
        <f t="shared" si="53"/>
        <v/>
      </c>
    </row>
    <row r="338" spans="1:32" x14ac:dyDescent="0.3">
      <c r="A338" s="74"/>
      <c r="B338" s="74"/>
      <c r="C338" s="74"/>
      <c r="D338" s="74"/>
      <c r="E338" s="74"/>
      <c r="F338" s="74"/>
      <c r="G338" s="74"/>
      <c r="H338" s="74"/>
      <c r="I338" s="74"/>
      <c r="J338" s="74"/>
      <c r="K338" s="74"/>
      <c r="L338" s="74"/>
      <c r="M338" s="74"/>
      <c r="N338" s="38" t="str">
        <f>IF(OR(A338="Автомат",A338="Дифавтомат"),IF(W338="","",COUNTIFS(Однолинейка!$H$3:$H$3000,U338,Однолинейка!$A$3:$A$3000,Щит_спец)),IF(A338="Аппарат",IF(C338="","",COUNTIFS(Однолинейка!$I$3:$I$3000,C338,Однолинейка!$A$3:$A$3000,Щит_спец)+COUNTIFS(Однолинейка!$J$3:$J$3000,C338,Однолинейка!$A$3:$A$3000,Щит_спец)+COUNTIFS(Однолинейка!$K$3:$K$3000,C338,Однолинейка!$A$3:$A$3000,Щит_спец)),IF(A338="Модуль",IF(C338="","",COUNTIFS(Однолинейка!$AW$3:$AW$3000,"?*",Однолинейка!$AI$3:$AI$3000,C338,Однолинейка!$A$3:$A$3000,Щит_спец)),IF(A338="Клемма",IF(C338="","",IF(C338=$S$7,SUMIFS(Однолинейка!$BW$3:$BW$3000,Однолинейка!$A$3:$A$3000,Щит_спец),IF(C338=$S$8,SUMIFS(Однолинейка!$BX$3:$BX$3000,Однолинейка!$A$3:$A$3000,Щит_спец),""))),""))))</f>
        <v/>
      </c>
      <c r="O338" s="74"/>
      <c r="P338" s="38" t="str">
        <f t="shared" si="45"/>
        <v/>
      </c>
      <c r="U338" s="38" t="str">
        <f t="shared" si="46"/>
        <v/>
      </c>
      <c r="V338" s="38" t="str">
        <f t="shared" si="47"/>
        <v/>
      </c>
      <c r="W338" s="38" t="str">
        <f>IF(AND(U338&lt;&gt;"",OR($S$4="(все)",B338=$S$4),IF($S$4="(все)",COUNTIF($U$4:U338,U338),COUNTIFS($U$4:U338,U338,$B$4:B338,B338))=1),MAX($W$3:W337)+1,"")</f>
        <v/>
      </c>
      <c r="X338" s="38" t="str">
        <f t="shared" si="48"/>
        <v/>
      </c>
      <c r="Y338" s="38" t="str">
        <f>IF(AND(A338="Аппарат",C338&lt;&gt;"",OR($S$5="(все)",B338=$S$5)),MAX($Y$3:Y337)+1,"")</f>
        <v/>
      </c>
      <c r="Z338" s="38" t="str">
        <f t="shared" si="49"/>
        <v/>
      </c>
      <c r="AA338" s="38" t="str">
        <f>IF(AND(A338="Модуль",C338&lt;&gt;"",OR($S$6="(все)",B338=$S$6)),MAX($AA$3:AA337)+1,"")</f>
        <v/>
      </c>
      <c r="AB338" s="38" t="str">
        <f t="shared" si="50"/>
        <v/>
      </c>
      <c r="AC338" s="38" t="str">
        <f>IF(OR(B338="",COUNTIF($B$4:B338,B338)&gt;1),"",MAX($AC$3:AC337)+1)</f>
        <v/>
      </c>
      <c r="AD338" s="38" t="str">
        <f t="shared" si="51"/>
        <v/>
      </c>
      <c r="AE338" s="38" t="str">
        <f t="shared" si="52"/>
        <v/>
      </c>
      <c r="AF338" s="38" t="str">
        <f t="shared" si="53"/>
        <v/>
      </c>
    </row>
    <row r="339" spans="1:32" x14ac:dyDescent="0.3">
      <c r="A339" s="74"/>
      <c r="B339" s="74"/>
      <c r="C339" s="74"/>
      <c r="D339" s="74"/>
      <c r="E339" s="74"/>
      <c r="F339" s="74"/>
      <c r="G339" s="74"/>
      <c r="H339" s="74"/>
      <c r="I339" s="74"/>
      <c r="J339" s="74"/>
      <c r="K339" s="74"/>
      <c r="L339" s="74"/>
      <c r="M339" s="74"/>
      <c r="N339" s="38" t="str">
        <f>IF(OR(A339="Автомат",A339="Дифавтомат"),IF(W339="","",COUNTIFS(Однолинейка!$H$3:$H$3000,U339,Однолинейка!$A$3:$A$3000,Щит_спец)),IF(A339="Аппарат",IF(C339="","",COUNTIFS(Однолинейка!$I$3:$I$3000,C339,Однолинейка!$A$3:$A$3000,Щит_спец)+COUNTIFS(Однолинейка!$J$3:$J$3000,C339,Однолинейка!$A$3:$A$3000,Щит_спец)+COUNTIFS(Однолинейка!$K$3:$K$3000,C339,Однолинейка!$A$3:$A$3000,Щит_спец)),IF(A339="Модуль",IF(C339="","",COUNTIFS(Однолинейка!$AW$3:$AW$3000,"?*",Однолинейка!$AI$3:$AI$3000,C339,Однолинейка!$A$3:$A$3000,Щит_спец)),IF(A339="Клемма",IF(C339="","",IF(C339=$S$7,SUMIFS(Однолинейка!$BW$3:$BW$3000,Однолинейка!$A$3:$A$3000,Щит_спец),IF(C339=$S$8,SUMIFS(Однолинейка!$BX$3:$BX$3000,Однолинейка!$A$3:$A$3000,Щит_спец),""))),""))))</f>
        <v/>
      </c>
      <c r="O339" s="74"/>
      <c r="P339" s="38" t="str">
        <f t="shared" si="45"/>
        <v/>
      </c>
      <c r="U339" s="38" t="str">
        <f t="shared" si="46"/>
        <v/>
      </c>
      <c r="V339" s="38" t="str">
        <f t="shared" si="47"/>
        <v/>
      </c>
      <c r="W339" s="38" t="str">
        <f>IF(AND(U339&lt;&gt;"",OR($S$4="(все)",B339=$S$4),IF($S$4="(все)",COUNTIF($U$4:U339,U339),COUNTIFS($U$4:U339,U339,$B$4:B339,B339))=1),MAX($W$3:W338)+1,"")</f>
        <v/>
      </c>
      <c r="X339" s="38" t="str">
        <f t="shared" si="48"/>
        <v/>
      </c>
      <c r="Y339" s="38" t="str">
        <f>IF(AND(A339="Аппарат",C339&lt;&gt;"",OR($S$5="(все)",B339=$S$5)),MAX($Y$3:Y338)+1,"")</f>
        <v/>
      </c>
      <c r="Z339" s="38" t="str">
        <f t="shared" si="49"/>
        <v/>
      </c>
      <c r="AA339" s="38" t="str">
        <f>IF(AND(A339="Модуль",C339&lt;&gt;"",OR($S$6="(все)",B339=$S$6)),MAX($AA$3:AA338)+1,"")</f>
        <v/>
      </c>
      <c r="AB339" s="38" t="str">
        <f t="shared" si="50"/>
        <v/>
      </c>
      <c r="AC339" s="38" t="str">
        <f>IF(OR(B339="",COUNTIF($B$4:B339,B339)&gt;1),"",MAX($AC$3:AC338)+1)</f>
        <v/>
      </c>
      <c r="AD339" s="38" t="str">
        <f t="shared" si="51"/>
        <v/>
      </c>
      <c r="AE339" s="38" t="str">
        <f t="shared" si="52"/>
        <v/>
      </c>
      <c r="AF339" s="38" t="str">
        <f t="shared" si="53"/>
        <v/>
      </c>
    </row>
    <row r="340" spans="1:32" x14ac:dyDescent="0.3">
      <c r="A340" s="74"/>
      <c r="B340" s="74"/>
      <c r="C340" s="74"/>
      <c r="D340" s="74"/>
      <c r="E340" s="74"/>
      <c r="F340" s="74"/>
      <c r="G340" s="74"/>
      <c r="H340" s="74"/>
      <c r="I340" s="74"/>
      <c r="J340" s="74"/>
      <c r="K340" s="74"/>
      <c r="L340" s="74"/>
      <c r="M340" s="74"/>
      <c r="N340" s="38" t="str">
        <f>IF(OR(A340="Автомат",A340="Дифавтомат"),IF(W340="","",COUNTIFS(Однолинейка!$H$3:$H$3000,U340,Однолинейка!$A$3:$A$3000,Щит_спец)),IF(A340="Аппарат",IF(C340="","",COUNTIFS(Однолинейка!$I$3:$I$3000,C340,Однолинейка!$A$3:$A$3000,Щит_спец)+COUNTIFS(Однолинейка!$J$3:$J$3000,C340,Однолинейка!$A$3:$A$3000,Щит_спец)+COUNTIFS(Однолинейка!$K$3:$K$3000,C340,Однолинейка!$A$3:$A$3000,Щит_спец)),IF(A340="Модуль",IF(C340="","",COUNTIFS(Однолинейка!$AW$3:$AW$3000,"?*",Однолинейка!$AI$3:$AI$3000,C340,Однолинейка!$A$3:$A$3000,Щит_спец)),IF(A340="Клемма",IF(C340="","",IF(C340=$S$7,SUMIFS(Однолинейка!$BW$3:$BW$3000,Однолинейка!$A$3:$A$3000,Щит_спец),IF(C340=$S$8,SUMIFS(Однолинейка!$BX$3:$BX$3000,Однолинейка!$A$3:$A$3000,Щит_спец),""))),""))))</f>
        <v/>
      </c>
      <c r="O340" s="74"/>
      <c r="P340" s="38" t="str">
        <f t="shared" si="45"/>
        <v/>
      </c>
      <c r="U340" s="38" t="str">
        <f t="shared" si="46"/>
        <v/>
      </c>
      <c r="V340" s="38" t="str">
        <f t="shared" si="47"/>
        <v/>
      </c>
      <c r="W340" s="38" t="str">
        <f>IF(AND(U340&lt;&gt;"",OR($S$4="(все)",B340=$S$4),IF($S$4="(все)",COUNTIF($U$4:U340,U340),COUNTIFS($U$4:U340,U340,$B$4:B340,B340))=1),MAX($W$3:W339)+1,"")</f>
        <v/>
      </c>
      <c r="X340" s="38" t="str">
        <f t="shared" si="48"/>
        <v/>
      </c>
      <c r="Y340" s="38" t="str">
        <f>IF(AND(A340="Аппарат",C340&lt;&gt;"",OR($S$5="(все)",B340=$S$5)),MAX($Y$3:Y339)+1,"")</f>
        <v/>
      </c>
      <c r="Z340" s="38" t="str">
        <f t="shared" si="49"/>
        <v/>
      </c>
      <c r="AA340" s="38" t="str">
        <f>IF(AND(A340="Модуль",C340&lt;&gt;"",OR($S$6="(все)",B340=$S$6)),MAX($AA$3:AA339)+1,"")</f>
        <v/>
      </c>
      <c r="AB340" s="38" t="str">
        <f t="shared" si="50"/>
        <v/>
      </c>
      <c r="AC340" s="38" t="str">
        <f>IF(OR(B340="",COUNTIF($B$4:B340,B340)&gt;1),"",MAX($AC$3:AC339)+1)</f>
        <v/>
      </c>
      <c r="AD340" s="38" t="str">
        <f t="shared" si="51"/>
        <v/>
      </c>
      <c r="AE340" s="38" t="str">
        <f t="shared" si="52"/>
        <v/>
      </c>
      <c r="AF340" s="38" t="str">
        <f t="shared" si="53"/>
        <v/>
      </c>
    </row>
    <row r="341" spans="1:32" x14ac:dyDescent="0.3">
      <c r="A341" s="74"/>
      <c r="B341" s="74"/>
      <c r="C341" s="74"/>
      <c r="D341" s="74"/>
      <c r="E341" s="74"/>
      <c r="F341" s="74"/>
      <c r="G341" s="74"/>
      <c r="H341" s="74"/>
      <c r="I341" s="74"/>
      <c r="J341" s="74"/>
      <c r="K341" s="74"/>
      <c r="L341" s="74"/>
      <c r="M341" s="74"/>
      <c r="N341" s="38" t="str">
        <f>IF(OR(A341="Автомат",A341="Дифавтомат"),IF(W341="","",COUNTIFS(Однолинейка!$H$3:$H$3000,U341,Однолинейка!$A$3:$A$3000,Щит_спец)),IF(A341="Аппарат",IF(C341="","",COUNTIFS(Однолинейка!$I$3:$I$3000,C341,Однолинейка!$A$3:$A$3000,Щит_спец)+COUNTIFS(Однолинейка!$J$3:$J$3000,C341,Однолинейка!$A$3:$A$3000,Щит_спец)+COUNTIFS(Однолинейка!$K$3:$K$3000,C341,Однолинейка!$A$3:$A$3000,Щит_спец)),IF(A341="Модуль",IF(C341="","",COUNTIFS(Однолинейка!$AW$3:$AW$3000,"?*",Однолинейка!$AI$3:$AI$3000,C341,Однолинейка!$A$3:$A$3000,Щит_спец)),IF(A341="Клемма",IF(C341="","",IF(C341=$S$7,SUMIFS(Однолинейка!$BW$3:$BW$3000,Однолинейка!$A$3:$A$3000,Щит_спец),IF(C341=$S$8,SUMIFS(Однолинейка!$BX$3:$BX$3000,Однолинейка!$A$3:$A$3000,Щит_спец),""))),""))))</f>
        <v/>
      </c>
      <c r="O341" s="74"/>
      <c r="P341" s="38" t="str">
        <f t="shared" si="45"/>
        <v/>
      </c>
      <c r="U341" s="38" t="str">
        <f t="shared" si="46"/>
        <v/>
      </c>
      <c r="V341" s="38" t="str">
        <f t="shared" si="47"/>
        <v/>
      </c>
      <c r="W341" s="38" t="str">
        <f>IF(AND(U341&lt;&gt;"",OR($S$4="(все)",B341=$S$4),IF($S$4="(все)",COUNTIF($U$4:U341,U341),COUNTIFS($U$4:U341,U341,$B$4:B341,B341))=1),MAX($W$3:W340)+1,"")</f>
        <v/>
      </c>
      <c r="X341" s="38" t="str">
        <f t="shared" si="48"/>
        <v/>
      </c>
      <c r="Y341" s="38" t="str">
        <f>IF(AND(A341="Аппарат",C341&lt;&gt;"",OR($S$5="(все)",B341=$S$5)),MAX($Y$3:Y340)+1,"")</f>
        <v/>
      </c>
      <c r="Z341" s="38" t="str">
        <f t="shared" si="49"/>
        <v/>
      </c>
      <c r="AA341" s="38" t="str">
        <f>IF(AND(A341="Модуль",C341&lt;&gt;"",OR($S$6="(все)",B341=$S$6)),MAX($AA$3:AA340)+1,"")</f>
        <v/>
      </c>
      <c r="AB341" s="38" t="str">
        <f t="shared" si="50"/>
        <v/>
      </c>
      <c r="AC341" s="38" t="str">
        <f>IF(OR(B341="",COUNTIF($B$4:B341,B341)&gt;1),"",MAX($AC$3:AC340)+1)</f>
        <v/>
      </c>
      <c r="AD341" s="38" t="str">
        <f t="shared" si="51"/>
        <v/>
      </c>
      <c r="AE341" s="38" t="str">
        <f t="shared" si="52"/>
        <v/>
      </c>
      <c r="AF341" s="38" t="str">
        <f t="shared" si="53"/>
        <v/>
      </c>
    </row>
    <row r="342" spans="1:32" x14ac:dyDescent="0.3">
      <c r="A342" s="74"/>
      <c r="B342" s="74"/>
      <c r="C342" s="74"/>
      <c r="D342" s="74"/>
      <c r="E342" s="74"/>
      <c r="F342" s="74"/>
      <c r="G342" s="74"/>
      <c r="H342" s="74"/>
      <c r="I342" s="74"/>
      <c r="J342" s="74"/>
      <c r="K342" s="74"/>
      <c r="L342" s="74"/>
      <c r="M342" s="74"/>
      <c r="N342" s="38" t="str">
        <f>IF(OR(A342="Автомат",A342="Дифавтомат"),IF(W342="","",COUNTIFS(Однолинейка!$H$3:$H$3000,U342,Однолинейка!$A$3:$A$3000,Щит_спец)),IF(A342="Аппарат",IF(C342="","",COUNTIFS(Однолинейка!$I$3:$I$3000,C342,Однолинейка!$A$3:$A$3000,Щит_спец)+COUNTIFS(Однолинейка!$J$3:$J$3000,C342,Однолинейка!$A$3:$A$3000,Щит_спец)+COUNTIFS(Однолинейка!$K$3:$K$3000,C342,Однолинейка!$A$3:$A$3000,Щит_спец)),IF(A342="Модуль",IF(C342="","",COUNTIFS(Однолинейка!$AW$3:$AW$3000,"?*",Однолинейка!$AI$3:$AI$3000,C342,Однолинейка!$A$3:$A$3000,Щит_спец)),IF(A342="Клемма",IF(C342="","",IF(C342=$S$7,SUMIFS(Однолинейка!$BW$3:$BW$3000,Однолинейка!$A$3:$A$3000,Щит_спец),IF(C342=$S$8,SUMIFS(Однолинейка!$BX$3:$BX$3000,Однолинейка!$A$3:$A$3000,Щит_спец),""))),""))))</f>
        <v/>
      </c>
      <c r="O342" s="74"/>
      <c r="P342" s="38" t="str">
        <f t="shared" si="45"/>
        <v/>
      </c>
      <c r="U342" s="38" t="str">
        <f t="shared" si="46"/>
        <v/>
      </c>
      <c r="V342" s="38" t="str">
        <f t="shared" si="47"/>
        <v/>
      </c>
      <c r="W342" s="38" t="str">
        <f>IF(AND(U342&lt;&gt;"",OR($S$4="(все)",B342=$S$4),IF($S$4="(все)",COUNTIF($U$4:U342,U342),COUNTIFS($U$4:U342,U342,$B$4:B342,B342))=1),MAX($W$3:W341)+1,"")</f>
        <v/>
      </c>
      <c r="X342" s="38" t="str">
        <f t="shared" si="48"/>
        <v/>
      </c>
      <c r="Y342" s="38" t="str">
        <f>IF(AND(A342="Аппарат",C342&lt;&gt;"",OR($S$5="(все)",B342=$S$5)),MAX($Y$3:Y341)+1,"")</f>
        <v/>
      </c>
      <c r="Z342" s="38" t="str">
        <f t="shared" si="49"/>
        <v/>
      </c>
      <c r="AA342" s="38" t="str">
        <f>IF(AND(A342="Модуль",C342&lt;&gt;"",OR($S$6="(все)",B342=$S$6)),MAX($AA$3:AA341)+1,"")</f>
        <v/>
      </c>
      <c r="AB342" s="38" t="str">
        <f t="shared" si="50"/>
        <v/>
      </c>
      <c r="AC342" s="38" t="str">
        <f>IF(OR(B342="",COUNTIF($B$4:B342,B342)&gt;1),"",MAX($AC$3:AC341)+1)</f>
        <v/>
      </c>
      <c r="AD342" s="38" t="str">
        <f t="shared" si="51"/>
        <v/>
      </c>
      <c r="AE342" s="38" t="str">
        <f t="shared" si="52"/>
        <v/>
      </c>
      <c r="AF342" s="38" t="str">
        <f t="shared" si="53"/>
        <v/>
      </c>
    </row>
    <row r="343" spans="1:32" x14ac:dyDescent="0.3">
      <c r="A343" s="74"/>
      <c r="B343" s="74"/>
      <c r="C343" s="74"/>
      <c r="D343" s="74"/>
      <c r="E343" s="74"/>
      <c r="F343" s="74"/>
      <c r="G343" s="74"/>
      <c r="H343" s="74"/>
      <c r="I343" s="74"/>
      <c r="J343" s="74"/>
      <c r="K343" s="74"/>
      <c r="L343" s="74"/>
      <c r="M343" s="74"/>
      <c r="N343" s="38" t="str">
        <f>IF(OR(A343="Автомат",A343="Дифавтомат"),IF(W343="","",COUNTIFS(Однолинейка!$H$3:$H$3000,U343,Однолинейка!$A$3:$A$3000,Щит_спец)),IF(A343="Аппарат",IF(C343="","",COUNTIFS(Однолинейка!$I$3:$I$3000,C343,Однолинейка!$A$3:$A$3000,Щит_спец)+COUNTIFS(Однолинейка!$J$3:$J$3000,C343,Однолинейка!$A$3:$A$3000,Щит_спец)+COUNTIFS(Однолинейка!$K$3:$K$3000,C343,Однолинейка!$A$3:$A$3000,Щит_спец)),IF(A343="Модуль",IF(C343="","",COUNTIFS(Однолинейка!$AW$3:$AW$3000,"?*",Однолинейка!$AI$3:$AI$3000,C343,Однолинейка!$A$3:$A$3000,Щит_спец)),IF(A343="Клемма",IF(C343="","",IF(C343=$S$7,SUMIFS(Однолинейка!$BW$3:$BW$3000,Однолинейка!$A$3:$A$3000,Щит_спец),IF(C343=$S$8,SUMIFS(Однолинейка!$BX$3:$BX$3000,Однолинейка!$A$3:$A$3000,Щит_спец),""))),""))))</f>
        <v/>
      </c>
      <c r="O343" s="74"/>
      <c r="P343" s="38" t="str">
        <f t="shared" si="45"/>
        <v/>
      </c>
      <c r="U343" s="38" t="str">
        <f t="shared" si="46"/>
        <v/>
      </c>
      <c r="V343" s="38" t="str">
        <f t="shared" si="47"/>
        <v/>
      </c>
      <c r="W343" s="38" t="str">
        <f>IF(AND(U343&lt;&gt;"",OR($S$4="(все)",B343=$S$4),IF($S$4="(все)",COUNTIF($U$4:U343,U343),COUNTIFS($U$4:U343,U343,$B$4:B343,B343))=1),MAX($W$3:W342)+1,"")</f>
        <v/>
      </c>
      <c r="X343" s="38" t="str">
        <f t="shared" si="48"/>
        <v/>
      </c>
      <c r="Y343" s="38" t="str">
        <f>IF(AND(A343="Аппарат",C343&lt;&gt;"",OR($S$5="(все)",B343=$S$5)),MAX($Y$3:Y342)+1,"")</f>
        <v/>
      </c>
      <c r="Z343" s="38" t="str">
        <f t="shared" si="49"/>
        <v/>
      </c>
      <c r="AA343" s="38" t="str">
        <f>IF(AND(A343="Модуль",C343&lt;&gt;"",OR($S$6="(все)",B343=$S$6)),MAX($AA$3:AA342)+1,"")</f>
        <v/>
      </c>
      <c r="AB343" s="38" t="str">
        <f t="shared" si="50"/>
        <v/>
      </c>
      <c r="AC343" s="38" t="str">
        <f>IF(OR(B343="",COUNTIF($B$4:B343,B343)&gt;1),"",MAX($AC$3:AC342)+1)</f>
        <v/>
      </c>
      <c r="AD343" s="38" t="str">
        <f t="shared" si="51"/>
        <v/>
      </c>
      <c r="AE343" s="38" t="str">
        <f t="shared" si="52"/>
        <v/>
      </c>
      <c r="AF343" s="38" t="str">
        <f t="shared" si="53"/>
        <v/>
      </c>
    </row>
    <row r="344" spans="1:32" x14ac:dyDescent="0.3">
      <c r="A344" s="74"/>
      <c r="B344" s="74"/>
      <c r="C344" s="74"/>
      <c r="D344" s="74"/>
      <c r="E344" s="74"/>
      <c r="F344" s="74"/>
      <c r="G344" s="74"/>
      <c r="H344" s="74"/>
      <c r="I344" s="74"/>
      <c r="J344" s="74"/>
      <c r="K344" s="74"/>
      <c r="L344" s="74"/>
      <c r="M344" s="74"/>
      <c r="N344" s="38" t="str">
        <f>IF(OR(A344="Автомат",A344="Дифавтомат"),IF(W344="","",COUNTIFS(Однолинейка!$H$3:$H$3000,U344,Однолинейка!$A$3:$A$3000,Щит_спец)),IF(A344="Аппарат",IF(C344="","",COUNTIFS(Однолинейка!$I$3:$I$3000,C344,Однолинейка!$A$3:$A$3000,Щит_спец)+COUNTIFS(Однолинейка!$J$3:$J$3000,C344,Однолинейка!$A$3:$A$3000,Щит_спец)+COUNTIFS(Однолинейка!$K$3:$K$3000,C344,Однолинейка!$A$3:$A$3000,Щит_спец)),IF(A344="Модуль",IF(C344="","",COUNTIFS(Однолинейка!$AW$3:$AW$3000,"?*",Однолинейка!$AI$3:$AI$3000,C344,Однолинейка!$A$3:$A$3000,Щит_спец)),IF(A344="Клемма",IF(C344="","",IF(C344=$S$7,SUMIFS(Однолинейка!$BW$3:$BW$3000,Однолинейка!$A$3:$A$3000,Щит_спец),IF(C344=$S$8,SUMIFS(Однолинейка!$BX$3:$BX$3000,Однолинейка!$A$3:$A$3000,Щит_спец),""))),""))))</f>
        <v/>
      </c>
      <c r="O344" s="74"/>
      <c r="P344" s="38" t="str">
        <f t="shared" si="45"/>
        <v/>
      </c>
      <c r="U344" s="38" t="str">
        <f t="shared" si="46"/>
        <v/>
      </c>
      <c r="V344" s="38" t="str">
        <f t="shared" si="47"/>
        <v/>
      </c>
      <c r="W344" s="38" t="str">
        <f>IF(AND(U344&lt;&gt;"",OR($S$4="(все)",B344=$S$4),IF($S$4="(все)",COUNTIF($U$4:U344,U344),COUNTIFS($U$4:U344,U344,$B$4:B344,B344))=1),MAX($W$3:W343)+1,"")</f>
        <v/>
      </c>
      <c r="X344" s="38" t="str">
        <f t="shared" si="48"/>
        <v/>
      </c>
      <c r="Y344" s="38" t="str">
        <f>IF(AND(A344="Аппарат",C344&lt;&gt;"",OR($S$5="(все)",B344=$S$5)),MAX($Y$3:Y343)+1,"")</f>
        <v/>
      </c>
      <c r="Z344" s="38" t="str">
        <f t="shared" si="49"/>
        <v/>
      </c>
      <c r="AA344" s="38" t="str">
        <f>IF(AND(A344="Модуль",C344&lt;&gt;"",OR($S$6="(все)",B344=$S$6)),MAX($AA$3:AA343)+1,"")</f>
        <v/>
      </c>
      <c r="AB344" s="38" t="str">
        <f t="shared" si="50"/>
        <v/>
      </c>
      <c r="AC344" s="38" t="str">
        <f>IF(OR(B344="",COUNTIF($B$4:B344,B344)&gt;1),"",MAX($AC$3:AC343)+1)</f>
        <v/>
      </c>
      <c r="AD344" s="38" t="str">
        <f t="shared" si="51"/>
        <v/>
      </c>
      <c r="AE344" s="38" t="str">
        <f t="shared" si="52"/>
        <v/>
      </c>
      <c r="AF344" s="38" t="str">
        <f t="shared" si="53"/>
        <v/>
      </c>
    </row>
    <row r="345" spans="1:32" x14ac:dyDescent="0.3">
      <c r="A345" s="74"/>
      <c r="B345" s="74"/>
      <c r="C345" s="74"/>
      <c r="D345" s="74"/>
      <c r="E345" s="74"/>
      <c r="F345" s="74"/>
      <c r="G345" s="74"/>
      <c r="H345" s="74"/>
      <c r="I345" s="74"/>
      <c r="J345" s="74"/>
      <c r="K345" s="74"/>
      <c r="L345" s="74"/>
      <c r="M345" s="74"/>
      <c r="N345" s="38" t="str">
        <f>IF(OR(A345="Автомат",A345="Дифавтомат"),IF(W345="","",COUNTIFS(Однолинейка!$H$3:$H$3000,U345,Однолинейка!$A$3:$A$3000,Щит_спец)),IF(A345="Аппарат",IF(C345="","",COUNTIFS(Однолинейка!$I$3:$I$3000,C345,Однолинейка!$A$3:$A$3000,Щит_спец)+COUNTIFS(Однолинейка!$J$3:$J$3000,C345,Однолинейка!$A$3:$A$3000,Щит_спец)+COUNTIFS(Однолинейка!$K$3:$K$3000,C345,Однолинейка!$A$3:$A$3000,Щит_спец)),IF(A345="Модуль",IF(C345="","",COUNTIFS(Однолинейка!$AW$3:$AW$3000,"?*",Однолинейка!$AI$3:$AI$3000,C345,Однолинейка!$A$3:$A$3000,Щит_спец)),IF(A345="Клемма",IF(C345="","",IF(C345=$S$7,SUMIFS(Однолинейка!$BW$3:$BW$3000,Однолинейка!$A$3:$A$3000,Щит_спец),IF(C345=$S$8,SUMIFS(Однолинейка!$BX$3:$BX$3000,Однолинейка!$A$3:$A$3000,Щит_спец),""))),""))))</f>
        <v/>
      </c>
      <c r="O345" s="74"/>
      <c r="P345" s="38" t="str">
        <f t="shared" si="45"/>
        <v/>
      </c>
      <c r="U345" s="38" t="str">
        <f t="shared" si="46"/>
        <v/>
      </c>
      <c r="V345" s="38" t="str">
        <f t="shared" si="47"/>
        <v/>
      </c>
      <c r="W345" s="38" t="str">
        <f>IF(AND(U345&lt;&gt;"",OR($S$4="(все)",B345=$S$4),IF($S$4="(все)",COUNTIF($U$4:U345,U345),COUNTIFS($U$4:U345,U345,$B$4:B345,B345))=1),MAX($W$3:W344)+1,"")</f>
        <v/>
      </c>
      <c r="X345" s="38" t="str">
        <f t="shared" si="48"/>
        <v/>
      </c>
      <c r="Y345" s="38" t="str">
        <f>IF(AND(A345="Аппарат",C345&lt;&gt;"",OR($S$5="(все)",B345=$S$5)),MAX($Y$3:Y344)+1,"")</f>
        <v/>
      </c>
      <c r="Z345" s="38" t="str">
        <f t="shared" si="49"/>
        <v/>
      </c>
      <c r="AA345" s="38" t="str">
        <f>IF(AND(A345="Модуль",C345&lt;&gt;"",OR($S$6="(все)",B345=$S$6)),MAX($AA$3:AA344)+1,"")</f>
        <v/>
      </c>
      <c r="AB345" s="38" t="str">
        <f t="shared" si="50"/>
        <v/>
      </c>
      <c r="AC345" s="38" t="str">
        <f>IF(OR(B345="",COUNTIF($B$4:B345,B345)&gt;1),"",MAX($AC$3:AC344)+1)</f>
        <v/>
      </c>
      <c r="AD345" s="38" t="str">
        <f t="shared" si="51"/>
        <v/>
      </c>
      <c r="AE345" s="38" t="str">
        <f t="shared" si="52"/>
        <v/>
      </c>
      <c r="AF345" s="38" t="str">
        <f t="shared" si="53"/>
        <v/>
      </c>
    </row>
    <row r="346" spans="1:32" x14ac:dyDescent="0.3">
      <c r="A346" s="74"/>
      <c r="B346" s="74"/>
      <c r="C346" s="74"/>
      <c r="D346" s="74"/>
      <c r="E346" s="74"/>
      <c r="F346" s="74"/>
      <c r="G346" s="74"/>
      <c r="H346" s="74"/>
      <c r="I346" s="74"/>
      <c r="J346" s="74"/>
      <c r="K346" s="74"/>
      <c r="L346" s="74"/>
      <c r="M346" s="74"/>
      <c r="N346" s="38" t="str">
        <f>IF(OR(A346="Автомат",A346="Дифавтомат"),IF(W346="","",COUNTIFS(Однолинейка!$H$3:$H$3000,U346,Однолинейка!$A$3:$A$3000,Щит_спец)),IF(A346="Аппарат",IF(C346="","",COUNTIFS(Однолинейка!$I$3:$I$3000,C346,Однолинейка!$A$3:$A$3000,Щит_спец)+COUNTIFS(Однолинейка!$J$3:$J$3000,C346,Однолинейка!$A$3:$A$3000,Щит_спец)+COUNTIFS(Однолинейка!$K$3:$K$3000,C346,Однолинейка!$A$3:$A$3000,Щит_спец)),IF(A346="Модуль",IF(C346="","",COUNTIFS(Однолинейка!$AW$3:$AW$3000,"?*",Однолинейка!$AI$3:$AI$3000,C346,Однолинейка!$A$3:$A$3000,Щит_спец)),IF(A346="Клемма",IF(C346="","",IF(C346=$S$7,SUMIFS(Однолинейка!$BW$3:$BW$3000,Однолинейка!$A$3:$A$3000,Щит_спец),IF(C346=$S$8,SUMIFS(Однолинейка!$BX$3:$BX$3000,Однолинейка!$A$3:$A$3000,Щит_спец),""))),""))))</f>
        <v/>
      </c>
      <c r="O346" s="74"/>
      <c r="P346" s="38" t="str">
        <f t="shared" si="45"/>
        <v/>
      </c>
      <c r="U346" s="38" t="str">
        <f t="shared" si="46"/>
        <v/>
      </c>
      <c r="V346" s="38" t="str">
        <f t="shared" si="47"/>
        <v/>
      </c>
      <c r="W346" s="38" t="str">
        <f>IF(AND(U346&lt;&gt;"",OR($S$4="(все)",B346=$S$4),IF($S$4="(все)",COUNTIF($U$4:U346,U346),COUNTIFS($U$4:U346,U346,$B$4:B346,B346))=1),MAX($W$3:W345)+1,"")</f>
        <v/>
      </c>
      <c r="X346" s="38" t="str">
        <f t="shared" si="48"/>
        <v/>
      </c>
      <c r="Y346" s="38" t="str">
        <f>IF(AND(A346="Аппарат",C346&lt;&gt;"",OR($S$5="(все)",B346=$S$5)),MAX($Y$3:Y345)+1,"")</f>
        <v/>
      </c>
      <c r="Z346" s="38" t="str">
        <f t="shared" si="49"/>
        <v/>
      </c>
      <c r="AA346" s="38" t="str">
        <f>IF(AND(A346="Модуль",C346&lt;&gt;"",OR($S$6="(все)",B346=$S$6)),MAX($AA$3:AA345)+1,"")</f>
        <v/>
      </c>
      <c r="AB346" s="38" t="str">
        <f t="shared" si="50"/>
        <v/>
      </c>
      <c r="AC346" s="38" t="str">
        <f>IF(OR(B346="",COUNTIF($B$4:B346,B346)&gt;1),"",MAX($AC$3:AC345)+1)</f>
        <v/>
      </c>
      <c r="AD346" s="38" t="str">
        <f t="shared" si="51"/>
        <v/>
      </c>
      <c r="AE346" s="38" t="str">
        <f t="shared" si="52"/>
        <v/>
      </c>
      <c r="AF346" s="38" t="str">
        <f t="shared" si="53"/>
        <v/>
      </c>
    </row>
    <row r="347" spans="1:32" x14ac:dyDescent="0.3">
      <c r="A347" s="74"/>
      <c r="B347" s="74"/>
      <c r="C347" s="74"/>
      <c r="D347" s="74"/>
      <c r="E347" s="74"/>
      <c r="F347" s="74"/>
      <c r="G347" s="74"/>
      <c r="H347" s="74"/>
      <c r="I347" s="74"/>
      <c r="J347" s="74"/>
      <c r="K347" s="74"/>
      <c r="L347" s="74"/>
      <c r="M347" s="74"/>
      <c r="N347" s="38" t="str">
        <f>IF(OR(A347="Автомат",A347="Дифавтомат"),IF(W347="","",COUNTIFS(Однолинейка!$H$3:$H$3000,U347,Однолинейка!$A$3:$A$3000,Щит_спец)),IF(A347="Аппарат",IF(C347="","",COUNTIFS(Однолинейка!$I$3:$I$3000,C347,Однолинейка!$A$3:$A$3000,Щит_спец)+COUNTIFS(Однолинейка!$J$3:$J$3000,C347,Однолинейка!$A$3:$A$3000,Щит_спец)+COUNTIFS(Однолинейка!$K$3:$K$3000,C347,Однолинейка!$A$3:$A$3000,Щит_спец)),IF(A347="Модуль",IF(C347="","",COUNTIFS(Однолинейка!$AW$3:$AW$3000,"?*",Однолинейка!$AI$3:$AI$3000,C347,Однолинейка!$A$3:$A$3000,Щит_спец)),IF(A347="Клемма",IF(C347="","",IF(C347=$S$7,SUMIFS(Однолинейка!$BW$3:$BW$3000,Однолинейка!$A$3:$A$3000,Щит_спец),IF(C347=$S$8,SUMIFS(Однолинейка!$BX$3:$BX$3000,Однолинейка!$A$3:$A$3000,Щит_спец),""))),""))))</f>
        <v/>
      </c>
      <c r="O347" s="74"/>
      <c r="P347" s="38" t="str">
        <f t="shared" si="45"/>
        <v/>
      </c>
      <c r="U347" s="38" t="str">
        <f t="shared" si="46"/>
        <v/>
      </c>
      <c r="V347" s="38" t="str">
        <f t="shared" si="47"/>
        <v/>
      </c>
      <c r="W347" s="38" t="str">
        <f>IF(AND(U347&lt;&gt;"",OR($S$4="(все)",B347=$S$4),IF($S$4="(все)",COUNTIF($U$4:U347,U347),COUNTIFS($U$4:U347,U347,$B$4:B347,B347))=1),MAX($W$3:W346)+1,"")</f>
        <v/>
      </c>
      <c r="X347" s="38" t="str">
        <f t="shared" si="48"/>
        <v/>
      </c>
      <c r="Y347" s="38" t="str">
        <f>IF(AND(A347="Аппарат",C347&lt;&gt;"",OR($S$5="(все)",B347=$S$5)),MAX($Y$3:Y346)+1,"")</f>
        <v/>
      </c>
      <c r="Z347" s="38" t="str">
        <f t="shared" si="49"/>
        <v/>
      </c>
      <c r="AA347" s="38" t="str">
        <f>IF(AND(A347="Модуль",C347&lt;&gt;"",OR($S$6="(все)",B347=$S$6)),MAX($AA$3:AA346)+1,"")</f>
        <v/>
      </c>
      <c r="AB347" s="38" t="str">
        <f t="shared" si="50"/>
        <v/>
      </c>
      <c r="AC347" s="38" t="str">
        <f>IF(OR(B347="",COUNTIF($B$4:B347,B347)&gt;1),"",MAX($AC$3:AC346)+1)</f>
        <v/>
      </c>
      <c r="AD347" s="38" t="str">
        <f t="shared" si="51"/>
        <v/>
      </c>
      <c r="AE347" s="38" t="str">
        <f t="shared" si="52"/>
        <v/>
      </c>
      <c r="AF347" s="38" t="str">
        <f t="shared" si="53"/>
        <v/>
      </c>
    </row>
    <row r="348" spans="1:32" x14ac:dyDescent="0.3">
      <c r="A348" s="74"/>
      <c r="B348" s="74"/>
      <c r="C348" s="74"/>
      <c r="D348" s="74"/>
      <c r="E348" s="74"/>
      <c r="F348" s="74"/>
      <c r="G348" s="74"/>
      <c r="H348" s="74"/>
      <c r="I348" s="74"/>
      <c r="J348" s="74"/>
      <c r="K348" s="74"/>
      <c r="L348" s="74"/>
      <c r="M348" s="74"/>
      <c r="N348" s="38" t="str">
        <f>IF(OR(A348="Автомат",A348="Дифавтомат"),IF(W348="","",COUNTIFS(Однолинейка!$H$3:$H$3000,U348,Однолинейка!$A$3:$A$3000,Щит_спец)),IF(A348="Аппарат",IF(C348="","",COUNTIFS(Однолинейка!$I$3:$I$3000,C348,Однолинейка!$A$3:$A$3000,Щит_спец)+COUNTIFS(Однолинейка!$J$3:$J$3000,C348,Однолинейка!$A$3:$A$3000,Щит_спец)+COUNTIFS(Однолинейка!$K$3:$K$3000,C348,Однолинейка!$A$3:$A$3000,Щит_спец)),IF(A348="Модуль",IF(C348="","",COUNTIFS(Однолинейка!$AW$3:$AW$3000,"?*",Однолинейка!$AI$3:$AI$3000,C348,Однолинейка!$A$3:$A$3000,Щит_спец)),IF(A348="Клемма",IF(C348="","",IF(C348=$S$7,SUMIFS(Однолинейка!$BW$3:$BW$3000,Однолинейка!$A$3:$A$3000,Щит_спец),IF(C348=$S$8,SUMIFS(Однолинейка!$BX$3:$BX$3000,Однолинейка!$A$3:$A$3000,Щит_спец),""))),""))))</f>
        <v/>
      </c>
      <c r="O348" s="74"/>
      <c r="P348" s="38" t="str">
        <f t="shared" si="45"/>
        <v/>
      </c>
      <c r="U348" s="38" t="str">
        <f t="shared" si="46"/>
        <v/>
      </c>
      <c r="V348" s="38" t="str">
        <f t="shared" si="47"/>
        <v/>
      </c>
      <c r="W348" s="38" t="str">
        <f>IF(AND(U348&lt;&gt;"",OR($S$4="(все)",B348=$S$4),IF($S$4="(все)",COUNTIF($U$4:U348,U348),COUNTIFS($U$4:U348,U348,$B$4:B348,B348))=1),MAX($W$3:W347)+1,"")</f>
        <v/>
      </c>
      <c r="X348" s="38" t="str">
        <f t="shared" si="48"/>
        <v/>
      </c>
      <c r="Y348" s="38" t="str">
        <f>IF(AND(A348="Аппарат",C348&lt;&gt;"",OR($S$5="(все)",B348=$S$5)),MAX($Y$3:Y347)+1,"")</f>
        <v/>
      </c>
      <c r="Z348" s="38" t="str">
        <f t="shared" si="49"/>
        <v/>
      </c>
      <c r="AA348" s="38" t="str">
        <f>IF(AND(A348="Модуль",C348&lt;&gt;"",OR($S$6="(все)",B348=$S$6)),MAX($AA$3:AA347)+1,"")</f>
        <v/>
      </c>
      <c r="AB348" s="38" t="str">
        <f t="shared" si="50"/>
        <v/>
      </c>
      <c r="AC348" s="38" t="str">
        <f>IF(OR(B348="",COUNTIF($B$4:B348,B348)&gt;1),"",MAX($AC$3:AC347)+1)</f>
        <v/>
      </c>
      <c r="AD348" s="38" t="str">
        <f t="shared" si="51"/>
        <v/>
      </c>
      <c r="AE348" s="38" t="str">
        <f t="shared" si="52"/>
        <v/>
      </c>
      <c r="AF348" s="38" t="str">
        <f t="shared" si="53"/>
        <v/>
      </c>
    </row>
    <row r="349" spans="1:32" x14ac:dyDescent="0.3">
      <c r="A349" s="74"/>
      <c r="B349" s="74"/>
      <c r="C349" s="74"/>
      <c r="D349" s="74"/>
      <c r="E349" s="74"/>
      <c r="F349" s="74"/>
      <c r="G349" s="74"/>
      <c r="H349" s="74"/>
      <c r="I349" s="74"/>
      <c r="J349" s="74"/>
      <c r="K349" s="74"/>
      <c r="L349" s="74"/>
      <c r="M349" s="74"/>
      <c r="N349" s="38" t="str">
        <f>IF(OR(A349="Автомат",A349="Дифавтомат"),IF(W349="","",COUNTIFS(Однолинейка!$H$3:$H$3000,U349,Однолинейка!$A$3:$A$3000,Щит_спец)),IF(A349="Аппарат",IF(C349="","",COUNTIFS(Однолинейка!$I$3:$I$3000,C349,Однолинейка!$A$3:$A$3000,Щит_спец)+COUNTIFS(Однолинейка!$J$3:$J$3000,C349,Однолинейка!$A$3:$A$3000,Щит_спец)+COUNTIFS(Однолинейка!$K$3:$K$3000,C349,Однолинейка!$A$3:$A$3000,Щит_спец)),IF(A349="Модуль",IF(C349="","",COUNTIFS(Однолинейка!$AW$3:$AW$3000,"?*",Однолинейка!$AI$3:$AI$3000,C349,Однолинейка!$A$3:$A$3000,Щит_спец)),IF(A349="Клемма",IF(C349="","",IF(C349=$S$7,SUMIFS(Однолинейка!$BW$3:$BW$3000,Однолинейка!$A$3:$A$3000,Щит_спец),IF(C349=$S$8,SUMIFS(Однолинейка!$BX$3:$BX$3000,Однолинейка!$A$3:$A$3000,Щит_спец),""))),""))))</f>
        <v/>
      </c>
      <c r="O349" s="74"/>
      <c r="P349" s="38" t="str">
        <f t="shared" si="45"/>
        <v/>
      </c>
      <c r="U349" s="38" t="str">
        <f t="shared" si="46"/>
        <v/>
      </c>
      <c r="V349" s="38" t="str">
        <f t="shared" si="47"/>
        <v/>
      </c>
      <c r="W349" s="38" t="str">
        <f>IF(AND(U349&lt;&gt;"",OR($S$4="(все)",B349=$S$4),IF($S$4="(все)",COUNTIF($U$4:U349,U349),COUNTIFS($U$4:U349,U349,$B$4:B349,B349))=1),MAX($W$3:W348)+1,"")</f>
        <v/>
      </c>
      <c r="X349" s="38" t="str">
        <f t="shared" si="48"/>
        <v/>
      </c>
      <c r="Y349" s="38" t="str">
        <f>IF(AND(A349="Аппарат",C349&lt;&gt;"",OR($S$5="(все)",B349=$S$5)),MAX($Y$3:Y348)+1,"")</f>
        <v/>
      </c>
      <c r="Z349" s="38" t="str">
        <f t="shared" si="49"/>
        <v/>
      </c>
      <c r="AA349" s="38" t="str">
        <f>IF(AND(A349="Модуль",C349&lt;&gt;"",OR($S$6="(все)",B349=$S$6)),MAX($AA$3:AA348)+1,"")</f>
        <v/>
      </c>
      <c r="AB349" s="38" t="str">
        <f t="shared" si="50"/>
        <v/>
      </c>
      <c r="AC349" s="38" t="str">
        <f>IF(OR(B349="",COUNTIF($B$4:B349,B349)&gt;1),"",MAX($AC$3:AC348)+1)</f>
        <v/>
      </c>
      <c r="AD349" s="38" t="str">
        <f t="shared" si="51"/>
        <v/>
      </c>
      <c r="AE349" s="38" t="str">
        <f t="shared" si="52"/>
        <v/>
      </c>
      <c r="AF349" s="38" t="str">
        <f t="shared" si="53"/>
        <v/>
      </c>
    </row>
    <row r="350" spans="1:32" x14ac:dyDescent="0.3">
      <c r="A350" s="74"/>
      <c r="B350" s="74"/>
      <c r="C350" s="74"/>
      <c r="D350" s="74"/>
      <c r="E350" s="74"/>
      <c r="F350" s="74"/>
      <c r="G350" s="74"/>
      <c r="H350" s="74"/>
      <c r="I350" s="74"/>
      <c r="J350" s="74"/>
      <c r="K350" s="74"/>
      <c r="L350" s="74"/>
      <c r="M350" s="74"/>
      <c r="N350" s="38" t="str">
        <f>IF(OR(A350="Автомат",A350="Дифавтомат"),IF(W350="","",COUNTIFS(Однолинейка!$H$3:$H$3000,U350,Однолинейка!$A$3:$A$3000,Щит_спец)),IF(A350="Аппарат",IF(C350="","",COUNTIFS(Однолинейка!$I$3:$I$3000,C350,Однолинейка!$A$3:$A$3000,Щит_спец)+COUNTIFS(Однолинейка!$J$3:$J$3000,C350,Однолинейка!$A$3:$A$3000,Щит_спец)+COUNTIFS(Однолинейка!$K$3:$K$3000,C350,Однолинейка!$A$3:$A$3000,Щит_спец)),IF(A350="Модуль",IF(C350="","",COUNTIFS(Однолинейка!$AW$3:$AW$3000,"?*",Однолинейка!$AI$3:$AI$3000,C350,Однолинейка!$A$3:$A$3000,Щит_спец)),IF(A350="Клемма",IF(C350="","",IF(C350=$S$7,SUMIFS(Однолинейка!$BW$3:$BW$3000,Однолинейка!$A$3:$A$3000,Щит_спец),IF(C350=$S$8,SUMIFS(Однолинейка!$BX$3:$BX$3000,Однолинейка!$A$3:$A$3000,Щит_спец),""))),""))))</f>
        <v/>
      </c>
      <c r="O350" s="74"/>
      <c r="P350" s="38" t="str">
        <f t="shared" si="45"/>
        <v/>
      </c>
      <c r="U350" s="38" t="str">
        <f t="shared" si="46"/>
        <v/>
      </c>
      <c r="V350" s="38" t="str">
        <f t="shared" si="47"/>
        <v/>
      </c>
      <c r="W350" s="38" t="str">
        <f>IF(AND(U350&lt;&gt;"",OR($S$4="(все)",B350=$S$4),IF($S$4="(все)",COUNTIF($U$4:U350,U350),COUNTIFS($U$4:U350,U350,$B$4:B350,B350))=1),MAX($W$3:W349)+1,"")</f>
        <v/>
      </c>
      <c r="X350" s="38" t="str">
        <f t="shared" si="48"/>
        <v/>
      </c>
      <c r="Y350" s="38" t="str">
        <f>IF(AND(A350="Аппарат",C350&lt;&gt;"",OR($S$5="(все)",B350=$S$5)),MAX($Y$3:Y349)+1,"")</f>
        <v/>
      </c>
      <c r="Z350" s="38" t="str">
        <f t="shared" si="49"/>
        <v/>
      </c>
      <c r="AA350" s="38" t="str">
        <f>IF(AND(A350="Модуль",C350&lt;&gt;"",OR($S$6="(все)",B350=$S$6)),MAX($AA$3:AA349)+1,"")</f>
        <v/>
      </c>
      <c r="AB350" s="38" t="str">
        <f t="shared" si="50"/>
        <v/>
      </c>
      <c r="AC350" s="38" t="str">
        <f>IF(OR(B350="",COUNTIF($B$4:B350,B350)&gt;1),"",MAX($AC$3:AC349)+1)</f>
        <v/>
      </c>
      <c r="AD350" s="38" t="str">
        <f t="shared" si="51"/>
        <v/>
      </c>
      <c r="AE350" s="38" t="str">
        <f t="shared" si="52"/>
        <v/>
      </c>
      <c r="AF350" s="38" t="str">
        <f t="shared" si="53"/>
        <v/>
      </c>
    </row>
    <row r="351" spans="1:32" x14ac:dyDescent="0.3">
      <c r="A351" s="74"/>
      <c r="B351" s="74"/>
      <c r="C351" s="74"/>
      <c r="D351" s="74"/>
      <c r="E351" s="74"/>
      <c r="F351" s="74"/>
      <c r="G351" s="74"/>
      <c r="H351" s="74"/>
      <c r="I351" s="74"/>
      <c r="J351" s="74"/>
      <c r="K351" s="74"/>
      <c r="L351" s="74"/>
      <c r="M351" s="74"/>
      <c r="N351" s="38" t="str">
        <f>IF(OR(A351="Автомат",A351="Дифавтомат"),IF(W351="","",COUNTIFS(Однолинейка!$H$3:$H$3000,U351,Однолинейка!$A$3:$A$3000,Щит_спец)),IF(A351="Аппарат",IF(C351="","",COUNTIFS(Однолинейка!$I$3:$I$3000,C351,Однолинейка!$A$3:$A$3000,Щит_спец)+COUNTIFS(Однолинейка!$J$3:$J$3000,C351,Однолинейка!$A$3:$A$3000,Щит_спец)+COUNTIFS(Однолинейка!$K$3:$K$3000,C351,Однолинейка!$A$3:$A$3000,Щит_спец)),IF(A351="Модуль",IF(C351="","",COUNTIFS(Однолинейка!$AW$3:$AW$3000,"?*",Однолинейка!$AI$3:$AI$3000,C351,Однолинейка!$A$3:$A$3000,Щит_спец)),IF(A351="Клемма",IF(C351="","",IF(C351=$S$7,SUMIFS(Однолинейка!$BW$3:$BW$3000,Однолинейка!$A$3:$A$3000,Щит_спец),IF(C351=$S$8,SUMIFS(Однолинейка!$BX$3:$BX$3000,Однолинейка!$A$3:$A$3000,Щит_спец),""))),""))))</f>
        <v/>
      </c>
      <c r="O351" s="74"/>
      <c r="P351" s="38" t="str">
        <f t="shared" si="45"/>
        <v/>
      </c>
      <c r="U351" s="38" t="str">
        <f t="shared" si="46"/>
        <v/>
      </c>
      <c r="V351" s="38" t="str">
        <f t="shared" si="47"/>
        <v/>
      </c>
      <c r="W351" s="38" t="str">
        <f>IF(AND(U351&lt;&gt;"",OR($S$4="(все)",B351=$S$4),IF($S$4="(все)",COUNTIF($U$4:U351,U351),COUNTIFS($U$4:U351,U351,$B$4:B351,B351))=1),MAX($W$3:W350)+1,"")</f>
        <v/>
      </c>
      <c r="X351" s="38" t="str">
        <f t="shared" si="48"/>
        <v/>
      </c>
      <c r="Y351" s="38" t="str">
        <f>IF(AND(A351="Аппарат",C351&lt;&gt;"",OR($S$5="(все)",B351=$S$5)),MAX($Y$3:Y350)+1,"")</f>
        <v/>
      </c>
      <c r="Z351" s="38" t="str">
        <f t="shared" si="49"/>
        <v/>
      </c>
      <c r="AA351" s="38" t="str">
        <f>IF(AND(A351="Модуль",C351&lt;&gt;"",OR($S$6="(все)",B351=$S$6)),MAX($AA$3:AA350)+1,"")</f>
        <v/>
      </c>
      <c r="AB351" s="38" t="str">
        <f t="shared" si="50"/>
        <v/>
      </c>
      <c r="AC351" s="38" t="str">
        <f>IF(OR(B351="",COUNTIF($B$4:B351,B351)&gt;1),"",MAX($AC$3:AC350)+1)</f>
        <v/>
      </c>
      <c r="AD351" s="38" t="str">
        <f t="shared" si="51"/>
        <v/>
      </c>
      <c r="AE351" s="38" t="str">
        <f t="shared" si="52"/>
        <v/>
      </c>
      <c r="AF351" s="38" t="str">
        <f t="shared" si="53"/>
        <v/>
      </c>
    </row>
    <row r="352" spans="1:32" x14ac:dyDescent="0.3">
      <c r="A352" s="74"/>
      <c r="B352" s="74"/>
      <c r="C352" s="74"/>
      <c r="D352" s="74"/>
      <c r="E352" s="74"/>
      <c r="F352" s="74"/>
      <c r="G352" s="74"/>
      <c r="H352" s="74"/>
      <c r="I352" s="74"/>
      <c r="J352" s="74"/>
      <c r="K352" s="74"/>
      <c r="L352" s="74"/>
      <c r="M352" s="74"/>
      <c r="N352" s="38" t="str">
        <f>IF(OR(A352="Автомат",A352="Дифавтомат"),IF(W352="","",COUNTIFS(Однолинейка!$H$3:$H$3000,U352,Однолинейка!$A$3:$A$3000,Щит_спец)),IF(A352="Аппарат",IF(C352="","",COUNTIFS(Однолинейка!$I$3:$I$3000,C352,Однолинейка!$A$3:$A$3000,Щит_спец)+COUNTIFS(Однолинейка!$J$3:$J$3000,C352,Однолинейка!$A$3:$A$3000,Щит_спец)+COUNTIFS(Однолинейка!$K$3:$K$3000,C352,Однолинейка!$A$3:$A$3000,Щит_спец)),IF(A352="Модуль",IF(C352="","",COUNTIFS(Однолинейка!$AW$3:$AW$3000,"?*",Однолинейка!$AI$3:$AI$3000,C352,Однолинейка!$A$3:$A$3000,Щит_спец)),IF(A352="Клемма",IF(C352="","",IF(C352=$S$7,SUMIFS(Однолинейка!$BW$3:$BW$3000,Однолинейка!$A$3:$A$3000,Щит_спец),IF(C352=$S$8,SUMIFS(Однолинейка!$BX$3:$BX$3000,Однолинейка!$A$3:$A$3000,Щит_спец),""))),""))))</f>
        <v/>
      </c>
      <c r="O352" s="74"/>
      <c r="P352" s="38" t="str">
        <f t="shared" si="45"/>
        <v/>
      </c>
      <c r="U352" s="38" t="str">
        <f t="shared" si="46"/>
        <v/>
      </c>
      <c r="V352" s="38" t="str">
        <f t="shared" si="47"/>
        <v/>
      </c>
      <c r="W352" s="38" t="str">
        <f>IF(AND(U352&lt;&gt;"",OR($S$4="(все)",B352=$S$4),IF($S$4="(все)",COUNTIF($U$4:U352,U352),COUNTIFS($U$4:U352,U352,$B$4:B352,B352))=1),MAX($W$3:W351)+1,"")</f>
        <v/>
      </c>
      <c r="X352" s="38" t="str">
        <f t="shared" si="48"/>
        <v/>
      </c>
      <c r="Y352" s="38" t="str">
        <f>IF(AND(A352="Аппарат",C352&lt;&gt;"",OR($S$5="(все)",B352=$S$5)),MAX($Y$3:Y351)+1,"")</f>
        <v/>
      </c>
      <c r="Z352" s="38" t="str">
        <f t="shared" si="49"/>
        <v/>
      </c>
      <c r="AA352" s="38" t="str">
        <f>IF(AND(A352="Модуль",C352&lt;&gt;"",OR($S$6="(все)",B352=$S$6)),MAX($AA$3:AA351)+1,"")</f>
        <v/>
      </c>
      <c r="AB352" s="38" t="str">
        <f t="shared" si="50"/>
        <v/>
      </c>
      <c r="AC352" s="38" t="str">
        <f>IF(OR(B352="",COUNTIF($B$4:B352,B352)&gt;1),"",MAX($AC$3:AC351)+1)</f>
        <v/>
      </c>
      <c r="AD352" s="38" t="str">
        <f t="shared" si="51"/>
        <v/>
      </c>
      <c r="AE352" s="38" t="str">
        <f t="shared" si="52"/>
        <v/>
      </c>
      <c r="AF352" s="38" t="str">
        <f t="shared" si="53"/>
        <v/>
      </c>
    </row>
    <row r="353" spans="1:32" x14ac:dyDescent="0.3">
      <c r="A353" s="74"/>
      <c r="B353" s="74"/>
      <c r="C353" s="74"/>
      <c r="D353" s="74"/>
      <c r="E353" s="74"/>
      <c r="F353" s="74"/>
      <c r="G353" s="74"/>
      <c r="H353" s="74"/>
      <c r="I353" s="74"/>
      <c r="J353" s="74"/>
      <c r="K353" s="74"/>
      <c r="L353" s="74"/>
      <c r="M353" s="74"/>
      <c r="N353" s="38" t="str">
        <f>IF(OR(A353="Автомат",A353="Дифавтомат"),IF(W353="","",COUNTIFS(Однолинейка!$H$3:$H$3000,U353,Однолинейка!$A$3:$A$3000,Щит_спец)),IF(A353="Аппарат",IF(C353="","",COUNTIFS(Однолинейка!$I$3:$I$3000,C353,Однолинейка!$A$3:$A$3000,Щит_спец)+COUNTIFS(Однолинейка!$J$3:$J$3000,C353,Однолинейка!$A$3:$A$3000,Щит_спец)+COUNTIFS(Однолинейка!$K$3:$K$3000,C353,Однолинейка!$A$3:$A$3000,Щит_спец)),IF(A353="Модуль",IF(C353="","",COUNTIFS(Однолинейка!$AW$3:$AW$3000,"?*",Однолинейка!$AI$3:$AI$3000,C353,Однолинейка!$A$3:$A$3000,Щит_спец)),IF(A353="Клемма",IF(C353="","",IF(C353=$S$7,SUMIFS(Однолинейка!$BW$3:$BW$3000,Однолинейка!$A$3:$A$3000,Щит_спец),IF(C353=$S$8,SUMIFS(Однолинейка!$BX$3:$BX$3000,Однолинейка!$A$3:$A$3000,Щит_спец),""))),""))))</f>
        <v/>
      </c>
      <c r="O353" s="74"/>
      <c r="P353" s="38" t="str">
        <f t="shared" si="45"/>
        <v/>
      </c>
      <c r="U353" s="38" t="str">
        <f t="shared" si="46"/>
        <v/>
      </c>
      <c r="V353" s="38" t="str">
        <f t="shared" si="47"/>
        <v/>
      </c>
      <c r="W353" s="38" t="str">
        <f>IF(AND(U353&lt;&gt;"",OR($S$4="(все)",B353=$S$4),IF($S$4="(все)",COUNTIF($U$4:U353,U353),COUNTIFS($U$4:U353,U353,$B$4:B353,B353))=1),MAX($W$3:W352)+1,"")</f>
        <v/>
      </c>
      <c r="X353" s="38" t="str">
        <f t="shared" si="48"/>
        <v/>
      </c>
      <c r="Y353" s="38" t="str">
        <f>IF(AND(A353="Аппарат",C353&lt;&gt;"",OR($S$5="(все)",B353=$S$5)),MAX($Y$3:Y352)+1,"")</f>
        <v/>
      </c>
      <c r="Z353" s="38" t="str">
        <f t="shared" si="49"/>
        <v/>
      </c>
      <c r="AA353" s="38" t="str">
        <f>IF(AND(A353="Модуль",C353&lt;&gt;"",OR($S$6="(все)",B353=$S$6)),MAX($AA$3:AA352)+1,"")</f>
        <v/>
      </c>
      <c r="AB353" s="38" t="str">
        <f t="shared" si="50"/>
        <v/>
      </c>
      <c r="AC353" s="38" t="str">
        <f>IF(OR(B353="",COUNTIF($B$4:B353,B353)&gt;1),"",MAX($AC$3:AC352)+1)</f>
        <v/>
      </c>
      <c r="AD353" s="38" t="str">
        <f t="shared" si="51"/>
        <v/>
      </c>
      <c r="AE353" s="38" t="str">
        <f t="shared" si="52"/>
        <v/>
      </c>
      <c r="AF353" s="38" t="str">
        <f t="shared" si="53"/>
        <v/>
      </c>
    </row>
    <row r="354" spans="1:32" x14ac:dyDescent="0.3">
      <c r="A354" s="74"/>
      <c r="B354" s="74"/>
      <c r="C354" s="74"/>
      <c r="D354" s="74"/>
      <c r="E354" s="74"/>
      <c r="F354" s="74"/>
      <c r="G354" s="74"/>
      <c r="H354" s="74"/>
      <c r="I354" s="74"/>
      <c r="J354" s="74"/>
      <c r="K354" s="74"/>
      <c r="L354" s="74"/>
      <c r="M354" s="74"/>
      <c r="N354" s="38" t="str">
        <f>IF(OR(A354="Автомат",A354="Дифавтомат"),IF(W354="","",COUNTIFS(Однолинейка!$H$3:$H$3000,U354,Однолинейка!$A$3:$A$3000,Щит_спец)),IF(A354="Аппарат",IF(C354="","",COUNTIFS(Однолинейка!$I$3:$I$3000,C354,Однолинейка!$A$3:$A$3000,Щит_спец)+COUNTIFS(Однолинейка!$J$3:$J$3000,C354,Однолинейка!$A$3:$A$3000,Щит_спец)+COUNTIFS(Однолинейка!$K$3:$K$3000,C354,Однолинейка!$A$3:$A$3000,Щит_спец)),IF(A354="Модуль",IF(C354="","",COUNTIFS(Однолинейка!$AW$3:$AW$3000,"?*",Однолинейка!$AI$3:$AI$3000,C354,Однолинейка!$A$3:$A$3000,Щит_спец)),IF(A354="Клемма",IF(C354="","",IF(C354=$S$7,SUMIFS(Однолинейка!$BW$3:$BW$3000,Однолинейка!$A$3:$A$3000,Щит_спец),IF(C354=$S$8,SUMIFS(Однолинейка!$BX$3:$BX$3000,Однолинейка!$A$3:$A$3000,Щит_спец),""))),""))))</f>
        <v/>
      </c>
      <c r="O354" s="74"/>
      <c r="P354" s="38" t="str">
        <f t="shared" si="45"/>
        <v/>
      </c>
      <c r="U354" s="38" t="str">
        <f t="shared" si="46"/>
        <v/>
      </c>
      <c r="V354" s="38" t="str">
        <f t="shared" si="47"/>
        <v/>
      </c>
      <c r="W354" s="38" t="str">
        <f>IF(AND(U354&lt;&gt;"",OR($S$4="(все)",B354=$S$4),IF($S$4="(все)",COUNTIF($U$4:U354,U354),COUNTIFS($U$4:U354,U354,$B$4:B354,B354))=1),MAX($W$3:W353)+1,"")</f>
        <v/>
      </c>
      <c r="X354" s="38" t="str">
        <f t="shared" si="48"/>
        <v/>
      </c>
      <c r="Y354" s="38" t="str">
        <f>IF(AND(A354="Аппарат",C354&lt;&gt;"",OR($S$5="(все)",B354=$S$5)),MAX($Y$3:Y353)+1,"")</f>
        <v/>
      </c>
      <c r="Z354" s="38" t="str">
        <f t="shared" si="49"/>
        <v/>
      </c>
      <c r="AA354" s="38" t="str">
        <f>IF(AND(A354="Модуль",C354&lt;&gt;"",OR($S$6="(все)",B354=$S$6)),MAX($AA$3:AA353)+1,"")</f>
        <v/>
      </c>
      <c r="AB354" s="38" t="str">
        <f t="shared" si="50"/>
        <v/>
      </c>
      <c r="AC354" s="38" t="str">
        <f>IF(OR(B354="",COUNTIF($B$4:B354,B354)&gt;1),"",MAX($AC$3:AC353)+1)</f>
        <v/>
      </c>
      <c r="AD354" s="38" t="str">
        <f t="shared" si="51"/>
        <v/>
      </c>
      <c r="AE354" s="38" t="str">
        <f t="shared" si="52"/>
        <v/>
      </c>
      <c r="AF354" s="38" t="str">
        <f t="shared" si="53"/>
        <v/>
      </c>
    </row>
    <row r="355" spans="1:32" x14ac:dyDescent="0.3">
      <c r="A355" s="74"/>
      <c r="B355" s="74"/>
      <c r="C355" s="74"/>
      <c r="D355" s="74"/>
      <c r="E355" s="74"/>
      <c r="F355" s="74"/>
      <c r="G355" s="74"/>
      <c r="H355" s="74"/>
      <c r="I355" s="74"/>
      <c r="J355" s="74"/>
      <c r="K355" s="74"/>
      <c r="L355" s="74"/>
      <c r="M355" s="74"/>
      <c r="N355" s="38" t="str">
        <f>IF(OR(A355="Автомат",A355="Дифавтомат"),IF(W355="","",COUNTIFS(Однолинейка!$H$3:$H$3000,U355,Однолинейка!$A$3:$A$3000,Щит_спец)),IF(A355="Аппарат",IF(C355="","",COUNTIFS(Однолинейка!$I$3:$I$3000,C355,Однолинейка!$A$3:$A$3000,Щит_спец)+COUNTIFS(Однолинейка!$J$3:$J$3000,C355,Однолинейка!$A$3:$A$3000,Щит_спец)+COUNTIFS(Однолинейка!$K$3:$K$3000,C355,Однолинейка!$A$3:$A$3000,Щит_спец)),IF(A355="Модуль",IF(C355="","",COUNTIFS(Однолинейка!$AW$3:$AW$3000,"?*",Однолинейка!$AI$3:$AI$3000,C355,Однолинейка!$A$3:$A$3000,Щит_спец)),IF(A355="Клемма",IF(C355="","",IF(C355=$S$7,SUMIFS(Однолинейка!$BW$3:$BW$3000,Однолинейка!$A$3:$A$3000,Щит_спец),IF(C355=$S$8,SUMIFS(Однолинейка!$BX$3:$BX$3000,Однолинейка!$A$3:$A$3000,Щит_спец),""))),""))))</f>
        <v/>
      </c>
      <c r="O355" s="74"/>
      <c r="P355" s="38" t="str">
        <f t="shared" si="45"/>
        <v/>
      </c>
      <c r="U355" s="38" t="str">
        <f t="shared" si="46"/>
        <v/>
      </c>
      <c r="V355" s="38" t="str">
        <f t="shared" si="47"/>
        <v/>
      </c>
      <c r="W355" s="38" t="str">
        <f>IF(AND(U355&lt;&gt;"",OR($S$4="(все)",B355=$S$4),IF($S$4="(все)",COUNTIF($U$4:U355,U355),COUNTIFS($U$4:U355,U355,$B$4:B355,B355))=1),MAX($W$3:W354)+1,"")</f>
        <v/>
      </c>
      <c r="X355" s="38" t="str">
        <f t="shared" si="48"/>
        <v/>
      </c>
      <c r="Y355" s="38" t="str">
        <f>IF(AND(A355="Аппарат",C355&lt;&gt;"",OR($S$5="(все)",B355=$S$5)),MAX($Y$3:Y354)+1,"")</f>
        <v/>
      </c>
      <c r="Z355" s="38" t="str">
        <f t="shared" si="49"/>
        <v/>
      </c>
      <c r="AA355" s="38" t="str">
        <f>IF(AND(A355="Модуль",C355&lt;&gt;"",OR($S$6="(все)",B355=$S$6)),MAX($AA$3:AA354)+1,"")</f>
        <v/>
      </c>
      <c r="AB355" s="38" t="str">
        <f t="shared" si="50"/>
        <v/>
      </c>
      <c r="AC355" s="38" t="str">
        <f>IF(OR(B355="",COUNTIF($B$4:B355,B355)&gt;1),"",MAX($AC$3:AC354)+1)</f>
        <v/>
      </c>
      <c r="AD355" s="38" t="str">
        <f t="shared" si="51"/>
        <v/>
      </c>
      <c r="AE355" s="38" t="str">
        <f t="shared" si="52"/>
        <v/>
      </c>
      <c r="AF355" s="38" t="str">
        <f t="shared" si="53"/>
        <v/>
      </c>
    </row>
    <row r="356" spans="1:32" x14ac:dyDescent="0.3">
      <c r="A356" s="74"/>
      <c r="B356" s="74"/>
      <c r="C356" s="74"/>
      <c r="D356" s="74"/>
      <c r="E356" s="74"/>
      <c r="F356" s="74"/>
      <c r="G356" s="74"/>
      <c r="H356" s="74"/>
      <c r="I356" s="74"/>
      <c r="J356" s="74"/>
      <c r="K356" s="74"/>
      <c r="L356" s="74"/>
      <c r="M356" s="74"/>
      <c r="N356" s="38" t="str">
        <f>IF(OR(A356="Автомат",A356="Дифавтомат"),IF(W356="","",COUNTIFS(Однолинейка!$H$3:$H$3000,U356,Однолинейка!$A$3:$A$3000,Щит_спец)),IF(A356="Аппарат",IF(C356="","",COUNTIFS(Однолинейка!$I$3:$I$3000,C356,Однолинейка!$A$3:$A$3000,Щит_спец)+COUNTIFS(Однолинейка!$J$3:$J$3000,C356,Однолинейка!$A$3:$A$3000,Щит_спец)+COUNTIFS(Однолинейка!$K$3:$K$3000,C356,Однолинейка!$A$3:$A$3000,Щит_спец)),IF(A356="Модуль",IF(C356="","",COUNTIFS(Однолинейка!$AW$3:$AW$3000,"?*",Однолинейка!$AI$3:$AI$3000,C356,Однолинейка!$A$3:$A$3000,Щит_спец)),IF(A356="Клемма",IF(C356="","",IF(C356=$S$7,SUMIFS(Однолинейка!$BW$3:$BW$3000,Однолинейка!$A$3:$A$3000,Щит_спец),IF(C356=$S$8,SUMIFS(Однолинейка!$BX$3:$BX$3000,Однолинейка!$A$3:$A$3000,Щит_спец),""))),""))))</f>
        <v/>
      </c>
      <c r="O356" s="74"/>
      <c r="P356" s="38" t="str">
        <f t="shared" si="45"/>
        <v/>
      </c>
      <c r="U356" s="38" t="str">
        <f t="shared" si="46"/>
        <v/>
      </c>
      <c r="V356" s="38" t="str">
        <f t="shared" si="47"/>
        <v/>
      </c>
      <c r="W356" s="38" t="str">
        <f>IF(AND(U356&lt;&gt;"",OR($S$4="(все)",B356=$S$4),IF($S$4="(все)",COUNTIF($U$4:U356,U356),COUNTIFS($U$4:U356,U356,$B$4:B356,B356))=1),MAX($W$3:W355)+1,"")</f>
        <v/>
      </c>
      <c r="X356" s="38" t="str">
        <f t="shared" si="48"/>
        <v/>
      </c>
      <c r="Y356" s="38" t="str">
        <f>IF(AND(A356="Аппарат",C356&lt;&gt;"",OR($S$5="(все)",B356=$S$5)),MAX($Y$3:Y355)+1,"")</f>
        <v/>
      </c>
      <c r="Z356" s="38" t="str">
        <f t="shared" si="49"/>
        <v/>
      </c>
      <c r="AA356" s="38" t="str">
        <f>IF(AND(A356="Модуль",C356&lt;&gt;"",OR($S$6="(все)",B356=$S$6)),MAX($AA$3:AA355)+1,"")</f>
        <v/>
      </c>
      <c r="AB356" s="38" t="str">
        <f t="shared" si="50"/>
        <v/>
      </c>
      <c r="AC356" s="38" t="str">
        <f>IF(OR(B356="",COUNTIF($B$4:B356,B356)&gt;1),"",MAX($AC$3:AC355)+1)</f>
        <v/>
      </c>
      <c r="AD356" s="38" t="str">
        <f t="shared" si="51"/>
        <v/>
      </c>
      <c r="AE356" s="38" t="str">
        <f t="shared" si="52"/>
        <v/>
      </c>
      <c r="AF356" s="38" t="str">
        <f t="shared" si="53"/>
        <v/>
      </c>
    </row>
    <row r="357" spans="1:32" x14ac:dyDescent="0.3">
      <c r="A357" s="74"/>
      <c r="B357" s="74"/>
      <c r="C357" s="74"/>
      <c r="D357" s="74"/>
      <c r="E357" s="74"/>
      <c r="F357" s="74"/>
      <c r="G357" s="74"/>
      <c r="H357" s="74"/>
      <c r="I357" s="74"/>
      <c r="J357" s="74"/>
      <c r="K357" s="74"/>
      <c r="L357" s="74"/>
      <c r="M357" s="74"/>
      <c r="N357" s="38" t="str">
        <f>IF(OR(A357="Автомат",A357="Дифавтомат"),IF(W357="","",COUNTIFS(Однолинейка!$H$3:$H$3000,U357,Однолинейка!$A$3:$A$3000,Щит_спец)),IF(A357="Аппарат",IF(C357="","",COUNTIFS(Однолинейка!$I$3:$I$3000,C357,Однолинейка!$A$3:$A$3000,Щит_спец)+COUNTIFS(Однолинейка!$J$3:$J$3000,C357,Однолинейка!$A$3:$A$3000,Щит_спец)+COUNTIFS(Однолинейка!$K$3:$K$3000,C357,Однолинейка!$A$3:$A$3000,Щит_спец)),IF(A357="Модуль",IF(C357="","",COUNTIFS(Однолинейка!$AW$3:$AW$3000,"?*",Однолинейка!$AI$3:$AI$3000,C357,Однолинейка!$A$3:$A$3000,Щит_спец)),IF(A357="Клемма",IF(C357="","",IF(C357=$S$7,SUMIFS(Однолинейка!$BW$3:$BW$3000,Однолинейка!$A$3:$A$3000,Щит_спец),IF(C357=$S$8,SUMIFS(Однолинейка!$BX$3:$BX$3000,Однолинейка!$A$3:$A$3000,Щит_спец),""))),""))))</f>
        <v/>
      </c>
      <c r="O357" s="74"/>
      <c r="P357" s="38" t="str">
        <f t="shared" si="45"/>
        <v/>
      </c>
      <c r="U357" s="38" t="str">
        <f t="shared" si="46"/>
        <v/>
      </c>
      <c r="V357" s="38" t="str">
        <f t="shared" si="47"/>
        <v/>
      </c>
      <c r="W357" s="38" t="str">
        <f>IF(AND(U357&lt;&gt;"",OR($S$4="(все)",B357=$S$4),IF($S$4="(все)",COUNTIF($U$4:U357,U357),COUNTIFS($U$4:U357,U357,$B$4:B357,B357))=1),MAX($W$3:W356)+1,"")</f>
        <v/>
      </c>
      <c r="X357" s="38" t="str">
        <f t="shared" si="48"/>
        <v/>
      </c>
      <c r="Y357" s="38" t="str">
        <f>IF(AND(A357="Аппарат",C357&lt;&gt;"",OR($S$5="(все)",B357=$S$5)),MAX($Y$3:Y356)+1,"")</f>
        <v/>
      </c>
      <c r="Z357" s="38" t="str">
        <f t="shared" si="49"/>
        <v/>
      </c>
      <c r="AA357" s="38" t="str">
        <f>IF(AND(A357="Модуль",C357&lt;&gt;"",OR($S$6="(все)",B357=$S$6)),MAX($AA$3:AA356)+1,"")</f>
        <v/>
      </c>
      <c r="AB357" s="38" t="str">
        <f t="shared" si="50"/>
        <v/>
      </c>
      <c r="AC357" s="38" t="str">
        <f>IF(OR(B357="",COUNTIF($B$4:B357,B357)&gt;1),"",MAX($AC$3:AC356)+1)</f>
        <v/>
      </c>
      <c r="AD357" s="38" t="str">
        <f t="shared" si="51"/>
        <v/>
      </c>
      <c r="AE357" s="38" t="str">
        <f t="shared" si="52"/>
        <v/>
      </c>
      <c r="AF357" s="38" t="str">
        <f t="shared" si="53"/>
        <v/>
      </c>
    </row>
    <row r="358" spans="1:32" x14ac:dyDescent="0.3">
      <c r="A358" s="74"/>
      <c r="B358" s="74"/>
      <c r="C358" s="74"/>
      <c r="D358" s="74"/>
      <c r="E358" s="74"/>
      <c r="F358" s="74"/>
      <c r="G358" s="74"/>
      <c r="H358" s="74"/>
      <c r="I358" s="74"/>
      <c r="J358" s="74"/>
      <c r="K358" s="74"/>
      <c r="L358" s="74"/>
      <c r="M358" s="74"/>
      <c r="N358" s="38" t="str">
        <f>IF(OR(A358="Автомат",A358="Дифавтомат"),IF(W358="","",COUNTIFS(Однолинейка!$H$3:$H$3000,U358,Однолинейка!$A$3:$A$3000,Щит_спец)),IF(A358="Аппарат",IF(C358="","",COUNTIFS(Однолинейка!$I$3:$I$3000,C358,Однолинейка!$A$3:$A$3000,Щит_спец)+COUNTIFS(Однолинейка!$J$3:$J$3000,C358,Однолинейка!$A$3:$A$3000,Щит_спец)+COUNTIFS(Однолинейка!$K$3:$K$3000,C358,Однолинейка!$A$3:$A$3000,Щит_спец)),IF(A358="Модуль",IF(C358="","",COUNTIFS(Однолинейка!$AW$3:$AW$3000,"?*",Однолинейка!$AI$3:$AI$3000,C358,Однолинейка!$A$3:$A$3000,Щит_спец)),IF(A358="Клемма",IF(C358="","",IF(C358=$S$7,SUMIFS(Однолинейка!$BW$3:$BW$3000,Однолинейка!$A$3:$A$3000,Щит_спец),IF(C358=$S$8,SUMIFS(Однолинейка!$BX$3:$BX$3000,Однолинейка!$A$3:$A$3000,Щит_спец),""))),""))))</f>
        <v/>
      </c>
      <c r="O358" s="74"/>
      <c r="P358" s="38" t="str">
        <f t="shared" si="45"/>
        <v/>
      </c>
      <c r="U358" s="38" t="str">
        <f t="shared" si="46"/>
        <v/>
      </c>
      <c r="V358" s="38" t="str">
        <f t="shared" si="47"/>
        <v/>
      </c>
      <c r="W358" s="38" t="str">
        <f>IF(AND(U358&lt;&gt;"",OR($S$4="(все)",B358=$S$4),IF($S$4="(все)",COUNTIF($U$4:U358,U358),COUNTIFS($U$4:U358,U358,$B$4:B358,B358))=1),MAX($W$3:W357)+1,"")</f>
        <v/>
      </c>
      <c r="X358" s="38" t="str">
        <f t="shared" si="48"/>
        <v/>
      </c>
      <c r="Y358" s="38" t="str">
        <f>IF(AND(A358="Аппарат",C358&lt;&gt;"",OR($S$5="(все)",B358=$S$5)),MAX($Y$3:Y357)+1,"")</f>
        <v/>
      </c>
      <c r="Z358" s="38" t="str">
        <f t="shared" si="49"/>
        <v/>
      </c>
      <c r="AA358" s="38" t="str">
        <f>IF(AND(A358="Модуль",C358&lt;&gt;"",OR($S$6="(все)",B358=$S$6)),MAX($AA$3:AA357)+1,"")</f>
        <v/>
      </c>
      <c r="AB358" s="38" t="str">
        <f t="shared" si="50"/>
        <v/>
      </c>
      <c r="AC358" s="38" t="str">
        <f>IF(OR(B358="",COUNTIF($B$4:B358,B358)&gt;1),"",MAX($AC$3:AC357)+1)</f>
        <v/>
      </c>
      <c r="AD358" s="38" t="str">
        <f t="shared" si="51"/>
        <v/>
      </c>
      <c r="AE358" s="38" t="str">
        <f t="shared" si="52"/>
        <v/>
      </c>
      <c r="AF358" s="38" t="str">
        <f t="shared" si="53"/>
        <v/>
      </c>
    </row>
    <row r="359" spans="1:32" x14ac:dyDescent="0.3">
      <c r="A359" s="74"/>
      <c r="B359" s="74"/>
      <c r="C359" s="74"/>
      <c r="D359" s="74"/>
      <c r="E359" s="74"/>
      <c r="F359" s="74"/>
      <c r="G359" s="74"/>
      <c r="H359" s="74"/>
      <c r="I359" s="74"/>
      <c r="J359" s="74"/>
      <c r="K359" s="74"/>
      <c r="L359" s="74"/>
      <c r="M359" s="74"/>
      <c r="N359" s="38" t="str">
        <f>IF(OR(A359="Автомат",A359="Дифавтомат"),IF(W359="","",COUNTIFS(Однолинейка!$H$3:$H$3000,U359,Однолинейка!$A$3:$A$3000,Щит_спец)),IF(A359="Аппарат",IF(C359="","",COUNTIFS(Однолинейка!$I$3:$I$3000,C359,Однолинейка!$A$3:$A$3000,Щит_спец)+COUNTIFS(Однолинейка!$J$3:$J$3000,C359,Однолинейка!$A$3:$A$3000,Щит_спец)+COUNTIFS(Однолинейка!$K$3:$K$3000,C359,Однолинейка!$A$3:$A$3000,Щит_спец)),IF(A359="Модуль",IF(C359="","",COUNTIFS(Однолинейка!$AW$3:$AW$3000,"?*",Однолинейка!$AI$3:$AI$3000,C359,Однолинейка!$A$3:$A$3000,Щит_спец)),IF(A359="Клемма",IF(C359="","",IF(C359=$S$7,SUMIFS(Однолинейка!$BW$3:$BW$3000,Однолинейка!$A$3:$A$3000,Щит_спец),IF(C359=$S$8,SUMIFS(Однолинейка!$BX$3:$BX$3000,Однолинейка!$A$3:$A$3000,Щит_спец),""))),""))))</f>
        <v/>
      </c>
      <c r="O359" s="74"/>
      <c r="P359" s="38" t="str">
        <f t="shared" si="45"/>
        <v/>
      </c>
      <c r="U359" s="38" t="str">
        <f t="shared" si="46"/>
        <v/>
      </c>
      <c r="V359" s="38" t="str">
        <f t="shared" si="47"/>
        <v/>
      </c>
      <c r="W359" s="38" t="str">
        <f>IF(AND(U359&lt;&gt;"",OR($S$4="(все)",B359=$S$4),IF($S$4="(все)",COUNTIF($U$4:U359,U359),COUNTIFS($U$4:U359,U359,$B$4:B359,B359))=1),MAX($W$3:W358)+1,"")</f>
        <v/>
      </c>
      <c r="X359" s="38" t="str">
        <f t="shared" si="48"/>
        <v/>
      </c>
      <c r="Y359" s="38" t="str">
        <f>IF(AND(A359="Аппарат",C359&lt;&gt;"",OR($S$5="(все)",B359=$S$5)),MAX($Y$3:Y358)+1,"")</f>
        <v/>
      </c>
      <c r="Z359" s="38" t="str">
        <f t="shared" si="49"/>
        <v/>
      </c>
      <c r="AA359" s="38" t="str">
        <f>IF(AND(A359="Модуль",C359&lt;&gt;"",OR($S$6="(все)",B359=$S$6)),MAX($AA$3:AA358)+1,"")</f>
        <v/>
      </c>
      <c r="AB359" s="38" t="str">
        <f t="shared" si="50"/>
        <v/>
      </c>
      <c r="AC359" s="38" t="str">
        <f>IF(OR(B359="",COUNTIF($B$4:B359,B359)&gt;1),"",MAX($AC$3:AC358)+1)</f>
        <v/>
      </c>
      <c r="AD359" s="38" t="str">
        <f t="shared" si="51"/>
        <v/>
      </c>
      <c r="AE359" s="38" t="str">
        <f t="shared" si="52"/>
        <v/>
      </c>
      <c r="AF359" s="38" t="str">
        <f t="shared" si="53"/>
        <v/>
      </c>
    </row>
    <row r="360" spans="1:32" x14ac:dyDescent="0.3">
      <c r="A360" s="74"/>
      <c r="B360" s="74"/>
      <c r="C360" s="74"/>
      <c r="D360" s="74"/>
      <c r="E360" s="74"/>
      <c r="F360" s="74"/>
      <c r="G360" s="74"/>
      <c r="H360" s="74"/>
      <c r="I360" s="74"/>
      <c r="J360" s="74"/>
      <c r="K360" s="74"/>
      <c r="L360" s="74"/>
      <c r="M360" s="74"/>
      <c r="N360" s="38" t="str">
        <f>IF(OR(A360="Автомат",A360="Дифавтомат"),IF(W360="","",COUNTIFS(Однолинейка!$H$3:$H$3000,U360,Однолинейка!$A$3:$A$3000,Щит_спец)),IF(A360="Аппарат",IF(C360="","",COUNTIFS(Однолинейка!$I$3:$I$3000,C360,Однолинейка!$A$3:$A$3000,Щит_спец)+COUNTIFS(Однолинейка!$J$3:$J$3000,C360,Однолинейка!$A$3:$A$3000,Щит_спец)+COUNTIFS(Однолинейка!$K$3:$K$3000,C360,Однолинейка!$A$3:$A$3000,Щит_спец)),IF(A360="Модуль",IF(C360="","",COUNTIFS(Однолинейка!$AW$3:$AW$3000,"?*",Однолинейка!$AI$3:$AI$3000,C360,Однолинейка!$A$3:$A$3000,Щит_спец)),IF(A360="Клемма",IF(C360="","",IF(C360=$S$7,SUMIFS(Однолинейка!$BW$3:$BW$3000,Однолинейка!$A$3:$A$3000,Щит_спец),IF(C360=$S$8,SUMIFS(Однолинейка!$BX$3:$BX$3000,Однолинейка!$A$3:$A$3000,Щит_спец),""))),""))))</f>
        <v/>
      </c>
      <c r="O360" s="74"/>
      <c r="P360" s="38" t="str">
        <f t="shared" si="45"/>
        <v/>
      </c>
      <c r="U360" s="38" t="str">
        <f t="shared" si="46"/>
        <v/>
      </c>
      <c r="V360" s="38" t="str">
        <f t="shared" si="47"/>
        <v/>
      </c>
      <c r="W360" s="38" t="str">
        <f>IF(AND(U360&lt;&gt;"",OR($S$4="(все)",B360=$S$4),IF($S$4="(все)",COUNTIF($U$4:U360,U360),COUNTIFS($U$4:U360,U360,$B$4:B360,B360))=1),MAX($W$3:W359)+1,"")</f>
        <v/>
      </c>
      <c r="X360" s="38" t="str">
        <f t="shared" si="48"/>
        <v/>
      </c>
      <c r="Y360" s="38" t="str">
        <f>IF(AND(A360="Аппарат",C360&lt;&gt;"",OR($S$5="(все)",B360=$S$5)),MAX($Y$3:Y359)+1,"")</f>
        <v/>
      </c>
      <c r="Z360" s="38" t="str">
        <f t="shared" si="49"/>
        <v/>
      </c>
      <c r="AA360" s="38" t="str">
        <f>IF(AND(A360="Модуль",C360&lt;&gt;"",OR($S$6="(все)",B360=$S$6)),MAX($AA$3:AA359)+1,"")</f>
        <v/>
      </c>
      <c r="AB360" s="38" t="str">
        <f t="shared" si="50"/>
        <v/>
      </c>
      <c r="AC360" s="38" t="str">
        <f>IF(OR(B360="",COUNTIF($B$4:B360,B360)&gt;1),"",MAX($AC$3:AC359)+1)</f>
        <v/>
      </c>
      <c r="AD360" s="38" t="str">
        <f t="shared" si="51"/>
        <v/>
      </c>
      <c r="AE360" s="38" t="str">
        <f t="shared" si="52"/>
        <v/>
      </c>
      <c r="AF360" s="38" t="str">
        <f t="shared" si="53"/>
        <v/>
      </c>
    </row>
    <row r="361" spans="1:32" x14ac:dyDescent="0.3">
      <c r="A361" s="74"/>
      <c r="B361" s="74"/>
      <c r="C361" s="74"/>
      <c r="D361" s="74"/>
      <c r="E361" s="74"/>
      <c r="F361" s="74"/>
      <c r="G361" s="74"/>
      <c r="H361" s="74"/>
      <c r="I361" s="74"/>
      <c r="J361" s="74"/>
      <c r="K361" s="74"/>
      <c r="L361" s="74"/>
      <c r="M361" s="74"/>
      <c r="N361" s="38" t="str">
        <f>IF(OR(A361="Автомат",A361="Дифавтомат"),IF(W361="","",COUNTIFS(Однолинейка!$H$3:$H$3000,U361,Однолинейка!$A$3:$A$3000,Щит_спец)),IF(A361="Аппарат",IF(C361="","",COUNTIFS(Однолинейка!$I$3:$I$3000,C361,Однолинейка!$A$3:$A$3000,Щит_спец)+COUNTIFS(Однолинейка!$J$3:$J$3000,C361,Однолинейка!$A$3:$A$3000,Щит_спец)+COUNTIFS(Однолинейка!$K$3:$K$3000,C361,Однолинейка!$A$3:$A$3000,Щит_спец)),IF(A361="Модуль",IF(C361="","",COUNTIFS(Однолинейка!$AW$3:$AW$3000,"?*",Однолинейка!$AI$3:$AI$3000,C361,Однолинейка!$A$3:$A$3000,Щит_спец)),IF(A361="Клемма",IF(C361="","",IF(C361=$S$7,SUMIFS(Однолинейка!$BW$3:$BW$3000,Однолинейка!$A$3:$A$3000,Щит_спец),IF(C361=$S$8,SUMIFS(Однолинейка!$BX$3:$BX$3000,Однолинейка!$A$3:$A$3000,Щит_спец),""))),""))))</f>
        <v/>
      </c>
      <c r="O361" s="74"/>
      <c r="P361" s="38" t="str">
        <f t="shared" si="45"/>
        <v/>
      </c>
      <c r="U361" s="38" t="str">
        <f t="shared" si="46"/>
        <v/>
      </c>
      <c r="V361" s="38" t="str">
        <f t="shared" si="47"/>
        <v/>
      </c>
      <c r="W361" s="38" t="str">
        <f>IF(AND(U361&lt;&gt;"",OR($S$4="(все)",B361=$S$4),IF($S$4="(все)",COUNTIF($U$4:U361,U361),COUNTIFS($U$4:U361,U361,$B$4:B361,B361))=1),MAX($W$3:W360)+1,"")</f>
        <v/>
      </c>
      <c r="X361" s="38" t="str">
        <f t="shared" si="48"/>
        <v/>
      </c>
      <c r="Y361" s="38" t="str">
        <f>IF(AND(A361="Аппарат",C361&lt;&gt;"",OR($S$5="(все)",B361=$S$5)),MAX($Y$3:Y360)+1,"")</f>
        <v/>
      </c>
      <c r="Z361" s="38" t="str">
        <f t="shared" si="49"/>
        <v/>
      </c>
      <c r="AA361" s="38" t="str">
        <f>IF(AND(A361="Модуль",C361&lt;&gt;"",OR($S$6="(все)",B361=$S$6)),MAX($AA$3:AA360)+1,"")</f>
        <v/>
      </c>
      <c r="AB361" s="38" t="str">
        <f t="shared" si="50"/>
        <v/>
      </c>
      <c r="AC361" s="38" t="str">
        <f>IF(OR(B361="",COUNTIF($B$4:B361,B361)&gt;1),"",MAX($AC$3:AC360)+1)</f>
        <v/>
      </c>
      <c r="AD361" s="38" t="str">
        <f t="shared" si="51"/>
        <v/>
      </c>
      <c r="AE361" s="38" t="str">
        <f t="shared" si="52"/>
        <v/>
      </c>
      <c r="AF361" s="38" t="str">
        <f t="shared" si="53"/>
        <v/>
      </c>
    </row>
    <row r="362" spans="1:32" x14ac:dyDescent="0.3">
      <c r="A362" s="74"/>
      <c r="B362" s="74"/>
      <c r="C362" s="74"/>
      <c r="D362" s="74"/>
      <c r="E362" s="74"/>
      <c r="F362" s="74"/>
      <c r="G362" s="74"/>
      <c r="H362" s="74"/>
      <c r="I362" s="74"/>
      <c r="J362" s="74"/>
      <c r="K362" s="74"/>
      <c r="L362" s="74"/>
      <c r="M362" s="74"/>
      <c r="N362" s="38" t="str">
        <f>IF(OR(A362="Автомат",A362="Дифавтомат"),IF(W362="","",COUNTIFS(Однолинейка!$H$3:$H$3000,U362,Однолинейка!$A$3:$A$3000,Щит_спец)),IF(A362="Аппарат",IF(C362="","",COUNTIFS(Однолинейка!$I$3:$I$3000,C362,Однолинейка!$A$3:$A$3000,Щит_спец)+COUNTIFS(Однолинейка!$J$3:$J$3000,C362,Однолинейка!$A$3:$A$3000,Щит_спец)+COUNTIFS(Однолинейка!$K$3:$K$3000,C362,Однолинейка!$A$3:$A$3000,Щит_спец)),IF(A362="Модуль",IF(C362="","",COUNTIFS(Однолинейка!$AW$3:$AW$3000,"?*",Однолинейка!$AI$3:$AI$3000,C362,Однолинейка!$A$3:$A$3000,Щит_спец)),IF(A362="Клемма",IF(C362="","",IF(C362=$S$7,SUMIFS(Однолинейка!$BW$3:$BW$3000,Однолинейка!$A$3:$A$3000,Щит_спец),IF(C362=$S$8,SUMIFS(Однолинейка!$BX$3:$BX$3000,Однолинейка!$A$3:$A$3000,Щит_спец),""))),""))))</f>
        <v/>
      </c>
      <c r="O362" s="74"/>
      <c r="P362" s="38" t="str">
        <f t="shared" si="45"/>
        <v/>
      </c>
      <c r="U362" s="38" t="str">
        <f t="shared" si="46"/>
        <v/>
      </c>
      <c r="V362" s="38" t="str">
        <f t="shared" si="47"/>
        <v/>
      </c>
      <c r="W362" s="38" t="str">
        <f>IF(AND(U362&lt;&gt;"",OR($S$4="(все)",B362=$S$4),IF($S$4="(все)",COUNTIF($U$4:U362,U362),COUNTIFS($U$4:U362,U362,$B$4:B362,B362))=1),MAX($W$3:W361)+1,"")</f>
        <v/>
      </c>
      <c r="X362" s="38" t="str">
        <f t="shared" si="48"/>
        <v/>
      </c>
      <c r="Y362" s="38" t="str">
        <f>IF(AND(A362="Аппарат",C362&lt;&gt;"",OR($S$5="(все)",B362=$S$5)),MAX($Y$3:Y361)+1,"")</f>
        <v/>
      </c>
      <c r="Z362" s="38" t="str">
        <f t="shared" si="49"/>
        <v/>
      </c>
      <c r="AA362" s="38" t="str">
        <f>IF(AND(A362="Модуль",C362&lt;&gt;"",OR($S$6="(все)",B362=$S$6)),MAX($AA$3:AA361)+1,"")</f>
        <v/>
      </c>
      <c r="AB362" s="38" t="str">
        <f t="shared" si="50"/>
        <v/>
      </c>
      <c r="AC362" s="38" t="str">
        <f>IF(OR(B362="",COUNTIF($B$4:B362,B362)&gt;1),"",MAX($AC$3:AC361)+1)</f>
        <v/>
      </c>
      <c r="AD362" s="38" t="str">
        <f t="shared" si="51"/>
        <v/>
      </c>
      <c r="AE362" s="38" t="str">
        <f t="shared" si="52"/>
        <v/>
      </c>
      <c r="AF362" s="38" t="str">
        <f t="shared" si="53"/>
        <v/>
      </c>
    </row>
    <row r="363" spans="1:32" x14ac:dyDescent="0.3">
      <c r="A363" s="74"/>
      <c r="B363" s="74"/>
      <c r="C363" s="74"/>
      <c r="D363" s="74"/>
      <c r="E363" s="74"/>
      <c r="F363" s="74"/>
      <c r="G363" s="74"/>
      <c r="H363" s="74"/>
      <c r="I363" s="74"/>
      <c r="J363" s="74"/>
      <c r="K363" s="74"/>
      <c r="L363" s="74"/>
      <c r="M363" s="74"/>
      <c r="N363" s="38" t="str">
        <f>IF(OR(A363="Автомат",A363="Дифавтомат"),IF(W363="","",COUNTIFS(Однолинейка!$H$3:$H$3000,U363,Однолинейка!$A$3:$A$3000,Щит_спец)),IF(A363="Аппарат",IF(C363="","",COUNTIFS(Однолинейка!$I$3:$I$3000,C363,Однолинейка!$A$3:$A$3000,Щит_спец)+COUNTIFS(Однолинейка!$J$3:$J$3000,C363,Однолинейка!$A$3:$A$3000,Щит_спец)+COUNTIFS(Однолинейка!$K$3:$K$3000,C363,Однолинейка!$A$3:$A$3000,Щит_спец)),IF(A363="Модуль",IF(C363="","",COUNTIFS(Однолинейка!$AW$3:$AW$3000,"?*",Однолинейка!$AI$3:$AI$3000,C363,Однолинейка!$A$3:$A$3000,Щит_спец)),IF(A363="Клемма",IF(C363="","",IF(C363=$S$7,SUMIFS(Однолинейка!$BW$3:$BW$3000,Однолинейка!$A$3:$A$3000,Щит_спец),IF(C363=$S$8,SUMIFS(Однолинейка!$BX$3:$BX$3000,Однолинейка!$A$3:$A$3000,Щит_спец),""))),""))))</f>
        <v/>
      </c>
      <c r="O363" s="74"/>
      <c r="P363" s="38" t="str">
        <f t="shared" si="45"/>
        <v/>
      </c>
      <c r="U363" s="38" t="str">
        <f t="shared" si="46"/>
        <v/>
      </c>
      <c r="V363" s="38" t="str">
        <f t="shared" si="47"/>
        <v/>
      </c>
      <c r="W363" s="38" t="str">
        <f>IF(AND(U363&lt;&gt;"",OR($S$4="(все)",B363=$S$4),IF($S$4="(все)",COUNTIF($U$4:U363,U363),COUNTIFS($U$4:U363,U363,$B$4:B363,B363))=1),MAX($W$3:W362)+1,"")</f>
        <v/>
      </c>
      <c r="X363" s="38" t="str">
        <f t="shared" si="48"/>
        <v/>
      </c>
      <c r="Y363" s="38" t="str">
        <f>IF(AND(A363="Аппарат",C363&lt;&gt;"",OR($S$5="(все)",B363=$S$5)),MAX($Y$3:Y362)+1,"")</f>
        <v/>
      </c>
      <c r="Z363" s="38" t="str">
        <f t="shared" si="49"/>
        <v/>
      </c>
      <c r="AA363" s="38" t="str">
        <f>IF(AND(A363="Модуль",C363&lt;&gt;"",OR($S$6="(все)",B363=$S$6)),MAX($AA$3:AA362)+1,"")</f>
        <v/>
      </c>
      <c r="AB363" s="38" t="str">
        <f t="shared" si="50"/>
        <v/>
      </c>
      <c r="AC363" s="38" t="str">
        <f>IF(OR(B363="",COUNTIF($B$4:B363,B363)&gt;1),"",MAX($AC$3:AC362)+1)</f>
        <v/>
      </c>
      <c r="AD363" s="38" t="str">
        <f t="shared" si="51"/>
        <v/>
      </c>
      <c r="AE363" s="38" t="str">
        <f t="shared" si="52"/>
        <v/>
      </c>
      <c r="AF363" s="38" t="str">
        <f t="shared" si="53"/>
        <v/>
      </c>
    </row>
    <row r="364" spans="1:32" x14ac:dyDescent="0.3">
      <c r="A364" s="74"/>
      <c r="B364" s="74"/>
      <c r="C364" s="74"/>
      <c r="D364" s="74"/>
      <c r="E364" s="74"/>
      <c r="F364" s="74"/>
      <c r="G364" s="74"/>
      <c r="H364" s="74"/>
      <c r="I364" s="74"/>
      <c r="J364" s="74"/>
      <c r="K364" s="74"/>
      <c r="L364" s="74"/>
      <c r="M364" s="74"/>
      <c r="N364" s="38" t="str">
        <f>IF(OR(A364="Автомат",A364="Дифавтомат"),IF(W364="","",COUNTIFS(Однолинейка!$H$3:$H$3000,U364,Однолинейка!$A$3:$A$3000,Щит_спец)),IF(A364="Аппарат",IF(C364="","",COUNTIFS(Однолинейка!$I$3:$I$3000,C364,Однолинейка!$A$3:$A$3000,Щит_спец)+COUNTIFS(Однолинейка!$J$3:$J$3000,C364,Однолинейка!$A$3:$A$3000,Щит_спец)+COUNTIFS(Однолинейка!$K$3:$K$3000,C364,Однолинейка!$A$3:$A$3000,Щит_спец)),IF(A364="Модуль",IF(C364="","",COUNTIFS(Однолинейка!$AW$3:$AW$3000,"?*",Однолинейка!$AI$3:$AI$3000,C364,Однолинейка!$A$3:$A$3000,Щит_спец)),IF(A364="Клемма",IF(C364="","",IF(C364=$S$7,SUMIFS(Однолинейка!$BW$3:$BW$3000,Однолинейка!$A$3:$A$3000,Щит_спец),IF(C364=$S$8,SUMIFS(Однолинейка!$BX$3:$BX$3000,Однолинейка!$A$3:$A$3000,Щит_спец),""))),""))))</f>
        <v/>
      </c>
      <c r="O364" s="74"/>
      <c r="P364" s="38" t="str">
        <f t="shared" si="45"/>
        <v/>
      </c>
      <c r="U364" s="38" t="str">
        <f t="shared" si="46"/>
        <v/>
      </c>
      <c r="V364" s="38" t="str">
        <f t="shared" si="47"/>
        <v/>
      </c>
      <c r="W364" s="38" t="str">
        <f>IF(AND(U364&lt;&gt;"",OR($S$4="(все)",B364=$S$4),IF($S$4="(все)",COUNTIF($U$4:U364,U364),COUNTIFS($U$4:U364,U364,$B$4:B364,B364))=1),MAX($W$3:W363)+1,"")</f>
        <v/>
      </c>
      <c r="X364" s="38" t="str">
        <f t="shared" si="48"/>
        <v/>
      </c>
      <c r="Y364" s="38" t="str">
        <f>IF(AND(A364="Аппарат",C364&lt;&gt;"",OR($S$5="(все)",B364=$S$5)),MAX($Y$3:Y363)+1,"")</f>
        <v/>
      </c>
      <c r="Z364" s="38" t="str">
        <f t="shared" si="49"/>
        <v/>
      </c>
      <c r="AA364" s="38" t="str">
        <f>IF(AND(A364="Модуль",C364&lt;&gt;"",OR($S$6="(все)",B364=$S$6)),MAX($AA$3:AA363)+1,"")</f>
        <v/>
      </c>
      <c r="AB364" s="38" t="str">
        <f t="shared" si="50"/>
        <v/>
      </c>
      <c r="AC364" s="38" t="str">
        <f>IF(OR(B364="",COUNTIF($B$4:B364,B364)&gt;1),"",MAX($AC$3:AC363)+1)</f>
        <v/>
      </c>
      <c r="AD364" s="38" t="str">
        <f t="shared" si="51"/>
        <v/>
      </c>
      <c r="AE364" s="38" t="str">
        <f t="shared" si="52"/>
        <v/>
      </c>
      <c r="AF364" s="38" t="str">
        <f t="shared" si="53"/>
        <v/>
      </c>
    </row>
    <row r="365" spans="1:32" x14ac:dyDescent="0.3">
      <c r="A365" s="74"/>
      <c r="B365" s="74"/>
      <c r="C365" s="74"/>
      <c r="D365" s="74"/>
      <c r="E365" s="74"/>
      <c r="F365" s="74"/>
      <c r="G365" s="74"/>
      <c r="H365" s="74"/>
      <c r="I365" s="74"/>
      <c r="J365" s="74"/>
      <c r="K365" s="74"/>
      <c r="L365" s="74"/>
      <c r="M365" s="74"/>
      <c r="N365" s="38" t="str">
        <f>IF(OR(A365="Автомат",A365="Дифавтомат"),IF(W365="","",COUNTIFS(Однолинейка!$H$3:$H$3000,U365,Однолинейка!$A$3:$A$3000,Щит_спец)),IF(A365="Аппарат",IF(C365="","",COUNTIFS(Однолинейка!$I$3:$I$3000,C365,Однолинейка!$A$3:$A$3000,Щит_спец)+COUNTIFS(Однолинейка!$J$3:$J$3000,C365,Однолинейка!$A$3:$A$3000,Щит_спец)+COUNTIFS(Однолинейка!$K$3:$K$3000,C365,Однолинейка!$A$3:$A$3000,Щит_спец)),IF(A365="Модуль",IF(C365="","",COUNTIFS(Однолинейка!$AW$3:$AW$3000,"?*",Однолинейка!$AI$3:$AI$3000,C365,Однолинейка!$A$3:$A$3000,Щит_спец)),IF(A365="Клемма",IF(C365="","",IF(C365=$S$7,SUMIFS(Однолинейка!$BW$3:$BW$3000,Однолинейка!$A$3:$A$3000,Щит_спец),IF(C365=$S$8,SUMIFS(Однолинейка!$BX$3:$BX$3000,Однолинейка!$A$3:$A$3000,Щит_спец),""))),""))))</f>
        <v/>
      </c>
      <c r="O365" s="74"/>
      <c r="P365" s="38" t="str">
        <f t="shared" si="45"/>
        <v/>
      </c>
      <c r="U365" s="38" t="str">
        <f t="shared" si="46"/>
        <v/>
      </c>
      <c r="V365" s="38" t="str">
        <f t="shared" si="47"/>
        <v/>
      </c>
      <c r="W365" s="38" t="str">
        <f>IF(AND(U365&lt;&gt;"",OR($S$4="(все)",B365=$S$4),IF($S$4="(все)",COUNTIF($U$4:U365,U365),COUNTIFS($U$4:U365,U365,$B$4:B365,B365))=1),MAX($W$3:W364)+1,"")</f>
        <v/>
      </c>
      <c r="X365" s="38" t="str">
        <f t="shared" si="48"/>
        <v/>
      </c>
      <c r="Y365" s="38" t="str">
        <f>IF(AND(A365="Аппарат",C365&lt;&gt;"",OR($S$5="(все)",B365=$S$5)),MAX($Y$3:Y364)+1,"")</f>
        <v/>
      </c>
      <c r="Z365" s="38" t="str">
        <f t="shared" si="49"/>
        <v/>
      </c>
      <c r="AA365" s="38" t="str">
        <f>IF(AND(A365="Модуль",C365&lt;&gt;"",OR($S$6="(все)",B365=$S$6)),MAX($AA$3:AA364)+1,"")</f>
        <v/>
      </c>
      <c r="AB365" s="38" t="str">
        <f t="shared" si="50"/>
        <v/>
      </c>
      <c r="AC365" s="38" t="str">
        <f>IF(OR(B365="",COUNTIF($B$4:B365,B365)&gt;1),"",MAX($AC$3:AC364)+1)</f>
        <v/>
      </c>
      <c r="AD365" s="38" t="str">
        <f t="shared" si="51"/>
        <v/>
      </c>
      <c r="AE365" s="38" t="str">
        <f t="shared" si="52"/>
        <v/>
      </c>
      <c r="AF365" s="38" t="str">
        <f t="shared" si="53"/>
        <v/>
      </c>
    </row>
    <row r="366" spans="1:32" x14ac:dyDescent="0.3">
      <c r="A366" s="74"/>
      <c r="B366" s="74"/>
      <c r="C366" s="74"/>
      <c r="D366" s="74"/>
      <c r="E366" s="74"/>
      <c r="F366" s="74"/>
      <c r="G366" s="74"/>
      <c r="H366" s="74"/>
      <c r="I366" s="74"/>
      <c r="J366" s="74"/>
      <c r="K366" s="74"/>
      <c r="L366" s="74"/>
      <c r="M366" s="74"/>
      <c r="N366" s="38" t="str">
        <f>IF(OR(A366="Автомат",A366="Дифавтомат"),IF(W366="","",COUNTIFS(Однолинейка!$H$3:$H$3000,U366,Однолинейка!$A$3:$A$3000,Щит_спец)),IF(A366="Аппарат",IF(C366="","",COUNTIFS(Однолинейка!$I$3:$I$3000,C366,Однолинейка!$A$3:$A$3000,Щит_спец)+COUNTIFS(Однолинейка!$J$3:$J$3000,C366,Однолинейка!$A$3:$A$3000,Щит_спец)+COUNTIFS(Однолинейка!$K$3:$K$3000,C366,Однолинейка!$A$3:$A$3000,Щит_спец)),IF(A366="Модуль",IF(C366="","",COUNTIFS(Однолинейка!$AW$3:$AW$3000,"?*",Однолинейка!$AI$3:$AI$3000,C366,Однолинейка!$A$3:$A$3000,Щит_спец)),IF(A366="Клемма",IF(C366="","",IF(C366=$S$7,SUMIFS(Однолинейка!$BW$3:$BW$3000,Однолинейка!$A$3:$A$3000,Щит_спец),IF(C366=$S$8,SUMIFS(Однолинейка!$BX$3:$BX$3000,Однолинейка!$A$3:$A$3000,Щит_спец),""))),""))))</f>
        <v/>
      </c>
      <c r="O366" s="74"/>
      <c r="P366" s="38" t="str">
        <f t="shared" si="45"/>
        <v/>
      </c>
      <c r="U366" s="38" t="str">
        <f t="shared" si="46"/>
        <v/>
      </c>
      <c r="V366" s="38" t="str">
        <f t="shared" si="47"/>
        <v/>
      </c>
      <c r="W366" s="38" t="str">
        <f>IF(AND(U366&lt;&gt;"",OR($S$4="(все)",B366=$S$4),IF($S$4="(все)",COUNTIF($U$4:U366,U366),COUNTIFS($U$4:U366,U366,$B$4:B366,B366))=1),MAX($W$3:W365)+1,"")</f>
        <v/>
      </c>
      <c r="X366" s="38" t="str">
        <f t="shared" si="48"/>
        <v/>
      </c>
      <c r="Y366" s="38" t="str">
        <f>IF(AND(A366="Аппарат",C366&lt;&gt;"",OR($S$5="(все)",B366=$S$5)),MAX($Y$3:Y365)+1,"")</f>
        <v/>
      </c>
      <c r="Z366" s="38" t="str">
        <f t="shared" si="49"/>
        <v/>
      </c>
      <c r="AA366" s="38" t="str">
        <f>IF(AND(A366="Модуль",C366&lt;&gt;"",OR($S$6="(все)",B366=$S$6)),MAX($AA$3:AA365)+1,"")</f>
        <v/>
      </c>
      <c r="AB366" s="38" t="str">
        <f t="shared" si="50"/>
        <v/>
      </c>
      <c r="AC366" s="38" t="str">
        <f>IF(OR(B366="",COUNTIF($B$4:B366,B366)&gt;1),"",MAX($AC$3:AC365)+1)</f>
        <v/>
      </c>
      <c r="AD366" s="38" t="str">
        <f t="shared" si="51"/>
        <v/>
      </c>
      <c r="AE366" s="38" t="str">
        <f t="shared" si="52"/>
        <v/>
      </c>
      <c r="AF366" s="38" t="str">
        <f t="shared" si="53"/>
        <v/>
      </c>
    </row>
    <row r="367" spans="1:32" x14ac:dyDescent="0.3">
      <c r="A367" s="74"/>
      <c r="B367" s="74"/>
      <c r="C367" s="74"/>
      <c r="D367" s="74"/>
      <c r="E367" s="74"/>
      <c r="F367" s="74"/>
      <c r="G367" s="74"/>
      <c r="H367" s="74"/>
      <c r="I367" s="74"/>
      <c r="J367" s="74"/>
      <c r="K367" s="74"/>
      <c r="L367" s="74"/>
      <c r="M367" s="74"/>
      <c r="N367" s="38" t="str">
        <f>IF(OR(A367="Автомат",A367="Дифавтомат"),IF(W367="","",COUNTIFS(Однолинейка!$H$3:$H$3000,U367,Однолинейка!$A$3:$A$3000,Щит_спец)),IF(A367="Аппарат",IF(C367="","",COUNTIFS(Однолинейка!$I$3:$I$3000,C367,Однолинейка!$A$3:$A$3000,Щит_спец)+COUNTIFS(Однолинейка!$J$3:$J$3000,C367,Однолинейка!$A$3:$A$3000,Щит_спец)+COUNTIFS(Однолинейка!$K$3:$K$3000,C367,Однолинейка!$A$3:$A$3000,Щит_спец)),IF(A367="Модуль",IF(C367="","",COUNTIFS(Однолинейка!$AW$3:$AW$3000,"?*",Однолинейка!$AI$3:$AI$3000,C367,Однолинейка!$A$3:$A$3000,Щит_спец)),IF(A367="Клемма",IF(C367="","",IF(C367=$S$7,SUMIFS(Однолинейка!$BW$3:$BW$3000,Однолинейка!$A$3:$A$3000,Щит_спец),IF(C367=$S$8,SUMIFS(Однолинейка!$BX$3:$BX$3000,Однолинейка!$A$3:$A$3000,Щит_спец),""))),""))))</f>
        <v/>
      </c>
      <c r="O367" s="74"/>
      <c r="P367" s="38" t="str">
        <f t="shared" si="45"/>
        <v/>
      </c>
      <c r="U367" s="38" t="str">
        <f t="shared" si="46"/>
        <v/>
      </c>
      <c r="V367" s="38" t="str">
        <f t="shared" si="47"/>
        <v/>
      </c>
      <c r="W367" s="38" t="str">
        <f>IF(AND(U367&lt;&gt;"",OR($S$4="(все)",B367=$S$4),IF($S$4="(все)",COUNTIF($U$4:U367,U367),COUNTIFS($U$4:U367,U367,$B$4:B367,B367))=1),MAX($W$3:W366)+1,"")</f>
        <v/>
      </c>
      <c r="X367" s="38" t="str">
        <f t="shared" si="48"/>
        <v/>
      </c>
      <c r="Y367" s="38" t="str">
        <f>IF(AND(A367="Аппарат",C367&lt;&gt;"",OR($S$5="(все)",B367=$S$5)),MAX($Y$3:Y366)+1,"")</f>
        <v/>
      </c>
      <c r="Z367" s="38" t="str">
        <f t="shared" si="49"/>
        <v/>
      </c>
      <c r="AA367" s="38" t="str">
        <f>IF(AND(A367="Модуль",C367&lt;&gt;"",OR($S$6="(все)",B367=$S$6)),MAX($AA$3:AA366)+1,"")</f>
        <v/>
      </c>
      <c r="AB367" s="38" t="str">
        <f t="shared" si="50"/>
        <v/>
      </c>
      <c r="AC367" s="38" t="str">
        <f>IF(OR(B367="",COUNTIF($B$4:B367,B367)&gt;1),"",MAX($AC$3:AC366)+1)</f>
        <v/>
      </c>
      <c r="AD367" s="38" t="str">
        <f t="shared" si="51"/>
        <v/>
      </c>
      <c r="AE367" s="38" t="str">
        <f t="shared" si="52"/>
        <v/>
      </c>
      <c r="AF367" s="38" t="str">
        <f t="shared" si="53"/>
        <v/>
      </c>
    </row>
    <row r="368" spans="1:32" x14ac:dyDescent="0.3">
      <c r="A368" s="74"/>
      <c r="B368" s="74"/>
      <c r="C368" s="74"/>
      <c r="D368" s="74"/>
      <c r="E368" s="74"/>
      <c r="F368" s="74"/>
      <c r="G368" s="74"/>
      <c r="H368" s="74"/>
      <c r="I368" s="74"/>
      <c r="J368" s="74"/>
      <c r="K368" s="74"/>
      <c r="L368" s="74"/>
      <c r="M368" s="74"/>
      <c r="N368" s="38" t="str">
        <f>IF(OR(A368="Автомат",A368="Дифавтомат"),IF(W368="","",COUNTIFS(Однолинейка!$H$3:$H$3000,U368,Однолинейка!$A$3:$A$3000,Щит_спец)),IF(A368="Аппарат",IF(C368="","",COUNTIFS(Однолинейка!$I$3:$I$3000,C368,Однолинейка!$A$3:$A$3000,Щит_спец)+COUNTIFS(Однолинейка!$J$3:$J$3000,C368,Однолинейка!$A$3:$A$3000,Щит_спец)+COUNTIFS(Однолинейка!$K$3:$K$3000,C368,Однолинейка!$A$3:$A$3000,Щит_спец)),IF(A368="Модуль",IF(C368="","",COUNTIFS(Однолинейка!$AW$3:$AW$3000,"?*",Однолинейка!$AI$3:$AI$3000,C368,Однолинейка!$A$3:$A$3000,Щит_спец)),IF(A368="Клемма",IF(C368="","",IF(C368=$S$7,SUMIFS(Однолинейка!$BW$3:$BW$3000,Однолинейка!$A$3:$A$3000,Щит_спец),IF(C368=$S$8,SUMIFS(Однолинейка!$BX$3:$BX$3000,Однолинейка!$A$3:$A$3000,Щит_спец),""))),""))))</f>
        <v/>
      </c>
      <c r="O368" s="74"/>
      <c r="P368" s="38" t="str">
        <f t="shared" si="45"/>
        <v/>
      </c>
      <c r="U368" s="38" t="str">
        <f t="shared" si="46"/>
        <v/>
      </c>
      <c r="V368" s="38" t="str">
        <f t="shared" si="47"/>
        <v/>
      </c>
      <c r="W368" s="38" t="str">
        <f>IF(AND(U368&lt;&gt;"",OR($S$4="(все)",B368=$S$4),IF($S$4="(все)",COUNTIF($U$4:U368,U368),COUNTIFS($U$4:U368,U368,$B$4:B368,B368))=1),MAX($W$3:W367)+1,"")</f>
        <v/>
      </c>
      <c r="X368" s="38" t="str">
        <f t="shared" si="48"/>
        <v/>
      </c>
      <c r="Y368" s="38" t="str">
        <f>IF(AND(A368="Аппарат",C368&lt;&gt;"",OR($S$5="(все)",B368=$S$5)),MAX($Y$3:Y367)+1,"")</f>
        <v/>
      </c>
      <c r="Z368" s="38" t="str">
        <f t="shared" si="49"/>
        <v/>
      </c>
      <c r="AA368" s="38" t="str">
        <f>IF(AND(A368="Модуль",C368&lt;&gt;"",OR($S$6="(все)",B368=$S$6)),MAX($AA$3:AA367)+1,"")</f>
        <v/>
      </c>
      <c r="AB368" s="38" t="str">
        <f t="shared" si="50"/>
        <v/>
      </c>
      <c r="AC368" s="38" t="str">
        <f>IF(OR(B368="",COUNTIF($B$4:B368,B368)&gt;1),"",MAX($AC$3:AC367)+1)</f>
        <v/>
      </c>
      <c r="AD368" s="38" t="str">
        <f t="shared" si="51"/>
        <v/>
      </c>
      <c r="AE368" s="38" t="str">
        <f t="shared" si="52"/>
        <v/>
      </c>
      <c r="AF368" s="38" t="str">
        <f t="shared" si="53"/>
        <v/>
      </c>
    </row>
    <row r="369" spans="1:32" x14ac:dyDescent="0.3">
      <c r="A369" s="74"/>
      <c r="B369" s="74"/>
      <c r="C369" s="74"/>
      <c r="D369" s="74"/>
      <c r="E369" s="74"/>
      <c r="F369" s="74"/>
      <c r="G369" s="74"/>
      <c r="H369" s="74"/>
      <c r="I369" s="74"/>
      <c r="J369" s="74"/>
      <c r="K369" s="74"/>
      <c r="L369" s="74"/>
      <c r="M369" s="74"/>
      <c r="N369" s="38" t="str">
        <f>IF(OR(A369="Автомат",A369="Дифавтомат"),IF(W369="","",COUNTIFS(Однолинейка!$H$3:$H$3000,U369,Однолинейка!$A$3:$A$3000,Щит_спец)),IF(A369="Аппарат",IF(C369="","",COUNTIFS(Однолинейка!$I$3:$I$3000,C369,Однолинейка!$A$3:$A$3000,Щит_спец)+COUNTIFS(Однолинейка!$J$3:$J$3000,C369,Однолинейка!$A$3:$A$3000,Щит_спец)+COUNTIFS(Однолинейка!$K$3:$K$3000,C369,Однолинейка!$A$3:$A$3000,Щит_спец)),IF(A369="Модуль",IF(C369="","",COUNTIFS(Однолинейка!$AW$3:$AW$3000,"?*",Однолинейка!$AI$3:$AI$3000,C369,Однолинейка!$A$3:$A$3000,Щит_спец)),IF(A369="Клемма",IF(C369="","",IF(C369=$S$7,SUMIFS(Однолинейка!$BW$3:$BW$3000,Однолинейка!$A$3:$A$3000,Щит_спец),IF(C369=$S$8,SUMIFS(Однолинейка!$BX$3:$BX$3000,Однолинейка!$A$3:$A$3000,Щит_спец),""))),""))))</f>
        <v/>
      </c>
      <c r="O369" s="74"/>
      <c r="P369" s="38" t="str">
        <f t="shared" si="45"/>
        <v/>
      </c>
      <c r="U369" s="38" t="str">
        <f t="shared" si="46"/>
        <v/>
      </c>
      <c r="V369" s="38" t="str">
        <f t="shared" si="47"/>
        <v/>
      </c>
      <c r="W369" s="38" t="str">
        <f>IF(AND(U369&lt;&gt;"",OR($S$4="(все)",B369=$S$4),IF($S$4="(все)",COUNTIF($U$4:U369,U369),COUNTIFS($U$4:U369,U369,$B$4:B369,B369))=1),MAX($W$3:W368)+1,"")</f>
        <v/>
      </c>
      <c r="X369" s="38" t="str">
        <f t="shared" si="48"/>
        <v/>
      </c>
      <c r="Y369" s="38" t="str">
        <f>IF(AND(A369="Аппарат",C369&lt;&gt;"",OR($S$5="(все)",B369=$S$5)),MAX($Y$3:Y368)+1,"")</f>
        <v/>
      </c>
      <c r="Z369" s="38" t="str">
        <f t="shared" si="49"/>
        <v/>
      </c>
      <c r="AA369" s="38" t="str">
        <f>IF(AND(A369="Модуль",C369&lt;&gt;"",OR($S$6="(все)",B369=$S$6)),MAX($AA$3:AA368)+1,"")</f>
        <v/>
      </c>
      <c r="AB369" s="38" t="str">
        <f t="shared" si="50"/>
        <v/>
      </c>
      <c r="AC369" s="38" t="str">
        <f>IF(OR(B369="",COUNTIF($B$4:B369,B369)&gt;1),"",MAX($AC$3:AC368)+1)</f>
        <v/>
      </c>
      <c r="AD369" s="38" t="str">
        <f t="shared" si="51"/>
        <v/>
      </c>
      <c r="AE369" s="38" t="str">
        <f t="shared" si="52"/>
        <v/>
      </c>
      <c r="AF369" s="38" t="str">
        <f t="shared" si="53"/>
        <v/>
      </c>
    </row>
    <row r="370" spans="1:32" x14ac:dyDescent="0.3">
      <c r="A370" s="74"/>
      <c r="B370" s="74"/>
      <c r="C370" s="74"/>
      <c r="D370" s="74"/>
      <c r="E370" s="74"/>
      <c r="F370" s="74"/>
      <c r="G370" s="74"/>
      <c r="H370" s="74"/>
      <c r="I370" s="74"/>
      <c r="J370" s="74"/>
      <c r="K370" s="74"/>
      <c r="L370" s="74"/>
      <c r="M370" s="74"/>
      <c r="N370" s="38" t="str">
        <f>IF(OR(A370="Автомат",A370="Дифавтомат"),IF(W370="","",COUNTIFS(Однолинейка!$H$3:$H$3000,U370,Однолинейка!$A$3:$A$3000,Щит_спец)),IF(A370="Аппарат",IF(C370="","",COUNTIFS(Однолинейка!$I$3:$I$3000,C370,Однолинейка!$A$3:$A$3000,Щит_спец)+COUNTIFS(Однолинейка!$J$3:$J$3000,C370,Однолинейка!$A$3:$A$3000,Щит_спец)+COUNTIFS(Однолинейка!$K$3:$K$3000,C370,Однолинейка!$A$3:$A$3000,Щит_спец)),IF(A370="Модуль",IF(C370="","",COUNTIFS(Однолинейка!$AW$3:$AW$3000,"?*",Однолинейка!$AI$3:$AI$3000,C370,Однолинейка!$A$3:$A$3000,Щит_спец)),IF(A370="Клемма",IF(C370="","",IF(C370=$S$7,SUMIFS(Однолинейка!$BW$3:$BW$3000,Однолинейка!$A$3:$A$3000,Щит_спец),IF(C370=$S$8,SUMIFS(Однолинейка!$BX$3:$BX$3000,Однолинейка!$A$3:$A$3000,Щит_спец),""))),""))))</f>
        <v/>
      </c>
      <c r="O370" s="74"/>
      <c r="P370" s="38" t="str">
        <f t="shared" si="45"/>
        <v/>
      </c>
      <c r="U370" s="38" t="str">
        <f t="shared" si="46"/>
        <v/>
      </c>
      <c r="V370" s="38" t="str">
        <f t="shared" si="47"/>
        <v/>
      </c>
      <c r="W370" s="38" t="str">
        <f>IF(AND(U370&lt;&gt;"",OR($S$4="(все)",B370=$S$4),IF($S$4="(все)",COUNTIF($U$4:U370,U370),COUNTIFS($U$4:U370,U370,$B$4:B370,B370))=1),MAX($W$3:W369)+1,"")</f>
        <v/>
      </c>
      <c r="X370" s="38" t="str">
        <f t="shared" si="48"/>
        <v/>
      </c>
      <c r="Y370" s="38" t="str">
        <f>IF(AND(A370="Аппарат",C370&lt;&gt;"",OR($S$5="(все)",B370=$S$5)),MAX($Y$3:Y369)+1,"")</f>
        <v/>
      </c>
      <c r="Z370" s="38" t="str">
        <f t="shared" si="49"/>
        <v/>
      </c>
      <c r="AA370" s="38" t="str">
        <f>IF(AND(A370="Модуль",C370&lt;&gt;"",OR($S$6="(все)",B370=$S$6)),MAX($AA$3:AA369)+1,"")</f>
        <v/>
      </c>
      <c r="AB370" s="38" t="str">
        <f t="shared" si="50"/>
        <v/>
      </c>
      <c r="AC370" s="38" t="str">
        <f>IF(OR(B370="",COUNTIF($B$4:B370,B370)&gt;1),"",MAX($AC$3:AC369)+1)</f>
        <v/>
      </c>
      <c r="AD370" s="38" t="str">
        <f t="shared" si="51"/>
        <v/>
      </c>
      <c r="AE370" s="38" t="str">
        <f t="shared" si="52"/>
        <v/>
      </c>
      <c r="AF370" s="38" t="str">
        <f t="shared" si="53"/>
        <v/>
      </c>
    </row>
    <row r="371" spans="1:32" x14ac:dyDescent="0.3">
      <c r="A371" s="74"/>
      <c r="B371" s="74"/>
      <c r="C371" s="74"/>
      <c r="D371" s="74"/>
      <c r="E371" s="74"/>
      <c r="F371" s="74"/>
      <c r="G371" s="74"/>
      <c r="H371" s="74"/>
      <c r="I371" s="74"/>
      <c r="J371" s="74"/>
      <c r="K371" s="74"/>
      <c r="L371" s="74"/>
      <c r="M371" s="74"/>
      <c r="N371" s="38" t="str">
        <f>IF(OR(A371="Автомат",A371="Дифавтомат"),IF(W371="","",COUNTIFS(Однолинейка!$H$3:$H$3000,U371,Однолинейка!$A$3:$A$3000,Щит_спец)),IF(A371="Аппарат",IF(C371="","",COUNTIFS(Однолинейка!$I$3:$I$3000,C371,Однолинейка!$A$3:$A$3000,Щит_спец)+COUNTIFS(Однолинейка!$J$3:$J$3000,C371,Однолинейка!$A$3:$A$3000,Щит_спец)+COUNTIFS(Однолинейка!$K$3:$K$3000,C371,Однолинейка!$A$3:$A$3000,Щит_спец)),IF(A371="Модуль",IF(C371="","",COUNTIFS(Однолинейка!$AW$3:$AW$3000,"?*",Однолинейка!$AI$3:$AI$3000,C371,Однолинейка!$A$3:$A$3000,Щит_спец)),IF(A371="Клемма",IF(C371="","",IF(C371=$S$7,SUMIFS(Однолинейка!$BW$3:$BW$3000,Однолинейка!$A$3:$A$3000,Щит_спец),IF(C371=$S$8,SUMIFS(Однолинейка!$BX$3:$BX$3000,Однолинейка!$A$3:$A$3000,Щит_спец),""))),""))))</f>
        <v/>
      </c>
      <c r="O371" s="74"/>
      <c r="P371" s="38" t="str">
        <f t="shared" si="45"/>
        <v/>
      </c>
      <c r="U371" s="38" t="str">
        <f t="shared" si="46"/>
        <v/>
      </c>
      <c r="V371" s="38" t="str">
        <f t="shared" si="47"/>
        <v/>
      </c>
      <c r="W371" s="38" t="str">
        <f>IF(AND(U371&lt;&gt;"",OR($S$4="(все)",B371=$S$4),IF($S$4="(все)",COUNTIF($U$4:U371,U371),COUNTIFS($U$4:U371,U371,$B$4:B371,B371))=1),MAX($W$3:W370)+1,"")</f>
        <v/>
      </c>
      <c r="X371" s="38" t="str">
        <f t="shared" si="48"/>
        <v/>
      </c>
      <c r="Y371" s="38" t="str">
        <f>IF(AND(A371="Аппарат",C371&lt;&gt;"",OR($S$5="(все)",B371=$S$5)),MAX($Y$3:Y370)+1,"")</f>
        <v/>
      </c>
      <c r="Z371" s="38" t="str">
        <f t="shared" si="49"/>
        <v/>
      </c>
      <c r="AA371" s="38" t="str">
        <f>IF(AND(A371="Модуль",C371&lt;&gt;"",OR($S$6="(все)",B371=$S$6)),MAX($AA$3:AA370)+1,"")</f>
        <v/>
      </c>
      <c r="AB371" s="38" t="str">
        <f t="shared" si="50"/>
        <v/>
      </c>
      <c r="AC371" s="38" t="str">
        <f>IF(OR(B371="",COUNTIF($B$4:B371,B371)&gt;1),"",MAX($AC$3:AC370)+1)</f>
        <v/>
      </c>
      <c r="AD371" s="38" t="str">
        <f t="shared" si="51"/>
        <v/>
      </c>
      <c r="AE371" s="38" t="str">
        <f t="shared" si="52"/>
        <v/>
      </c>
      <c r="AF371" s="38" t="str">
        <f t="shared" si="53"/>
        <v/>
      </c>
    </row>
    <row r="372" spans="1:32" x14ac:dyDescent="0.3">
      <c r="A372" s="74"/>
      <c r="B372" s="74"/>
      <c r="C372" s="74"/>
      <c r="D372" s="74"/>
      <c r="E372" s="74"/>
      <c r="F372" s="74"/>
      <c r="G372" s="74"/>
      <c r="H372" s="74"/>
      <c r="I372" s="74"/>
      <c r="J372" s="74"/>
      <c r="K372" s="74"/>
      <c r="L372" s="74"/>
      <c r="M372" s="74"/>
      <c r="N372" s="38" t="str">
        <f>IF(OR(A372="Автомат",A372="Дифавтомат"),IF(W372="","",COUNTIFS(Однолинейка!$H$3:$H$3000,U372,Однолинейка!$A$3:$A$3000,Щит_спец)),IF(A372="Аппарат",IF(C372="","",COUNTIFS(Однолинейка!$I$3:$I$3000,C372,Однолинейка!$A$3:$A$3000,Щит_спец)+COUNTIFS(Однолинейка!$J$3:$J$3000,C372,Однолинейка!$A$3:$A$3000,Щит_спец)+COUNTIFS(Однолинейка!$K$3:$K$3000,C372,Однолинейка!$A$3:$A$3000,Щит_спец)),IF(A372="Модуль",IF(C372="","",COUNTIFS(Однолинейка!$AW$3:$AW$3000,"?*",Однолинейка!$AI$3:$AI$3000,C372,Однолинейка!$A$3:$A$3000,Щит_спец)),IF(A372="Клемма",IF(C372="","",IF(C372=$S$7,SUMIFS(Однолинейка!$BW$3:$BW$3000,Однолинейка!$A$3:$A$3000,Щит_спец),IF(C372=$S$8,SUMIFS(Однолинейка!$BX$3:$BX$3000,Однолинейка!$A$3:$A$3000,Щит_спец),""))),""))))</f>
        <v/>
      </c>
      <c r="O372" s="74"/>
      <c r="P372" s="38" t="str">
        <f t="shared" si="45"/>
        <v/>
      </c>
      <c r="U372" s="38" t="str">
        <f t="shared" si="46"/>
        <v/>
      </c>
      <c r="V372" s="38" t="str">
        <f t="shared" si="47"/>
        <v/>
      </c>
      <c r="W372" s="38" t="str">
        <f>IF(AND(U372&lt;&gt;"",OR($S$4="(все)",B372=$S$4),IF($S$4="(все)",COUNTIF($U$4:U372,U372),COUNTIFS($U$4:U372,U372,$B$4:B372,B372))=1),MAX($W$3:W371)+1,"")</f>
        <v/>
      </c>
      <c r="X372" s="38" t="str">
        <f t="shared" si="48"/>
        <v/>
      </c>
      <c r="Y372" s="38" t="str">
        <f>IF(AND(A372="Аппарат",C372&lt;&gt;"",OR($S$5="(все)",B372=$S$5)),MAX($Y$3:Y371)+1,"")</f>
        <v/>
      </c>
      <c r="Z372" s="38" t="str">
        <f t="shared" si="49"/>
        <v/>
      </c>
      <c r="AA372" s="38" t="str">
        <f>IF(AND(A372="Модуль",C372&lt;&gt;"",OR($S$6="(все)",B372=$S$6)),MAX($AA$3:AA371)+1,"")</f>
        <v/>
      </c>
      <c r="AB372" s="38" t="str">
        <f t="shared" si="50"/>
        <v/>
      </c>
      <c r="AC372" s="38" t="str">
        <f>IF(OR(B372="",COUNTIF($B$4:B372,B372)&gt;1),"",MAX($AC$3:AC371)+1)</f>
        <v/>
      </c>
      <c r="AD372" s="38" t="str">
        <f t="shared" si="51"/>
        <v/>
      </c>
      <c r="AE372" s="38" t="str">
        <f t="shared" si="52"/>
        <v/>
      </c>
      <c r="AF372" s="38" t="str">
        <f t="shared" si="53"/>
        <v/>
      </c>
    </row>
    <row r="373" spans="1:32" x14ac:dyDescent="0.3">
      <c r="A373" s="74"/>
      <c r="B373" s="74"/>
      <c r="C373" s="74"/>
      <c r="D373" s="74"/>
      <c r="E373" s="74"/>
      <c r="F373" s="74"/>
      <c r="G373" s="74"/>
      <c r="H373" s="74"/>
      <c r="I373" s="74"/>
      <c r="J373" s="74"/>
      <c r="K373" s="74"/>
      <c r="L373" s="74"/>
      <c r="M373" s="74"/>
      <c r="N373" s="38" t="str">
        <f>IF(OR(A373="Автомат",A373="Дифавтомат"),IF(W373="","",COUNTIFS(Однолинейка!$H$3:$H$3000,U373,Однолинейка!$A$3:$A$3000,Щит_спец)),IF(A373="Аппарат",IF(C373="","",COUNTIFS(Однолинейка!$I$3:$I$3000,C373,Однолинейка!$A$3:$A$3000,Щит_спец)+COUNTIFS(Однолинейка!$J$3:$J$3000,C373,Однолинейка!$A$3:$A$3000,Щит_спец)+COUNTIFS(Однолинейка!$K$3:$K$3000,C373,Однолинейка!$A$3:$A$3000,Щит_спец)),IF(A373="Модуль",IF(C373="","",COUNTIFS(Однолинейка!$AW$3:$AW$3000,"?*",Однолинейка!$AI$3:$AI$3000,C373,Однолинейка!$A$3:$A$3000,Щит_спец)),IF(A373="Клемма",IF(C373="","",IF(C373=$S$7,SUMIFS(Однолинейка!$BW$3:$BW$3000,Однолинейка!$A$3:$A$3000,Щит_спец),IF(C373=$S$8,SUMIFS(Однолинейка!$BX$3:$BX$3000,Однолинейка!$A$3:$A$3000,Щит_спец),""))),""))))</f>
        <v/>
      </c>
      <c r="O373" s="74"/>
      <c r="P373" s="38" t="str">
        <f t="shared" si="45"/>
        <v/>
      </c>
      <c r="U373" s="38" t="str">
        <f t="shared" si="46"/>
        <v/>
      </c>
      <c r="V373" s="38" t="str">
        <f t="shared" si="47"/>
        <v/>
      </c>
      <c r="W373" s="38" t="str">
        <f>IF(AND(U373&lt;&gt;"",OR($S$4="(все)",B373=$S$4),IF($S$4="(все)",COUNTIF($U$4:U373,U373),COUNTIFS($U$4:U373,U373,$B$4:B373,B373))=1),MAX($W$3:W372)+1,"")</f>
        <v/>
      </c>
      <c r="X373" s="38" t="str">
        <f t="shared" si="48"/>
        <v/>
      </c>
      <c r="Y373" s="38" t="str">
        <f>IF(AND(A373="Аппарат",C373&lt;&gt;"",OR($S$5="(все)",B373=$S$5)),MAX($Y$3:Y372)+1,"")</f>
        <v/>
      </c>
      <c r="Z373" s="38" t="str">
        <f t="shared" si="49"/>
        <v/>
      </c>
      <c r="AA373" s="38" t="str">
        <f>IF(AND(A373="Модуль",C373&lt;&gt;"",OR($S$6="(все)",B373=$S$6)),MAX($AA$3:AA372)+1,"")</f>
        <v/>
      </c>
      <c r="AB373" s="38" t="str">
        <f t="shared" si="50"/>
        <v/>
      </c>
      <c r="AC373" s="38" t="str">
        <f>IF(OR(B373="",COUNTIF($B$4:B373,B373)&gt;1),"",MAX($AC$3:AC372)+1)</f>
        <v/>
      </c>
      <c r="AD373" s="38" t="str">
        <f t="shared" si="51"/>
        <v/>
      </c>
      <c r="AE373" s="38" t="str">
        <f t="shared" si="52"/>
        <v/>
      </c>
      <c r="AF373" s="38" t="str">
        <f t="shared" si="53"/>
        <v/>
      </c>
    </row>
    <row r="374" spans="1:32" x14ac:dyDescent="0.3">
      <c r="A374" s="74"/>
      <c r="B374" s="74"/>
      <c r="C374" s="74"/>
      <c r="D374" s="74"/>
      <c r="E374" s="74"/>
      <c r="F374" s="74"/>
      <c r="G374" s="74"/>
      <c r="H374" s="74"/>
      <c r="I374" s="74"/>
      <c r="J374" s="74"/>
      <c r="K374" s="74"/>
      <c r="L374" s="74"/>
      <c r="M374" s="74"/>
      <c r="N374" s="38" t="str">
        <f>IF(OR(A374="Автомат",A374="Дифавтомат"),IF(W374="","",COUNTIFS(Однолинейка!$H$3:$H$3000,U374,Однолинейка!$A$3:$A$3000,Щит_спец)),IF(A374="Аппарат",IF(C374="","",COUNTIFS(Однолинейка!$I$3:$I$3000,C374,Однолинейка!$A$3:$A$3000,Щит_спец)+COUNTIFS(Однолинейка!$J$3:$J$3000,C374,Однолинейка!$A$3:$A$3000,Щит_спец)+COUNTIFS(Однолинейка!$K$3:$K$3000,C374,Однолинейка!$A$3:$A$3000,Щит_спец)),IF(A374="Модуль",IF(C374="","",COUNTIFS(Однолинейка!$AW$3:$AW$3000,"?*",Однолинейка!$AI$3:$AI$3000,C374,Однолинейка!$A$3:$A$3000,Щит_спец)),IF(A374="Клемма",IF(C374="","",IF(C374=$S$7,SUMIFS(Однолинейка!$BW$3:$BW$3000,Однолинейка!$A$3:$A$3000,Щит_спец),IF(C374=$S$8,SUMIFS(Однолинейка!$BX$3:$BX$3000,Однолинейка!$A$3:$A$3000,Щит_спец),""))),""))))</f>
        <v/>
      </c>
      <c r="O374" s="74"/>
      <c r="P374" s="38" t="str">
        <f t="shared" si="45"/>
        <v/>
      </c>
      <c r="U374" s="38" t="str">
        <f t="shared" si="46"/>
        <v/>
      </c>
      <c r="V374" s="38" t="str">
        <f t="shared" si="47"/>
        <v/>
      </c>
      <c r="W374" s="38" t="str">
        <f>IF(AND(U374&lt;&gt;"",OR($S$4="(все)",B374=$S$4),IF($S$4="(все)",COUNTIF($U$4:U374,U374),COUNTIFS($U$4:U374,U374,$B$4:B374,B374))=1),MAX($W$3:W373)+1,"")</f>
        <v/>
      </c>
      <c r="X374" s="38" t="str">
        <f t="shared" si="48"/>
        <v/>
      </c>
      <c r="Y374" s="38" t="str">
        <f>IF(AND(A374="Аппарат",C374&lt;&gt;"",OR($S$5="(все)",B374=$S$5)),MAX($Y$3:Y373)+1,"")</f>
        <v/>
      </c>
      <c r="Z374" s="38" t="str">
        <f t="shared" si="49"/>
        <v/>
      </c>
      <c r="AA374" s="38" t="str">
        <f>IF(AND(A374="Модуль",C374&lt;&gt;"",OR($S$6="(все)",B374=$S$6)),MAX($AA$3:AA373)+1,"")</f>
        <v/>
      </c>
      <c r="AB374" s="38" t="str">
        <f t="shared" si="50"/>
        <v/>
      </c>
      <c r="AC374" s="38" t="str">
        <f>IF(OR(B374="",COUNTIF($B$4:B374,B374)&gt;1),"",MAX($AC$3:AC373)+1)</f>
        <v/>
      </c>
      <c r="AD374" s="38" t="str">
        <f t="shared" si="51"/>
        <v/>
      </c>
      <c r="AE374" s="38" t="str">
        <f t="shared" si="52"/>
        <v/>
      </c>
      <c r="AF374" s="38" t="str">
        <f t="shared" si="53"/>
        <v/>
      </c>
    </row>
    <row r="375" spans="1:32" x14ac:dyDescent="0.3">
      <c r="A375" s="74"/>
      <c r="B375" s="74"/>
      <c r="C375" s="74"/>
      <c r="D375" s="74"/>
      <c r="E375" s="74"/>
      <c r="F375" s="74"/>
      <c r="G375" s="74"/>
      <c r="H375" s="74"/>
      <c r="I375" s="74"/>
      <c r="J375" s="74"/>
      <c r="K375" s="74"/>
      <c r="L375" s="74"/>
      <c r="M375" s="74"/>
      <c r="N375" s="38" t="str">
        <f>IF(OR(A375="Автомат",A375="Дифавтомат"),IF(W375="","",COUNTIFS(Однолинейка!$H$3:$H$3000,U375,Однолинейка!$A$3:$A$3000,Щит_спец)),IF(A375="Аппарат",IF(C375="","",COUNTIFS(Однолинейка!$I$3:$I$3000,C375,Однолинейка!$A$3:$A$3000,Щит_спец)+COUNTIFS(Однолинейка!$J$3:$J$3000,C375,Однолинейка!$A$3:$A$3000,Щит_спец)+COUNTIFS(Однолинейка!$K$3:$K$3000,C375,Однолинейка!$A$3:$A$3000,Щит_спец)),IF(A375="Модуль",IF(C375="","",COUNTIFS(Однолинейка!$AW$3:$AW$3000,"?*",Однолинейка!$AI$3:$AI$3000,C375,Однолинейка!$A$3:$A$3000,Щит_спец)),IF(A375="Клемма",IF(C375="","",IF(C375=$S$7,SUMIFS(Однолинейка!$BW$3:$BW$3000,Однолинейка!$A$3:$A$3000,Щит_спец),IF(C375=$S$8,SUMIFS(Однолинейка!$BX$3:$BX$3000,Однолинейка!$A$3:$A$3000,Щит_спец),""))),""))))</f>
        <v/>
      </c>
      <c r="O375" s="74"/>
      <c r="P375" s="38" t="str">
        <f t="shared" si="45"/>
        <v/>
      </c>
      <c r="U375" s="38" t="str">
        <f t="shared" si="46"/>
        <v/>
      </c>
      <c r="V375" s="38" t="str">
        <f t="shared" si="47"/>
        <v/>
      </c>
      <c r="W375" s="38" t="str">
        <f>IF(AND(U375&lt;&gt;"",OR($S$4="(все)",B375=$S$4),IF($S$4="(все)",COUNTIF($U$4:U375,U375),COUNTIFS($U$4:U375,U375,$B$4:B375,B375))=1),MAX($W$3:W374)+1,"")</f>
        <v/>
      </c>
      <c r="X375" s="38" t="str">
        <f t="shared" si="48"/>
        <v/>
      </c>
      <c r="Y375" s="38" t="str">
        <f>IF(AND(A375="Аппарат",C375&lt;&gt;"",OR($S$5="(все)",B375=$S$5)),MAX($Y$3:Y374)+1,"")</f>
        <v/>
      </c>
      <c r="Z375" s="38" t="str">
        <f t="shared" si="49"/>
        <v/>
      </c>
      <c r="AA375" s="38" t="str">
        <f>IF(AND(A375="Модуль",C375&lt;&gt;"",OR($S$6="(все)",B375=$S$6)),MAX($AA$3:AA374)+1,"")</f>
        <v/>
      </c>
      <c r="AB375" s="38" t="str">
        <f t="shared" si="50"/>
        <v/>
      </c>
      <c r="AC375" s="38" t="str">
        <f>IF(OR(B375="",COUNTIF($B$4:B375,B375)&gt;1),"",MAX($AC$3:AC374)+1)</f>
        <v/>
      </c>
      <c r="AD375" s="38" t="str">
        <f t="shared" si="51"/>
        <v/>
      </c>
      <c r="AE375" s="38" t="str">
        <f t="shared" si="52"/>
        <v/>
      </c>
      <c r="AF375" s="38" t="str">
        <f t="shared" si="53"/>
        <v/>
      </c>
    </row>
    <row r="376" spans="1:32" x14ac:dyDescent="0.3">
      <c r="A376" s="74"/>
      <c r="B376" s="74"/>
      <c r="C376" s="74"/>
      <c r="D376" s="74"/>
      <c r="E376" s="74"/>
      <c r="F376" s="74"/>
      <c r="G376" s="74"/>
      <c r="H376" s="74"/>
      <c r="I376" s="74"/>
      <c r="J376" s="74"/>
      <c r="K376" s="74"/>
      <c r="L376" s="74"/>
      <c r="M376" s="74"/>
      <c r="N376" s="38" t="str">
        <f>IF(OR(A376="Автомат",A376="Дифавтомат"),IF(W376="","",COUNTIFS(Однолинейка!$H$3:$H$3000,U376,Однолинейка!$A$3:$A$3000,Щит_спец)),IF(A376="Аппарат",IF(C376="","",COUNTIFS(Однолинейка!$I$3:$I$3000,C376,Однолинейка!$A$3:$A$3000,Щит_спец)+COUNTIFS(Однолинейка!$J$3:$J$3000,C376,Однолинейка!$A$3:$A$3000,Щит_спец)+COUNTIFS(Однолинейка!$K$3:$K$3000,C376,Однолинейка!$A$3:$A$3000,Щит_спец)),IF(A376="Модуль",IF(C376="","",COUNTIFS(Однолинейка!$AW$3:$AW$3000,"?*",Однолинейка!$AI$3:$AI$3000,C376,Однолинейка!$A$3:$A$3000,Щит_спец)),IF(A376="Клемма",IF(C376="","",IF(C376=$S$7,SUMIFS(Однолинейка!$BW$3:$BW$3000,Однолинейка!$A$3:$A$3000,Щит_спец),IF(C376=$S$8,SUMIFS(Однолинейка!$BX$3:$BX$3000,Однолинейка!$A$3:$A$3000,Щит_спец),""))),""))))</f>
        <v/>
      </c>
      <c r="O376" s="74"/>
      <c r="P376" s="38" t="str">
        <f t="shared" si="45"/>
        <v/>
      </c>
      <c r="U376" s="38" t="str">
        <f t="shared" si="46"/>
        <v/>
      </c>
      <c r="V376" s="38" t="str">
        <f t="shared" si="47"/>
        <v/>
      </c>
      <c r="W376" s="38" t="str">
        <f>IF(AND(U376&lt;&gt;"",OR($S$4="(все)",B376=$S$4),IF($S$4="(все)",COUNTIF($U$4:U376,U376),COUNTIFS($U$4:U376,U376,$B$4:B376,B376))=1),MAX($W$3:W375)+1,"")</f>
        <v/>
      </c>
      <c r="X376" s="38" t="str">
        <f t="shared" si="48"/>
        <v/>
      </c>
      <c r="Y376" s="38" t="str">
        <f>IF(AND(A376="Аппарат",C376&lt;&gt;"",OR($S$5="(все)",B376=$S$5)),MAX($Y$3:Y375)+1,"")</f>
        <v/>
      </c>
      <c r="Z376" s="38" t="str">
        <f t="shared" si="49"/>
        <v/>
      </c>
      <c r="AA376" s="38" t="str">
        <f>IF(AND(A376="Модуль",C376&lt;&gt;"",OR($S$6="(все)",B376=$S$6)),MAX($AA$3:AA375)+1,"")</f>
        <v/>
      </c>
      <c r="AB376" s="38" t="str">
        <f t="shared" si="50"/>
        <v/>
      </c>
      <c r="AC376" s="38" t="str">
        <f>IF(OR(B376="",COUNTIF($B$4:B376,B376)&gt;1),"",MAX($AC$3:AC375)+1)</f>
        <v/>
      </c>
      <c r="AD376" s="38" t="str">
        <f t="shared" si="51"/>
        <v/>
      </c>
      <c r="AE376" s="38" t="str">
        <f t="shared" si="52"/>
        <v/>
      </c>
      <c r="AF376" s="38" t="str">
        <f t="shared" si="53"/>
        <v/>
      </c>
    </row>
    <row r="377" spans="1:32" x14ac:dyDescent="0.3">
      <c r="A377" s="74"/>
      <c r="B377" s="74"/>
      <c r="C377" s="74"/>
      <c r="D377" s="74"/>
      <c r="E377" s="74"/>
      <c r="F377" s="74"/>
      <c r="G377" s="74"/>
      <c r="H377" s="74"/>
      <c r="I377" s="74"/>
      <c r="J377" s="74"/>
      <c r="K377" s="74"/>
      <c r="L377" s="74"/>
      <c r="M377" s="74"/>
      <c r="N377" s="38" t="str">
        <f>IF(OR(A377="Автомат",A377="Дифавтомат"),IF(W377="","",COUNTIFS(Однолинейка!$H$3:$H$3000,U377,Однолинейка!$A$3:$A$3000,Щит_спец)),IF(A377="Аппарат",IF(C377="","",COUNTIFS(Однолинейка!$I$3:$I$3000,C377,Однолинейка!$A$3:$A$3000,Щит_спец)+COUNTIFS(Однолинейка!$J$3:$J$3000,C377,Однолинейка!$A$3:$A$3000,Щит_спец)+COUNTIFS(Однолинейка!$K$3:$K$3000,C377,Однолинейка!$A$3:$A$3000,Щит_спец)),IF(A377="Модуль",IF(C377="","",COUNTIFS(Однолинейка!$AW$3:$AW$3000,"?*",Однолинейка!$AI$3:$AI$3000,C377,Однолинейка!$A$3:$A$3000,Щит_спец)),IF(A377="Клемма",IF(C377="","",IF(C377=$S$7,SUMIFS(Однолинейка!$BW$3:$BW$3000,Однолинейка!$A$3:$A$3000,Щит_спец),IF(C377=$S$8,SUMIFS(Однолинейка!$BX$3:$BX$3000,Однолинейка!$A$3:$A$3000,Щит_спец),""))),""))))</f>
        <v/>
      </c>
      <c r="O377" s="74"/>
      <c r="P377" s="38" t="str">
        <f t="shared" si="45"/>
        <v/>
      </c>
      <c r="U377" s="38" t="str">
        <f t="shared" si="46"/>
        <v/>
      </c>
      <c r="V377" s="38" t="str">
        <f t="shared" si="47"/>
        <v/>
      </c>
      <c r="W377" s="38" t="str">
        <f>IF(AND(U377&lt;&gt;"",OR($S$4="(все)",B377=$S$4),IF($S$4="(все)",COUNTIF($U$4:U377,U377),COUNTIFS($U$4:U377,U377,$B$4:B377,B377))=1),MAX($W$3:W376)+1,"")</f>
        <v/>
      </c>
      <c r="X377" s="38" t="str">
        <f t="shared" si="48"/>
        <v/>
      </c>
      <c r="Y377" s="38" t="str">
        <f>IF(AND(A377="Аппарат",C377&lt;&gt;"",OR($S$5="(все)",B377=$S$5)),MAX($Y$3:Y376)+1,"")</f>
        <v/>
      </c>
      <c r="Z377" s="38" t="str">
        <f t="shared" si="49"/>
        <v/>
      </c>
      <c r="AA377" s="38" t="str">
        <f>IF(AND(A377="Модуль",C377&lt;&gt;"",OR($S$6="(все)",B377=$S$6)),MAX($AA$3:AA376)+1,"")</f>
        <v/>
      </c>
      <c r="AB377" s="38" t="str">
        <f t="shared" si="50"/>
        <v/>
      </c>
      <c r="AC377" s="38" t="str">
        <f>IF(OR(B377="",COUNTIF($B$4:B377,B377)&gt;1),"",MAX($AC$3:AC376)+1)</f>
        <v/>
      </c>
      <c r="AD377" s="38" t="str">
        <f t="shared" si="51"/>
        <v/>
      </c>
      <c r="AE377" s="38" t="str">
        <f t="shared" si="52"/>
        <v/>
      </c>
      <c r="AF377" s="38" t="str">
        <f t="shared" si="53"/>
        <v/>
      </c>
    </row>
    <row r="378" spans="1:32" x14ac:dyDescent="0.3">
      <c r="A378" s="74"/>
      <c r="B378" s="74"/>
      <c r="C378" s="74"/>
      <c r="D378" s="74"/>
      <c r="E378" s="74"/>
      <c r="F378" s="74"/>
      <c r="G378" s="74"/>
      <c r="H378" s="74"/>
      <c r="I378" s="74"/>
      <c r="J378" s="74"/>
      <c r="K378" s="74"/>
      <c r="L378" s="74"/>
      <c r="M378" s="74"/>
      <c r="N378" s="38" t="str">
        <f>IF(OR(A378="Автомат",A378="Дифавтомат"),IF(W378="","",COUNTIFS(Однолинейка!$H$3:$H$3000,U378,Однолинейка!$A$3:$A$3000,Щит_спец)),IF(A378="Аппарат",IF(C378="","",COUNTIFS(Однолинейка!$I$3:$I$3000,C378,Однолинейка!$A$3:$A$3000,Щит_спец)+COUNTIFS(Однолинейка!$J$3:$J$3000,C378,Однолинейка!$A$3:$A$3000,Щит_спец)+COUNTIFS(Однолинейка!$K$3:$K$3000,C378,Однолинейка!$A$3:$A$3000,Щит_спец)),IF(A378="Модуль",IF(C378="","",COUNTIFS(Однолинейка!$AW$3:$AW$3000,"?*",Однолинейка!$AI$3:$AI$3000,C378,Однолинейка!$A$3:$A$3000,Щит_спец)),IF(A378="Клемма",IF(C378="","",IF(C378=$S$7,SUMIFS(Однолинейка!$BW$3:$BW$3000,Однолинейка!$A$3:$A$3000,Щит_спец),IF(C378=$S$8,SUMIFS(Однолинейка!$BX$3:$BX$3000,Однолинейка!$A$3:$A$3000,Щит_спец),""))),""))))</f>
        <v/>
      </c>
      <c r="O378" s="74"/>
      <c r="P378" s="38" t="str">
        <f t="shared" si="45"/>
        <v/>
      </c>
      <c r="U378" s="38" t="str">
        <f t="shared" si="46"/>
        <v/>
      </c>
      <c r="V378" s="38" t="str">
        <f t="shared" si="47"/>
        <v/>
      </c>
      <c r="W378" s="38" t="str">
        <f>IF(AND(U378&lt;&gt;"",OR($S$4="(все)",B378=$S$4),IF($S$4="(все)",COUNTIF($U$4:U378,U378),COUNTIFS($U$4:U378,U378,$B$4:B378,B378))=1),MAX($W$3:W377)+1,"")</f>
        <v/>
      </c>
      <c r="X378" s="38" t="str">
        <f t="shared" si="48"/>
        <v/>
      </c>
      <c r="Y378" s="38" t="str">
        <f>IF(AND(A378="Аппарат",C378&lt;&gt;"",OR($S$5="(все)",B378=$S$5)),MAX($Y$3:Y377)+1,"")</f>
        <v/>
      </c>
      <c r="Z378" s="38" t="str">
        <f t="shared" si="49"/>
        <v/>
      </c>
      <c r="AA378" s="38" t="str">
        <f>IF(AND(A378="Модуль",C378&lt;&gt;"",OR($S$6="(все)",B378=$S$6)),MAX($AA$3:AA377)+1,"")</f>
        <v/>
      </c>
      <c r="AB378" s="38" t="str">
        <f t="shared" si="50"/>
        <v/>
      </c>
      <c r="AC378" s="38" t="str">
        <f>IF(OR(B378="",COUNTIF($B$4:B378,B378)&gt;1),"",MAX($AC$3:AC377)+1)</f>
        <v/>
      </c>
      <c r="AD378" s="38" t="str">
        <f t="shared" si="51"/>
        <v/>
      </c>
      <c r="AE378" s="38" t="str">
        <f t="shared" si="52"/>
        <v/>
      </c>
      <c r="AF378" s="38" t="str">
        <f t="shared" si="53"/>
        <v/>
      </c>
    </row>
    <row r="379" spans="1:32" x14ac:dyDescent="0.3">
      <c r="A379" s="74"/>
      <c r="B379" s="74"/>
      <c r="C379" s="74"/>
      <c r="D379" s="74"/>
      <c r="E379" s="74"/>
      <c r="F379" s="74"/>
      <c r="G379" s="74"/>
      <c r="H379" s="74"/>
      <c r="I379" s="74"/>
      <c r="J379" s="74"/>
      <c r="K379" s="74"/>
      <c r="L379" s="74"/>
      <c r="M379" s="74"/>
      <c r="N379" s="38" t="str">
        <f>IF(OR(A379="Автомат",A379="Дифавтомат"),IF(W379="","",COUNTIFS(Однолинейка!$H$3:$H$3000,U379,Однолинейка!$A$3:$A$3000,Щит_спец)),IF(A379="Аппарат",IF(C379="","",COUNTIFS(Однолинейка!$I$3:$I$3000,C379,Однолинейка!$A$3:$A$3000,Щит_спец)+COUNTIFS(Однолинейка!$J$3:$J$3000,C379,Однолинейка!$A$3:$A$3000,Щит_спец)+COUNTIFS(Однолинейка!$K$3:$K$3000,C379,Однолинейка!$A$3:$A$3000,Щит_спец)),IF(A379="Модуль",IF(C379="","",COUNTIFS(Однолинейка!$AW$3:$AW$3000,"?*",Однолинейка!$AI$3:$AI$3000,C379,Однолинейка!$A$3:$A$3000,Щит_спец)),IF(A379="Клемма",IF(C379="","",IF(C379=$S$7,SUMIFS(Однолинейка!$BW$3:$BW$3000,Однолинейка!$A$3:$A$3000,Щит_спец),IF(C379=$S$8,SUMIFS(Однолинейка!$BX$3:$BX$3000,Однолинейка!$A$3:$A$3000,Щит_спец),""))),""))))</f>
        <v/>
      </c>
      <c r="O379" s="74"/>
      <c r="P379" s="38" t="str">
        <f t="shared" si="45"/>
        <v/>
      </c>
      <c r="U379" s="38" t="str">
        <f t="shared" si="46"/>
        <v/>
      </c>
      <c r="V379" s="38" t="str">
        <f t="shared" si="47"/>
        <v/>
      </c>
      <c r="W379" s="38" t="str">
        <f>IF(AND(U379&lt;&gt;"",OR($S$4="(все)",B379=$S$4),IF($S$4="(все)",COUNTIF($U$4:U379,U379),COUNTIFS($U$4:U379,U379,$B$4:B379,B379))=1),MAX($W$3:W378)+1,"")</f>
        <v/>
      </c>
      <c r="X379" s="38" t="str">
        <f t="shared" si="48"/>
        <v/>
      </c>
      <c r="Y379" s="38" t="str">
        <f>IF(AND(A379="Аппарат",C379&lt;&gt;"",OR($S$5="(все)",B379=$S$5)),MAX($Y$3:Y378)+1,"")</f>
        <v/>
      </c>
      <c r="Z379" s="38" t="str">
        <f t="shared" si="49"/>
        <v/>
      </c>
      <c r="AA379" s="38" t="str">
        <f>IF(AND(A379="Модуль",C379&lt;&gt;"",OR($S$6="(все)",B379=$S$6)),MAX($AA$3:AA378)+1,"")</f>
        <v/>
      </c>
      <c r="AB379" s="38" t="str">
        <f t="shared" si="50"/>
        <v/>
      </c>
      <c r="AC379" s="38" t="str">
        <f>IF(OR(B379="",COUNTIF($B$4:B379,B379)&gt;1),"",MAX($AC$3:AC378)+1)</f>
        <v/>
      </c>
      <c r="AD379" s="38" t="str">
        <f t="shared" si="51"/>
        <v/>
      </c>
      <c r="AE379" s="38" t="str">
        <f t="shared" si="52"/>
        <v/>
      </c>
      <c r="AF379" s="38" t="str">
        <f t="shared" si="53"/>
        <v/>
      </c>
    </row>
    <row r="380" spans="1:32" x14ac:dyDescent="0.3">
      <c r="A380" s="74"/>
      <c r="B380" s="74"/>
      <c r="C380" s="74"/>
      <c r="D380" s="74"/>
      <c r="E380" s="74"/>
      <c r="F380" s="74"/>
      <c r="G380" s="74"/>
      <c r="H380" s="74"/>
      <c r="I380" s="74"/>
      <c r="J380" s="74"/>
      <c r="K380" s="74"/>
      <c r="L380" s="74"/>
      <c r="M380" s="74"/>
      <c r="N380" s="38" t="str">
        <f>IF(OR(A380="Автомат",A380="Дифавтомат"),IF(W380="","",COUNTIFS(Однолинейка!$H$3:$H$3000,U380,Однолинейка!$A$3:$A$3000,Щит_спец)),IF(A380="Аппарат",IF(C380="","",COUNTIFS(Однолинейка!$I$3:$I$3000,C380,Однолинейка!$A$3:$A$3000,Щит_спец)+COUNTIFS(Однолинейка!$J$3:$J$3000,C380,Однолинейка!$A$3:$A$3000,Щит_спец)+COUNTIFS(Однолинейка!$K$3:$K$3000,C380,Однолинейка!$A$3:$A$3000,Щит_спец)),IF(A380="Модуль",IF(C380="","",COUNTIFS(Однолинейка!$AW$3:$AW$3000,"?*",Однолинейка!$AI$3:$AI$3000,C380,Однолинейка!$A$3:$A$3000,Щит_спец)),IF(A380="Клемма",IF(C380="","",IF(C380=$S$7,SUMIFS(Однолинейка!$BW$3:$BW$3000,Однолинейка!$A$3:$A$3000,Щит_спец),IF(C380=$S$8,SUMIFS(Однолинейка!$BX$3:$BX$3000,Однолинейка!$A$3:$A$3000,Щит_спец),""))),""))))</f>
        <v/>
      </c>
      <c r="O380" s="74"/>
      <c r="P380" s="38" t="str">
        <f t="shared" si="45"/>
        <v/>
      </c>
      <c r="U380" s="38" t="str">
        <f t="shared" si="46"/>
        <v/>
      </c>
      <c r="V380" s="38" t="str">
        <f t="shared" si="47"/>
        <v/>
      </c>
      <c r="W380" s="38" t="str">
        <f>IF(AND(U380&lt;&gt;"",OR($S$4="(все)",B380=$S$4),IF($S$4="(все)",COUNTIF($U$4:U380,U380),COUNTIFS($U$4:U380,U380,$B$4:B380,B380))=1),MAX($W$3:W379)+1,"")</f>
        <v/>
      </c>
      <c r="X380" s="38" t="str">
        <f t="shared" si="48"/>
        <v/>
      </c>
      <c r="Y380" s="38" t="str">
        <f>IF(AND(A380="Аппарат",C380&lt;&gt;"",OR($S$5="(все)",B380=$S$5)),MAX($Y$3:Y379)+1,"")</f>
        <v/>
      </c>
      <c r="Z380" s="38" t="str">
        <f t="shared" si="49"/>
        <v/>
      </c>
      <c r="AA380" s="38" t="str">
        <f>IF(AND(A380="Модуль",C380&lt;&gt;"",OR($S$6="(все)",B380=$S$6)),MAX($AA$3:AA379)+1,"")</f>
        <v/>
      </c>
      <c r="AB380" s="38" t="str">
        <f t="shared" si="50"/>
        <v/>
      </c>
      <c r="AC380" s="38" t="str">
        <f>IF(OR(B380="",COUNTIF($B$4:B380,B380)&gt;1),"",MAX($AC$3:AC379)+1)</f>
        <v/>
      </c>
      <c r="AD380" s="38" t="str">
        <f t="shared" si="51"/>
        <v/>
      </c>
      <c r="AE380" s="38" t="str">
        <f t="shared" si="52"/>
        <v/>
      </c>
      <c r="AF380" s="38" t="str">
        <f t="shared" si="53"/>
        <v/>
      </c>
    </row>
    <row r="381" spans="1:32" x14ac:dyDescent="0.3">
      <c r="A381" s="74"/>
      <c r="B381" s="74"/>
      <c r="C381" s="74"/>
      <c r="D381" s="74"/>
      <c r="E381" s="74"/>
      <c r="F381" s="74"/>
      <c r="G381" s="74"/>
      <c r="H381" s="74"/>
      <c r="I381" s="74"/>
      <c r="J381" s="74"/>
      <c r="K381" s="74"/>
      <c r="L381" s="74"/>
      <c r="M381" s="74"/>
      <c r="N381" s="38" t="str">
        <f>IF(OR(A381="Автомат",A381="Дифавтомат"),IF(W381="","",COUNTIFS(Однолинейка!$H$3:$H$3000,U381,Однолинейка!$A$3:$A$3000,Щит_спец)),IF(A381="Аппарат",IF(C381="","",COUNTIFS(Однолинейка!$I$3:$I$3000,C381,Однолинейка!$A$3:$A$3000,Щит_спец)+COUNTIFS(Однолинейка!$J$3:$J$3000,C381,Однолинейка!$A$3:$A$3000,Щит_спец)+COUNTIFS(Однолинейка!$K$3:$K$3000,C381,Однолинейка!$A$3:$A$3000,Щит_спец)),IF(A381="Модуль",IF(C381="","",COUNTIFS(Однолинейка!$AW$3:$AW$3000,"?*",Однолинейка!$AI$3:$AI$3000,C381,Однолинейка!$A$3:$A$3000,Щит_спец)),IF(A381="Клемма",IF(C381="","",IF(C381=$S$7,SUMIFS(Однолинейка!$BW$3:$BW$3000,Однолинейка!$A$3:$A$3000,Щит_спец),IF(C381=$S$8,SUMIFS(Однолинейка!$BX$3:$BX$3000,Однолинейка!$A$3:$A$3000,Щит_спец),""))),""))))</f>
        <v/>
      </c>
      <c r="O381" s="74"/>
      <c r="P381" s="38" t="str">
        <f t="shared" si="45"/>
        <v/>
      </c>
      <c r="U381" s="38" t="str">
        <f t="shared" si="46"/>
        <v/>
      </c>
      <c r="V381" s="38" t="str">
        <f t="shared" si="47"/>
        <v/>
      </c>
      <c r="W381" s="38" t="str">
        <f>IF(AND(U381&lt;&gt;"",OR($S$4="(все)",B381=$S$4),IF($S$4="(все)",COUNTIF($U$4:U381,U381),COUNTIFS($U$4:U381,U381,$B$4:B381,B381))=1),MAX($W$3:W380)+1,"")</f>
        <v/>
      </c>
      <c r="X381" s="38" t="str">
        <f t="shared" si="48"/>
        <v/>
      </c>
      <c r="Y381" s="38" t="str">
        <f>IF(AND(A381="Аппарат",C381&lt;&gt;"",OR($S$5="(все)",B381=$S$5)),MAX($Y$3:Y380)+1,"")</f>
        <v/>
      </c>
      <c r="Z381" s="38" t="str">
        <f t="shared" si="49"/>
        <v/>
      </c>
      <c r="AA381" s="38" t="str">
        <f>IF(AND(A381="Модуль",C381&lt;&gt;"",OR($S$6="(все)",B381=$S$6)),MAX($AA$3:AA380)+1,"")</f>
        <v/>
      </c>
      <c r="AB381" s="38" t="str">
        <f t="shared" si="50"/>
        <v/>
      </c>
      <c r="AC381" s="38" t="str">
        <f>IF(OR(B381="",COUNTIF($B$4:B381,B381)&gt;1),"",MAX($AC$3:AC380)+1)</f>
        <v/>
      </c>
      <c r="AD381" s="38" t="str">
        <f t="shared" si="51"/>
        <v/>
      </c>
      <c r="AE381" s="38" t="str">
        <f t="shared" si="52"/>
        <v/>
      </c>
      <c r="AF381" s="38" t="str">
        <f t="shared" si="53"/>
        <v/>
      </c>
    </row>
    <row r="382" spans="1:32" x14ac:dyDescent="0.3">
      <c r="A382" s="74"/>
      <c r="B382" s="74"/>
      <c r="C382" s="74"/>
      <c r="D382" s="74"/>
      <c r="E382" s="74"/>
      <c r="F382" s="74"/>
      <c r="G382" s="74"/>
      <c r="H382" s="74"/>
      <c r="I382" s="74"/>
      <c r="J382" s="74"/>
      <c r="K382" s="74"/>
      <c r="L382" s="74"/>
      <c r="M382" s="74"/>
      <c r="N382" s="38" t="str">
        <f>IF(OR(A382="Автомат",A382="Дифавтомат"),IF(W382="","",COUNTIFS(Однолинейка!$H$3:$H$3000,U382,Однолинейка!$A$3:$A$3000,Щит_спец)),IF(A382="Аппарат",IF(C382="","",COUNTIFS(Однолинейка!$I$3:$I$3000,C382,Однолинейка!$A$3:$A$3000,Щит_спец)+COUNTIFS(Однолинейка!$J$3:$J$3000,C382,Однолинейка!$A$3:$A$3000,Щит_спец)+COUNTIFS(Однолинейка!$K$3:$K$3000,C382,Однолинейка!$A$3:$A$3000,Щит_спец)),IF(A382="Модуль",IF(C382="","",COUNTIFS(Однолинейка!$AW$3:$AW$3000,"?*",Однолинейка!$AI$3:$AI$3000,C382,Однолинейка!$A$3:$A$3000,Щит_спец)),IF(A382="Клемма",IF(C382="","",IF(C382=$S$7,SUMIFS(Однолинейка!$BW$3:$BW$3000,Однолинейка!$A$3:$A$3000,Щит_спец),IF(C382=$S$8,SUMIFS(Однолинейка!$BX$3:$BX$3000,Однолинейка!$A$3:$A$3000,Щит_спец),""))),""))))</f>
        <v/>
      </c>
      <c r="O382" s="74"/>
      <c r="P382" s="38" t="str">
        <f t="shared" si="45"/>
        <v/>
      </c>
      <c r="U382" s="38" t="str">
        <f t="shared" si="46"/>
        <v/>
      </c>
      <c r="V382" s="38" t="str">
        <f t="shared" si="47"/>
        <v/>
      </c>
      <c r="W382" s="38" t="str">
        <f>IF(AND(U382&lt;&gt;"",OR($S$4="(все)",B382=$S$4),IF($S$4="(все)",COUNTIF($U$4:U382,U382),COUNTIFS($U$4:U382,U382,$B$4:B382,B382))=1),MAX($W$3:W381)+1,"")</f>
        <v/>
      </c>
      <c r="X382" s="38" t="str">
        <f t="shared" si="48"/>
        <v/>
      </c>
      <c r="Y382" s="38" t="str">
        <f>IF(AND(A382="Аппарат",C382&lt;&gt;"",OR($S$5="(все)",B382=$S$5)),MAX($Y$3:Y381)+1,"")</f>
        <v/>
      </c>
      <c r="Z382" s="38" t="str">
        <f t="shared" si="49"/>
        <v/>
      </c>
      <c r="AA382" s="38" t="str">
        <f>IF(AND(A382="Модуль",C382&lt;&gt;"",OR($S$6="(все)",B382=$S$6)),MAX($AA$3:AA381)+1,"")</f>
        <v/>
      </c>
      <c r="AB382" s="38" t="str">
        <f t="shared" si="50"/>
        <v/>
      </c>
      <c r="AC382" s="38" t="str">
        <f>IF(OR(B382="",COUNTIF($B$4:B382,B382)&gt;1),"",MAX($AC$3:AC381)+1)</f>
        <v/>
      </c>
      <c r="AD382" s="38" t="str">
        <f t="shared" si="51"/>
        <v/>
      </c>
      <c r="AE382" s="38" t="str">
        <f t="shared" si="52"/>
        <v/>
      </c>
      <c r="AF382" s="38" t="str">
        <f t="shared" si="53"/>
        <v/>
      </c>
    </row>
    <row r="383" spans="1:32" x14ac:dyDescent="0.3">
      <c r="A383" s="74"/>
      <c r="B383" s="74"/>
      <c r="C383" s="74"/>
      <c r="D383" s="74"/>
      <c r="E383" s="74"/>
      <c r="F383" s="74"/>
      <c r="G383" s="74"/>
      <c r="H383" s="74"/>
      <c r="I383" s="74"/>
      <c r="J383" s="74"/>
      <c r="K383" s="74"/>
      <c r="L383" s="74"/>
      <c r="M383" s="74"/>
      <c r="N383" s="38" t="str">
        <f>IF(OR(A383="Автомат",A383="Дифавтомат"),IF(W383="","",COUNTIFS(Однолинейка!$H$3:$H$3000,U383,Однолинейка!$A$3:$A$3000,Щит_спец)),IF(A383="Аппарат",IF(C383="","",COUNTIFS(Однолинейка!$I$3:$I$3000,C383,Однолинейка!$A$3:$A$3000,Щит_спец)+COUNTIFS(Однолинейка!$J$3:$J$3000,C383,Однолинейка!$A$3:$A$3000,Щит_спец)+COUNTIFS(Однолинейка!$K$3:$K$3000,C383,Однолинейка!$A$3:$A$3000,Щит_спец)),IF(A383="Модуль",IF(C383="","",COUNTIFS(Однолинейка!$AW$3:$AW$3000,"?*",Однолинейка!$AI$3:$AI$3000,C383,Однолинейка!$A$3:$A$3000,Щит_спец)),IF(A383="Клемма",IF(C383="","",IF(C383=$S$7,SUMIFS(Однолинейка!$BW$3:$BW$3000,Однолинейка!$A$3:$A$3000,Щит_спец),IF(C383=$S$8,SUMIFS(Однолинейка!$BX$3:$BX$3000,Однолинейка!$A$3:$A$3000,Щит_спец),""))),""))))</f>
        <v/>
      </c>
      <c r="O383" s="74"/>
      <c r="P383" s="38" t="str">
        <f t="shared" si="45"/>
        <v/>
      </c>
      <c r="U383" s="38" t="str">
        <f t="shared" si="46"/>
        <v/>
      </c>
      <c r="V383" s="38" t="str">
        <f t="shared" si="47"/>
        <v/>
      </c>
      <c r="W383" s="38" t="str">
        <f>IF(AND(U383&lt;&gt;"",OR($S$4="(все)",B383=$S$4),IF($S$4="(все)",COUNTIF($U$4:U383,U383),COUNTIFS($U$4:U383,U383,$B$4:B383,B383))=1),MAX($W$3:W382)+1,"")</f>
        <v/>
      </c>
      <c r="X383" s="38" t="str">
        <f t="shared" si="48"/>
        <v/>
      </c>
      <c r="Y383" s="38" t="str">
        <f>IF(AND(A383="Аппарат",C383&lt;&gt;"",OR($S$5="(все)",B383=$S$5)),MAX($Y$3:Y382)+1,"")</f>
        <v/>
      </c>
      <c r="Z383" s="38" t="str">
        <f t="shared" si="49"/>
        <v/>
      </c>
      <c r="AA383" s="38" t="str">
        <f>IF(AND(A383="Модуль",C383&lt;&gt;"",OR($S$6="(все)",B383=$S$6)),MAX($AA$3:AA382)+1,"")</f>
        <v/>
      </c>
      <c r="AB383" s="38" t="str">
        <f t="shared" si="50"/>
        <v/>
      </c>
      <c r="AC383" s="38" t="str">
        <f>IF(OR(B383="",COUNTIF($B$4:B383,B383)&gt;1),"",MAX($AC$3:AC382)+1)</f>
        <v/>
      </c>
      <c r="AD383" s="38" t="str">
        <f t="shared" si="51"/>
        <v/>
      </c>
      <c r="AE383" s="38" t="str">
        <f t="shared" si="52"/>
        <v/>
      </c>
      <c r="AF383" s="38" t="str">
        <f t="shared" si="53"/>
        <v/>
      </c>
    </row>
    <row r="384" spans="1:32" x14ac:dyDescent="0.3">
      <c r="A384" s="74"/>
      <c r="B384" s="74"/>
      <c r="C384" s="74"/>
      <c r="D384" s="74"/>
      <c r="E384" s="74"/>
      <c r="F384" s="74"/>
      <c r="G384" s="74"/>
      <c r="H384" s="74"/>
      <c r="I384" s="74"/>
      <c r="J384" s="74"/>
      <c r="K384" s="74"/>
      <c r="L384" s="74"/>
      <c r="M384" s="74"/>
      <c r="N384" s="38" t="str">
        <f>IF(OR(A384="Автомат",A384="Дифавтомат"),IF(W384="","",COUNTIFS(Однолинейка!$H$3:$H$3000,U384,Однолинейка!$A$3:$A$3000,Щит_спец)),IF(A384="Аппарат",IF(C384="","",COUNTIFS(Однолинейка!$I$3:$I$3000,C384,Однолинейка!$A$3:$A$3000,Щит_спец)+COUNTIFS(Однолинейка!$J$3:$J$3000,C384,Однолинейка!$A$3:$A$3000,Щит_спец)+COUNTIFS(Однолинейка!$K$3:$K$3000,C384,Однолинейка!$A$3:$A$3000,Щит_спец)),IF(A384="Модуль",IF(C384="","",COUNTIFS(Однолинейка!$AW$3:$AW$3000,"?*",Однолинейка!$AI$3:$AI$3000,C384,Однолинейка!$A$3:$A$3000,Щит_спец)),IF(A384="Клемма",IF(C384="","",IF(C384=$S$7,SUMIFS(Однолинейка!$BW$3:$BW$3000,Однолинейка!$A$3:$A$3000,Щит_спец),IF(C384=$S$8,SUMIFS(Однолинейка!$BX$3:$BX$3000,Однолинейка!$A$3:$A$3000,Щит_спец),""))),""))))</f>
        <v/>
      </c>
      <c r="O384" s="74"/>
      <c r="P384" s="38" t="str">
        <f t="shared" si="45"/>
        <v/>
      </c>
      <c r="U384" s="38" t="str">
        <f t="shared" si="46"/>
        <v/>
      </c>
      <c r="V384" s="38" t="str">
        <f t="shared" si="47"/>
        <v/>
      </c>
      <c r="W384" s="38" t="str">
        <f>IF(AND(U384&lt;&gt;"",OR($S$4="(все)",B384=$S$4),IF($S$4="(все)",COUNTIF($U$4:U384,U384),COUNTIFS($U$4:U384,U384,$B$4:B384,B384))=1),MAX($W$3:W383)+1,"")</f>
        <v/>
      </c>
      <c r="X384" s="38" t="str">
        <f t="shared" si="48"/>
        <v/>
      </c>
      <c r="Y384" s="38" t="str">
        <f>IF(AND(A384="Аппарат",C384&lt;&gt;"",OR($S$5="(все)",B384=$S$5)),MAX($Y$3:Y383)+1,"")</f>
        <v/>
      </c>
      <c r="Z384" s="38" t="str">
        <f t="shared" si="49"/>
        <v/>
      </c>
      <c r="AA384" s="38" t="str">
        <f>IF(AND(A384="Модуль",C384&lt;&gt;"",OR($S$6="(все)",B384=$S$6)),MAX($AA$3:AA383)+1,"")</f>
        <v/>
      </c>
      <c r="AB384" s="38" t="str">
        <f t="shared" si="50"/>
        <v/>
      </c>
      <c r="AC384" s="38" t="str">
        <f>IF(OR(B384="",COUNTIF($B$4:B384,B384)&gt;1),"",MAX($AC$3:AC383)+1)</f>
        <v/>
      </c>
      <c r="AD384" s="38" t="str">
        <f t="shared" si="51"/>
        <v/>
      </c>
      <c r="AE384" s="38" t="str">
        <f t="shared" si="52"/>
        <v/>
      </c>
      <c r="AF384" s="38" t="str">
        <f t="shared" si="53"/>
        <v/>
      </c>
    </row>
    <row r="385" spans="1:32" x14ac:dyDescent="0.3">
      <c r="A385" s="74"/>
      <c r="B385" s="74"/>
      <c r="C385" s="74"/>
      <c r="D385" s="74"/>
      <c r="E385" s="74"/>
      <c r="F385" s="74"/>
      <c r="G385" s="74"/>
      <c r="H385" s="74"/>
      <c r="I385" s="74"/>
      <c r="J385" s="74"/>
      <c r="K385" s="74"/>
      <c r="L385" s="74"/>
      <c r="M385" s="74"/>
      <c r="N385" s="38" t="str">
        <f>IF(OR(A385="Автомат",A385="Дифавтомат"),IF(W385="","",COUNTIFS(Однолинейка!$H$3:$H$3000,U385,Однолинейка!$A$3:$A$3000,Щит_спец)),IF(A385="Аппарат",IF(C385="","",COUNTIFS(Однолинейка!$I$3:$I$3000,C385,Однолинейка!$A$3:$A$3000,Щит_спец)+COUNTIFS(Однолинейка!$J$3:$J$3000,C385,Однолинейка!$A$3:$A$3000,Щит_спец)+COUNTIFS(Однолинейка!$K$3:$K$3000,C385,Однолинейка!$A$3:$A$3000,Щит_спец)),IF(A385="Модуль",IF(C385="","",COUNTIFS(Однолинейка!$AW$3:$AW$3000,"?*",Однолинейка!$AI$3:$AI$3000,C385,Однолинейка!$A$3:$A$3000,Щит_спец)),IF(A385="Клемма",IF(C385="","",IF(C385=$S$7,SUMIFS(Однолинейка!$BW$3:$BW$3000,Однолинейка!$A$3:$A$3000,Щит_спец),IF(C385=$S$8,SUMIFS(Однолинейка!$BX$3:$BX$3000,Однолинейка!$A$3:$A$3000,Щит_спец),""))),""))))</f>
        <v/>
      </c>
      <c r="O385" s="74"/>
      <c r="P385" s="38" t="str">
        <f t="shared" si="45"/>
        <v/>
      </c>
      <c r="U385" s="38" t="str">
        <f t="shared" si="46"/>
        <v/>
      </c>
      <c r="V385" s="38" t="str">
        <f t="shared" si="47"/>
        <v/>
      </c>
      <c r="W385" s="38" t="str">
        <f>IF(AND(U385&lt;&gt;"",OR($S$4="(все)",B385=$S$4),IF($S$4="(все)",COUNTIF($U$4:U385,U385),COUNTIFS($U$4:U385,U385,$B$4:B385,B385))=1),MAX($W$3:W384)+1,"")</f>
        <v/>
      </c>
      <c r="X385" s="38" t="str">
        <f t="shared" si="48"/>
        <v/>
      </c>
      <c r="Y385" s="38" t="str">
        <f>IF(AND(A385="Аппарат",C385&lt;&gt;"",OR($S$5="(все)",B385=$S$5)),MAX($Y$3:Y384)+1,"")</f>
        <v/>
      </c>
      <c r="Z385" s="38" t="str">
        <f t="shared" si="49"/>
        <v/>
      </c>
      <c r="AA385" s="38" t="str">
        <f>IF(AND(A385="Модуль",C385&lt;&gt;"",OR($S$6="(все)",B385=$S$6)),MAX($AA$3:AA384)+1,"")</f>
        <v/>
      </c>
      <c r="AB385" s="38" t="str">
        <f t="shared" si="50"/>
        <v/>
      </c>
      <c r="AC385" s="38" t="str">
        <f>IF(OR(B385="",COUNTIF($B$4:B385,B385)&gt;1),"",MAX($AC$3:AC384)+1)</f>
        <v/>
      </c>
      <c r="AD385" s="38" t="str">
        <f t="shared" si="51"/>
        <v/>
      </c>
      <c r="AE385" s="38" t="str">
        <f t="shared" si="52"/>
        <v/>
      </c>
      <c r="AF385" s="38" t="str">
        <f t="shared" si="53"/>
        <v/>
      </c>
    </row>
    <row r="386" spans="1:32" x14ac:dyDescent="0.3">
      <c r="A386" s="74"/>
      <c r="B386" s="74"/>
      <c r="C386" s="74"/>
      <c r="D386" s="74"/>
      <c r="E386" s="74"/>
      <c r="F386" s="74"/>
      <c r="G386" s="74"/>
      <c r="H386" s="74"/>
      <c r="I386" s="74"/>
      <c r="J386" s="74"/>
      <c r="K386" s="74"/>
      <c r="L386" s="74"/>
      <c r="M386" s="74"/>
      <c r="N386" s="38" t="str">
        <f>IF(OR(A386="Автомат",A386="Дифавтомат"),IF(W386="","",COUNTIFS(Однолинейка!$H$3:$H$3000,U386,Однолинейка!$A$3:$A$3000,Щит_спец)),IF(A386="Аппарат",IF(C386="","",COUNTIFS(Однолинейка!$I$3:$I$3000,C386,Однолинейка!$A$3:$A$3000,Щит_спец)+COUNTIFS(Однолинейка!$J$3:$J$3000,C386,Однолинейка!$A$3:$A$3000,Щит_спец)+COUNTIFS(Однолинейка!$K$3:$K$3000,C386,Однолинейка!$A$3:$A$3000,Щит_спец)),IF(A386="Модуль",IF(C386="","",COUNTIFS(Однолинейка!$AW$3:$AW$3000,"?*",Однолинейка!$AI$3:$AI$3000,C386,Однолинейка!$A$3:$A$3000,Щит_спец)),IF(A386="Клемма",IF(C386="","",IF(C386=$S$7,SUMIFS(Однолинейка!$BW$3:$BW$3000,Однолинейка!$A$3:$A$3000,Щит_спец),IF(C386=$S$8,SUMIFS(Однолинейка!$BX$3:$BX$3000,Однолинейка!$A$3:$A$3000,Щит_спец),""))),""))))</f>
        <v/>
      </c>
      <c r="O386" s="74"/>
      <c r="P386" s="38" t="str">
        <f t="shared" si="45"/>
        <v/>
      </c>
      <c r="U386" s="38" t="str">
        <f t="shared" si="46"/>
        <v/>
      </c>
      <c r="V386" s="38" t="str">
        <f t="shared" si="47"/>
        <v/>
      </c>
      <c r="W386" s="38" t="str">
        <f>IF(AND(U386&lt;&gt;"",OR($S$4="(все)",B386=$S$4),IF($S$4="(все)",COUNTIF($U$4:U386,U386),COUNTIFS($U$4:U386,U386,$B$4:B386,B386))=1),MAX($W$3:W385)+1,"")</f>
        <v/>
      </c>
      <c r="X386" s="38" t="str">
        <f t="shared" si="48"/>
        <v/>
      </c>
      <c r="Y386" s="38" t="str">
        <f>IF(AND(A386="Аппарат",C386&lt;&gt;"",OR($S$5="(все)",B386=$S$5)),MAX($Y$3:Y385)+1,"")</f>
        <v/>
      </c>
      <c r="Z386" s="38" t="str">
        <f t="shared" si="49"/>
        <v/>
      </c>
      <c r="AA386" s="38" t="str">
        <f>IF(AND(A386="Модуль",C386&lt;&gt;"",OR($S$6="(все)",B386=$S$6)),MAX($AA$3:AA385)+1,"")</f>
        <v/>
      </c>
      <c r="AB386" s="38" t="str">
        <f t="shared" si="50"/>
        <v/>
      </c>
      <c r="AC386" s="38" t="str">
        <f>IF(OR(B386="",COUNTIF($B$4:B386,B386)&gt;1),"",MAX($AC$3:AC385)+1)</f>
        <v/>
      </c>
      <c r="AD386" s="38" t="str">
        <f t="shared" si="51"/>
        <v/>
      </c>
      <c r="AE386" s="38" t="str">
        <f t="shared" si="52"/>
        <v/>
      </c>
      <c r="AF386" s="38" t="str">
        <f t="shared" si="53"/>
        <v/>
      </c>
    </row>
    <row r="387" spans="1:32" x14ac:dyDescent="0.3">
      <c r="A387" s="74"/>
      <c r="B387" s="74"/>
      <c r="C387" s="74"/>
      <c r="D387" s="74"/>
      <c r="E387" s="74"/>
      <c r="F387" s="74"/>
      <c r="G387" s="74"/>
      <c r="H387" s="74"/>
      <c r="I387" s="74"/>
      <c r="J387" s="74"/>
      <c r="K387" s="74"/>
      <c r="L387" s="74"/>
      <c r="M387" s="74"/>
      <c r="N387" s="38" t="str">
        <f>IF(OR(A387="Автомат",A387="Дифавтомат"),IF(W387="","",COUNTIFS(Однолинейка!$H$3:$H$3000,U387,Однолинейка!$A$3:$A$3000,Щит_спец)),IF(A387="Аппарат",IF(C387="","",COUNTIFS(Однолинейка!$I$3:$I$3000,C387,Однолинейка!$A$3:$A$3000,Щит_спец)+COUNTIFS(Однолинейка!$J$3:$J$3000,C387,Однолинейка!$A$3:$A$3000,Щит_спец)+COUNTIFS(Однолинейка!$K$3:$K$3000,C387,Однолинейка!$A$3:$A$3000,Щит_спец)),IF(A387="Модуль",IF(C387="","",COUNTIFS(Однолинейка!$AW$3:$AW$3000,"?*",Однолинейка!$AI$3:$AI$3000,C387,Однолинейка!$A$3:$A$3000,Щит_спец)),IF(A387="Клемма",IF(C387="","",IF(C387=$S$7,SUMIFS(Однолинейка!$BW$3:$BW$3000,Однолинейка!$A$3:$A$3000,Щит_спец),IF(C387=$S$8,SUMIFS(Однолинейка!$BX$3:$BX$3000,Однолинейка!$A$3:$A$3000,Щит_спец),""))),""))))</f>
        <v/>
      </c>
      <c r="O387" s="74"/>
      <c r="P387" s="38" t="str">
        <f t="shared" si="45"/>
        <v/>
      </c>
      <c r="U387" s="38" t="str">
        <f t="shared" si="46"/>
        <v/>
      </c>
      <c r="V387" s="38" t="str">
        <f t="shared" si="47"/>
        <v/>
      </c>
      <c r="W387" s="38" t="str">
        <f>IF(AND(U387&lt;&gt;"",OR($S$4="(все)",B387=$S$4),IF($S$4="(все)",COUNTIF($U$4:U387,U387),COUNTIFS($U$4:U387,U387,$B$4:B387,B387))=1),MAX($W$3:W386)+1,"")</f>
        <v/>
      </c>
      <c r="X387" s="38" t="str">
        <f t="shared" si="48"/>
        <v/>
      </c>
      <c r="Y387" s="38" t="str">
        <f>IF(AND(A387="Аппарат",C387&lt;&gt;"",OR($S$5="(все)",B387=$S$5)),MAX($Y$3:Y386)+1,"")</f>
        <v/>
      </c>
      <c r="Z387" s="38" t="str">
        <f t="shared" si="49"/>
        <v/>
      </c>
      <c r="AA387" s="38" t="str">
        <f>IF(AND(A387="Модуль",C387&lt;&gt;"",OR($S$6="(все)",B387=$S$6)),MAX($AA$3:AA386)+1,"")</f>
        <v/>
      </c>
      <c r="AB387" s="38" t="str">
        <f t="shared" si="50"/>
        <v/>
      </c>
      <c r="AC387" s="38" t="str">
        <f>IF(OR(B387="",COUNTIF($B$4:B387,B387)&gt;1),"",MAX($AC$3:AC386)+1)</f>
        <v/>
      </c>
      <c r="AD387" s="38" t="str">
        <f t="shared" si="51"/>
        <v/>
      </c>
      <c r="AE387" s="38" t="str">
        <f t="shared" si="52"/>
        <v/>
      </c>
      <c r="AF387" s="38" t="str">
        <f t="shared" si="53"/>
        <v/>
      </c>
    </row>
    <row r="388" spans="1:32" x14ac:dyDescent="0.3">
      <c r="A388" s="74"/>
      <c r="B388" s="74"/>
      <c r="C388" s="74"/>
      <c r="D388" s="74"/>
      <c r="E388" s="74"/>
      <c r="F388" s="74"/>
      <c r="G388" s="74"/>
      <c r="H388" s="74"/>
      <c r="I388" s="74"/>
      <c r="J388" s="74"/>
      <c r="K388" s="74"/>
      <c r="L388" s="74"/>
      <c r="M388" s="74"/>
      <c r="N388" s="38" t="str">
        <f>IF(OR(A388="Автомат",A388="Дифавтомат"),IF(W388="","",COUNTIFS(Однолинейка!$H$3:$H$3000,U388,Однолинейка!$A$3:$A$3000,Щит_спец)),IF(A388="Аппарат",IF(C388="","",COUNTIFS(Однолинейка!$I$3:$I$3000,C388,Однолинейка!$A$3:$A$3000,Щит_спец)+COUNTIFS(Однолинейка!$J$3:$J$3000,C388,Однолинейка!$A$3:$A$3000,Щит_спец)+COUNTIFS(Однолинейка!$K$3:$K$3000,C388,Однолинейка!$A$3:$A$3000,Щит_спец)),IF(A388="Модуль",IF(C388="","",COUNTIFS(Однолинейка!$AW$3:$AW$3000,"?*",Однолинейка!$AI$3:$AI$3000,C388,Однолинейка!$A$3:$A$3000,Щит_спец)),IF(A388="Клемма",IF(C388="","",IF(C388=$S$7,SUMIFS(Однолинейка!$BW$3:$BW$3000,Однолинейка!$A$3:$A$3000,Щит_спец),IF(C388=$S$8,SUMIFS(Однолинейка!$BX$3:$BX$3000,Однолинейка!$A$3:$A$3000,Щит_спец),""))),""))))</f>
        <v/>
      </c>
      <c r="O388" s="74"/>
      <c r="P388" s="38" t="str">
        <f t="shared" ref="P388:P451" si="54">IF(COUNT(N388,O388)=0,"",SUM(N388,O388))</f>
        <v/>
      </c>
      <c r="U388" s="38" t="str">
        <f t="shared" ref="U388:U451" si="55">IF(OR(A388="Автомат",A388="Дифавтомат"),I388&amp;" С"&amp;J388&amp;"А"&amp;IF(K388="да"," 30мА",IF(ISNUMBER(K388)," "&amp;K388&amp;"мА","")),"")</f>
        <v/>
      </c>
      <c r="V388" s="38" t="str">
        <f t="shared" ref="V388:V451" si="56">IF(U388="","",B388&amp;"|"&amp;U388)</f>
        <v/>
      </c>
      <c r="W388" s="38" t="str">
        <f>IF(AND(U388&lt;&gt;"",OR($S$4="(все)",B388=$S$4),IF($S$4="(все)",COUNTIF($U$4:U388,U388),COUNTIFS($U$4:U388,U388,$B$4:B388,B388))=1),MAX($W$3:W387)+1,"")</f>
        <v/>
      </c>
      <c r="X388" s="38" t="str">
        <f t="shared" ref="X388:X451" si="57">IFERROR(INDEX($U$4:$U$500,MATCH(ROW()-3,$W$4:$W$500,0)),"")</f>
        <v/>
      </c>
      <c r="Y388" s="38" t="str">
        <f>IF(AND(A388="Аппарат",C388&lt;&gt;"",OR($S$5="(все)",B388=$S$5)),MAX($Y$3:Y387)+1,"")</f>
        <v/>
      </c>
      <c r="Z388" s="38" t="str">
        <f t="shared" ref="Z388:Z451" si="58">IFERROR(INDEX($C$4:$C$500,MATCH(ROW()-3,$Y$4:$Y$500,0)),"")</f>
        <v/>
      </c>
      <c r="AA388" s="38" t="str">
        <f>IF(AND(A388="Модуль",C388&lt;&gt;"",OR($S$6="(все)",B388=$S$6)),MAX($AA$3:AA387)+1,"")</f>
        <v/>
      </c>
      <c r="AB388" s="38" t="str">
        <f t="shared" ref="AB388:AB451" si="59">IFERROR(INDEX($C$4:$C$500,MATCH(ROW()-3,$AA$4:$AA$500,0)),"")</f>
        <v/>
      </c>
      <c r="AC388" s="38" t="str">
        <f>IF(OR(B388="",COUNTIF($B$4:B388,B388)&gt;1),"",MAX($AC$3:AC387)+1)</f>
        <v/>
      </c>
      <c r="AD388" s="38" t="str">
        <f t="shared" ref="AD388:AD451" si="60">IFERROR(INDEX($B$4:$B$500,MATCH(ROW()-3,$AC$4:$AC$500,0)),"")</f>
        <v/>
      </c>
      <c r="AE388" s="38" t="str">
        <f t="shared" ref="AE388:AE451" si="61">IF(AND(A388&lt;&gt;"",N(P388)&gt;0),IFERROR(MATCH(A388,$R$12:$R$25,0),99)*1000+ROW(),"")</f>
        <v/>
      </c>
      <c r="AF388" s="38" t="str">
        <f t="shared" ref="AF388:AF451" si="62">IF(AE388="","",COUNTIF($AE$4:$AE$500,"&lt;="&amp;AE388))</f>
        <v/>
      </c>
    </row>
    <row r="389" spans="1:32" x14ac:dyDescent="0.3">
      <c r="A389" s="74"/>
      <c r="B389" s="74"/>
      <c r="C389" s="74"/>
      <c r="D389" s="74"/>
      <c r="E389" s="74"/>
      <c r="F389" s="74"/>
      <c r="G389" s="74"/>
      <c r="H389" s="74"/>
      <c r="I389" s="74"/>
      <c r="J389" s="74"/>
      <c r="K389" s="74"/>
      <c r="L389" s="74"/>
      <c r="M389" s="74"/>
      <c r="N389" s="38" t="str">
        <f>IF(OR(A389="Автомат",A389="Дифавтомат"),IF(W389="","",COUNTIFS(Однолинейка!$H$3:$H$3000,U389,Однолинейка!$A$3:$A$3000,Щит_спец)),IF(A389="Аппарат",IF(C389="","",COUNTIFS(Однолинейка!$I$3:$I$3000,C389,Однолинейка!$A$3:$A$3000,Щит_спец)+COUNTIFS(Однолинейка!$J$3:$J$3000,C389,Однолинейка!$A$3:$A$3000,Щит_спец)+COUNTIFS(Однолинейка!$K$3:$K$3000,C389,Однолинейка!$A$3:$A$3000,Щит_спец)),IF(A389="Модуль",IF(C389="","",COUNTIFS(Однолинейка!$AW$3:$AW$3000,"?*",Однолинейка!$AI$3:$AI$3000,C389,Однолинейка!$A$3:$A$3000,Щит_спец)),IF(A389="Клемма",IF(C389="","",IF(C389=$S$7,SUMIFS(Однолинейка!$BW$3:$BW$3000,Однолинейка!$A$3:$A$3000,Щит_спец),IF(C389=$S$8,SUMIFS(Однолинейка!$BX$3:$BX$3000,Однолинейка!$A$3:$A$3000,Щит_спец),""))),""))))</f>
        <v/>
      </c>
      <c r="O389" s="74"/>
      <c r="P389" s="38" t="str">
        <f t="shared" si="54"/>
        <v/>
      </c>
      <c r="U389" s="38" t="str">
        <f t="shared" si="55"/>
        <v/>
      </c>
      <c r="V389" s="38" t="str">
        <f t="shared" si="56"/>
        <v/>
      </c>
      <c r="W389" s="38" t="str">
        <f>IF(AND(U389&lt;&gt;"",OR($S$4="(все)",B389=$S$4),IF($S$4="(все)",COUNTIF($U$4:U389,U389),COUNTIFS($U$4:U389,U389,$B$4:B389,B389))=1),MAX($W$3:W388)+1,"")</f>
        <v/>
      </c>
      <c r="X389" s="38" t="str">
        <f t="shared" si="57"/>
        <v/>
      </c>
      <c r="Y389" s="38" t="str">
        <f>IF(AND(A389="Аппарат",C389&lt;&gt;"",OR($S$5="(все)",B389=$S$5)),MAX($Y$3:Y388)+1,"")</f>
        <v/>
      </c>
      <c r="Z389" s="38" t="str">
        <f t="shared" si="58"/>
        <v/>
      </c>
      <c r="AA389" s="38" t="str">
        <f>IF(AND(A389="Модуль",C389&lt;&gt;"",OR($S$6="(все)",B389=$S$6)),MAX($AA$3:AA388)+1,"")</f>
        <v/>
      </c>
      <c r="AB389" s="38" t="str">
        <f t="shared" si="59"/>
        <v/>
      </c>
      <c r="AC389" s="38" t="str">
        <f>IF(OR(B389="",COUNTIF($B$4:B389,B389)&gt;1),"",MAX($AC$3:AC388)+1)</f>
        <v/>
      </c>
      <c r="AD389" s="38" t="str">
        <f t="shared" si="60"/>
        <v/>
      </c>
      <c r="AE389" s="38" t="str">
        <f t="shared" si="61"/>
        <v/>
      </c>
      <c r="AF389" s="38" t="str">
        <f t="shared" si="62"/>
        <v/>
      </c>
    </row>
    <row r="390" spans="1:32" x14ac:dyDescent="0.3">
      <c r="A390" s="74"/>
      <c r="B390" s="74"/>
      <c r="C390" s="74"/>
      <c r="D390" s="74"/>
      <c r="E390" s="74"/>
      <c r="F390" s="74"/>
      <c r="G390" s="74"/>
      <c r="H390" s="74"/>
      <c r="I390" s="74"/>
      <c r="J390" s="74"/>
      <c r="K390" s="74"/>
      <c r="L390" s="74"/>
      <c r="M390" s="74"/>
      <c r="N390" s="38" t="str">
        <f>IF(OR(A390="Автомат",A390="Дифавтомат"),IF(W390="","",COUNTIFS(Однолинейка!$H$3:$H$3000,U390,Однолинейка!$A$3:$A$3000,Щит_спец)),IF(A390="Аппарат",IF(C390="","",COUNTIFS(Однолинейка!$I$3:$I$3000,C390,Однолинейка!$A$3:$A$3000,Щит_спец)+COUNTIFS(Однолинейка!$J$3:$J$3000,C390,Однолинейка!$A$3:$A$3000,Щит_спец)+COUNTIFS(Однолинейка!$K$3:$K$3000,C390,Однолинейка!$A$3:$A$3000,Щит_спец)),IF(A390="Модуль",IF(C390="","",COUNTIFS(Однолинейка!$AW$3:$AW$3000,"?*",Однолинейка!$AI$3:$AI$3000,C390,Однолинейка!$A$3:$A$3000,Щит_спец)),IF(A390="Клемма",IF(C390="","",IF(C390=$S$7,SUMIFS(Однолинейка!$BW$3:$BW$3000,Однолинейка!$A$3:$A$3000,Щит_спец),IF(C390=$S$8,SUMIFS(Однолинейка!$BX$3:$BX$3000,Однолинейка!$A$3:$A$3000,Щит_спец),""))),""))))</f>
        <v/>
      </c>
      <c r="O390" s="74"/>
      <c r="P390" s="38" t="str">
        <f t="shared" si="54"/>
        <v/>
      </c>
      <c r="U390" s="38" t="str">
        <f t="shared" si="55"/>
        <v/>
      </c>
      <c r="V390" s="38" t="str">
        <f t="shared" si="56"/>
        <v/>
      </c>
      <c r="W390" s="38" t="str">
        <f>IF(AND(U390&lt;&gt;"",OR($S$4="(все)",B390=$S$4),IF($S$4="(все)",COUNTIF($U$4:U390,U390),COUNTIFS($U$4:U390,U390,$B$4:B390,B390))=1),MAX($W$3:W389)+1,"")</f>
        <v/>
      </c>
      <c r="X390" s="38" t="str">
        <f t="shared" si="57"/>
        <v/>
      </c>
      <c r="Y390" s="38" t="str">
        <f>IF(AND(A390="Аппарат",C390&lt;&gt;"",OR($S$5="(все)",B390=$S$5)),MAX($Y$3:Y389)+1,"")</f>
        <v/>
      </c>
      <c r="Z390" s="38" t="str">
        <f t="shared" si="58"/>
        <v/>
      </c>
      <c r="AA390" s="38" t="str">
        <f>IF(AND(A390="Модуль",C390&lt;&gt;"",OR($S$6="(все)",B390=$S$6)),MAX($AA$3:AA389)+1,"")</f>
        <v/>
      </c>
      <c r="AB390" s="38" t="str">
        <f t="shared" si="59"/>
        <v/>
      </c>
      <c r="AC390" s="38" t="str">
        <f>IF(OR(B390="",COUNTIF($B$4:B390,B390)&gt;1),"",MAX($AC$3:AC389)+1)</f>
        <v/>
      </c>
      <c r="AD390" s="38" t="str">
        <f t="shared" si="60"/>
        <v/>
      </c>
      <c r="AE390" s="38" t="str">
        <f t="shared" si="61"/>
        <v/>
      </c>
      <c r="AF390" s="38" t="str">
        <f t="shared" si="62"/>
        <v/>
      </c>
    </row>
    <row r="391" spans="1:32" x14ac:dyDescent="0.3">
      <c r="A391" s="74"/>
      <c r="B391" s="74"/>
      <c r="C391" s="74"/>
      <c r="D391" s="74"/>
      <c r="E391" s="74"/>
      <c r="F391" s="74"/>
      <c r="G391" s="74"/>
      <c r="H391" s="74"/>
      <c r="I391" s="74"/>
      <c r="J391" s="74"/>
      <c r="K391" s="74"/>
      <c r="L391" s="74"/>
      <c r="M391" s="74"/>
      <c r="N391" s="38" t="str">
        <f>IF(OR(A391="Автомат",A391="Дифавтомат"),IF(W391="","",COUNTIFS(Однолинейка!$H$3:$H$3000,U391,Однолинейка!$A$3:$A$3000,Щит_спец)),IF(A391="Аппарат",IF(C391="","",COUNTIFS(Однолинейка!$I$3:$I$3000,C391,Однолинейка!$A$3:$A$3000,Щит_спец)+COUNTIFS(Однолинейка!$J$3:$J$3000,C391,Однолинейка!$A$3:$A$3000,Щит_спец)+COUNTIFS(Однолинейка!$K$3:$K$3000,C391,Однолинейка!$A$3:$A$3000,Щит_спец)),IF(A391="Модуль",IF(C391="","",COUNTIFS(Однолинейка!$AW$3:$AW$3000,"?*",Однолинейка!$AI$3:$AI$3000,C391,Однолинейка!$A$3:$A$3000,Щит_спец)),IF(A391="Клемма",IF(C391="","",IF(C391=$S$7,SUMIFS(Однолинейка!$BW$3:$BW$3000,Однолинейка!$A$3:$A$3000,Щит_спец),IF(C391=$S$8,SUMIFS(Однолинейка!$BX$3:$BX$3000,Однолинейка!$A$3:$A$3000,Щит_спец),""))),""))))</f>
        <v/>
      </c>
      <c r="O391" s="74"/>
      <c r="P391" s="38" t="str">
        <f t="shared" si="54"/>
        <v/>
      </c>
      <c r="U391" s="38" t="str">
        <f t="shared" si="55"/>
        <v/>
      </c>
      <c r="V391" s="38" t="str">
        <f t="shared" si="56"/>
        <v/>
      </c>
      <c r="W391" s="38" t="str">
        <f>IF(AND(U391&lt;&gt;"",OR($S$4="(все)",B391=$S$4),IF($S$4="(все)",COUNTIF($U$4:U391,U391),COUNTIFS($U$4:U391,U391,$B$4:B391,B391))=1),MAX($W$3:W390)+1,"")</f>
        <v/>
      </c>
      <c r="X391" s="38" t="str">
        <f t="shared" si="57"/>
        <v/>
      </c>
      <c r="Y391" s="38" t="str">
        <f>IF(AND(A391="Аппарат",C391&lt;&gt;"",OR($S$5="(все)",B391=$S$5)),MAX($Y$3:Y390)+1,"")</f>
        <v/>
      </c>
      <c r="Z391" s="38" t="str">
        <f t="shared" si="58"/>
        <v/>
      </c>
      <c r="AA391" s="38" t="str">
        <f>IF(AND(A391="Модуль",C391&lt;&gt;"",OR($S$6="(все)",B391=$S$6)),MAX($AA$3:AA390)+1,"")</f>
        <v/>
      </c>
      <c r="AB391" s="38" t="str">
        <f t="shared" si="59"/>
        <v/>
      </c>
      <c r="AC391" s="38" t="str">
        <f>IF(OR(B391="",COUNTIF($B$4:B391,B391)&gt;1),"",MAX($AC$3:AC390)+1)</f>
        <v/>
      </c>
      <c r="AD391" s="38" t="str">
        <f t="shared" si="60"/>
        <v/>
      </c>
      <c r="AE391" s="38" t="str">
        <f t="shared" si="61"/>
        <v/>
      </c>
      <c r="AF391" s="38" t="str">
        <f t="shared" si="62"/>
        <v/>
      </c>
    </row>
    <row r="392" spans="1:32" x14ac:dyDescent="0.3">
      <c r="A392" s="74"/>
      <c r="B392" s="74"/>
      <c r="C392" s="74"/>
      <c r="D392" s="74"/>
      <c r="E392" s="74"/>
      <c r="F392" s="74"/>
      <c r="G392" s="74"/>
      <c r="H392" s="74"/>
      <c r="I392" s="74"/>
      <c r="J392" s="74"/>
      <c r="K392" s="74"/>
      <c r="L392" s="74"/>
      <c r="M392" s="74"/>
      <c r="N392" s="38" t="str">
        <f>IF(OR(A392="Автомат",A392="Дифавтомат"),IF(W392="","",COUNTIFS(Однолинейка!$H$3:$H$3000,U392,Однолинейка!$A$3:$A$3000,Щит_спец)),IF(A392="Аппарат",IF(C392="","",COUNTIFS(Однолинейка!$I$3:$I$3000,C392,Однолинейка!$A$3:$A$3000,Щит_спец)+COUNTIFS(Однолинейка!$J$3:$J$3000,C392,Однолинейка!$A$3:$A$3000,Щит_спец)+COUNTIFS(Однолинейка!$K$3:$K$3000,C392,Однолинейка!$A$3:$A$3000,Щит_спец)),IF(A392="Модуль",IF(C392="","",COUNTIFS(Однолинейка!$AW$3:$AW$3000,"?*",Однолинейка!$AI$3:$AI$3000,C392,Однолинейка!$A$3:$A$3000,Щит_спец)),IF(A392="Клемма",IF(C392="","",IF(C392=$S$7,SUMIFS(Однолинейка!$BW$3:$BW$3000,Однолинейка!$A$3:$A$3000,Щит_спец),IF(C392=$S$8,SUMIFS(Однолинейка!$BX$3:$BX$3000,Однолинейка!$A$3:$A$3000,Щит_спец),""))),""))))</f>
        <v/>
      </c>
      <c r="O392" s="74"/>
      <c r="P392" s="38" t="str">
        <f t="shared" si="54"/>
        <v/>
      </c>
      <c r="U392" s="38" t="str">
        <f t="shared" si="55"/>
        <v/>
      </c>
      <c r="V392" s="38" t="str">
        <f t="shared" si="56"/>
        <v/>
      </c>
      <c r="W392" s="38" t="str">
        <f>IF(AND(U392&lt;&gt;"",OR($S$4="(все)",B392=$S$4),IF($S$4="(все)",COUNTIF($U$4:U392,U392),COUNTIFS($U$4:U392,U392,$B$4:B392,B392))=1),MAX($W$3:W391)+1,"")</f>
        <v/>
      </c>
      <c r="X392" s="38" t="str">
        <f t="shared" si="57"/>
        <v/>
      </c>
      <c r="Y392" s="38" t="str">
        <f>IF(AND(A392="Аппарат",C392&lt;&gt;"",OR($S$5="(все)",B392=$S$5)),MAX($Y$3:Y391)+1,"")</f>
        <v/>
      </c>
      <c r="Z392" s="38" t="str">
        <f t="shared" si="58"/>
        <v/>
      </c>
      <c r="AA392" s="38" t="str">
        <f>IF(AND(A392="Модуль",C392&lt;&gt;"",OR($S$6="(все)",B392=$S$6)),MAX($AA$3:AA391)+1,"")</f>
        <v/>
      </c>
      <c r="AB392" s="38" t="str">
        <f t="shared" si="59"/>
        <v/>
      </c>
      <c r="AC392" s="38" t="str">
        <f>IF(OR(B392="",COUNTIF($B$4:B392,B392)&gt;1),"",MAX($AC$3:AC391)+1)</f>
        <v/>
      </c>
      <c r="AD392" s="38" t="str">
        <f t="shared" si="60"/>
        <v/>
      </c>
      <c r="AE392" s="38" t="str">
        <f t="shared" si="61"/>
        <v/>
      </c>
      <c r="AF392" s="38" t="str">
        <f t="shared" si="62"/>
        <v/>
      </c>
    </row>
    <row r="393" spans="1:32" x14ac:dyDescent="0.3">
      <c r="A393" s="74"/>
      <c r="B393" s="74"/>
      <c r="C393" s="74"/>
      <c r="D393" s="74"/>
      <c r="E393" s="74"/>
      <c r="F393" s="74"/>
      <c r="G393" s="74"/>
      <c r="H393" s="74"/>
      <c r="I393" s="74"/>
      <c r="J393" s="74"/>
      <c r="K393" s="74"/>
      <c r="L393" s="74"/>
      <c r="M393" s="74"/>
      <c r="N393" s="38" t="str">
        <f>IF(OR(A393="Автомат",A393="Дифавтомат"),IF(W393="","",COUNTIFS(Однолинейка!$H$3:$H$3000,U393,Однолинейка!$A$3:$A$3000,Щит_спец)),IF(A393="Аппарат",IF(C393="","",COUNTIFS(Однолинейка!$I$3:$I$3000,C393,Однолинейка!$A$3:$A$3000,Щит_спец)+COUNTIFS(Однолинейка!$J$3:$J$3000,C393,Однолинейка!$A$3:$A$3000,Щит_спец)+COUNTIFS(Однолинейка!$K$3:$K$3000,C393,Однолинейка!$A$3:$A$3000,Щит_спец)),IF(A393="Модуль",IF(C393="","",COUNTIFS(Однолинейка!$AW$3:$AW$3000,"?*",Однолинейка!$AI$3:$AI$3000,C393,Однолинейка!$A$3:$A$3000,Щит_спец)),IF(A393="Клемма",IF(C393="","",IF(C393=$S$7,SUMIFS(Однолинейка!$BW$3:$BW$3000,Однолинейка!$A$3:$A$3000,Щит_спец),IF(C393=$S$8,SUMIFS(Однолинейка!$BX$3:$BX$3000,Однолинейка!$A$3:$A$3000,Щит_спец),""))),""))))</f>
        <v/>
      </c>
      <c r="O393" s="74"/>
      <c r="P393" s="38" t="str">
        <f t="shared" si="54"/>
        <v/>
      </c>
      <c r="U393" s="38" t="str">
        <f t="shared" si="55"/>
        <v/>
      </c>
      <c r="V393" s="38" t="str">
        <f t="shared" si="56"/>
        <v/>
      </c>
      <c r="W393" s="38" t="str">
        <f>IF(AND(U393&lt;&gt;"",OR($S$4="(все)",B393=$S$4),IF($S$4="(все)",COUNTIF($U$4:U393,U393),COUNTIFS($U$4:U393,U393,$B$4:B393,B393))=1),MAX($W$3:W392)+1,"")</f>
        <v/>
      </c>
      <c r="X393" s="38" t="str">
        <f t="shared" si="57"/>
        <v/>
      </c>
      <c r="Y393" s="38" t="str">
        <f>IF(AND(A393="Аппарат",C393&lt;&gt;"",OR($S$5="(все)",B393=$S$5)),MAX($Y$3:Y392)+1,"")</f>
        <v/>
      </c>
      <c r="Z393" s="38" t="str">
        <f t="shared" si="58"/>
        <v/>
      </c>
      <c r="AA393" s="38" t="str">
        <f>IF(AND(A393="Модуль",C393&lt;&gt;"",OR($S$6="(все)",B393=$S$6)),MAX($AA$3:AA392)+1,"")</f>
        <v/>
      </c>
      <c r="AB393" s="38" t="str">
        <f t="shared" si="59"/>
        <v/>
      </c>
      <c r="AC393" s="38" t="str">
        <f>IF(OR(B393="",COUNTIF($B$4:B393,B393)&gt;1),"",MAX($AC$3:AC392)+1)</f>
        <v/>
      </c>
      <c r="AD393" s="38" t="str">
        <f t="shared" si="60"/>
        <v/>
      </c>
      <c r="AE393" s="38" t="str">
        <f t="shared" si="61"/>
        <v/>
      </c>
      <c r="AF393" s="38" t="str">
        <f t="shared" si="62"/>
        <v/>
      </c>
    </row>
    <row r="394" spans="1:32" x14ac:dyDescent="0.3">
      <c r="A394" s="74"/>
      <c r="B394" s="74"/>
      <c r="C394" s="74"/>
      <c r="D394" s="74"/>
      <c r="E394" s="74"/>
      <c r="F394" s="74"/>
      <c r="G394" s="74"/>
      <c r="H394" s="74"/>
      <c r="I394" s="74"/>
      <c r="J394" s="74"/>
      <c r="K394" s="74"/>
      <c r="L394" s="74"/>
      <c r="M394" s="74"/>
      <c r="N394" s="38" t="str">
        <f>IF(OR(A394="Автомат",A394="Дифавтомат"),IF(W394="","",COUNTIFS(Однолинейка!$H$3:$H$3000,U394,Однолинейка!$A$3:$A$3000,Щит_спец)),IF(A394="Аппарат",IF(C394="","",COUNTIFS(Однолинейка!$I$3:$I$3000,C394,Однолинейка!$A$3:$A$3000,Щит_спец)+COUNTIFS(Однолинейка!$J$3:$J$3000,C394,Однолинейка!$A$3:$A$3000,Щит_спец)+COUNTIFS(Однолинейка!$K$3:$K$3000,C394,Однолинейка!$A$3:$A$3000,Щит_спец)),IF(A394="Модуль",IF(C394="","",COUNTIFS(Однолинейка!$AW$3:$AW$3000,"?*",Однолинейка!$AI$3:$AI$3000,C394,Однолинейка!$A$3:$A$3000,Щит_спец)),IF(A394="Клемма",IF(C394="","",IF(C394=$S$7,SUMIFS(Однолинейка!$BW$3:$BW$3000,Однолинейка!$A$3:$A$3000,Щит_спец),IF(C394=$S$8,SUMIFS(Однолинейка!$BX$3:$BX$3000,Однолинейка!$A$3:$A$3000,Щит_спец),""))),""))))</f>
        <v/>
      </c>
      <c r="O394" s="74"/>
      <c r="P394" s="38" t="str">
        <f t="shared" si="54"/>
        <v/>
      </c>
      <c r="U394" s="38" t="str">
        <f t="shared" si="55"/>
        <v/>
      </c>
      <c r="V394" s="38" t="str">
        <f t="shared" si="56"/>
        <v/>
      </c>
      <c r="W394" s="38" t="str">
        <f>IF(AND(U394&lt;&gt;"",OR($S$4="(все)",B394=$S$4),IF($S$4="(все)",COUNTIF($U$4:U394,U394),COUNTIFS($U$4:U394,U394,$B$4:B394,B394))=1),MAX($W$3:W393)+1,"")</f>
        <v/>
      </c>
      <c r="X394" s="38" t="str">
        <f t="shared" si="57"/>
        <v/>
      </c>
      <c r="Y394" s="38" t="str">
        <f>IF(AND(A394="Аппарат",C394&lt;&gt;"",OR($S$5="(все)",B394=$S$5)),MAX($Y$3:Y393)+1,"")</f>
        <v/>
      </c>
      <c r="Z394" s="38" t="str">
        <f t="shared" si="58"/>
        <v/>
      </c>
      <c r="AA394" s="38" t="str">
        <f>IF(AND(A394="Модуль",C394&lt;&gt;"",OR($S$6="(все)",B394=$S$6)),MAX($AA$3:AA393)+1,"")</f>
        <v/>
      </c>
      <c r="AB394" s="38" t="str">
        <f t="shared" si="59"/>
        <v/>
      </c>
      <c r="AC394" s="38" t="str">
        <f>IF(OR(B394="",COUNTIF($B$4:B394,B394)&gt;1),"",MAX($AC$3:AC393)+1)</f>
        <v/>
      </c>
      <c r="AD394" s="38" t="str">
        <f t="shared" si="60"/>
        <v/>
      </c>
      <c r="AE394" s="38" t="str">
        <f t="shared" si="61"/>
        <v/>
      </c>
      <c r="AF394" s="38" t="str">
        <f t="shared" si="62"/>
        <v/>
      </c>
    </row>
    <row r="395" spans="1:32" x14ac:dyDescent="0.3">
      <c r="A395" s="74"/>
      <c r="B395" s="74"/>
      <c r="C395" s="74"/>
      <c r="D395" s="74"/>
      <c r="E395" s="74"/>
      <c r="F395" s="74"/>
      <c r="G395" s="74"/>
      <c r="H395" s="74"/>
      <c r="I395" s="74"/>
      <c r="J395" s="74"/>
      <c r="K395" s="74"/>
      <c r="L395" s="74"/>
      <c r="M395" s="74"/>
      <c r="N395" s="38" t="str">
        <f>IF(OR(A395="Автомат",A395="Дифавтомат"),IF(W395="","",COUNTIFS(Однолинейка!$H$3:$H$3000,U395,Однолинейка!$A$3:$A$3000,Щит_спец)),IF(A395="Аппарат",IF(C395="","",COUNTIFS(Однолинейка!$I$3:$I$3000,C395,Однолинейка!$A$3:$A$3000,Щит_спец)+COUNTIFS(Однолинейка!$J$3:$J$3000,C395,Однолинейка!$A$3:$A$3000,Щит_спец)+COUNTIFS(Однолинейка!$K$3:$K$3000,C395,Однолинейка!$A$3:$A$3000,Щит_спец)),IF(A395="Модуль",IF(C395="","",COUNTIFS(Однолинейка!$AW$3:$AW$3000,"?*",Однолинейка!$AI$3:$AI$3000,C395,Однолинейка!$A$3:$A$3000,Щит_спец)),IF(A395="Клемма",IF(C395="","",IF(C395=$S$7,SUMIFS(Однолинейка!$BW$3:$BW$3000,Однолинейка!$A$3:$A$3000,Щит_спец),IF(C395=$S$8,SUMIFS(Однолинейка!$BX$3:$BX$3000,Однолинейка!$A$3:$A$3000,Щит_спец),""))),""))))</f>
        <v/>
      </c>
      <c r="O395" s="74"/>
      <c r="P395" s="38" t="str">
        <f t="shared" si="54"/>
        <v/>
      </c>
      <c r="U395" s="38" t="str">
        <f t="shared" si="55"/>
        <v/>
      </c>
      <c r="V395" s="38" t="str">
        <f t="shared" si="56"/>
        <v/>
      </c>
      <c r="W395" s="38" t="str">
        <f>IF(AND(U395&lt;&gt;"",OR($S$4="(все)",B395=$S$4),IF($S$4="(все)",COUNTIF($U$4:U395,U395),COUNTIFS($U$4:U395,U395,$B$4:B395,B395))=1),MAX($W$3:W394)+1,"")</f>
        <v/>
      </c>
      <c r="X395" s="38" t="str">
        <f t="shared" si="57"/>
        <v/>
      </c>
      <c r="Y395" s="38" t="str">
        <f>IF(AND(A395="Аппарат",C395&lt;&gt;"",OR($S$5="(все)",B395=$S$5)),MAX($Y$3:Y394)+1,"")</f>
        <v/>
      </c>
      <c r="Z395" s="38" t="str">
        <f t="shared" si="58"/>
        <v/>
      </c>
      <c r="AA395" s="38" t="str">
        <f>IF(AND(A395="Модуль",C395&lt;&gt;"",OR($S$6="(все)",B395=$S$6)),MAX($AA$3:AA394)+1,"")</f>
        <v/>
      </c>
      <c r="AB395" s="38" t="str">
        <f t="shared" si="59"/>
        <v/>
      </c>
      <c r="AC395" s="38" t="str">
        <f>IF(OR(B395="",COUNTIF($B$4:B395,B395)&gt;1),"",MAX($AC$3:AC394)+1)</f>
        <v/>
      </c>
      <c r="AD395" s="38" t="str">
        <f t="shared" si="60"/>
        <v/>
      </c>
      <c r="AE395" s="38" t="str">
        <f t="shared" si="61"/>
        <v/>
      </c>
      <c r="AF395" s="38" t="str">
        <f t="shared" si="62"/>
        <v/>
      </c>
    </row>
    <row r="396" spans="1:32" x14ac:dyDescent="0.3">
      <c r="A396" s="74"/>
      <c r="B396" s="74"/>
      <c r="C396" s="74"/>
      <c r="D396" s="74"/>
      <c r="E396" s="74"/>
      <c r="F396" s="74"/>
      <c r="G396" s="74"/>
      <c r="H396" s="74"/>
      <c r="I396" s="74"/>
      <c r="J396" s="74"/>
      <c r="K396" s="74"/>
      <c r="L396" s="74"/>
      <c r="M396" s="74"/>
      <c r="N396" s="38" t="str">
        <f>IF(OR(A396="Автомат",A396="Дифавтомат"),IF(W396="","",COUNTIFS(Однолинейка!$H$3:$H$3000,U396,Однолинейка!$A$3:$A$3000,Щит_спец)),IF(A396="Аппарат",IF(C396="","",COUNTIFS(Однолинейка!$I$3:$I$3000,C396,Однолинейка!$A$3:$A$3000,Щит_спец)+COUNTIFS(Однолинейка!$J$3:$J$3000,C396,Однолинейка!$A$3:$A$3000,Щит_спец)+COUNTIFS(Однолинейка!$K$3:$K$3000,C396,Однолинейка!$A$3:$A$3000,Щит_спец)),IF(A396="Модуль",IF(C396="","",COUNTIFS(Однолинейка!$AW$3:$AW$3000,"?*",Однолинейка!$AI$3:$AI$3000,C396,Однолинейка!$A$3:$A$3000,Щит_спец)),IF(A396="Клемма",IF(C396="","",IF(C396=$S$7,SUMIFS(Однолинейка!$BW$3:$BW$3000,Однолинейка!$A$3:$A$3000,Щит_спец),IF(C396=$S$8,SUMIFS(Однолинейка!$BX$3:$BX$3000,Однолинейка!$A$3:$A$3000,Щит_спец),""))),""))))</f>
        <v/>
      </c>
      <c r="O396" s="74"/>
      <c r="P396" s="38" t="str">
        <f t="shared" si="54"/>
        <v/>
      </c>
      <c r="U396" s="38" t="str">
        <f t="shared" si="55"/>
        <v/>
      </c>
      <c r="V396" s="38" t="str">
        <f t="shared" si="56"/>
        <v/>
      </c>
      <c r="W396" s="38" t="str">
        <f>IF(AND(U396&lt;&gt;"",OR($S$4="(все)",B396=$S$4),IF($S$4="(все)",COUNTIF($U$4:U396,U396),COUNTIFS($U$4:U396,U396,$B$4:B396,B396))=1),MAX($W$3:W395)+1,"")</f>
        <v/>
      </c>
      <c r="X396" s="38" t="str">
        <f t="shared" si="57"/>
        <v/>
      </c>
      <c r="Y396" s="38" t="str">
        <f>IF(AND(A396="Аппарат",C396&lt;&gt;"",OR($S$5="(все)",B396=$S$5)),MAX($Y$3:Y395)+1,"")</f>
        <v/>
      </c>
      <c r="Z396" s="38" t="str">
        <f t="shared" si="58"/>
        <v/>
      </c>
      <c r="AA396" s="38" t="str">
        <f>IF(AND(A396="Модуль",C396&lt;&gt;"",OR($S$6="(все)",B396=$S$6)),MAX($AA$3:AA395)+1,"")</f>
        <v/>
      </c>
      <c r="AB396" s="38" t="str">
        <f t="shared" si="59"/>
        <v/>
      </c>
      <c r="AC396" s="38" t="str">
        <f>IF(OR(B396="",COUNTIF($B$4:B396,B396)&gt;1),"",MAX($AC$3:AC395)+1)</f>
        <v/>
      </c>
      <c r="AD396" s="38" t="str">
        <f t="shared" si="60"/>
        <v/>
      </c>
      <c r="AE396" s="38" t="str">
        <f t="shared" si="61"/>
        <v/>
      </c>
      <c r="AF396" s="38" t="str">
        <f t="shared" si="62"/>
        <v/>
      </c>
    </row>
    <row r="397" spans="1:32" x14ac:dyDescent="0.3">
      <c r="A397" s="74"/>
      <c r="B397" s="74"/>
      <c r="C397" s="74"/>
      <c r="D397" s="74"/>
      <c r="E397" s="74"/>
      <c r="F397" s="74"/>
      <c r="G397" s="74"/>
      <c r="H397" s="74"/>
      <c r="I397" s="74"/>
      <c r="J397" s="74"/>
      <c r="K397" s="74"/>
      <c r="L397" s="74"/>
      <c r="M397" s="74"/>
      <c r="N397" s="38" t="str">
        <f>IF(OR(A397="Автомат",A397="Дифавтомат"),IF(W397="","",COUNTIFS(Однолинейка!$H$3:$H$3000,U397,Однолинейка!$A$3:$A$3000,Щит_спец)),IF(A397="Аппарат",IF(C397="","",COUNTIFS(Однолинейка!$I$3:$I$3000,C397,Однолинейка!$A$3:$A$3000,Щит_спец)+COUNTIFS(Однолинейка!$J$3:$J$3000,C397,Однолинейка!$A$3:$A$3000,Щит_спец)+COUNTIFS(Однолинейка!$K$3:$K$3000,C397,Однолинейка!$A$3:$A$3000,Щит_спец)),IF(A397="Модуль",IF(C397="","",COUNTIFS(Однолинейка!$AW$3:$AW$3000,"?*",Однолинейка!$AI$3:$AI$3000,C397,Однолинейка!$A$3:$A$3000,Щит_спец)),IF(A397="Клемма",IF(C397="","",IF(C397=$S$7,SUMIFS(Однолинейка!$BW$3:$BW$3000,Однолинейка!$A$3:$A$3000,Щит_спец),IF(C397=$S$8,SUMIFS(Однолинейка!$BX$3:$BX$3000,Однолинейка!$A$3:$A$3000,Щит_спец),""))),""))))</f>
        <v/>
      </c>
      <c r="O397" s="74"/>
      <c r="P397" s="38" t="str">
        <f t="shared" si="54"/>
        <v/>
      </c>
      <c r="U397" s="38" t="str">
        <f t="shared" si="55"/>
        <v/>
      </c>
      <c r="V397" s="38" t="str">
        <f t="shared" si="56"/>
        <v/>
      </c>
      <c r="W397" s="38" t="str">
        <f>IF(AND(U397&lt;&gt;"",OR($S$4="(все)",B397=$S$4),IF($S$4="(все)",COUNTIF($U$4:U397,U397),COUNTIFS($U$4:U397,U397,$B$4:B397,B397))=1),MAX($W$3:W396)+1,"")</f>
        <v/>
      </c>
      <c r="X397" s="38" t="str">
        <f t="shared" si="57"/>
        <v/>
      </c>
      <c r="Y397" s="38" t="str">
        <f>IF(AND(A397="Аппарат",C397&lt;&gt;"",OR($S$5="(все)",B397=$S$5)),MAX($Y$3:Y396)+1,"")</f>
        <v/>
      </c>
      <c r="Z397" s="38" t="str">
        <f t="shared" si="58"/>
        <v/>
      </c>
      <c r="AA397" s="38" t="str">
        <f>IF(AND(A397="Модуль",C397&lt;&gt;"",OR($S$6="(все)",B397=$S$6)),MAX($AA$3:AA396)+1,"")</f>
        <v/>
      </c>
      <c r="AB397" s="38" t="str">
        <f t="shared" si="59"/>
        <v/>
      </c>
      <c r="AC397" s="38" t="str">
        <f>IF(OR(B397="",COUNTIF($B$4:B397,B397)&gt;1),"",MAX($AC$3:AC396)+1)</f>
        <v/>
      </c>
      <c r="AD397" s="38" t="str">
        <f t="shared" si="60"/>
        <v/>
      </c>
      <c r="AE397" s="38" t="str">
        <f t="shared" si="61"/>
        <v/>
      </c>
      <c r="AF397" s="38" t="str">
        <f t="shared" si="62"/>
        <v/>
      </c>
    </row>
    <row r="398" spans="1:32" x14ac:dyDescent="0.3">
      <c r="A398" s="74"/>
      <c r="B398" s="74"/>
      <c r="C398" s="74"/>
      <c r="D398" s="74"/>
      <c r="E398" s="74"/>
      <c r="F398" s="74"/>
      <c r="G398" s="74"/>
      <c r="H398" s="74"/>
      <c r="I398" s="74"/>
      <c r="J398" s="74"/>
      <c r="K398" s="74"/>
      <c r="L398" s="74"/>
      <c r="M398" s="74"/>
      <c r="N398" s="38" t="str">
        <f>IF(OR(A398="Автомат",A398="Дифавтомат"),IF(W398="","",COUNTIFS(Однолинейка!$H$3:$H$3000,U398,Однолинейка!$A$3:$A$3000,Щит_спец)),IF(A398="Аппарат",IF(C398="","",COUNTIFS(Однолинейка!$I$3:$I$3000,C398,Однолинейка!$A$3:$A$3000,Щит_спец)+COUNTIFS(Однолинейка!$J$3:$J$3000,C398,Однолинейка!$A$3:$A$3000,Щит_спец)+COUNTIFS(Однолинейка!$K$3:$K$3000,C398,Однолинейка!$A$3:$A$3000,Щит_спец)),IF(A398="Модуль",IF(C398="","",COUNTIFS(Однолинейка!$AW$3:$AW$3000,"?*",Однолинейка!$AI$3:$AI$3000,C398,Однолинейка!$A$3:$A$3000,Щит_спец)),IF(A398="Клемма",IF(C398="","",IF(C398=$S$7,SUMIFS(Однолинейка!$BW$3:$BW$3000,Однолинейка!$A$3:$A$3000,Щит_спец),IF(C398=$S$8,SUMIFS(Однолинейка!$BX$3:$BX$3000,Однолинейка!$A$3:$A$3000,Щит_спец),""))),""))))</f>
        <v/>
      </c>
      <c r="O398" s="74"/>
      <c r="P398" s="38" t="str">
        <f t="shared" si="54"/>
        <v/>
      </c>
      <c r="U398" s="38" t="str">
        <f t="shared" si="55"/>
        <v/>
      </c>
      <c r="V398" s="38" t="str">
        <f t="shared" si="56"/>
        <v/>
      </c>
      <c r="W398" s="38" t="str">
        <f>IF(AND(U398&lt;&gt;"",OR($S$4="(все)",B398=$S$4),IF($S$4="(все)",COUNTIF($U$4:U398,U398),COUNTIFS($U$4:U398,U398,$B$4:B398,B398))=1),MAX($W$3:W397)+1,"")</f>
        <v/>
      </c>
      <c r="X398" s="38" t="str">
        <f t="shared" si="57"/>
        <v/>
      </c>
      <c r="Y398" s="38" t="str">
        <f>IF(AND(A398="Аппарат",C398&lt;&gt;"",OR($S$5="(все)",B398=$S$5)),MAX($Y$3:Y397)+1,"")</f>
        <v/>
      </c>
      <c r="Z398" s="38" t="str">
        <f t="shared" si="58"/>
        <v/>
      </c>
      <c r="AA398" s="38" t="str">
        <f>IF(AND(A398="Модуль",C398&lt;&gt;"",OR($S$6="(все)",B398=$S$6)),MAX($AA$3:AA397)+1,"")</f>
        <v/>
      </c>
      <c r="AB398" s="38" t="str">
        <f t="shared" si="59"/>
        <v/>
      </c>
      <c r="AC398" s="38" t="str">
        <f>IF(OR(B398="",COUNTIF($B$4:B398,B398)&gt;1),"",MAX($AC$3:AC397)+1)</f>
        <v/>
      </c>
      <c r="AD398" s="38" t="str">
        <f t="shared" si="60"/>
        <v/>
      </c>
      <c r="AE398" s="38" t="str">
        <f t="shared" si="61"/>
        <v/>
      </c>
      <c r="AF398" s="38" t="str">
        <f t="shared" si="62"/>
        <v/>
      </c>
    </row>
    <row r="399" spans="1:32" x14ac:dyDescent="0.3">
      <c r="A399" s="74"/>
      <c r="B399" s="74"/>
      <c r="C399" s="74"/>
      <c r="D399" s="74"/>
      <c r="E399" s="74"/>
      <c r="F399" s="74"/>
      <c r="G399" s="74"/>
      <c r="H399" s="74"/>
      <c r="I399" s="74"/>
      <c r="J399" s="74"/>
      <c r="K399" s="74"/>
      <c r="L399" s="74"/>
      <c r="M399" s="74"/>
      <c r="N399" s="38" t="str">
        <f>IF(OR(A399="Автомат",A399="Дифавтомат"),IF(W399="","",COUNTIFS(Однолинейка!$H$3:$H$3000,U399,Однолинейка!$A$3:$A$3000,Щит_спец)),IF(A399="Аппарат",IF(C399="","",COUNTIFS(Однолинейка!$I$3:$I$3000,C399,Однолинейка!$A$3:$A$3000,Щит_спец)+COUNTIFS(Однолинейка!$J$3:$J$3000,C399,Однолинейка!$A$3:$A$3000,Щит_спец)+COUNTIFS(Однолинейка!$K$3:$K$3000,C399,Однолинейка!$A$3:$A$3000,Щит_спец)),IF(A399="Модуль",IF(C399="","",COUNTIFS(Однолинейка!$AW$3:$AW$3000,"?*",Однолинейка!$AI$3:$AI$3000,C399,Однолинейка!$A$3:$A$3000,Щит_спец)),IF(A399="Клемма",IF(C399="","",IF(C399=$S$7,SUMIFS(Однолинейка!$BW$3:$BW$3000,Однолинейка!$A$3:$A$3000,Щит_спец),IF(C399=$S$8,SUMIFS(Однолинейка!$BX$3:$BX$3000,Однолинейка!$A$3:$A$3000,Щит_спец),""))),""))))</f>
        <v/>
      </c>
      <c r="O399" s="74"/>
      <c r="P399" s="38" t="str">
        <f t="shared" si="54"/>
        <v/>
      </c>
      <c r="U399" s="38" t="str">
        <f t="shared" si="55"/>
        <v/>
      </c>
      <c r="V399" s="38" t="str">
        <f t="shared" si="56"/>
        <v/>
      </c>
      <c r="W399" s="38" t="str">
        <f>IF(AND(U399&lt;&gt;"",OR($S$4="(все)",B399=$S$4),IF($S$4="(все)",COUNTIF($U$4:U399,U399),COUNTIFS($U$4:U399,U399,$B$4:B399,B399))=1),MAX($W$3:W398)+1,"")</f>
        <v/>
      </c>
      <c r="X399" s="38" t="str">
        <f t="shared" si="57"/>
        <v/>
      </c>
      <c r="Y399" s="38" t="str">
        <f>IF(AND(A399="Аппарат",C399&lt;&gt;"",OR($S$5="(все)",B399=$S$5)),MAX($Y$3:Y398)+1,"")</f>
        <v/>
      </c>
      <c r="Z399" s="38" t="str">
        <f t="shared" si="58"/>
        <v/>
      </c>
      <c r="AA399" s="38" t="str">
        <f>IF(AND(A399="Модуль",C399&lt;&gt;"",OR($S$6="(все)",B399=$S$6)),MAX($AA$3:AA398)+1,"")</f>
        <v/>
      </c>
      <c r="AB399" s="38" t="str">
        <f t="shared" si="59"/>
        <v/>
      </c>
      <c r="AC399" s="38" t="str">
        <f>IF(OR(B399="",COUNTIF($B$4:B399,B399)&gt;1),"",MAX($AC$3:AC398)+1)</f>
        <v/>
      </c>
      <c r="AD399" s="38" t="str">
        <f t="shared" si="60"/>
        <v/>
      </c>
      <c r="AE399" s="38" t="str">
        <f t="shared" si="61"/>
        <v/>
      </c>
      <c r="AF399" s="38" t="str">
        <f t="shared" si="62"/>
        <v/>
      </c>
    </row>
    <row r="400" spans="1:32" x14ac:dyDescent="0.3">
      <c r="A400" s="74"/>
      <c r="B400" s="74"/>
      <c r="C400" s="74"/>
      <c r="D400" s="74"/>
      <c r="E400" s="74"/>
      <c r="F400" s="74"/>
      <c r="G400" s="74"/>
      <c r="H400" s="74"/>
      <c r="I400" s="74"/>
      <c r="J400" s="74"/>
      <c r="K400" s="74"/>
      <c r="L400" s="74"/>
      <c r="M400" s="74"/>
      <c r="N400" s="38" t="str">
        <f>IF(OR(A400="Автомат",A400="Дифавтомат"),IF(W400="","",COUNTIFS(Однолинейка!$H$3:$H$3000,U400,Однолинейка!$A$3:$A$3000,Щит_спец)),IF(A400="Аппарат",IF(C400="","",COUNTIFS(Однолинейка!$I$3:$I$3000,C400,Однолинейка!$A$3:$A$3000,Щит_спец)+COUNTIFS(Однолинейка!$J$3:$J$3000,C400,Однолинейка!$A$3:$A$3000,Щит_спец)+COUNTIFS(Однолинейка!$K$3:$K$3000,C400,Однолинейка!$A$3:$A$3000,Щит_спец)),IF(A400="Модуль",IF(C400="","",COUNTIFS(Однолинейка!$AW$3:$AW$3000,"?*",Однолинейка!$AI$3:$AI$3000,C400,Однолинейка!$A$3:$A$3000,Щит_спец)),IF(A400="Клемма",IF(C400="","",IF(C400=$S$7,SUMIFS(Однолинейка!$BW$3:$BW$3000,Однолинейка!$A$3:$A$3000,Щит_спец),IF(C400=$S$8,SUMIFS(Однолинейка!$BX$3:$BX$3000,Однолинейка!$A$3:$A$3000,Щит_спец),""))),""))))</f>
        <v/>
      </c>
      <c r="O400" s="74"/>
      <c r="P400" s="38" t="str">
        <f t="shared" si="54"/>
        <v/>
      </c>
      <c r="U400" s="38" t="str">
        <f t="shared" si="55"/>
        <v/>
      </c>
      <c r="V400" s="38" t="str">
        <f t="shared" si="56"/>
        <v/>
      </c>
      <c r="W400" s="38" t="str">
        <f>IF(AND(U400&lt;&gt;"",OR($S$4="(все)",B400=$S$4),IF($S$4="(все)",COUNTIF($U$4:U400,U400),COUNTIFS($U$4:U400,U400,$B$4:B400,B400))=1),MAX($W$3:W399)+1,"")</f>
        <v/>
      </c>
      <c r="X400" s="38" t="str">
        <f t="shared" si="57"/>
        <v/>
      </c>
      <c r="Y400" s="38" t="str">
        <f>IF(AND(A400="Аппарат",C400&lt;&gt;"",OR($S$5="(все)",B400=$S$5)),MAX($Y$3:Y399)+1,"")</f>
        <v/>
      </c>
      <c r="Z400" s="38" t="str">
        <f t="shared" si="58"/>
        <v/>
      </c>
      <c r="AA400" s="38" t="str">
        <f>IF(AND(A400="Модуль",C400&lt;&gt;"",OR($S$6="(все)",B400=$S$6)),MAX($AA$3:AA399)+1,"")</f>
        <v/>
      </c>
      <c r="AB400" s="38" t="str">
        <f t="shared" si="59"/>
        <v/>
      </c>
      <c r="AC400" s="38" t="str">
        <f>IF(OR(B400="",COUNTIF($B$4:B400,B400)&gt;1),"",MAX($AC$3:AC399)+1)</f>
        <v/>
      </c>
      <c r="AD400" s="38" t="str">
        <f t="shared" si="60"/>
        <v/>
      </c>
      <c r="AE400" s="38" t="str">
        <f t="shared" si="61"/>
        <v/>
      </c>
      <c r="AF400" s="38" t="str">
        <f t="shared" si="62"/>
        <v/>
      </c>
    </row>
    <row r="401" spans="1:32" x14ac:dyDescent="0.3">
      <c r="A401" s="74"/>
      <c r="B401" s="74"/>
      <c r="C401" s="74"/>
      <c r="D401" s="74"/>
      <c r="E401" s="74"/>
      <c r="F401" s="74"/>
      <c r="G401" s="74"/>
      <c r="H401" s="74"/>
      <c r="I401" s="74"/>
      <c r="J401" s="74"/>
      <c r="K401" s="74"/>
      <c r="L401" s="74"/>
      <c r="M401" s="74"/>
      <c r="N401" s="38" t="str">
        <f>IF(OR(A401="Автомат",A401="Дифавтомат"),IF(W401="","",COUNTIFS(Однолинейка!$H$3:$H$3000,U401,Однолинейка!$A$3:$A$3000,Щит_спец)),IF(A401="Аппарат",IF(C401="","",COUNTIFS(Однолинейка!$I$3:$I$3000,C401,Однолинейка!$A$3:$A$3000,Щит_спец)+COUNTIFS(Однолинейка!$J$3:$J$3000,C401,Однолинейка!$A$3:$A$3000,Щит_спец)+COUNTIFS(Однолинейка!$K$3:$K$3000,C401,Однолинейка!$A$3:$A$3000,Щит_спец)),IF(A401="Модуль",IF(C401="","",COUNTIFS(Однолинейка!$AW$3:$AW$3000,"?*",Однолинейка!$AI$3:$AI$3000,C401,Однолинейка!$A$3:$A$3000,Щит_спец)),IF(A401="Клемма",IF(C401="","",IF(C401=$S$7,SUMIFS(Однолинейка!$BW$3:$BW$3000,Однолинейка!$A$3:$A$3000,Щит_спец),IF(C401=$S$8,SUMIFS(Однолинейка!$BX$3:$BX$3000,Однолинейка!$A$3:$A$3000,Щит_спец),""))),""))))</f>
        <v/>
      </c>
      <c r="O401" s="74"/>
      <c r="P401" s="38" t="str">
        <f t="shared" si="54"/>
        <v/>
      </c>
      <c r="U401" s="38" t="str">
        <f t="shared" si="55"/>
        <v/>
      </c>
      <c r="V401" s="38" t="str">
        <f t="shared" si="56"/>
        <v/>
      </c>
      <c r="W401" s="38" t="str">
        <f>IF(AND(U401&lt;&gt;"",OR($S$4="(все)",B401=$S$4),IF($S$4="(все)",COUNTIF($U$4:U401,U401),COUNTIFS($U$4:U401,U401,$B$4:B401,B401))=1),MAX($W$3:W400)+1,"")</f>
        <v/>
      </c>
      <c r="X401" s="38" t="str">
        <f t="shared" si="57"/>
        <v/>
      </c>
      <c r="Y401" s="38" t="str">
        <f>IF(AND(A401="Аппарат",C401&lt;&gt;"",OR($S$5="(все)",B401=$S$5)),MAX($Y$3:Y400)+1,"")</f>
        <v/>
      </c>
      <c r="Z401" s="38" t="str">
        <f t="shared" si="58"/>
        <v/>
      </c>
      <c r="AA401" s="38" t="str">
        <f>IF(AND(A401="Модуль",C401&lt;&gt;"",OR($S$6="(все)",B401=$S$6)),MAX($AA$3:AA400)+1,"")</f>
        <v/>
      </c>
      <c r="AB401" s="38" t="str">
        <f t="shared" si="59"/>
        <v/>
      </c>
      <c r="AC401" s="38" t="str">
        <f>IF(OR(B401="",COUNTIF($B$4:B401,B401)&gt;1),"",MAX($AC$3:AC400)+1)</f>
        <v/>
      </c>
      <c r="AD401" s="38" t="str">
        <f t="shared" si="60"/>
        <v/>
      </c>
      <c r="AE401" s="38" t="str">
        <f t="shared" si="61"/>
        <v/>
      </c>
      <c r="AF401" s="38" t="str">
        <f t="shared" si="62"/>
        <v/>
      </c>
    </row>
    <row r="402" spans="1:32" x14ac:dyDescent="0.3">
      <c r="A402" s="74"/>
      <c r="B402" s="74"/>
      <c r="C402" s="74"/>
      <c r="D402" s="74"/>
      <c r="E402" s="74"/>
      <c r="F402" s="74"/>
      <c r="G402" s="74"/>
      <c r="H402" s="74"/>
      <c r="I402" s="74"/>
      <c r="J402" s="74"/>
      <c r="K402" s="74"/>
      <c r="L402" s="74"/>
      <c r="M402" s="74"/>
      <c r="N402" s="38" t="str">
        <f>IF(OR(A402="Автомат",A402="Дифавтомат"),IF(W402="","",COUNTIFS(Однолинейка!$H$3:$H$3000,U402,Однолинейка!$A$3:$A$3000,Щит_спец)),IF(A402="Аппарат",IF(C402="","",COUNTIFS(Однолинейка!$I$3:$I$3000,C402,Однолинейка!$A$3:$A$3000,Щит_спец)+COUNTIFS(Однолинейка!$J$3:$J$3000,C402,Однолинейка!$A$3:$A$3000,Щит_спец)+COUNTIFS(Однолинейка!$K$3:$K$3000,C402,Однолинейка!$A$3:$A$3000,Щит_спец)),IF(A402="Модуль",IF(C402="","",COUNTIFS(Однолинейка!$AW$3:$AW$3000,"?*",Однолинейка!$AI$3:$AI$3000,C402,Однолинейка!$A$3:$A$3000,Щит_спец)),IF(A402="Клемма",IF(C402="","",IF(C402=$S$7,SUMIFS(Однолинейка!$BW$3:$BW$3000,Однолинейка!$A$3:$A$3000,Щит_спец),IF(C402=$S$8,SUMIFS(Однолинейка!$BX$3:$BX$3000,Однолинейка!$A$3:$A$3000,Щит_спец),""))),""))))</f>
        <v/>
      </c>
      <c r="O402" s="74"/>
      <c r="P402" s="38" t="str">
        <f t="shared" si="54"/>
        <v/>
      </c>
      <c r="U402" s="38" t="str">
        <f t="shared" si="55"/>
        <v/>
      </c>
      <c r="V402" s="38" t="str">
        <f t="shared" si="56"/>
        <v/>
      </c>
      <c r="W402" s="38" t="str">
        <f>IF(AND(U402&lt;&gt;"",OR($S$4="(все)",B402=$S$4),IF($S$4="(все)",COUNTIF($U$4:U402,U402),COUNTIFS($U$4:U402,U402,$B$4:B402,B402))=1),MAX($W$3:W401)+1,"")</f>
        <v/>
      </c>
      <c r="X402" s="38" t="str">
        <f t="shared" si="57"/>
        <v/>
      </c>
      <c r="Y402" s="38" t="str">
        <f>IF(AND(A402="Аппарат",C402&lt;&gt;"",OR($S$5="(все)",B402=$S$5)),MAX($Y$3:Y401)+1,"")</f>
        <v/>
      </c>
      <c r="Z402" s="38" t="str">
        <f t="shared" si="58"/>
        <v/>
      </c>
      <c r="AA402" s="38" t="str">
        <f>IF(AND(A402="Модуль",C402&lt;&gt;"",OR($S$6="(все)",B402=$S$6)),MAX($AA$3:AA401)+1,"")</f>
        <v/>
      </c>
      <c r="AB402" s="38" t="str">
        <f t="shared" si="59"/>
        <v/>
      </c>
      <c r="AC402" s="38" t="str">
        <f>IF(OR(B402="",COUNTIF($B$4:B402,B402)&gt;1),"",MAX($AC$3:AC401)+1)</f>
        <v/>
      </c>
      <c r="AD402" s="38" t="str">
        <f t="shared" si="60"/>
        <v/>
      </c>
      <c r="AE402" s="38" t="str">
        <f t="shared" si="61"/>
        <v/>
      </c>
      <c r="AF402" s="38" t="str">
        <f t="shared" si="62"/>
        <v/>
      </c>
    </row>
    <row r="403" spans="1:32" x14ac:dyDescent="0.3">
      <c r="A403" s="74"/>
      <c r="B403" s="74"/>
      <c r="C403" s="74"/>
      <c r="D403" s="74"/>
      <c r="E403" s="74"/>
      <c r="F403" s="74"/>
      <c r="G403" s="74"/>
      <c r="H403" s="74"/>
      <c r="I403" s="74"/>
      <c r="J403" s="74"/>
      <c r="K403" s="74"/>
      <c r="L403" s="74"/>
      <c r="M403" s="74"/>
      <c r="N403" s="38" t="str">
        <f>IF(OR(A403="Автомат",A403="Дифавтомат"),IF(W403="","",COUNTIFS(Однолинейка!$H$3:$H$3000,U403,Однолинейка!$A$3:$A$3000,Щит_спец)),IF(A403="Аппарат",IF(C403="","",COUNTIFS(Однолинейка!$I$3:$I$3000,C403,Однолинейка!$A$3:$A$3000,Щит_спец)+COUNTIFS(Однолинейка!$J$3:$J$3000,C403,Однолинейка!$A$3:$A$3000,Щит_спец)+COUNTIFS(Однолинейка!$K$3:$K$3000,C403,Однолинейка!$A$3:$A$3000,Щит_спец)),IF(A403="Модуль",IF(C403="","",COUNTIFS(Однолинейка!$AW$3:$AW$3000,"?*",Однолинейка!$AI$3:$AI$3000,C403,Однолинейка!$A$3:$A$3000,Щит_спец)),IF(A403="Клемма",IF(C403="","",IF(C403=$S$7,SUMIFS(Однолинейка!$BW$3:$BW$3000,Однолинейка!$A$3:$A$3000,Щит_спец),IF(C403=$S$8,SUMIFS(Однолинейка!$BX$3:$BX$3000,Однолинейка!$A$3:$A$3000,Щит_спец),""))),""))))</f>
        <v/>
      </c>
      <c r="O403" s="74"/>
      <c r="P403" s="38" t="str">
        <f t="shared" si="54"/>
        <v/>
      </c>
      <c r="U403" s="38" t="str">
        <f t="shared" si="55"/>
        <v/>
      </c>
      <c r="V403" s="38" t="str">
        <f t="shared" si="56"/>
        <v/>
      </c>
      <c r="W403" s="38" t="str">
        <f>IF(AND(U403&lt;&gt;"",OR($S$4="(все)",B403=$S$4),IF($S$4="(все)",COUNTIF($U$4:U403,U403),COUNTIFS($U$4:U403,U403,$B$4:B403,B403))=1),MAX($W$3:W402)+1,"")</f>
        <v/>
      </c>
      <c r="X403" s="38" t="str">
        <f t="shared" si="57"/>
        <v/>
      </c>
      <c r="Y403" s="38" t="str">
        <f>IF(AND(A403="Аппарат",C403&lt;&gt;"",OR($S$5="(все)",B403=$S$5)),MAX($Y$3:Y402)+1,"")</f>
        <v/>
      </c>
      <c r="Z403" s="38" t="str">
        <f t="shared" si="58"/>
        <v/>
      </c>
      <c r="AA403" s="38" t="str">
        <f>IF(AND(A403="Модуль",C403&lt;&gt;"",OR($S$6="(все)",B403=$S$6)),MAX($AA$3:AA402)+1,"")</f>
        <v/>
      </c>
      <c r="AB403" s="38" t="str">
        <f t="shared" si="59"/>
        <v/>
      </c>
      <c r="AC403" s="38" t="str">
        <f>IF(OR(B403="",COUNTIF($B$4:B403,B403)&gt;1),"",MAX($AC$3:AC402)+1)</f>
        <v/>
      </c>
      <c r="AD403" s="38" t="str">
        <f t="shared" si="60"/>
        <v/>
      </c>
      <c r="AE403" s="38" t="str">
        <f t="shared" si="61"/>
        <v/>
      </c>
      <c r="AF403" s="38" t="str">
        <f t="shared" si="62"/>
        <v/>
      </c>
    </row>
    <row r="404" spans="1:32" x14ac:dyDescent="0.3">
      <c r="A404" s="74"/>
      <c r="B404" s="74"/>
      <c r="C404" s="74"/>
      <c r="D404" s="74"/>
      <c r="E404" s="74"/>
      <c r="F404" s="74"/>
      <c r="G404" s="74"/>
      <c r="H404" s="74"/>
      <c r="I404" s="74"/>
      <c r="J404" s="74"/>
      <c r="K404" s="74"/>
      <c r="L404" s="74"/>
      <c r="M404" s="74"/>
      <c r="N404" s="38" t="str">
        <f>IF(OR(A404="Автомат",A404="Дифавтомат"),IF(W404="","",COUNTIFS(Однолинейка!$H$3:$H$3000,U404,Однолинейка!$A$3:$A$3000,Щит_спец)),IF(A404="Аппарат",IF(C404="","",COUNTIFS(Однолинейка!$I$3:$I$3000,C404,Однолинейка!$A$3:$A$3000,Щит_спец)+COUNTIFS(Однолинейка!$J$3:$J$3000,C404,Однолинейка!$A$3:$A$3000,Щит_спец)+COUNTIFS(Однолинейка!$K$3:$K$3000,C404,Однолинейка!$A$3:$A$3000,Щит_спец)),IF(A404="Модуль",IF(C404="","",COUNTIFS(Однолинейка!$AW$3:$AW$3000,"?*",Однолинейка!$AI$3:$AI$3000,C404,Однолинейка!$A$3:$A$3000,Щит_спец)),IF(A404="Клемма",IF(C404="","",IF(C404=$S$7,SUMIFS(Однолинейка!$BW$3:$BW$3000,Однолинейка!$A$3:$A$3000,Щит_спец),IF(C404=$S$8,SUMIFS(Однолинейка!$BX$3:$BX$3000,Однолинейка!$A$3:$A$3000,Щит_спец),""))),""))))</f>
        <v/>
      </c>
      <c r="O404" s="74"/>
      <c r="P404" s="38" t="str">
        <f t="shared" si="54"/>
        <v/>
      </c>
      <c r="U404" s="38" t="str">
        <f t="shared" si="55"/>
        <v/>
      </c>
      <c r="V404" s="38" t="str">
        <f t="shared" si="56"/>
        <v/>
      </c>
      <c r="W404" s="38" t="str">
        <f>IF(AND(U404&lt;&gt;"",OR($S$4="(все)",B404=$S$4),IF($S$4="(все)",COUNTIF($U$4:U404,U404),COUNTIFS($U$4:U404,U404,$B$4:B404,B404))=1),MAX($W$3:W403)+1,"")</f>
        <v/>
      </c>
      <c r="X404" s="38" t="str">
        <f t="shared" si="57"/>
        <v/>
      </c>
      <c r="Y404" s="38" t="str">
        <f>IF(AND(A404="Аппарат",C404&lt;&gt;"",OR($S$5="(все)",B404=$S$5)),MAX($Y$3:Y403)+1,"")</f>
        <v/>
      </c>
      <c r="Z404" s="38" t="str">
        <f t="shared" si="58"/>
        <v/>
      </c>
      <c r="AA404" s="38" t="str">
        <f>IF(AND(A404="Модуль",C404&lt;&gt;"",OR($S$6="(все)",B404=$S$6)),MAX($AA$3:AA403)+1,"")</f>
        <v/>
      </c>
      <c r="AB404" s="38" t="str">
        <f t="shared" si="59"/>
        <v/>
      </c>
      <c r="AC404" s="38" t="str">
        <f>IF(OR(B404="",COUNTIF($B$4:B404,B404)&gt;1),"",MAX($AC$3:AC403)+1)</f>
        <v/>
      </c>
      <c r="AD404" s="38" t="str">
        <f t="shared" si="60"/>
        <v/>
      </c>
      <c r="AE404" s="38" t="str">
        <f t="shared" si="61"/>
        <v/>
      </c>
      <c r="AF404" s="38" t="str">
        <f t="shared" si="62"/>
        <v/>
      </c>
    </row>
    <row r="405" spans="1:32" x14ac:dyDescent="0.3">
      <c r="A405" s="74"/>
      <c r="B405" s="74"/>
      <c r="C405" s="74"/>
      <c r="D405" s="74"/>
      <c r="E405" s="74"/>
      <c r="F405" s="74"/>
      <c r="G405" s="74"/>
      <c r="H405" s="74"/>
      <c r="I405" s="74"/>
      <c r="J405" s="74"/>
      <c r="K405" s="74"/>
      <c r="L405" s="74"/>
      <c r="M405" s="74"/>
      <c r="N405" s="38" t="str">
        <f>IF(OR(A405="Автомат",A405="Дифавтомат"),IF(W405="","",COUNTIFS(Однолинейка!$H$3:$H$3000,U405,Однолинейка!$A$3:$A$3000,Щит_спец)),IF(A405="Аппарат",IF(C405="","",COUNTIFS(Однолинейка!$I$3:$I$3000,C405,Однолинейка!$A$3:$A$3000,Щит_спец)+COUNTIFS(Однолинейка!$J$3:$J$3000,C405,Однолинейка!$A$3:$A$3000,Щит_спец)+COUNTIFS(Однолинейка!$K$3:$K$3000,C405,Однолинейка!$A$3:$A$3000,Щит_спец)),IF(A405="Модуль",IF(C405="","",COUNTIFS(Однолинейка!$AW$3:$AW$3000,"?*",Однолинейка!$AI$3:$AI$3000,C405,Однолинейка!$A$3:$A$3000,Щит_спец)),IF(A405="Клемма",IF(C405="","",IF(C405=$S$7,SUMIFS(Однолинейка!$BW$3:$BW$3000,Однолинейка!$A$3:$A$3000,Щит_спец),IF(C405=$S$8,SUMIFS(Однолинейка!$BX$3:$BX$3000,Однолинейка!$A$3:$A$3000,Щит_спец),""))),""))))</f>
        <v/>
      </c>
      <c r="O405" s="74"/>
      <c r="P405" s="38" t="str">
        <f t="shared" si="54"/>
        <v/>
      </c>
      <c r="U405" s="38" t="str">
        <f t="shared" si="55"/>
        <v/>
      </c>
      <c r="V405" s="38" t="str">
        <f t="shared" si="56"/>
        <v/>
      </c>
      <c r="W405" s="38" t="str">
        <f>IF(AND(U405&lt;&gt;"",OR($S$4="(все)",B405=$S$4),IF($S$4="(все)",COUNTIF($U$4:U405,U405),COUNTIFS($U$4:U405,U405,$B$4:B405,B405))=1),MAX($W$3:W404)+1,"")</f>
        <v/>
      </c>
      <c r="X405" s="38" t="str">
        <f t="shared" si="57"/>
        <v/>
      </c>
      <c r="Y405" s="38" t="str">
        <f>IF(AND(A405="Аппарат",C405&lt;&gt;"",OR($S$5="(все)",B405=$S$5)),MAX($Y$3:Y404)+1,"")</f>
        <v/>
      </c>
      <c r="Z405" s="38" t="str">
        <f t="shared" si="58"/>
        <v/>
      </c>
      <c r="AA405" s="38" t="str">
        <f>IF(AND(A405="Модуль",C405&lt;&gt;"",OR($S$6="(все)",B405=$S$6)),MAX($AA$3:AA404)+1,"")</f>
        <v/>
      </c>
      <c r="AB405" s="38" t="str">
        <f t="shared" si="59"/>
        <v/>
      </c>
      <c r="AC405" s="38" t="str">
        <f>IF(OR(B405="",COUNTIF($B$4:B405,B405)&gt;1),"",MAX($AC$3:AC404)+1)</f>
        <v/>
      </c>
      <c r="AD405" s="38" t="str">
        <f t="shared" si="60"/>
        <v/>
      </c>
      <c r="AE405" s="38" t="str">
        <f t="shared" si="61"/>
        <v/>
      </c>
      <c r="AF405" s="38" t="str">
        <f t="shared" si="62"/>
        <v/>
      </c>
    </row>
    <row r="406" spans="1:32" x14ac:dyDescent="0.3">
      <c r="A406" s="74"/>
      <c r="B406" s="74"/>
      <c r="C406" s="74"/>
      <c r="D406" s="74"/>
      <c r="E406" s="74"/>
      <c r="F406" s="74"/>
      <c r="G406" s="74"/>
      <c r="H406" s="74"/>
      <c r="I406" s="74"/>
      <c r="J406" s="74"/>
      <c r="K406" s="74"/>
      <c r="L406" s="74"/>
      <c r="M406" s="74"/>
      <c r="N406" s="38" t="str">
        <f>IF(OR(A406="Автомат",A406="Дифавтомат"),IF(W406="","",COUNTIFS(Однолинейка!$H$3:$H$3000,U406,Однолинейка!$A$3:$A$3000,Щит_спец)),IF(A406="Аппарат",IF(C406="","",COUNTIFS(Однолинейка!$I$3:$I$3000,C406,Однолинейка!$A$3:$A$3000,Щит_спец)+COUNTIFS(Однолинейка!$J$3:$J$3000,C406,Однолинейка!$A$3:$A$3000,Щит_спец)+COUNTIFS(Однолинейка!$K$3:$K$3000,C406,Однолинейка!$A$3:$A$3000,Щит_спец)),IF(A406="Модуль",IF(C406="","",COUNTIFS(Однолинейка!$AW$3:$AW$3000,"?*",Однолинейка!$AI$3:$AI$3000,C406,Однолинейка!$A$3:$A$3000,Щит_спец)),IF(A406="Клемма",IF(C406="","",IF(C406=$S$7,SUMIFS(Однолинейка!$BW$3:$BW$3000,Однолинейка!$A$3:$A$3000,Щит_спец),IF(C406=$S$8,SUMIFS(Однолинейка!$BX$3:$BX$3000,Однолинейка!$A$3:$A$3000,Щит_спец),""))),""))))</f>
        <v/>
      </c>
      <c r="O406" s="74"/>
      <c r="P406" s="38" t="str">
        <f t="shared" si="54"/>
        <v/>
      </c>
      <c r="U406" s="38" t="str">
        <f t="shared" si="55"/>
        <v/>
      </c>
      <c r="V406" s="38" t="str">
        <f t="shared" si="56"/>
        <v/>
      </c>
      <c r="W406" s="38" t="str">
        <f>IF(AND(U406&lt;&gt;"",OR($S$4="(все)",B406=$S$4),IF($S$4="(все)",COUNTIF($U$4:U406,U406),COUNTIFS($U$4:U406,U406,$B$4:B406,B406))=1),MAX($W$3:W405)+1,"")</f>
        <v/>
      </c>
      <c r="X406" s="38" t="str">
        <f t="shared" si="57"/>
        <v/>
      </c>
      <c r="Y406" s="38" t="str">
        <f>IF(AND(A406="Аппарат",C406&lt;&gt;"",OR($S$5="(все)",B406=$S$5)),MAX($Y$3:Y405)+1,"")</f>
        <v/>
      </c>
      <c r="Z406" s="38" t="str">
        <f t="shared" si="58"/>
        <v/>
      </c>
      <c r="AA406" s="38" t="str">
        <f>IF(AND(A406="Модуль",C406&lt;&gt;"",OR($S$6="(все)",B406=$S$6)),MAX($AA$3:AA405)+1,"")</f>
        <v/>
      </c>
      <c r="AB406" s="38" t="str">
        <f t="shared" si="59"/>
        <v/>
      </c>
      <c r="AC406" s="38" t="str">
        <f>IF(OR(B406="",COUNTIF($B$4:B406,B406)&gt;1),"",MAX($AC$3:AC405)+1)</f>
        <v/>
      </c>
      <c r="AD406" s="38" t="str">
        <f t="shared" si="60"/>
        <v/>
      </c>
      <c r="AE406" s="38" t="str">
        <f t="shared" si="61"/>
        <v/>
      </c>
      <c r="AF406" s="38" t="str">
        <f t="shared" si="62"/>
        <v/>
      </c>
    </row>
    <row r="407" spans="1:32" x14ac:dyDescent="0.3">
      <c r="A407" s="74"/>
      <c r="B407" s="74"/>
      <c r="C407" s="74"/>
      <c r="D407" s="74"/>
      <c r="E407" s="74"/>
      <c r="F407" s="74"/>
      <c r="G407" s="74"/>
      <c r="H407" s="74"/>
      <c r="I407" s="74"/>
      <c r="J407" s="74"/>
      <c r="K407" s="74"/>
      <c r="L407" s="74"/>
      <c r="M407" s="74"/>
      <c r="N407" s="38" t="str">
        <f>IF(OR(A407="Автомат",A407="Дифавтомат"),IF(W407="","",COUNTIFS(Однолинейка!$H$3:$H$3000,U407,Однолинейка!$A$3:$A$3000,Щит_спец)),IF(A407="Аппарат",IF(C407="","",COUNTIFS(Однолинейка!$I$3:$I$3000,C407,Однолинейка!$A$3:$A$3000,Щит_спец)+COUNTIFS(Однолинейка!$J$3:$J$3000,C407,Однолинейка!$A$3:$A$3000,Щит_спец)+COUNTIFS(Однолинейка!$K$3:$K$3000,C407,Однолинейка!$A$3:$A$3000,Щит_спец)),IF(A407="Модуль",IF(C407="","",COUNTIFS(Однолинейка!$AW$3:$AW$3000,"?*",Однолинейка!$AI$3:$AI$3000,C407,Однолинейка!$A$3:$A$3000,Щит_спец)),IF(A407="Клемма",IF(C407="","",IF(C407=$S$7,SUMIFS(Однолинейка!$BW$3:$BW$3000,Однолинейка!$A$3:$A$3000,Щит_спец),IF(C407=$S$8,SUMIFS(Однолинейка!$BX$3:$BX$3000,Однолинейка!$A$3:$A$3000,Щит_спец),""))),""))))</f>
        <v/>
      </c>
      <c r="O407" s="74"/>
      <c r="P407" s="38" t="str">
        <f t="shared" si="54"/>
        <v/>
      </c>
      <c r="U407" s="38" t="str">
        <f t="shared" si="55"/>
        <v/>
      </c>
      <c r="V407" s="38" t="str">
        <f t="shared" si="56"/>
        <v/>
      </c>
      <c r="W407" s="38" t="str">
        <f>IF(AND(U407&lt;&gt;"",OR($S$4="(все)",B407=$S$4),IF($S$4="(все)",COUNTIF($U$4:U407,U407),COUNTIFS($U$4:U407,U407,$B$4:B407,B407))=1),MAX($W$3:W406)+1,"")</f>
        <v/>
      </c>
      <c r="X407" s="38" t="str">
        <f t="shared" si="57"/>
        <v/>
      </c>
      <c r="Y407" s="38" t="str">
        <f>IF(AND(A407="Аппарат",C407&lt;&gt;"",OR($S$5="(все)",B407=$S$5)),MAX($Y$3:Y406)+1,"")</f>
        <v/>
      </c>
      <c r="Z407" s="38" t="str">
        <f t="shared" si="58"/>
        <v/>
      </c>
      <c r="AA407" s="38" t="str">
        <f>IF(AND(A407="Модуль",C407&lt;&gt;"",OR($S$6="(все)",B407=$S$6)),MAX($AA$3:AA406)+1,"")</f>
        <v/>
      </c>
      <c r="AB407" s="38" t="str">
        <f t="shared" si="59"/>
        <v/>
      </c>
      <c r="AC407" s="38" t="str">
        <f>IF(OR(B407="",COUNTIF($B$4:B407,B407)&gt;1),"",MAX($AC$3:AC406)+1)</f>
        <v/>
      </c>
      <c r="AD407" s="38" t="str">
        <f t="shared" si="60"/>
        <v/>
      </c>
      <c r="AE407" s="38" t="str">
        <f t="shared" si="61"/>
        <v/>
      </c>
      <c r="AF407" s="38" t="str">
        <f t="shared" si="62"/>
        <v/>
      </c>
    </row>
    <row r="408" spans="1:32" x14ac:dyDescent="0.3">
      <c r="A408" s="74"/>
      <c r="B408" s="74"/>
      <c r="C408" s="74"/>
      <c r="D408" s="74"/>
      <c r="E408" s="74"/>
      <c r="F408" s="74"/>
      <c r="G408" s="74"/>
      <c r="H408" s="74"/>
      <c r="I408" s="74"/>
      <c r="J408" s="74"/>
      <c r="K408" s="74"/>
      <c r="L408" s="74"/>
      <c r="M408" s="74"/>
      <c r="N408" s="38" t="str">
        <f>IF(OR(A408="Автомат",A408="Дифавтомат"),IF(W408="","",COUNTIFS(Однолинейка!$H$3:$H$3000,U408,Однолинейка!$A$3:$A$3000,Щит_спец)),IF(A408="Аппарат",IF(C408="","",COUNTIFS(Однолинейка!$I$3:$I$3000,C408,Однолинейка!$A$3:$A$3000,Щит_спец)+COUNTIFS(Однолинейка!$J$3:$J$3000,C408,Однолинейка!$A$3:$A$3000,Щит_спец)+COUNTIFS(Однолинейка!$K$3:$K$3000,C408,Однолинейка!$A$3:$A$3000,Щит_спец)),IF(A408="Модуль",IF(C408="","",COUNTIFS(Однолинейка!$AW$3:$AW$3000,"?*",Однолинейка!$AI$3:$AI$3000,C408,Однолинейка!$A$3:$A$3000,Щит_спец)),IF(A408="Клемма",IF(C408="","",IF(C408=$S$7,SUMIFS(Однолинейка!$BW$3:$BW$3000,Однолинейка!$A$3:$A$3000,Щит_спец),IF(C408=$S$8,SUMIFS(Однолинейка!$BX$3:$BX$3000,Однолинейка!$A$3:$A$3000,Щит_спец),""))),""))))</f>
        <v/>
      </c>
      <c r="O408" s="74"/>
      <c r="P408" s="38" t="str">
        <f t="shared" si="54"/>
        <v/>
      </c>
      <c r="U408" s="38" t="str">
        <f t="shared" si="55"/>
        <v/>
      </c>
      <c r="V408" s="38" t="str">
        <f t="shared" si="56"/>
        <v/>
      </c>
      <c r="W408" s="38" t="str">
        <f>IF(AND(U408&lt;&gt;"",OR($S$4="(все)",B408=$S$4),IF($S$4="(все)",COUNTIF($U$4:U408,U408),COUNTIFS($U$4:U408,U408,$B$4:B408,B408))=1),MAX($W$3:W407)+1,"")</f>
        <v/>
      </c>
      <c r="X408" s="38" t="str">
        <f t="shared" si="57"/>
        <v/>
      </c>
      <c r="Y408" s="38" t="str">
        <f>IF(AND(A408="Аппарат",C408&lt;&gt;"",OR($S$5="(все)",B408=$S$5)),MAX($Y$3:Y407)+1,"")</f>
        <v/>
      </c>
      <c r="Z408" s="38" t="str">
        <f t="shared" si="58"/>
        <v/>
      </c>
      <c r="AA408" s="38" t="str">
        <f>IF(AND(A408="Модуль",C408&lt;&gt;"",OR($S$6="(все)",B408=$S$6)),MAX($AA$3:AA407)+1,"")</f>
        <v/>
      </c>
      <c r="AB408" s="38" t="str">
        <f t="shared" si="59"/>
        <v/>
      </c>
      <c r="AC408" s="38" t="str">
        <f>IF(OR(B408="",COUNTIF($B$4:B408,B408)&gt;1),"",MAX($AC$3:AC407)+1)</f>
        <v/>
      </c>
      <c r="AD408" s="38" t="str">
        <f t="shared" si="60"/>
        <v/>
      </c>
      <c r="AE408" s="38" t="str">
        <f t="shared" si="61"/>
        <v/>
      </c>
      <c r="AF408" s="38" t="str">
        <f t="shared" si="62"/>
        <v/>
      </c>
    </row>
    <row r="409" spans="1:32" x14ac:dyDescent="0.3">
      <c r="A409" s="74"/>
      <c r="B409" s="74"/>
      <c r="C409" s="74"/>
      <c r="D409" s="74"/>
      <c r="E409" s="74"/>
      <c r="F409" s="74"/>
      <c r="G409" s="74"/>
      <c r="H409" s="74"/>
      <c r="I409" s="74"/>
      <c r="J409" s="74"/>
      <c r="K409" s="74"/>
      <c r="L409" s="74"/>
      <c r="M409" s="74"/>
      <c r="N409" s="38" t="str">
        <f>IF(OR(A409="Автомат",A409="Дифавтомат"),IF(W409="","",COUNTIFS(Однолинейка!$H$3:$H$3000,U409,Однолинейка!$A$3:$A$3000,Щит_спец)),IF(A409="Аппарат",IF(C409="","",COUNTIFS(Однолинейка!$I$3:$I$3000,C409,Однолинейка!$A$3:$A$3000,Щит_спец)+COUNTIFS(Однолинейка!$J$3:$J$3000,C409,Однолинейка!$A$3:$A$3000,Щит_спец)+COUNTIFS(Однолинейка!$K$3:$K$3000,C409,Однолинейка!$A$3:$A$3000,Щит_спец)),IF(A409="Модуль",IF(C409="","",COUNTIFS(Однолинейка!$AW$3:$AW$3000,"?*",Однолинейка!$AI$3:$AI$3000,C409,Однолинейка!$A$3:$A$3000,Щит_спец)),IF(A409="Клемма",IF(C409="","",IF(C409=$S$7,SUMIFS(Однолинейка!$BW$3:$BW$3000,Однолинейка!$A$3:$A$3000,Щит_спец),IF(C409=$S$8,SUMIFS(Однолинейка!$BX$3:$BX$3000,Однолинейка!$A$3:$A$3000,Щит_спец),""))),""))))</f>
        <v/>
      </c>
      <c r="O409" s="74"/>
      <c r="P409" s="38" t="str">
        <f t="shared" si="54"/>
        <v/>
      </c>
      <c r="U409" s="38" t="str">
        <f t="shared" si="55"/>
        <v/>
      </c>
      <c r="V409" s="38" t="str">
        <f t="shared" si="56"/>
        <v/>
      </c>
      <c r="W409" s="38" t="str">
        <f>IF(AND(U409&lt;&gt;"",OR($S$4="(все)",B409=$S$4),IF($S$4="(все)",COUNTIF($U$4:U409,U409),COUNTIFS($U$4:U409,U409,$B$4:B409,B409))=1),MAX($W$3:W408)+1,"")</f>
        <v/>
      </c>
      <c r="X409" s="38" t="str">
        <f t="shared" si="57"/>
        <v/>
      </c>
      <c r="Y409" s="38" t="str">
        <f>IF(AND(A409="Аппарат",C409&lt;&gt;"",OR($S$5="(все)",B409=$S$5)),MAX($Y$3:Y408)+1,"")</f>
        <v/>
      </c>
      <c r="Z409" s="38" t="str">
        <f t="shared" si="58"/>
        <v/>
      </c>
      <c r="AA409" s="38" t="str">
        <f>IF(AND(A409="Модуль",C409&lt;&gt;"",OR($S$6="(все)",B409=$S$6)),MAX($AA$3:AA408)+1,"")</f>
        <v/>
      </c>
      <c r="AB409" s="38" t="str">
        <f t="shared" si="59"/>
        <v/>
      </c>
      <c r="AC409" s="38" t="str">
        <f>IF(OR(B409="",COUNTIF($B$4:B409,B409)&gt;1),"",MAX($AC$3:AC408)+1)</f>
        <v/>
      </c>
      <c r="AD409" s="38" t="str">
        <f t="shared" si="60"/>
        <v/>
      </c>
      <c r="AE409" s="38" t="str">
        <f t="shared" si="61"/>
        <v/>
      </c>
      <c r="AF409" s="38" t="str">
        <f t="shared" si="62"/>
        <v/>
      </c>
    </row>
    <row r="410" spans="1:32" x14ac:dyDescent="0.3">
      <c r="A410" s="74"/>
      <c r="B410" s="74"/>
      <c r="C410" s="74"/>
      <c r="D410" s="74"/>
      <c r="E410" s="74"/>
      <c r="F410" s="74"/>
      <c r="G410" s="74"/>
      <c r="H410" s="74"/>
      <c r="I410" s="74"/>
      <c r="J410" s="74"/>
      <c r="K410" s="74"/>
      <c r="L410" s="74"/>
      <c r="M410" s="74"/>
      <c r="N410" s="38" t="str">
        <f>IF(OR(A410="Автомат",A410="Дифавтомат"),IF(W410="","",COUNTIFS(Однолинейка!$H$3:$H$3000,U410,Однолинейка!$A$3:$A$3000,Щит_спец)),IF(A410="Аппарат",IF(C410="","",COUNTIFS(Однолинейка!$I$3:$I$3000,C410,Однолинейка!$A$3:$A$3000,Щит_спец)+COUNTIFS(Однолинейка!$J$3:$J$3000,C410,Однолинейка!$A$3:$A$3000,Щит_спец)+COUNTIFS(Однолинейка!$K$3:$K$3000,C410,Однолинейка!$A$3:$A$3000,Щит_спец)),IF(A410="Модуль",IF(C410="","",COUNTIFS(Однолинейка!$AW$3:$AW$3000,"?*",Однолинейка!$AI$3:$AI$3000,C410,Однолинейка!$A$3:$A$3000,Щит_спец)),IF(A410="Клемма",IF(C410="","",IF(C410=$S$7,SUMIFS(Однолинейка!$BW$3:$BW$3000,Однолинейка!$A$3:$A$3000,Щит_спец),IF(C410=$S$8,SUMIFS(Однолинейка!$BX$3:$BX$3000,Однолинейка!$A$3:$A$3000,Щит_спец),""))),""))))</f>
        <v/>
      </c>
      <c r="O410" s="74"/>
      <c r="P410" s="38" t="str">
        <f t="shared" si="54"/>
        <v/>
      </c>
      <c r="U410" s="38" t="str">
        <f t="shared" si="55"/>
        <v/>
      </c>
      <c r="V410" s="38" t="str">
        <f t="shared" si="56"/>
        <v/>
      </c>
      <c r="W410" s="38" t="str">
        <f>IF(AND(U410&lt;&gt;"",OR($S$4="(все)",B410=$S$4),IF($S$4="(все)",COUNTIF($U$4:U410,U410),COUNTIFS($U$4:U410,U410,$B$4:B410,B410))=1),MAX($W$3:W409)+1,"")</f>
        <v/>
      </c>
      <c r="X410" s="38" t="str">
        <f t="shared" si="57"/>
        <v/>
      </c>
      <c r="Y410" s="38" t="str">
        <f>IF(AND(A410="Аппарат",C410&lt;&gt;"",OR($S$5="(все)",B410=$S$5)),MAX($Y$3:Y409)+1,"")</f>
        <v/>
      </c>
      <c r="Z410" s="38" t="str">
        <f t="shared" si="58"/>
        <v/>
      </c>
      <c r="AA410" s="38" t="str">
        <f>IF(AND(A410="Модуль",C410&lt;&gt;"",OR($S$6="(все)",B410=$S$6)),MAX($AA$3:AA409)+1,"")</f>
        <v/>
      </c>
      <c r="AB410" s="38" t="str">
        <f t="shared" si="59"/>
        <v/>
      </c>
      <c r="AC410" s="38" t="str">
        <f>IF(OR(B410="",COUNTIF($B$4:B410,B410)&gt;1),"",MAX($AC$3:AC409)+1)</f>
        <v/>
      </c>
      <c r="AD410" s="38" t="str">
        <f t="shared" si="60"/>
        <v/>
      </c>
      <c r="AE410" s="38" t="str">
        <f t="shared" si="61"/>
        <v/>
      </c>
      <c r="AF410" s="38" t="str">
        <f t="shared" si="62"/>
        <v/>
      </c>
    </row>
    <row r="411" spans="1:32" x14ac:dyDescent="0.3">
      <c r="A411" s="74"/>
      <c r="B411" s="74"/>
      <c r="C411" s="74"/>
      <c r="D411" s="74"/>
      <c r="E411" s="74"/>
      <c r="F411" s="74"/>
      <c r="G411" s="74"/>
      <c r="H411" s="74"/>
      <c r="I411" s="74"/>
      <c r="J411" s="74"/>
      <c r="K411" s="74"/>
      <c r="L411" s="74"/>
      <c r="M411" s="74"/>
      <c r="N411" s="38" t="str">
        <f>IF(OR(A411="Автомат",A411="Дифавтомат"),IF(W411="","",COUNTIFS(Однолинейка!$H$3:$H$3000,U411,Однолинейка!$A$3:$A$3000,Щит_спец)),IF(A411="Аппарат",IF(C411="","",COUNTIFS(Однолинейка!$I$3:$I$3000,C411,Однолинейка!$A$3:$A$3000,Щит_спец)+COUNTIFS(Однолинейка!$J$3:$J$3000,C411,Однолинейка!$A$3:$A$3000,Щит_спец)+COUNTIFS(Однолинейка!$K$3:$K$3000,C411,Однолинейка!$A$3:$A$3000,Щит_спец)),IF(A411="Модуль",IF(C411="","",COUNTIFS(Однолинейка!$AW$3:$AW$3000,"?*",Однолинейка!$AI$3:$AI$3000,C411,Однолинейка!$A$3:$A$3000,Щит_спец)),IF(A411="Клемма",IF(C411="","",IF(C411=$S$7,SUMIFS(Однолинейка!$BW$3:$BW$3000,Однолинейка!$A$3:$A$3000,Щит_спец),IF(C411=$S$8,SUMIFS(Однолинейка!$BX$3:$BX$3000,Однолинейка!$A$3:$A$3000,Щит_спец),""))),""))))</f>
        <v/>
      </c>
      <c r="O411" s="74"/>
      <c r="P411" s="38" t="str">
        <f t="shared" si="54"/>
        <v/>
      </c>
      <c r="U411" s="38" t="str">
        <f t="shared" si="55"/>
        <v/>
      </c>
      <c r="V411" s="38" t="str">
        <f t="shared" si="56"/>
        <v/>
      </c>
      <c r="W411" s="38" t="str">
        <f>IF(AND(U411&lt;&gt;"",OR($S$4="(все)",B411=$S$4),IF($S$4="(все)",COUNTIF($U$4:U411,U411),COUNTIFS($U$4:U411,U411,$B$4:B411,B411))=1),MAX($W$3:W410)+1,"")</f>
        <v/>
      </c>
      <c r="X411" s="38" t="str">
        <f t="shared" si="57"/>
        <v/>
      </c>
      <c r="Y411" s="38" t="str">
        <f>IF(AND(A411="Аппарат",C411&lt;&gt;"",OR($S$5="(все)",B411=$S$5)),MAX($Y$3:Y410)+1,"")</f>
        <v/>
      </c>
      <c r="Z411" s="38" t="str">
        <f t="shared" si="58"/>
        <v/>
      </c>
      <c r="AA411" s="38" t="str">
        <f>IF(AND(A411="Модуль",C411&lt;&gt;"",OR($S$6="(все)",B411=$S$6)),MAX($AA$3:AA410)+1,"")</f>
        <v/>
      </c>
      <c r="AB411" s="38" t="str">
        <f t="shared" si="59"/>
        <v/>
      </c>
      <c r="AC411" s="38" t="str">
        <f>IF(OR(B411="",COUNTIF($B$4:B411,B411)&gt;1),"",MAX($AC$3:AC410)+1)</f>
        <v/>
      </c>
      <c r="AD411" s="38" t="str">
        <f t="shared" si="60"/>
        <v/>
      </c>
      <c r="AE411" s="38" t="str">
        <f t="shared" si="61"/>
        <v/>
      </c>
      <c r="AF411" s="38" t="str">
        <f t="shared" si="62"/>
        <v/>
      </c>
    </row>
    <row r="412" spans="1:32" x14ac:dyDescent="0.3">
      <c r="A412" s="74"/>
      <c r="B412" s="74"/>
      <c r="C412" s="74"/>
      <c r="D412" s="74"/>
      <c r="E412" s="74"/>
      <c r="F412" s="74"/>
      <c r="G412" s="74"/>
      <c r="H412" s="74"/>
      <c r="I412" s="74"/>
      <c r="J412" s="74"/>
      <c r="K412" s="74"/>
      <c r="L412" s="74"/>
      <c r="M412" s="74"/>
      <c r="N412" s="38" t="str">
        <f>IF(OR(A412="Автомат",A412="Дифавтомат"),IF(W412="","",COUNTIFS(Однолинейка!$H$3:$H$3000,U412,Однолинейка!$A$3:$A$3000,Щит_спец)),IF(A412="Аппарат",IF(C412="","",COUNTIFS(Однолинейка!$I$3:$I$3000,C412,Однолинейка!$A$3:$A$3000,Щит_спец)+COUNTIFS(Однолинейка!$J$3:$J$3000,C412,Однолинейка!$A$3:$A$3000,Щит_спец)+COUNTIFS(Однолинейка!$K$3:$K$3000,C412,Однолинейка!$A$3:$A$3000,Щит_спец)),IF(A412="Модуль",IF(C412="","",COUNTIFS(Однолинейка!$AW$3:$AW$3000,"?*",Однолинейка!$AI$3:$AI$3000,C412,Однолинейка!$A$3:$A$3000,Щит_спец)),IF(A412="Клемма",IF(C412="","",IF(C412=$S$7,SUMIFS(Однолинейка!$BW$3:$BW$3000,Однолинейка!$A$3:$A$3000,Щит_спец),IF(C412=$S$8,SUMIFS(Однолинейка!$BX$3:$BX$3000,Однолинейка!$A$3:$A$3000,Щит_спец),""))),""))))</f>
        <v/>
      </c>
      <c r="O412" s="74"/>
      <c r="P412" s="38" t="str">
        <f t="shared" si="54"/>
        <v/>
      </c>
      <c r="U412" s="38" t="str">
        <f t="shared" si="55"/>
        <v/>
      </c>
      <c r="V412" s="38" t="str">
        <f t="shared" si="56"/>
        <v/>
      </c>
      <c r="W412" s="38" t="str">
        <f>IF(AND(U412&lt;&gt;"",OR($S$4="(все)",B412=$S$4),IF($S$4="(все)",COUNTIF($U$4:U412,U412),COUNTIFS($U$4:U412,U412,$B$4:B412,B412))=1),MAX($W$3:W411)+1,"")</f>
        <v/>
      </c>
      <c r="X412" s="38" t="str">
        <f t="shared" si="57"/>
        <v/>
      </c>
      <c r="Y412" s="38" t="str">
        <f>IF(AND(A412="Аппарат",C412&lt;&gt;"",OR($S$5="(все)",B412=$S$5)),MAX($Y$3:Y411)+1,"")</f>
        <v/>
      </c>
      <c r="Z412" s="38" t="str">
        <f t="shared" si="58"/>
        <v/>
      </c>
      <c r="AA412" s="38" t="str">
        <f>IF(AND(A412="Модуль",C412&lt;&gt;"",OR($S$6="(все)",B412=$S$6)),MAX($AA$3:AA411)+1,"")</f>
        <v/>
      </c>
      <c r="AB412" s="38" t="str">
        <f t="shared" si="59"/>
        <v/>
      </c>
      <c r="AC412" s="38" t="str">
        <f>IF(OR(B412="",COUNTIF($B$4:B412,B412)&gt;1),"",MAX($AC$3:AC411)+1)</f>
        <v/>
      </c>
      <c r="AD412" s="38" t="str">
        <f t="shared" si="60"/>
        <v/>
      </c>
      <c r="AE412" s="38" t="str">
        <f t="shared" si="61"/>
        <v/>
      </c>
      <c r="AF412" s="38" t="str">
        <f t="shared" si="62"/>
        <v/>
      </c>
    </row>
    <row r="413" spans="1:32" x14ac:dyDescent="0.3">
      <c r="A413" s="74"/>
      <c r="B413" s="74"/>
      <c r="C413" s="74"/>
      <c r="D413" s="74"/>
      <c r="E413" s="74"/>
      <c r="F413" s="74"/>
      <c r="G413" s="74"/>
      <c r="H413" s="74"/>
      <c r="I413" s="74"/>
      <c r="J413" s="74"/>
      <c r="K413" s="74"/>
      <c r="L413" s="74"/>
      <c r="M413" s="74"/>
      <c r="N413" s="38" t="str">
        <f>IF(OR(A413="Автомат",A413="Дифавтомат"),IF(W413="","",COUNTIFS(Однолинейка!$H$3:$H$3000,U413,Однолинейка!$A$3:$A$3000,Щит_спец)),IF(A413="Аппарат",IF(C413="","",COUNTIFS(Однолинейка!$I$3:$I$3000,C413,Однолинейка!$A$3:$A$3000,Щит_спец)+COUNTIFS(Однолинейка!$J$3:$J$3000,C413,Однолинейка!$A$3:$A$3000,Щит_спец)+COUNTIFS(Однолинейка!$K$3:$K$3000,C413,Однолинейка!$A$3:$A$3000,Щит_спец)),IF(A413="Модуль",IF(C413="","",COUNTIFS(Однолинейка!$AW$3:$AW$3000,"?*",Однолинейка!$AI$3:$AI$3000,C413,Однолинейка!$A$3:$A$3000,Щит_спец)),IF(A413="Клемма",IF(C413="","",IF(C413=$S$7,SUMIFS(Однолинейка!$BW$3:$BW$3000,Однолинейка!$A$3:$A$3000,Щит_спец),IF(C413=$S$8,SUMIFS(Однолинейка!$BX$3:$BX$3000,Однолинейка!$A$3:$A$3000,Щит_спец),""))),""))))</f>
        <v/>
      </c>
      <c r="O413" s="74"/>
      <c r="P413" s="38" t="str">
        <f t="shared" si="54"/>
        <v/>
      </c>
      <c r="U413" s="38" t="str">
        <f t="shared" si="55"/>
        <v/>
      </c>
      <c r="V413" s="38" t="str">
        <f t="shared" si="56"/>
        <v/>
      </c>
      <c r="W413" s="38" t="str">
        <f>IF(AND(U413&lt;&gt;"",OR($S$4="(все)",B413=$S$4),IF($S$4="(все)",COUNTIF($U$4:U413,U413),COUNTIFS($U$4:U413,U413,$B$4:B413,B413))=1),MAX($W$3:W412)+1,"")</f>
        <v/>
      </c>
      <c r="X413" s="38" t="str">
        <f t="shared" si="57"/>
        <v/>
      </c>
      <c r="Y413" s="38" t="str">
        <f>IF(AND(A413="Аппарат",C413&lt;&gt;"",OR($S$5="(все)",B413=$S$5)),MAX($Y$3:Y412)+1,"")</f>
        <v/>
      </c>
      <c r="Z413" s="38" t="str">
        <f t="shared" si="58"/>
        <v/>
      </c>
      <c r="AA413" s="38" t="str">
        <f>IF(AND(A413="Модуль",C413&lt;&gt;"",OR($S$6="(все)",B413=$S$6)),MAX($AA$3:AA412)+1,"")</f>
        <v/>
      </c>
      <c r="AB413" s="38" t="str">
        <f t="shared" si="59"/>
        <v/>
      </c>
      <c r="AC413" s="38" t="str">
        <f>IF(OR(B413="",COUNTIF($B$4:B413,B413)&gt;1),"",MAX($AC$3:AC412)+1)</f>
        <v/>
      </c>
      <c r="AD413" s="38" t="str">
        <f t="shared" si="60"/>
        <v/>
      </c>
      <c r="AE413" s="38" t="str">
        <f t="shared" si="61"/>
        <v/>
      </c>
      <c r="AF413" s="38" t="str">
        <f t="shared" si="62"/>
        <v/>
      </c>
    </row>
    <row r="414" spans="1:32" x14ac:dyDescent="0.3">
      <c r="A414" s="74"/>
      <c r="B414" s="74"/>
      <c r="C414" s="74"/>
      <c r="D414" s="74"/>
      <c r="E414" s="74"/>
      <c r="F414" s="74"/>
      <c r="G414" s="74"/>
      <c r="H414" s="74"/>
      <c r="I414" s="74"/>
      <c r="J414" s="74"/>
      <c r="K414" s="74"/>
      <c r="L414" s="74"/>
      <c r="M414" s="74"/>
      <c r="N414" s="38" t="str">
        <f>IF(OR(A414="Автомат",A414="Дифавтомат"),IF(W414="","",COUNTIFS(Однолинейка!$H$3:$H$3000,U414,Однолинейка!$A$3:$A$3000,Щит_спец)),IF(A414="Аппарат",IF(C414="","",COUNTIFS(Однолинейка!$I$3:$I$3000,C414,Однолинейка!$A$3:$A$3000,Щит_спец)+COUNTIFS(Однолинейка!$J$3:$J$3000,C414,Однолинейка!$A$3:$A$3000,Щит_спец)+COUNTIFS(Однолинейка!$K$3:$K$3000,C414,Однолинейка!$A$3:$A$3000,Щит_спец)),IF(A414="Модуль",IF(C414="","",COUNTIFS(Однолинейка!$AW$3:$AW$3000,"?*",Однолинейка!$AI$3:$AI$3000,C414,Однолинейка!$A$3:$A$3000,Щит_спец)),IF(A414="Клемма",IF(C414="","",IF(C414=$S$7,SUMIFS(Однолинейка!$BW$3:$BW$3000,Однолинейка!$A$3:$A$3000,Щит_спец),IF(C414=$S$8,SUMIFS(Однолинейка!$BX$3:$BX$3000,Однолинейка!$A$3:$A$3000,Щит_спец),""))),""))))</f>
        <v/>
      </c>
      <c r="O414" s="74"/>
      <c r="P414" s="38" t="str">
        <f t="shared" si="54"/>
        <v/>
      </c>
      <c r="U414" s="38" t="str">
        <f t="shared" si="55"/>
        <v/>
      </c>
      <c r="V414" s="38" t="str">
        <f t="shared" si="56"/>
        <v/>
      </c>
      <c r="W414" s="38" t="str">
        <f>IF(AND(U414&lt;&gt;"",OR($S$4="(все)",B414=$S$4),IF($S$4="(все)",COUNTIF($U$4:U414,U414),COUNTIFS($U$4:U414,U414,$B$4:B414,B414))=1),MAX($W$3:W413)+1,"")</f>
        <v/>
      </c>
      <c r="X414" s="38" t="str">
        <f t="shared" si="57"/>
        <v/>
      </c>
      <c r="Y414" s="38" t="str">
        <f>IF(AND(A414="Аппарат",C414&lt;&gt;"",OR($S$5="(все)",B414=$S$5)),MAX($Y$3:Y413)+1,"")</f>
        <v/>
      </c>
      <c r="Z414" s="38" t="str">
        <f t="shared" si="58"/>
        <v/>
      </c>
      <c r="AA414" s="38" t="str">
        <f>IF(AND(A414="Модуль",C414&lt;&gt;"",OR($S$6="(все)",B414=$S$6)),MAX($AA$3:AA413)+1,"")</f>
        <v/>
      </c>
      <c r="AB414" s="38" t="str">
        <f t="shared" si="59"/>
        <v/>
      </c>
      <c r="AC414" s="38" t="str">
        <f>IF(OR(B414="",COUNTIF($B$4:B414,B414)&gt;1),"",MAX($AC$3:AC413)+1)</f>
        <v/>
      </c>
      <c r="AD414" s="38" t="str">
        <f t="shared" si="60"/>
        <v/>
      </c>
      <c r="AE414" s="38" t="str">
        <f t="shared" si="61"/>
        <v/>
      </c>
      <c r="AF414" s="38" t="str">
        <f t="shared" si="62"/>
        <v/>
      </c>
    </row>
    <row r="415" spans="1:32" x14ac:dyDescent="0.3">
      <c r="A415" s="74"/>
      <c r="B415" s="74"/>
      <c r="C415" s="74"/>
      <c r="D415" s="74"/>
      <c r="E415" s="74"/>
      <c r="F415" s="74"/>
      <c r="G415" s="74"/>
      <c r="H415" s="74"/>
      <c r="I415" s="74"/>
      <c r="J415" s="74"/>
      <c r="K415" s="74"/>
      <c r="L415" s="74"/>
      <c r="M415" s="74"/>
      <c r="N415" s="38" t="str">
        <f>IF(OR(A415="Автомат",A415="Дифавтомат"),IF(W415="","",COUNTIFS(Однолинейка!$H$3:$H$3000,U415,Однолинейка!$A$3:$A$3000,Щит_спец)),IF(A415="Аппарат",IF(C415="","",COUNTIFS(Однолинейка!$I$3:$I$3000,C415,Однолинейка!$A$3:$A$3000,Щит_спец)+COUNTIFS(Однолинейка!$J$3:$J$3000,C415,Однолинейка!$A$3:$A$3000,Щит_спец)+COUNTIFS(Однолинейка!$K$3:$K$3000,C415,Однолинейка!$A$3:$A$3000,Щит_спец)),IF(A415="Модуль",IF(C415="","",COUNTIFS(Однолинейка!$AW$3:$AW$3000,"?*",Однолинейка!$AI$3:$AI$3000,C415,Однолинейка!$A$3:$A$3000,Щит_спец)),IF(A415="Клемма",IF(C415="","",IF(C415=$S$7,SUMIFS(Однолинейка!$BW$3:$BW$3000,Однолинейка!$A$3:$A$3000,Щит_спец),IF(C415=$S$8,SUMIFS(Однолинейка!$BX$3:$BX$3000,Однолинейка!$A$3:$A$3000,Щит_спец),""))),""))))</f>
        <v/>
      </c>
      <c r="O415" s="74"/>
      <c r="P415" s="38" t="str">
        <f t="shared" si="54"/>
        <v/>
      </c>
      <c r="U415" s="38" t="str">
        <f t="shared" si="55"/>
        <v/>
      </c>
      <c r="V415" s="38" t="str">
        <f t="shared" si="56"/>
        <v/>
      </c>
      <c r="W415" s="38" t="str">
        <f>IF(AND(U415&lt;&gt;"",OR($S$4="(все)",B415=$S$4),IF($S$4="(все)",COUNTIF($U$4:U415,U415),COUNTIFS($U$4:U415,U415,$B$4:B415,B415))=1),MAX($W$3:W414)+1,"")</f>
        <v/>
      </c>
      <c r="X415" s="38" t="str">
        <f t="shared" si="57"/>
        <v/>
      </c>
      <c r="Y415" s="38" t="str">
        <f>IF(AND(A415="Аппарат",C415&lt;&gt;"",OR($S$5="(все)",B415=$S$5)),MAX($Y$3:Y414)+1,"")</f>
        <v/>
      </c>
      <c r="Z415" s="38" t="str">
        <f t="shared" si="58"/>
        <v/>
      </c>
      <c r="AA415" s="38" t="str">
        <f>IF(AND(A415="Модуль",C415&lt;&gt;"",OR($S$6="(все)",B415=$S$6)),MAX($AA$3:AA414)+1,"")</f>
        <v/>
      </c>
      <c r="AB415" s="38" t="str">
        <f t="shared" si="59"/>
        <v/>
      </c>
      <c r="AC415" s="38" t="str">
        <f>IF(OR(B415="",COUNTIF($B$4:B415,B415)&gt;1),"",MAX($AC$3:AC414)+1)</f>
        <v/>
      </c>
      <c r="AD415" s="38" t="str">
        <f t="shared" si="60"/>
        <v/>
      </c>
      <c r="AE415" s="38" t="str">
        <f t="shared" si="61"/>
        <v/>
      </c>
      <c r="AF415" s="38" t="str">
        <f t="shared" si="62"/>
        <v/>
      </c>
    </row>
    <row r="416" spans="1:32" x14ac:dyDescent="0.3">
      <c r="A416" s="74"/>
      <c r="B416" s="74"/>
      <c r="C416" s="74"/>
      <c r="D416" s="74"/>
      <c r="E416" s="74"/>
      <c r="F416" s="74"/>
      <c r="G416" s="74"/>
      <c r="H416" s="74"/>
      <c r="I416" s="74"/>
      <c r="J416" s="74"/>
      <c r="K416" s="74"/>
      <c r="L416" s="74"/>
      <c r="M416" s="74"/>
      <c r="N416" s="38" t="str">
        <f>IF(OR(A416="Автомат",A416="Дифавтомат"),IF(W416="","",COUNTIFS(Однолинейка!$H$3:$H$3000,U416,Однолинейка!$A$3:$A$3000,Щит_спец)),IF(A416="Аппарат",IF(C416="","",COUNTIFS(Однолинейка!$I$3:$I$3000,C416,Однолинейка!$A$3:$A$3000,Щит_спец)+COUNTIFS(Однолинейка!$J$3:$J$3000,C416,Однолинейка!$A$3:$A$3000,Щит_спец)+COUNTIFS(Однолинейка!$K$3:$K$3000,C416,Однолинейка!$A$3:$A$3000,Щит_спец)),IF(A416="Модуль",IF(C416="","",COUNTIFS(Однолинейка!$AW$3:$AW$3000,"?*",Однолинейка!$AI$3:$AI$3000,C416,Однолинейка!$A$3:$A$3000,Щит_спец)),IF(A416="Клемма",IF(C416="","",IF(C416=$S$7,SUMIFS(Однолинейка!$BW$3:$BW$3000,Однолинейка!$A$3:$A$3000,Щит_спец),IF(C416=$S$8,SUMIFS(Однолинейка!$BX$3:$BX$3000,Однолинейка!$A$3:$A$3000,Щит_спец),""))),""))))</f>
        <v/>
      </c>
      <c r="O416" s="74"/>
      <c r="P416" s="38" t="str">
        <f t="shared" si="54"/>
        <v/>
      </c>
      <c r="U416" s="38" t="str">
        <f t="shared" si="55"/>
        <v/>
      </c>
      <c r="V416" s="38" t="str">
        <f t="shared" si="56"/>
        <v/>
      </c>
      <c r="W416" s="38" t="str">
        <f>IF(AND(U416&lt;&gt;"",OR($S$4="(все)",B416=$S$4),IF($S$4="(все)",COUNTIF($U$4:U416,U416),COUNTIFS($U$4:U416,U416,$B$4:B416,B416))=1),MAX($W$3:W415)+1,"")</f>
        <v/>
      </c>
      <c r="X416" s="38" t="str">
        <f t="shared" si="57"/>
        <v/>
      </c>
      <c r="Y416" s="38" t="str">
        <f>IF(AND(A416="Аппарат",C416&lt;&gt;"",OR($S$5="(все)",B416=$S$5)),MAX($Y$3:Y415)+1,"")</f>
        <v/>
      </c>
      <c r="Z416" s="38" t="str">
        <f t="shared" si="58"/>
        <v/>
      </c>
      <c r="AA416" s="38" t="str">
        <f>IF(AND(A416="Модуль",C416&lt;&gt;"",OR($S$6="(все)",B416=$S$6)),MAX($AA$3:AA415)+1,"")</f>
        <v/>
      </c>
      <c r="AB416" s="38" t="str">
        <f t="shared" si="59"/>
        <v/>
      </c>
      <c r="AC416" s="38" t="str">
        <f>IF(OR(B416="",COUNTIF($B$4:B416,B416)&gt;1),"",MAX($AC$3:AC415)+1)</f>
        <v/>
      </c>
      <c r="AD416" s="38" t="str">
        <f t="shared" si="60"/>
        <v/>
      </c>
      <c r="AE416" s="38" t="str">
        <f t="shared" si="61"/>
        <v/>
      </c>
      <c r="AF416" s="38" t="str">
        <f t="shared" si="62"/>
        <v/>
      </c>
    </row>
    <row r="417" spans="1:32" x14ac:dyDescent="0.3">
      <c r="A417" s="74"/>
      <c r="B417" s="74"/>
      <c r="C417" s="74"/>
      <c r="D417" s="74"/>
      <c r="E417" s="74"/>
      <c r="F417" s="74"/>
      <c r="G417" s="74"/>
      <c r="H417" s="74"/>
      <c r="I417" s="74"/>
      <c r="J417" s="74"/>
      <c r="K417" s="74"/>
      <c r="L417" s="74"/>
      <c r="M417" s="74"/>
      <c r="N417" s="38" t="str">
        <f>IF(OR(A417="Автомат",A417="Дифавтомат"),IF(W417="","",COUNTIFS(Однолинейка!$H$3:$H$3000,U417,Однолинейка!$A$3:$A$3000,Щит_спец)),IF(A417="Аппарат",IF(C417="","",COUNTIFS(Однолинейка!$I$3:$I$3000,C417,Однолинейка!$A$3:$A$3000,Щит_спец)+COUNTIFS(Однолинейка!$J$3:$J$3000,C417,Однолинейка!$A$3:$A$3000,Щит_спец)+COUNTIFS(Однолинейка!$K$3:$K$3000,C417,Однолинейка!$A$3:$A$3000,Щит_спец)),IF(A417="Модуль",IF(C417="","",COUNTIFS(Однолинейка!$AW$3:$AW$3000,"?*",Однолинейка!$AI$3:$AI$3000,C417,Однолинейка!$A$3:$A$3000,Щит_спец)),IF(A417="Клемма",IF(C417="","",IF(C417=$S$7,SUMIFS(Однолинейка!$BW$3:$BW$3000,Однолинейка!$A$3:$A$3000,Щит_спец),IF(C417=$S$8,SUMIFS(Однолинейка!$BX$3:$BX$3000,Однолинейка!$A$3:$A$3000,Щит_спец),""))),""))))</f>
        <v/>
      </c>
      <c r="O417" s="74"/>
      <c r="P417" s="38" t="str">
        <f t="shared" si="54"/>
        <v/>
      </c>
      <c r="U417" s="38" t="str">
        <f t="shared" si="55"/>
        <v/>
      </c>
      <c r="V417" s="38" t="str">
        <f t="shared" si="56"/>
        <v/>
      </c>
      <c r="W417" s="38" t="str">
        <f>IF(AND(U417&lt;&gt;"",OR($S$4="(все)",B417=$S$4),IF($S$4="(все)",COUNTIF($U$4:U417,U417),COUNTIFS($U$4:U417,U417,$B$4:B417,B417))=1),MAX($W$3:W416)+1,"")</f>
        <v/>
      </c>
      <c r="X417" s="38" t="str">
        <f t="shared" si="57"/>
        <v/>
      </c>
      <c r="Y417" s="38" t="str">
        <f>IF(AND(A417="Аппарат",C417&lt;&gt;"",OR($S$5="(все)",B417=$S$5)),MAX($Y$3:Y416)+1,"")</f>
        <v/>
      </c>
      <c r="Z417" s="38" t="str">
        <f t="shared" si="58"/>
        <v/>
      </c>
      <c r="AA417" s="38" t="str">
        <f>IF(AND(A417="Модуль",C417&lt;&gt;"",OR($S$6="(все)",B417=$S$6)),MAX($AA$3:AA416)+1,"")</f>
        <v/>
      </c>
      <c r="AB417" s="38" t="str">
        <f t="shared" si="59"/>
        <v/>
      </c>
      <c r="AC417" s="38" t="str">
        <f>IF(OR(B417="",COUNTIF($B$4:B417,B417)&gt;1),"",MAX($AC$3:AC416)+1)</f>
        <v/>
      </c>
      <c r="AD417" s="38" t="str">
        <f t="shared" si="60"/>
        <v/>
      </c>
      <c r="AE417" s="38" t="str">
        <f t="shared" si="61"/>
        <v/>
      </c>
      <c r="AF417" s="38" t="str">
        <f t="shared" si="62"/>
        <v/>
      </c>
    </row>
    <row r="418" spans="1:32" x14ac:dyDescent="0.3">
      <c r="A418" s="74"/>
      <c r="B418" s="74"/>
      <c r="C418" s="74"/>
      <c r="D418" s="74"/>
      <c r="E418" s="74"/>
      <c r="F418" s="74"/>
      <c r="G418" s="74"/>
      <c r="H418" s="74"/>
      <c r="I418" s="74"/>
      <c r="J418" s="74"/>
      <c r="K418" s="74"/>
      <c r="L418" s="74"/>
      <c r="M418" s="74"/>
      <c r="N418" s="38" t="str">
        <f>IF(OR(A418="Автомат",A418="Дифавтомат"),IF(W418="","",COUNTIFS(Однолинейка!$H$3:$H$3000,U418,Однолинейка!$A$3:$A$3000,Щит_спец)),IF(A418="Аппарат",IF(C418="","",COUNTIFS(Однолинейка!$I$3:$I$3000,C418,Однолинейка!$A$3:$A$3000,Щит_спец)+COUNTIFS(Однолинейка!$J$3:$J$3000,C418,Однолинейка!$A$3:$A$3000,Щит_спец)+COUNTIFS(Однолинейка!$K$3:$K$3000,C418,Однолинейка!$A$3:$A$3000,Щит_спец)),IF(A418="Модуль",IF(C418="","",COUNTIFS(Однолинейка!$AW$3:$AW$3000,"?*",Однолинейка!$AI$3:$AI$3000,C418,Однолинейка!$A$3:$A$3000,Щит_спец)),IF(A418="Клемма",IF(C418="","",IF(C418=$S$7,SUMIFS(Однолинейка!$BW$3:$BW$3000,Однолинейка!$A$3:$A$3000,Щит_спец),IF(C418=$S$8,SUMIFS(Однолинейка!$BX$3:$BX$3000,Однолинейка!$A$3:$A$3000,Щит_спец),""))),""))))</f>
        <v/>
      </c>
      <c r="O418" s="74"/>
      <c r="P418" s="38" t="str">
        <f t="shared" si="54"/>
        <v/>
      </c>
      <c r="U418" s="38" t="str">
        <f t="shared" si="55"/>
        <v/>
      </c>
      <c r="V418" s="38" t="str">
        <f t="shared" si="56"/>
        <v/>
      </c>
      <c r="W418" s="38" t="str">
        <f>IF(AND(U418&lt;&gt;"",OR($S$4="(все)",B418=$S$4),IF($S$4="(все)",COUNTIF($U$4:U418,U418),COUNTIFS($U$4:U418,U418,$B$4:B418,B418))=1),MAX($W$3:W417)+1,"")</f>
        <v/>
      </c>
      <c r="X418" s="38" t="str">
        <f t="shared" si="57"/>
        <v/>
      </c>
      <c r="Y418" s="38" t="str">
        <f>IF(AND(A418="Аппарат",C418&lt;&gt;"",OR($S$5="(все)",B418=$S$5)),MAX($Y$3:Y417)+1,"")</f>
        <v/>
      </c>
      <c r="Z418" s="38" t="str">
        <f t="shared" si="58"/>
        <v/>
      </c>
      <c r="AA418" s="38" t="str">
        <f>IF(AND(A418="Модуль",C418&lt;&gt;"",OR($S$6="(все)",B418=$S$6)),MAX($AA$3:AA417)+1,"")</f>
        <v/>
      </c>
      <c r="AB418" s="38" t="str">
        <f t="shared" si="59"/>
        <v/>
      </c>
      <c r="AC418" s="38" t="str">
        <f>IF(OR(B418="",COUNTIF($B$4:B418,B418)&gt;1),"",MAX($AC$3:AC417)+1)</f>
        <v/>
      </c>
      <c r="AD418" s="38" t="str">
        <f t="shared" si="60"/>
        <v/>
      </c>
      <c r="AE418" s="38" t="str">
        <f t="shared" si="61"/>
        <v/>
      </c>
      <c r="AF418" s="38" t="str">
        <f t="shared" si="62"/>
        <v/>
      </c>
    </row>
    <row r="419" spans="1:32" x14ac:dyDescent="0.3">
      <c r="A419" s="74"/>
      <c r="B419" s="74"/>
      <c r="C419" s="74"/>
      <c r="D419" s="74"/>
      <c r="E419" s="74"/>
      <c r="F419" s="74"/>
      <c r="G419" s="74"/>
      <c r="H419" s="74"/>
      <c r="I419" s="74"/>
      <c r="J419" s="74"/>
      <c r="K419" s="74"/>
      <c r="L419" s="74"/>
      <c r="M419" s="74"/>
      <c r="N419" s="38" t="str">
        <f>IF(OR(A419="Автомат",A419="Дифавтомат"),IF(W419="","",COUNTIFS(Однолинейка!$H$3:$H$3000,U419,Однолинейка!$A$3:$A$3000,Щит_спец)),IF(A419="Аппарат",IF(C419="","",COUNTIFS(Однолинейка!$I$3:$I$3000,C419,Однолинейка!$A$3:$A$3000,Щит_спец)+COUNTIFS(Однолинейка!$J$3:$J$3000,C419,Однолинейка!$A$3:$A$3000,Щит_спец)+COUNTIFS(Однолинейка!$K$3:$K$3000,C419,Однолинейка!$A$3:$A$3000,Щит_спец)),IF(A419="Модуль",IF(C419="","",COUNTIFS(Однолинейка!$AW$3:$AW$3000,"?*",Однолинейка!$AI$3:$AI$3000,C419,Однолинейка!$A$3:$A$3000,Щит_спец)),IF(A419="Клемма",IF(C419="","",IF(C419=$S$7,SUMIFS(Однолинейка!$BW$3:$BW$3000,Однолинейка!$A$3:$A$3000,Щит_спец),IF(C419=$S$8,SUMIFS(Однолинейка!$BX$3:$BX$3000,Однолинейка!$A$3:$A$3000,Щит_спец),""))),""))))</f>
        <v/>
      </c>
      <c r="O419" s="74"/>
      <c r="P419" s="38" t="str">
        <f t="shared" si="54"/>
        <v/>
      </c>
      <c r="U419" s="38" t="str">
        <f t="shared" si="55"/>
        <v/>
      </c>
      <c r="V419" s="38" t="str">
        <f t="shared" si="56"/>
        <v/>
      </c>
      <c r="W419" s="38" t="str">
        <f>IF(AND(U419&lt;&gt;"",OR($S$4="(все)",B419=$S$4),IF($S$4="(все)",COUNTIF($U$4:U419,U419),COUNTIFS($U$4:U419,U419,$B$4:B419,B419))=1),MAX($W$3:W418)+1,"")</f>
        <v/>
      </c>
      <c r="X419" s="38" t="str">
        <f t="shared" si="57"/>
        <v/>
      </c>
      <c r="Y419" s="38" t="str">
        <f>IF(AND(A419="Аппарат",C419&lt;&gt;"",OR($S$5="(все)",B419=$S$5)),MAX($Y$3:Y418)+1,"")</f>
        <v/>
      </c>
      <c r="Z419" s="38" t="str">
        <f t="shared" si="58"/>
        <v/>
      </c>
      <c r="AA419" s="38" t="str">
        <f>IF(AND(A419="Модуль",C419&lt;&gt;"",OR($S$6="(все)",B419=$S$6)),MAX($AA$3:AA418)+1,"")</f>
        <v/>
      </c>
      <c r="AB419" s="38" t="str">
        <f t="shared" si="59"/>
        <v/>
      </c>
      <c r="AC419" s="38" t="str">
        <f>IF(OR(B419="",COUNTIF($B$4:B419,B419)&gt;1),"",MAX($AC$3:AC418)+1)</f>
        <v/>
      </c>
      <c r="AD419" s="38" t="str">
        <f t="shared" si="60"/>
        <v/>
      </c>
      <c r="AE419" s="38" t="str">
        <f t="shared" si="61"/>
        <v/>
      </c>
      <c r="AF419" s="38" t="str">
        <f t="shared" si="62"/>
        <v/>
      </c>
    </row>
    <row r="420" spans="1:32" x14ac:dyDescent="0.3">
      <c r="A420" s="74"/>
      <c r="B420" s="74"/>
      <c r="C420" s="74"/>
      <c r="D420" s="74"/>
      <c r="E420" s="74"/>
      <c r="F420" s="74"/>
      <c r="G420" s="74"/>
      <c r="H420" s="74"/>
      <c r="I420" s="74"/>
      <c r="J420" s="74"/>
      <c r="K420" s="74"/>
      <c r="L420" s="74"/>
      <c r="M420" s="74"/>
      <c r="N420" s="38" t="str">
        <f>IF(OR(A420="Автомат",A420="Дифавтомат"),IF(W420="","",COUNTIFS(Однолинейка!$H$3:$H$3000,U420,Однолинейка!$A$3:$A$3000,Щит_спец)),IF(A420="Аппарат",IF(C420="","",COUNTIFS(Однолинейка!$I$3:$I$3000,C420,Однолинейка!$A$3:$A$3000,Щит_спец)+COUNTIFS(Однолинейка!$J$3:$J$3000,C420,Однолинейка!$A$3:$A$3000,Щит_спец)+COUNTIFS(Однолинейка!$K$3:$K$3000,C420,Однолинейка!$A$3:$A$3000,Щит_спец)),IF(A420="Модуль",IF(C420="","",COUNTIFS(Однолинейка!$AW$3:$AW$3000,"?*",Однолинейка!$AI$3:$AI$3000,C420,Однолинейка!$A$3:$A$3000,Щит_спец)),IF(A420="Клемма",IF(C420="","",IF(C420=$S$7,SUMIFS(Однолинейка!$BW$3:$BW$3000,Однолинейка!$A$3:$A$3000,Щит_спец),IF(C420=$S$8,SUMIFS(Однолинейка!$BX$3:$BX$3000,Однолинейка!$A$3:$A$3000,Щит_спец),""))),""))))</f>
        <v/>
      </c>
      <c r="O420" s="74"/>
      <c r="P420" s="38" t="str">
        <f t="shared" si="54"/>
        <v/>
      </c>
      <c r="U420" s="38" t="str">
        <f t="shared" si="55"/>
        <v/>
      </c>
      <c r="V420" s="38" t="str">
        <f t="shared" si="56"/>
        <v/>
      </c>
      <c r="W420" s="38" t="str">
        <f>IF(AND(U420&lt;&gt;"",OR($S$4="(все)",B420=$S$4),IF($S$4="(все)",COUNTIF($U$4:U420,U420),COUNTIFS($U$4:U420,U420,$B$4:B420,B420))=1),MAX($W$3:W419)+1,"")</f>
        <v/>
      </c>
      <c r="X420" s="38" t="str">
        <f t="shared" si="57"/>
        <v/>
      </c>
      <c r="Y420" s="38" t="str">
        <f>IF(AND(A420="Аппарат",C420&lt;&gt;"",OR($S$5="(все)",B420=$S$5)),MAX($Y$3:Y419)+1,"")</f>
        <v/>
      </c>
      <c r="Z420" s="38" t="str">
        <f t="shared" si="58"/>
        <v/>
      </c>
      <c r="AA420" s="38" t="str">
        <f>IF(AND(A420="Модуль",C420&lt;&gt;"",OR($S$6="(все)",B420=$S$6)),MAX($AA$3:AA419)+1,"")</f>
        <v/>
      </c>
      <c r="AB420" s="38" t="str">
        <f t="shared" si="59"/>
        <v/>
      </c>
      <c r="AC420" s="38" t="str">
        <f>IF(OR(B420="",COUNTIF($B$4:B420,B420)&gt;1),"",MAX($AC$3:AC419)+1)</f>
        <v/>
      </c>
      <c r="AD420" s="38" t="str">
        <f t="shared" si="60"/>
        <v/>
      </c>
      <c r="AE420" s="38" t="str">
        <f t="shared" si="61"/>
        <v/>
      </c>
      <c r="AF420" s="38" t="str">
        <f t="shared" si="62"/>
        <v/>
      </c>
    </row>
    <row r="421" spans="1:32" x14ac:dyDescent="0.3">
      <c r="A421" s="74"/>
      <c r="B421" s="74"/>
      <c r="C421" s="74"/>
      <c r="D421" s="74"/>
      <c r="E421" s="74"/>
      <c r="F421" s="74"/>
      <c r="G421" s="74"/>
      <c r="H421" s="74"/>
      <c r="I421" s="74"/>
      <c r="J421" s="74"/>
      <c r="K421" s="74"/>
      <c r="L421" s="74"/>
      <c r="M421" s="74"/>
      <c r="N421" s="38" t="str">
        <f>IF(OR(A421="Автомат",A421="Дифавтомат"),IF(W421="","",COUNTIFS(Однолинейка!$H$3:$H$3000,U421,Однолинейка!$A$3:$A$3000,Щит_спец)),IF(A421="Аппарат",IF(C421="","",COUNTIFS(Однолинейка!$I$3:$I$3000,C421,Однолинейка!$A$3:$A$3000,Щит_спец)+COUNTIFS(Однолинейка!$J$3:$J$3000,C421,Однолинейка!$A$3:$A$3000,Щит_спец)+COUNTIFS(Однолинейка!$K$3:$K$3000,C421,Однолинейка!$A$3:$A$3000,Щит_спец)),IF(A421="Модуль",IF(C421="","",COUNTIFS(Однолинейка!$AW$3:$AW$3000,"?*",Однолинейка!$AI$3:$AI$3000,C421,Однолинейка!$A$3:$A$3000,Щит_спец)),IF(A421="Клемма",IF(C421="","",IF(C421=$S$7,SUMIFS(Однолинейка!$BW$3:$BW$3000,Однолинейка!$A$3:$A$3000,Щит_спец),IF(C421=$S$8,SUMIFS(Однолинейка!$BX$3:$BX$3000,Однолинейка!$A$3:$A$3000,Щит_спец),""))),""))))</f>
        <v/>
      </c>
      <c r="O421" s="74"/>
      <c r="P421" s="38" t="str">
        <f t="shared" si="54"/>
        <v/>
      </c>
      <c r="U421" s="38" t="str">
        <f t="shared" si="55"/>
        <v/>
      </c>
      <c r="V421" s="38" t="str">
        <f t="shared" si="56"/>
        <v/>
      </c>
      <c r="W421" s="38" t="str">
        <f>IF(AND(U421&lt;&gt;"",OR($S$4="(все)",B421=$S$4),IF($S$4="(все)",COUNTIF($U$4:U421,U421),COUNTIFS($U$4:U421,U421,$B$4:B421,B421))=1),MAX($W$3:W420)+1,"")</f>
        <v/>
      </c>
      <c r="X421" s="38" t="str">
        <f t="shared" si="57"/>
        <v/>
      </c>
      <c r="Y421" s="38" t="str">
        <f>IF(AND(A421="Аппарат",C421&lt;&gt;"",OR($S$5="(все)",B421=$S$5)),MAX($Y$3:Y420)+1,"")</f>
        <v/>
      </c>
      <c r="Z421" s="38" t="str">
        <f t="shared" si="58"/>
        <v/>
      </c>
      <c r="AA421" s="38" t="str">
        <f>IF(AND(A421="Модуль",C421&lt;&gt;"",OR($S$6="(все)",B421=$S$6)),MAX($AA$3:AA420)+1,"")</f>
        <v/>
      </c>
      <c r="AB421" s="38" t="str">
        <f t="shared" si="59"/>
        <v/>
      </c>
      <c r="AC421" s="38" t="str">
        <f>IF(OR(B421="",COUNTIF($B$4:B421,B421)&gt;1),"",MAX($AC$3:AC420)+1)</f>
        <v/>
      </c>
      <c r="AD421" s="38" t="str">
        <f t="shared" si="60"/>
        <v/>
      </c>
      <c r="AE421" s="38" t="str">
        <f t="shared" si="61"/>
        <v/>
      </c>
      <c r="AF421" s="38" t="str">
        <f t="shared" si="62"/>
        <v/>
      </c>
    </row>
    <row r="422" spans="1:32" x14ac:dyDescent="0.3">
      <c r="A422" s="74"/>
      <c r="B422" s="74"/>
      <c r="C422" s="74"/>
      <c r="D422" s="74"/>
      <c r="E422" s="74"/>
      <c r="F422" s="74"/>
      <c r="G422" s="74"/>
      <c r="H422" s="74"/>
      <c r="I422" s="74"/>
      <c r="J422" s="74"/>
      <c r="K422" s="74"/>
      <c r="L422" s="74"/>
      <c r="M422" s="74"/>
      <c r="N422" s="38" t="str">
        <f>IF(OR(A422="Автомат",A422="Дифавтомат"),IF(W422="","",COUNTIFS(Однолинейка!$H$3:$H$3000,U422,Однолинейка!$A$3:$A$3000,Щит_спец)),IF(A422="Аппарат",IF(C422="","",COUNTIFS(Однолинейка!$I$3:$I$3000,C422,Однолинейка!$A$3:$A$3000,Щит_спец)+COUNTIFS(Однолинейка!$J$3:$J$3000,C422,Однолинейка!$A$3:$A$3000,Щит_спец)+COUNTIFS(Однолинейка!$K$3:$K$3000,C422,Однолинейка!$A$3:$A$3000,Щит_спец)),IF(A422="Модуль",IF(C422="","",COUNTIFS(Однолинейка!$AW$3:$AW$3000,"?*",Однолинейка!$AI$3:$AI$3000,C422,Однолинейка!$A$3:$A$3000,Щит_спец)),IF(A422="Клемма",IF(C422="","",IF(C422=$S$7,SUMIFS(Однолинейка!$BW$3:$BW$3000,Однолинейка!$A$3:$A$3000,Щит_спец),IF(C422=$S$8,SUMIFS(Однолинейка!$BX$3:$BX$3000,Однолинейка!$A$3:$A$3000,Щит_спец),""))),""))))</f>
        <v/>
      </c>
      <c r="O422" s="74"/>
      <c r="P422" s="38" t="str">
        <f t="shared" si="54"/>
        <v/>
      </c>
      <c r="U422" s="38" t="str">
        <f t="shared" si="55"/>
        <v/>
      </c>
      <c r="V422" s="38" t="str">
        <f t="shared" si="56"/>
        <v/>
      </c>
      <c r="W422" s="38" t="str">
        <f>IF(AND(U422&lt;&gt;"",OR($S$4="(все)",B422=$S$4),IF($S$4="(все)",COUNTIF($U$4:U422,U422),COUNTIFS($U$4:U422,U422,$B$4:B422,B422))=1),MAX($W$3:W421)+1,"")</f>
        <v/>
      </c>
      <c r="X422" s="38" t="str">
        <f t="shared" si="57"/>
        <v/>
      </c>
      <c r="Y422" s="38" t="str">
        <f>IF(AND(A422="Аппарат",C422&lt;&gt;"",OR($S$5="(все)",B422=$S$5)),MAX($Y$3:Y421)+1,"")</f>
        <v/>
      </c>
      <c r="Z422" s="38" t="str">
        <f t="shared" si="58"/>
        <v/>
      </c>
      <c r="AA422" s="38" t="str">
        <f>IF(AND(A422="Модуль",C422&lt;&gt;"",OR($S$6="(все)",B422=$S$6)),MAX($AA$3:AA421)+1,"")</f>
        <v/>
      </c>
      <c r="AB422" s="38" t="str">
        <f t="shared" si="59"/>
        <v/>
      </c>
      <c r="AC422" s="38" t="str">
        <f>IF(OR(B422="",COUNTIF($B$4:B422,B422)&gt;1),"",MAX($AC$3:AC421)+1)</f>
        <v/>
      </c>
      <c r="AD422" s="38" t="str">
        <f t="shared" si="60"/>
        <v/>
      </c>
      <c r="AE422" s="38" t="str">
        <f t="shared" si="61"/>
        <v/>
      </c>
      <c r="AF422" s="38" t="str">
        <f t="shared" si="62"/>
        <v/>
      </c>
    </row>
    <row r="423" spans="1:32" x14ac:dyDescent="0.3">
      <c r="A423" s="74"/>
      <c r="B423" s="74"/>
      <c r="C423" s="74"/>
      <c r="D423" s="74"/>
      <c r="E423" s="74"/>
      <c r="F423" s="74"/>
      <c r="G423" s="74"/>
      <c r="H423" s="74"/>
      <c r="I423" s="74"/>
      <c r="J423" s="74"/>
      <c r="K423" s="74"/>
      <c r="L423" s="74"/>
      <c r="M423" s="74"/>
      <c r="N423" s="38" t="str">
        <f>IF(OR(A423="Автомат",A423="Дифавтомат"),IF(W423="","",COUNTIFS(Однолинейка!$H$3:$H$3000,U423,Однолинейка!$A$3:$A$3000,Щит_спец)),IF(A423="Аппарат",IF(C423="","",COUNTIFS(Однолинейка!$I$3:$I$3000,C423,Однолинейка!$A$3:$A$3000,Щит_спец)+COUNTIFS(Однолинейка!$J$3:$J$3000,C423,Однолинейка!$A$3:$A$3000,Щит_спец)+COUNTIFS(Однолинейка!$K$3:$K$3000,C423,Однолинейка!$A$3:$A$3000,Щит_спец)),IF(A423="Модуль",IF(C423="","",COUNTIFS(Однолинейка!$AW$3:$AW$3000,"?*",Однолинейка!$AI$3:$AI$3000,C423,Однолинейка!$A$3:$A$3000,Щит_спец)),IF(A423="Клемма",IF(C423="","",IF(C423=$S$7,SUMIFS(Однолинейка!$BW$3:$BW$3000,Однолинейка!$A$3:$A$3000,Щит_спец),IF(C423=$S$8,SUMIFS(Однолинейка!$BX$3:$BX$3000,Однолинейка!$A$3:$A$3000,Щит_спец),""))),""))))</f>
        <v/>
      </c>
      <c r="O423" s="74"/>
      <c r="P423" s="38" t="str">
        <f t="shared" si="54"/>
        <v/>
      </c>
      <c r="U423" s="38" t="str">
        <f t="shared" si="55"/>
        <v/>
      </c>
      <c r="V423" s="38" t="str">
        <f t="shared" si="56"/>
        <v/>
      </c>
      <c r="W423" s="38" t="str">
        <f>IF(AND(U423&lt;&gt;"",OR($S$4="(все)",B423=$S$4),IF($S$4="(все)",COUNTIF($U$4:U423,U423),COUNTIFS($U$4:U423,U423,$B$4:B423,B423))=1),MAX($W$3:W422)+1,"")</f>
        <v/>
      </c>
      <c r="X423" s="38" t="str">
        <f t="shared" si="57"/>
        <v/>
      </c>
      <c r="Y423" s="38" t="str">
        <f>IF(AND(A423="Аппарат",C423&lt;&gt;"",OR($S$5="(все)",B423=$S$5)),MAX($Y$3:Y422)+1,"")</f>
        <v/>
      </c>
      <c r="Z423" s="38" t="str">
        <f t="shared" si="58"/>
        <v/>
      </c>
      <c r="AA423" s="38" t="str">
        <f>IF(AND(A423="Модуль",C423&lt;&gt;"",OR($S$6="(все)",B423=$S$6)),MAX($AA$3:AA422)+1,"")</f>
        <v/>
      </c>
      <c r="AB423" s="38" t="str">
        <f t="shared" si="59"/>
        <v/>
      </c>
      <c r="AC423" s="38" t="str">
        <f>IF(OR(B423="",COUNTIF($B$4:B423,B423)&gt;1),"",MAX($AC$3:AC422)+1)</f>
        <v/>
      </c>
      <c r="AD423" s="38" t="str">
        <f t="shared" si="60"/>
        <v/>
      </c>
      <c r="AE423" s="38" t="str">
        <f t="shared" si="61"/>
        <v/>
      </c>
      <c r="AF423" s="38" t="str">
        <f t="shared" si="62"/>
        <v/>
      </c>
    </row>
    <row r="424" spans="1:32" x14ac:dyDescent="0.3">
      <c r="A424" s="74"/>
      <c r="B424" s="74"/>
      <c r="C424" s="74"/>
      <c r="D424" s="74"/>
      <c r="E424" s="74"/>
      <c r="F424" s="74"/>
      <c r="G424" s="74"/>
      <c r="H424" s="74"/>
      <c r="I424" s="74"/>
      <c r="J424" s="74"/>
      <c r="K424" s="74"/>
      <c r="L424" s="74"/>
      <c r="M424" s="74"/>
      <c r="N424" s="38" t="str">
        <f>IF(OR(A424="Автомат",A424="Дифавтомат"),IF(W424="","",COUNTIFS(Однолинейка!$H$3:$H$3000,U424,Однолинейка!$A$3:$A$3000,Щит_спец)),IF(A424="Аппарат",IF(C424="","",COUNTIFS(Однолинейка!$I$3:$I$3000,C424,Однолинейка!$A$3:$A$3000,Щит_спец)+COUNTIFS(Однолинейка!$J$3:$J$3000,C424,Однолинейка!$A$3:$A$3000,Щит_спец)+COUNTIFS(Однолинейка!$K$3:$K$3000,C424,Однолинейка!$A$3:$A$3000,Щит_спец)),IF(A424="Модуль",IF(C424="","",COUNTIFS(Однолинейка!$AW$3:$AW$3000,"?*",Однолинейка!$AI$3:$AI$3000,C424,Однолинейка!$A$3:$A$3000,Щит_спец)),IF(A424="Клемма",IF(C424="","",IF(C424=$S$7,SUMIFS(Однолинейка!$BW$3:$BW$3000,Однолинейка!$A$3:$A$3000,Щит_спец),IF(C424=$S$8,SUMIFS(Однолинейка!$BX$3:$BX$3000,Однолинейка!$A$3:$A$3000,Щит_спец),""))),""))))</f>
        <v/>
      </c>
      <c r="O424" s="74"/>
      <c r="P424" s="38" t="str">
        <f t="shared" si="54"/>
        <v/>
      </c>
      <c r="U424" s="38" t="str">
        <f t="shared" si="55"/>
        <v/>
      </c>
      <c r="V424" s="38" t="str">
        <f t="shared" si="56"/>
        <v/>
      </c>
      <c r="W424" s="38" t="str">
        <f>IF(AND(U424&lt;&gt;"",OR($S$4="(все)",B424=$S$4),IF($S$4="(все)",COUNTIF($U$4:U424,U424),COUNTIFS($U$4:U424,U424,$B$4:B424,B424))=1),MAX($W$3:W423)+1,"")</f>
        <v/>
      </c>
      <c r="X424" s="38" t="str">
        <f t="shared" si="57"/>
        <v/>
      </c>
      <c r="Y424" s="38" t="str">
        <f>IF(AND(A424="Аппарат",C424&lt;&gt;"",OR($S$5="(все)",B424=$S$5)),MAX($Y$3:Y423)+1,"")</f>
        <v/>
      </c>
      <c r="Z424" s="38" t="str">
        <f t="shared" si="58"/>
        <v/>
      </c>
      <c r="AA424" s="38" t="str">
        <f>IF(AND(A424="Модуль",C424&lt;&gt;"",OR($S$6="(все)",B424=$S$6)),MAX($AA$3:AA423)+1,"")</f>
        <v/>
      </c>
      <c r="AB424" s="38" t="str">
        <f t="shared" si="59"/>
        <v/>
      </c>
      <c r="AC424" s="38" t="str">
        <f>IF(OR(B424="",COUNTIF($B$4:B424,B424)&gt;1),"",MAX($AC$3:AC423)+1)</f>
        <v/>
      </c>
      <c r="AD424" s="38" t="str">
        <f t="shared" si="60"/>
        <v/>
      </c>
      <c r="AE424" s="38" t="str">
        <f t="shared" si="61"/>
        <v/>
      </c>
      <c r="AF424" s="38" t="str">
        <f t="shared" si="62"/>
        <v/>
      </c>
    </row>
    <row r="425" spans="1:32" x14ac:dyDescent="0.3">
      <c r="A425" s="74"/>
      <c r="B425" s="74"/>
      <c r="C425" s="74"/>
      <c r="D425" s="74"/>
      <c r="E425" s="74"/>
      <c r="F425" s="74"/>
      <c r="G425" s="74"/>
      <c r="H425" s="74"/>
      <c r="I425" s="74"/>
      <c r="J425" s="74"/>
      <c r="K425" s="74"/>
      <c r="L425" s="74"/>
      <c r="M425" s="74"/>
      <c r="N425" s="38" t="str">
        <f>IF(OR(A425="Автомат",A425="Дифавтомат"),IF(W425="","",COUNTIFS(Однолинейка!$H$3:$H$3000,U425,Однолинейка!$A$3:$A$3000,Щит_спец)),IF(A425="Аппарат",IF(C425="","",COUNTIFS(Однолинейка!$I$3:$I$3000,C425,Однолинейка!$A$3:$A$3000,Щит_спец)+COUNTIFS(Однолинейка!$J$3:$J$3000,C425,Однолинейка!$A$3:$A$3000,Щит_спец)+COUNTIFS(Однолинейка!$K$3:$K$3000,C425,Однолинейка!$A$3:$A$3000,Щит_спец)),IF(A425="Модуль",IF(C425="","",COUNTIFS(Однолинейка!$AW$3:$AW$3000,"?*",Однолинейка!$AI$3:$AI$3000,C425,Однолинейка!$A$3:$A$3000,Щит_спец)),IF(A425="Клемма",IF(C425="","",IF(C425=$S$7,SUMIFS(Однолинейка!$BW$3:$BW$3000,Однолинейка!$A$3:$A$3000,Щит_спец),IF(C425=$S$8,SUMIFS(Однолинейка!$BX$3:$BX$3000,Однолинейка!$A$3:$A$3000,Щит_спец),""))),""))))</f>
        <v/>
      </c>
      <c r="O425" s="74"/>
      <c r="P425" s="38" t="str">
        <f t="shared" si="54"/>
        <v/>
      </c>
      <c r="U425" s="38" t="str">
        <f t="shared" si="55"/>
        <v/>
      </c>
      <c r="V425" s="38" t="str">
        <f t="shared" si="56"/>
        <v/>
      </c>
      <c r="W425" s="38" t="str">
        <f>IF(AND(U425&lt;&gt;"",OR($S$4="(все)",B425=$S$4),IF($S$4="(все)",COUNTIF($U$4:U425,U425),COUNTIFS($U$4:U425,U425,$B$4:B425,B425))=1),MAX($W$3:W424)+1,"")</f>
        <v/>
      </c>
      <c r="X425" s="38" t="str">
        <f t="shared" si="57"/>
        <v/>
      </c>
      <c r="Y425" s="38" t="str">
        <f>IF(AND(A425="Аппарат",C425&lt;&gt;"",OR($S$5="(все)",B425=$S$5)),MAX($Y$3:Y424)+1,"")</f>
        <v/>
      </c>
      <c r="Z425" s="38" t="str">
        <f t="shared" si="58"/>
        <v/>
      </c>
      <c r="AA425" s="38" t="str">
        <f>IF(AND(A425="Модуль",C425&lt;&gt;"",OR($S$6="(все)",B425=$S$6)),MAX($AA$3:AA424)+1,"")</f>
        <v/>
      </c>
      <c r="AB425" s="38" t="str">
        <f t="shared" si="59"/>
        <v/>
      </c>
      <c r="AC425" s="38" t="str">
        <f>IF(OR(B425="",COUNTIF($B$4:B425,B425)&gt;1),"",MAX($AC$3:AC424)+1)</f>
        <v/>
      </c>
      <c r="AD425" s="38" t="str">
        <f t="shared" si="60"/>
        <v/>
      </c>
      <c r="AE425" s="38" t="str">
        <f t="shared" si="61"/>
        <v/>
      </c>
      <c r="AF425" s="38" t="str">
        <f t="shared" si="62"/>
        <v/>
      </c>
    </row>
    <row r="426" spans="1:32" x14ac:dyDescent="0.3">
      <c r="A426" s="74"/>
      <c r="B426" s="74"/>
      <c r="C426" s="74"/>
      <c r="D426" s="74"/>
      <c r="E426" s="74"/>
      <c r="F426" s="74"/>
      <c r="G426" s="74"/>
      <c r="H426" s="74"/>
      <c r="I426" s="74"/>
      <c r="J426" s="74"/>
      <c r="K426" s="74"/>
      <c r="L426" s="74"/>
      <c r="M426" s="74"/>
      <c r="N426" s="38" t="str">
        <f>IF(OR(A426="Автомат",A426="Дифавтомат"),IF(W426="","",COUNTIFS(Однолинейка!$H$3:$H$3000,U426,Однолинейка!$A$3:$A$3000,Щит_спец)),IF(A426="Аппарат",IF(C426="","",COUNTIFS(Однолинейка!$I$3:$I$3000,C426,Однолинейка!$A$3:$A$3000,Щит_спец)+COUNTIFS(Однолинейка!$J$3:$J$3000,C426,Однолинейка!$A$3:$A$3000,Щит_спец)+COUNTIFS(Однолинейка!$K$3:$K$3000,C426,Однолинейка!$A$3:$A$3000,Щит_спец)),IF(A426="Модуль",IF(C426="","",COUNTIFS(Однолинейка!$AW$3:$AW$3000,"?*",Однолинейка!$AI$3:$AI$3000,C426,Однолинейка!$A$3:$A$3000,Щит_спец)),IF(A426="Клемма",IF(C426="","",IF(C426=$S$7,SUMIFS(Однолинейка!$BW$3:$BW$3000,Однолинейка!$A$3:$A$3000,Щит_спец),IF(C426=$S$8,SUMIFS(Однолинейка!$BX$3:$BX$3000,Однолинейка!$A$3:$A$3000,Щит_спец),""))),""))))</f>
        <v/>
      </c>
      <c r="O426" s="74"/>
      <c r="P426" s="38" t="str">
        <f t="shared" si="54"/>
        <v/>
      </c>
      <c r="U426" s="38" t="str">
        <f t="shared" si="55"/>
        <v/>
      </c>
      <c r="V426" s="38" t="str">
        <f t="shared" si="56"/>
        <v/>
      </c>
      <c r="W426" s="38" t="str">
        <f>IF(AND(U426&lt;&gt;"",OR($S$4="(все)",B426=$S$4),IF($S$4="(все)",COUNTIF($U$4:U426,U426),COUNTIFS($U$4:U426,U426,$B$4:B426,B426))=1),MAX($W$3:W425)+1,"")</f>
        <v/>
      </c>
      <c r="X426" s="38" t="str">
        <f t="shared" si="57"/>
        <v/>
      </c>
      <c r="Y426" s="38" t="str">
        <f>IF(AND(A426="Аппарат",C426&lt;&gt;"",OR($S$5="(все)",B426=$S$5)),MAX($Y$3:Y425)+1,"")</f>
        <v/>
      </c>
      <c r="Z426" s="38" t="str">
        <f t="shared" si="58"/>
        <v/>
      </c>
      <c r="AA426" s="38" t="str">
        <f>IF(AND(A426="Модуль",C426&lt;&gt;"",OR($S$6="(все)",B426=$S$6)),MAX($AA$3:AA425)+1,"")</f>
        <v/>
      </c>
      <c r="AB426" s="38" t="str">
        <f t="shared" si="59"/>
        <v/>
      </c>
      <c r="AC426" s="38" t="str">
        <f>IF(OR(B426="",COUNTIF($B$4:B426,B426)&gt;1),"",MAX($AC$3:AC425)+1)</f>
        <v/>
      </c>
      <c r="AD426" s="38" t="str">
        <f t="shared" si="60"/>
        <v/>
      </c>
      <c r="AE426" s="38" t="str">
        <f t="shared" si="61"/>
        <v/>
      </c>
      <c r="AF426" s="38" t="str">
        <f t="shared" si="62"/>
        <v/>
      </c>
    </row>
    <row r="427" spans="1:32" x14ac:dyDescent="0.3">
      <c r="A427" s="74"/>
      <c r="B427" s="74"/>
      <c r="C427" s="74"/>
      <c r="D427" s="74"/>
      <c r="E427" s="74"/>
      <c r="F427" s="74"/>
      <c r="G427" s="74"/>
      <c r="H427" s="74"/>
      <c r="I427" s="74"/>
      <c r="J427" s="74"/>
      <c r="K427" s="74"/>
      <c r="L427" s="74"/>
      <c r="M427" s="74"/>
      <c r="N427" s="38" t="str">
        <f>IF(OR(A427="Автомат",A427="Дифавтомат"),IF(W427="","",COUNTIFS(Однолинейка!$H$3:$H$3000,U427,Однолинейка!$A$3:$A$3000,Щит_спец)),IF(A427="Аппарат",IF(C427="","",COUNTIFS(Однолинейка!$I$3:$I$3000,C427,Однолинейка!$A$3:$A$3000,Щит_спец)+COUNTIFS(Однолинейка!$J$3:$J$3000,C427,Однолинейка!$A$3:$A$3000,Щит_спец)+COUNTIFS(Однолинейка!$K$3:$K$3000,C427,Однолинейка!$A$3:$A$3000,Щит_спец)),IF(A427="Модуль",IF(C427="","",COUNTIFS(Однолинейка!$AW$3:$AW$3000,"?*",Однолинейка!$AI$3:$AI$3000,C427,Однолинейка!$A$3:$A$3000,Щит_спец)),IF(A427="Клемма",IF(C427="","",IF(C427=$S$7,SUMIFS(Однолинейка!$BW$3:$BW$3000,Однолинейка!$A$3:$A$3000,Щит_спец),IF(C427=$S$8,SUMIFS(Однолинейка!$BX$3:$BX$3000,Однолинейка!$A$3:$A$3000,Щит_спец),""))),""))))</f>
        <v/>
      </c>
      <c r="O427" s="74"/>
      <c r="P427" s="38" t="str">
        <f t="shared" si="54"/>
        <v/>
      </c>
      <c r="U427" s="38" t="str">
        <f t="shared" si="55"/>
        <v/>
      </c>
      <c r="V427" s="38" t="str">
        <f t="shared" si="56"/>
        <v/>
      </c>
      <c r="W427" s="38" t="str">
        <f>IF(AND(U427&lt;&gt;"",OR($S$4="(все)",B427=$S$4),IF($S$4="(все)",COUNTIF($U$4:U427,U427),COUNTIFS($U$4:U427,U427,$B$4:B427,B427))=1),MAX($W$3:W426)+1,"")</f>
        <v/>
      </c>
      <c r="X427" s="38" t="str">
        <f t="shared" si="57"/>
        <v/>
      </c>
      <c r="Y427" s="38" t="str">
        <f>IF(AND(A427="Аппарат",C427&lt;&gt;"",OR($S$5="(все)",B427=$S$5)),MAX($Y$3:Y426)+1,"")</f>
        <v/>
      </c>
      <c r="Z427" s="38" t="str">
        <f t="shared" si="58"/>
        <v/>
      </c>
      <c r="AA427" s="38" t="str">
        <f>IF(AND(A427="Модуль",C427&lt;&gt;"",OR($S$6="(все)",B427=$S$6)),MAX($AA$3:AA426)+1,"")</f>
        <v/>
      </c>
      <c r="AB427" s="38" t="str">
        <f t="shared" si="59"/>
        <v/>
      </c>
      <c r="AC427" s="38" t="str">
        <f>IF(OR(B427="",COUNTIF($B$4:B427,B427)&gt;1),"",MAX($AC$3:AC426)+1)</f>
        <v/>
      </c>
      <c r="AD427" s="38" t="str">
        <f t="shared" si="60"/>
        <v/>
      </c>
      <c r="AE427" s="38" t="str">
        <f t="shared" si="61"/>
        <v/>
      </c>
      <c r="AF427" s="38" t="str">
        <f t="shared" si="62"/>
        <v/>
      </c>
    </row>
    <row r="428" spans="1:32" x14ac:dyDescent="0.3">
      <c r="A428" s="74"/>
      <c r="B428" s="74"/>
      <c r="C428" s="74"/>
      <c r="D428" s="74"/>
      <c r="E428" s="74"/>
      <c r="F428" s="74"/>
      <c r="G428" s="74"/>
      <c r="H428" s="74"/>
      <c r="I428" s="74"/>
      <c r="J428" s="74"/>
      <c r="K428" s="74"/>
      <c r="L428" s="74"/>
      <c r="M428" s="74"/>
      <c r="N428" s="38" t="str">
        <f>IF(OR(A428="Автомат",A428="Дифавтомат"),IF(W428="","",COUNTIFS(Однолинейка!$H$3:$H$3000,U428,Однолинейка!$A$3:$A$3000,Щит_спец)),IF(A428="Аппарат",IF(C428="","",COUNTIFS(Однолинейка!$I$3:$I$3000,C428,Однолинейка!$A$3:$A$3000,Щит_спец)+COUNTIFS(Однолинейка!$J$3:$J$3000,C428,Однолинейка!$A$3:$A$3000,Щит_спец)+COUNTIFS(Однолинейка!$K$3:$K$3000,C428,Однолинейка!$A$3:$A$3000,Щит_спец)),IF(A428="Модуль",IF(C428="","",COUNTIFS(Однолинейка!$AW$3:$AW$3000,"?*",Однолинейка!$AI$3:$AI$3000,C428,Однолинейка!$A$3:$A$3000,Щит_спец)),IF(A428="Клемма",IF(C428="","",IF(C428=$S$7,SUMIFS(Однолинейка!$BW$3:$BW$3000,Однолинейка!$A$3:$A$3000,Щит_спец),IF(C428=$S$8,SUMIFS(Однолинейка!$BX$3:$BX$3000,Однолинейка!$A$3:$A$3000,Щит_спец),""))),""))))</f>
        <v/>
      </c>
      <c r="O428" s="74"/>
      <c r="P428" s="38" t="str">
        <f t="shared" si="54"/>
        <v/>
      </c>
      <c r="U428" s="38" t="str">
        <f t="shared" si="55"/>
        <v/>
      </c>
      <c r="V428" s="38" t="str">
        <f t="shared" si="56"/>
        <v/>
      </c>
      <c r="W428" s="38" t="str">
        <f>IF(AND(U428&lt;&gt;"",OR($S$4="(все)",B428=$S$4),IF($S$4="(все)",COUNTIF($U$4:U428,U428),COUNTIFS($U$4:U428,U428,$B$4:B428,B428))=1),MAX($W$3:W427)+1,"")</f>
        <v/>
      </c>
      <c r="X428" s="38" t="str">
        <f t="shared" si="57"/>
        <v/>
      </c>
      <c r="Y428" s="38" t="str">
        <f>IF(AND(A428="Аппарат",C428&lt;&gt;"",OR($S$5="(все)",B428=$S$5)),MAX($Y$3:Y427)+1,"")</f>
        <v/>
      </c>
      <c r="Z428" s="38" t="str">
        <f t="shared" si="58"/>
        <v/>
      </c>
      <c r="AA428" s="38" t="str">
        <f>IF(AND(A428="Модуль",C428&lt;&gt;"",OR($S$6="(все)",B428=$S$6)),MAX($AA$3:AA427)+1,"")</f>
        <v/>
      </c>
      <c r="AB428" s="38" t="str">
        <f t="shared" si="59"/>
        <v/>
      </c>
      <c r="AC428" s="38" t="str">
        <f>IF(OR(B428="",COUNTIF($B$4:B428,B428)&gt;1),"",MAX($AC$3:AC427)+1)</f>
        <v/>
      </c>
      <c r="AD428" s="38" t="str">
        <f t="shared" si="60"/>
        <v/>
      </c>
      <c r="AE428" s="38" t="str">
        <f t="shared" si="61"/>
        <v/>
      </c>
      <c r="AF428" s="38" t="str">
        <f t="shared" si="62"/>
        <v/>
      </c>
    </row>
    <row r="429" spans="1:32" x14ac:dyDescent="0.3">
      <c r="A429" s="74"/>
      <c r="B429" s="74"/>
      <c r="C429" s="74"/>
      <c r="D429" s="74"/>
      <c r="E429" s="74"/>
      <c r="F429" s="74"/>
      <c r="G429" s="74"/>
      <c r="H429" s="74"/>
      <c r="I429" s="74"/>
      <c r="J429" s="74"/>
      <c r="K429" s="74"/>
      <c r="L429" s="74"/>
      <c r="M429" s="74"/>
      <c r="N429" s="38" t="str">
        <f>IF(OR(A429="Автомат",A429="Дифавтомат"),IF(W429="","",COUNTIFS(Однолинейка!$H$3:$H$3000,U429,Однолинейка!$A$3:$A$3000,Щит_спец)),IF(A429="Аппарат",IF(C429="","",COUNTIFS(Однолинейка!$I$3:$I$3000,C429,Однолинейка!$A$3:$A$3000,Щит_спец)+COUNTIFS(Однолинейка!$J$3:$J$3000,C429,Однолинейка!$A$3:$A$3000,Щит_спец)+COUNTIFS(Однолинейка!$K$3:$K$3000,C429,Однолинейка!$A$3:$A$3000,Щит_спец)),IF(A429="Модуль",IF(C429="","",COUNTIFS(Однолинейка!$AW$3:$AW$3000,"?*",Однолинейка!$AI$3:$AI$3000,C429,Однолинейка!$A$3:$A$3000,Щит_спец)),IF(A429="Клемма",IF(C429="","",IF(C429=$S$7,SUMIFS(Однолинейка!$BW$3:$BW$3000,Однолинейка!$A$3:$A$3000,Щит_спец),IF(C429=$S$8,SUMIFS(Однолинейка!$BX$3:$BX$3000,Однолинейка!$A$3:$A$3000,Щит_спец),""))),""))))</f>
        <v/>
      </c>
      <c r="O429" s="74"/>
      <c r="P429" s="38" t="str">
        <f t="shared" si="54"/>
        <v/>
      </c>
      <c r="U429" s="38" t="str">
        <f t="shared" si="55"/>
        <v/>
      </c>
      <c r="V429" s="38" t="str">
        <f t="shared" si="56"/>
        <v/>
      </c>
      <c r="W429" s="38" t="str">
        <f>IF(AND(U429&lt;&gt;"",OR($S$4="(все)",B429=$S$4),IF($S$4="(все)",COUNTIF($U$4:U429,U429),COUNTIFS($U$4:U429,U429,$B$4:B429,B429))=1),MAX($W$3:W428)+1,"")</f>
        <v/>
      </c>
      <c r="X429" s="38" t="str">
        <f t="shared" si="57"/>
        <v/>
      </c>
      <c r="Y429" s="38" t="str">
        <f>IF(AND(A429="Аппарат",C429&lt;&gt;"",OR($S$5="(все)",B429=$S$5)),MAX($Y$3:Y428)+1,"")</f>
        <v/>
      </c>
      <c r="Z429" s="38" t="str">
        <f t="shared" si="58"/>
        <v/>
      </c>
      <c r="AA429" s="38" t="str">
        <f>IF(AND(A429="Модуль",C429&lt;&gt;"",OR($S$6="(все)",B429=$S$6)),MAX($AA$3:AA428)+1,"")</f>
        <v/>
      </c>
      <c r="AB429" s="38" t="str">
        <f t="shared" si="59"/>
        <v/>
      </c>
      <c r="AC429" s="38" t="str">
        <f>IF(OR(B429="",COUNTIF($B$4:B429,B429)&gt;1),"",MAX($AC$3:AC428)+1)</f>
        <v/>
      </c>
      <c r="AD429" s="38" t="str">
        <f t="shared" si="60"/>
        <v/>
      </c>
      <c r="AE429" s="38" t="str">
        <f t="shared" si="61"/>
        <v/>
      </c>
      <c r="AF429" s="38" t="str">
        <f t="shared" si="62"/>
        <v/>
      </c>
    </row>
    <row r="430" spans="1:32" x14ac:dyDescent="0.3">
      <c r="A430" s="74"/>
      <c r="B430" s="74"/>
      <c r="C430" s="74"/>
      <c r="D430" s="74"/>
      <c r="E430" s="74"/>
      <c r="F430" s="74"/>
      <c r="G430" s="74"/>
      <c r="H430" s="74"/>
      <c r="I430" s="74"/>
      <c r="J430" s="74"/>
      <c r="K430" s="74"/>
      <c r="L430" s="74"/>
      <c r="M430" s="74"/>
      <c r="N430" s="38" t="str">
        <f>IF(OR(A430="Автомат",A430="Дифавтомат"),IF(W430="","",COUNTIFS(Однолинейка!$H$3:$H$3000,U430,Однолинейка!$A$3:$A$3000,Щит_спец)),IF(A430="Аппарат",IF(C430="","",COUNTIFS(Однолинейка!$I$3:$I$3000,C430,Однолинейка!$A$3:$A$3000,Щит_спец)+COUNTIFS(Однолинейка!$J$3:$J$3000,C430,Однолинейка!$A$3:$A$3000,Щит_спец)+COUNTIFS(Однолинейка!$K$3:$K$3000,C430,Однолинейка!$A$3:$A$3000,Щит_спец)),IF(A430="Модуль",IF(C430="","",COUNTIFS(Однолинейка!$AW$3:$AW$3000,"?*",Однолинейка!$AI$3:$AI$3000,C430,Однолинейка!$A$3:$A$3000,Щит_спец)),IF(A430="Клемма",IF(C430="","",IF(C430=$S$7,SUMIFS(Однолинейка!$BW$3:$BW$3000,Однолинейка!$A$3:$A$3000,Щит_спец),IF(C430=$S$8,SUMIFS(Однолинейка!$BX$3:$BX$3000,Однолинейка!$A$3:$A$3000,Щит_спец),""))),""))))</f>
        <v/>
      </c>
      <c r="O430" s="74"/>
      <c r="P430" s="38" t="str">
        <f t="shared" si="54"/>
        <v/>
      </c>
      <c r="U430" s="38" t="str">
        <f t="shared" si="55"/>
        <v/>
      </c>
      <c r="V430" s="38" t="str">
        <f t="shared" si="56"/>
        <v/>
      </c>
      <c r="W430" s="38" t="str">
        <f>IF(AND(U430&lt;&gt;"",OR($S$4="(все)",B430=$S$4),IF($S$4="(все)",COUNTIF($U$4:U430,U430),COUNTIFS($U$4:U430,U430,$B$4:B430,B430))=1),MAX($W$3:W429)+1,"")</f>
        <v/>
      </c>
      <c r="X430" s="38" t="str">
        <f t="shared" si="57"/>
        <v/>
      </c>
      <c r="Y430" s="38" t="str">
        <f>IF(AND(A430="Аппарат",C430&lt;&gt;"",OR($S$5="(все)",B430=$S$5)),MAX($Y$3:Y429)+1,"")</f>
        <v/>
      </c>
      <c r="Z430" s="38" t="str">
        <f t="shared" si="58"/>
        <v/>
      </c>
      <c r="AA430" s="38" t="str">
        <f>IF(AND(A430="Модуль",C430&lt;&gt;"",OR($S$6="(все)",B430=$S$6)),MAX($AA$3:AA429)+1,"")</f>
        <v/>
      </c>
      <c r="AB430" s="38" t="str">
        <f t="shared" si="59"/>
        <v/>
      </c>
      <c r="AC430" s="38" t="str">
        <f>IF(OR(B430="",COUNTIF($B$4:B430,B430)&gt;1),"",MAX($AC$3:AC429)+1)</f>
        <v/>
      </c>
      <c r="AD430" s="38" t="str">
        <f t="shared" si="60"/>
        <v/>
      </c>
      <c r="AE430" s="38" t="str">
        <f t="shared" si="61"/>
        <v/>
      </c>
      <c r="AF430" s="38" t="str">
        <f t="shared" si="62"/>
        <v/>
      </c>
    </row>
    <row r="431" spans="1:32" x14ac:dyDescent="0.3">
      <c r="A431" s="74"/>
      <c r="B431" s="74"/>
      <c r="C431" s="74"/>
      <c r="D431" s="74"/>
      <c r="E431" s="74"/>
      <c r="F431" s="74"/>
      <c r="G431" s="74"/>
      <c r="H431" s="74"/>
      <c r="I431" s="74"/>
      <c r="J431" s="74"/>
      <c r="K431" s="74"/>
      <c r="L431" s="74"/>
      <c r="M431" s="74"/>
      <c r="N431" s="38" t="str">
        <f>IF(OR(A431="Автомат",A431="Дифавтомат"),IF(W431="","",COUNTIFS(Однолинейка!$H$3:$H$3000,U431,Однолинейка!$A$3:$A$3000,Щит_спец)),IF(A431="Аппарат",IF(C431="","",COUNTIFS(Однолинейка!$I$3:$I$3000,C431,Однолинейка!$A$3:$A$3000,Щит_спец)+COUNTIFS(Однолинейка!$J$3:$J$3000,C431,Однолинейка!$A$3:$A$3000,Щит_спец)+COUNTIFS(Однолинейка!$K$3:$K$3000,C431,Однолинейка!$A$3:$A$3000,Щит_спец)),IF(A431="Модуль",IF(C431="","",COUNTIFS(Однолинейка!$AW$3:$AW$3000,"?*",Однолинейка!$AI$3:$AI$3000,C431,Однолинейка!$A$3:$A$3000,Щит_спец)),IF(A431="Клемма",IF(C431="","",IF(C431=$S$7,SUMIFS(Однолинейка!$BW$3:$BW$3000,Однолинейка!$A$3:$A$3000,Щит_спец),IF(C431=$S$8,SUMIFS(Однолинейка!$BX$3:$BX$3000,Однолинейка!$A$3:$A$3000,Щит_спец),""))),""))))</f>
        <v/>
      </c>
      <c r="O431" s="74"/>
      <c r="P431" s="38" t="str">
        <f t="shared" si="54"/>
        <v/>
      </c>
      <c r="U431" s="38" t="str">
        <f t="shared" si="55"/>
        <v/>
      </c>
      <c r="V431" s="38" t="str">
        <f t="shared" si="56"/>
        <v/>
      </c>
      <c r="W431" s="38" t="str">
        <f>IF(AND(U431&lt;&gt;"",OR($S$4="(все)",B431=$S$4),IF($S$4="(все)",COUNTIF($U$4:U431,U431),COUNTIFS($U$4:U431,U431,$B$4:B431,B431))=1),MAX($W$3:W430)+1,"")</f>
        <v/>
      </c>
      <c r="X431" s="38" t="str">
        <f t="shared" si="57"/>
        <v/>
      </c>
      <c r="Y431" s="38" t="str">
        <f>IF(AND(A431="Аппарат",C431&lt;&gt;"",OR($S$5="(все)",B431=$S$5)),MAX($Y$3:Y430)+1,"")</f>
        <v/>
      </c>
      <c r="Z431" s="38" t="str">
        <f t="shared" si="58"/>
        <v/>
      </c>
      <c r="AA431" s="38" t="str">
        <f>IF(AND(A431="Модуль",C431&lt;&gt;"",OR($S$6="(все)",B431=$S$6)),MAX($AA$3:AA430)+1,"")</f>
        <v/>
      </c>
      <c r="AB431" s="38" t="str">
        <f t="shared" si="59"/>
        <v/>
      </c>
      <c r="AC431" s="38" t="str">
        <f>IF(OR(B431="",COUNTIF($B$4:B431,B431)&gt;1),"",MAX($AC$3:AC430)+1)</f>
        <v/>
      </c>
      <c r="AD431" s="38" t="str">
        <f t="shared" si="60"/>
        <v/>
      </c>
      <c r="AE431" s="38" t="str">
        <f t="shared" si="61"/>
        <v/>
      </c>
      <c r="AF431" s="38" t="str">
        <f t="shared" si="62"/>
        <v/>
      </c>
    </row>
    <row r="432" spans="1:32" x14ac:dyDescent="0.3">
      <c r="A432" s="74"/>
      <c r="B432" s="74"/>
      <c r="C432" s="74"/>
      <c r="D432" s="74"/>
      <c r="E432" s="74"/>
      <c r="F432" s="74"/>
      <c r="G432" s="74"/>
      <c r="H432" s="74"/>
      <c r="I432" s="74"/>
      <c r="J432" s="74"/>
      <c r="K432" s="74"/>
      <c r="L432" s="74"/>
      <c r="M432" s="74"/>
      <c r="N432" s="38" t="str">
        <f>IF(OR(A432="Автомат",A432="Дифавтомат"),IF(W432="","",COUNTIFS(Однолинейка!$H$3:$H$3000,U432,Однолинейка!$A$3:$A$3000,Щит_спец)),IF(A432="Аппарат",IF(C432="","",COUNTIFS(Однолинейка!$I$3:$I$3000,C432,Однолинейка!$A$3:$A$3000,Щит_спец)+COUNTIFS(Однолинейка!$J$3:$J$3000,C432,Однолинейка!$A$3:$A$3000,Щит_спец)+COUNTIFS(Однолинейка!$K$3:$K$3000,C432,Однолинейка!$A$3:$A$3000,Щит_спец)),IF(A432="Модуль",IF(C432="","",COUNTIFS(Однолинейка!$AW$3:$AW$3000,"?*",Однолинейка!$AI$3:$AI$3000,C432,Однолинейка!$A$3:$A$3000,Щит_спец)),IF(A432="Клемма",IF(C432="","",IF(C432=$S$7,SUMIFS(Однолинейка!$BW$3:$BW$3000,Однолинейка!$A$3:$A$3000,Щит_спец),IF(C432=$S$8,SUMIFS(Однолинейка!$BX$3:$BX$3000,Однолинейка!$A$3:$A$3000,Щит_спец),""))),""))))</f>
        <v/>
      </c>
      <c r="O432" s="74"/>
      <c r="P432" s="38" t="str">
        <f t="shared" si="54"/>
        <v/>
      </c>
      <c r="U432" s="38" t="str">
        <f t="shared" si="55"/>
        <v/>
      </c>
      <c r="V432" s="38" t="str">
        <f t="shared" si="56"/>
        <v/>
      </c>
      <c r="W432" s="38" t="str">
        <f>IF(AND(U432&lt;&gt;"",OR($S$4="(все)",B432=$S$4),IF($S$4="(все)",COUNTIF($U$4:U432,U432),COUNTIFS($U$4:U432,U432,$B$4:B432,B432))=1),MAX($W$3:W431)+1,"")</f>
        <v/>
      </c>
      <c r="X432" s="38" t="str">
        <f t="shared" si="57"/>
        <v/>
      </c>
      <c r="Y432" s="38" t="str">
        <f>IF(AND(A432="Аппарат",C432&lt;&gt;"",OR($S$5="(все)",B432=$S$5)),MAX($Y$3:Y431)+1,"")</f>
        <v/>
      </c>
      <c r="Z432" s="38" t="str">
        <f t="shared" si="58"/>
        <v/>
      </c>
      <c r="AA432" s="38" t="str">
        <f>IF(AND(A432="Модуль",C432&lt;&gt;"",OR($S$6="(все)",B432=$S$6)),MAX($AA$3:AA431)+1,"")</f>
        <v/>
      </c>
      <c r="AB432" s="38" t="str">
        <f t="shared" si="59"/>
        <v/>
      </c>
      <c r="AC432" s="38" t="str">
        <f>IF(OR(B432="",COUNTIF($B$4:B432,B432)&gt;1),"",MAX($AC$3:AC431)+1)</f>
        <v/>
      </c>
      <c r="AD432" s="38" t="str">
        <f t="shared" si="60"/>
        <v/>
      </c>
      <c r="AE432" s="38" t="str">
        <f t="shared" si="61"/>
        <v/>
      </c>
      <c r="AF432" s="38" t="str">
        <f t="shared" si="62"/>
        <v/>
      </c>
    </row>
    <row r="433" spans="1:32" x14ac:dyDescent="0.3">
      <c r="A433" s="74"/>
      <c r="B433" s="74"/>
      <c r="C433" s="74"/>
      <c r="D433" s="74"/>
      <c r="E433" s="74"/>
      <c r="F433" s="74"/>
      <c r="G433" s="74"/>
      <c r="H433" s="74"/>
      <c r="I433" s="74"/>
      <c r="J433" s="74"/>
      <c r="K433" s="74"/>
      <c r="L433" s="74"/>
      <c r="M433" s="74"/>
      <c r="N433" s="38" t="str">
        <f>IF(OR(A433="Автомат",A433="Дифавтомат"),IF(W433="","",COUNTIFS(Однолинейка!$H$3:$H$3000,U433,Однолинейка!$A$3:$A$3000,Щит_спец)),IF(A433="Аппарат",IF(C433="","",COUNTIFS(Однолинейка!$I$3:$I$3000,C433,Однолинейка!$A$3:$A$3000,Щит_спец)+COUNTIFS(Однолинейка!$J$3:$J$3000,C433,Однолинейка!$A$3:$A$3000,Щит_спец)+COUNTIFS(Однолинейка!$K$3:$K$3000,C433,Однолинейка!$A$3:$A$3000,Щит_спец)),IF(A433="Модуль",IF(C433="","",COUNTIFS(Однолинейка!$AW$3:$AW$3000,"?*",Однолинейка!$AI$3:$AI$3000,C433,Однолинейка!$A$3:$A$3000,Щит_спец)),IF(A433="Клемма",IF(C433="","",IF(C433=$S$7,SUMIFS(Однолинейка!$BW$3:$BW$3000,Однолинейка!$A$3:$A$3000,Щит_спец),IF(C433=$S$8,SUMIFS(Однолинейка!$BX$3:$BX$3000,Однолинейка!$A$3:$A$3000,Щит_спец),""))),""))))</f>
        <v/>
      </c>
      <c r="O433" s="74"/>
      <c r="P433" s="38" t="str">
        <f t="shared" si="54"/>
        <v/>
      </c>
      <c r="U433" s="38" t="str">
        <f t="shared" si="55"/>
        <v/>
      </c>
      <c r="V433" s="38" t="str">
        <f t="shared" si="56"/>
        <v/>
      </c>
      <c r="W433" s="38" t="str">
        <f>IF(AND(U433&lt;&gt;"",OR($S$4="(все)",B433=$S$4),IF($S$4="(все)",COUNTIF($U$4:U433,U433),COUNTIFS($U$4:U433,U433,$B$4:B433,B433))=1),MAX($W$3:W432)+1,"")</f>
        <v/>
      </c>
      <c r="X433" s="38" t="str">
        <f t="shared" si="57"/>
        <v/>
      </c>
      <c r="Y433" s="38" t="str">
        <f>IF(AND(A433="Аппарат",C433&lt;&gt;"",OR($S$5="(все)",B433=$S$5)),MAX($Y$3:Y432)+1,"")</f>
        <v/>
      </c>
      <c r="Z433" s="38" t="str">
        <f t="shared" si="58"/>
        <v/>
      </c>
      <c r="AA433" s="38" t="str">
        <f>IF(AND(A433="Модуль",C433&lt;&gt;"",OR($S$6="(все)",B433=$S$6)),MAX($AA$3:AA432)+1,"")</f>
        <v/>
      </c>
      <c r="AB433" s="38" t="str">
        <f t="shared" si="59"/>
        <v/>
      </c>
      <c r="AC433" s="38" t="str">
        <f>IF(OR(B433="",COUNTIF($B$4:B433,B433)&gt;1),"",MAX($AC$3:AC432)+1)</f>
        <v/>
      </c>
      <c r="AD433" s="38" t="str">
        <f t="shared" si="60"/>
        <v/>
      </c>
      <c r="AE433" s="38" t="str">
        <f t="shared" si="61"/>
        <v/>
      </c>
      <c r="AF433" s="38" t="str">
        <f t="shared" si="62"/>
        <v/>
      </c>
    </row>
    <row r="434" spans="1:32" x14ac:dyDescent="0.3">
      <c r="A434" s="74"/>
      <c r="B434" s="74"/>
      <c r="C434" s="74"/>
      <c r="D434" s="74"/>
      <c r="E434" s="74"/>
      <c r="F434" s="74"/>
      <c r="G434" s="74"/>
      <c r="H434" s="74"/>
      <c r="I434" s="74"/>
      <c r="J434" s="74"/>
      <c r="K434" s="74"/>
      <c r="L434" s="74"/>
      <c r="M434" s="74"/>
      <c r="N434" s="38" t="str">
        <f>IF(OR(A434="Автомат",A434="Дифавтомат"),IF(W434="","",COUNTIFS(Однолинейка!$H$3:$H$3000,U434,Однолинейка!$A$3:$A$3000,Щит_спец)),IF(A434="Аппарат",IF(C434="","",COUNTIFS(Однолинейка!$I$3:$I$3000,C434,Однолинейка!$A$3:$A$3000,Щит_спец)+COUNTIFS(Однолинейка!$J$3:$J$3000,C434,Однолинейка!$A$3:$A$3000,Щит_спец)+COUNTIFS(Однолинейка!$K$3:$K$3000,C434,Однолинейка!$A$3:$A$3000,Щит_спец)),IF(A434="Модуль",IF(C434="","",COUNTIFS(Однолинейка!$AW$3:$AW$3000,"?*",Однолинейка!$AI$3:$AI$3000,C434,Однолинейка!$A$3:$A$3000,Щит_спец)),IF(A434="Клемма",IF(C434="","",IF(C434=$S$7,SUMIFS(Однолинейка!$BW$3:$BW$3000,Однолинейка!$A$3:$A$3000,Щит_спец),IF(C434=$S$8,SUMIFS(Однолинейка!$BX$3:$BX$3000,Однолинейка!$A$3:$A$3000,Щит_спец),""))),""))))</f>
        <v/>
      </c>
      <c r="O434" s="74"/>
      <c r="P434" s="38" t="str">
        <f t="shared" si="54"/>
        <v/>
      </c>
      <c r="U434" s="38" t="str">
        <f t="shared" si="55"/>
        <v/>
      </c>
      <c r="V434" s="38" t="str">
        <f t="shared" si="56"/>
        <v/>
      </c>
      <c r="W434" s="38" t="str">
        <f>IF(AND(U434&lt;&gt;"",OR($S$4="(все)",B434=$S$4),IF($S$4="(все)",COUNTIF($U$4:U434,U434),COUNTIFS($U$4:U434,U434,$B$4:B434,B434))=1),MAX($W$3:W433)+1,"")</f>
        <v/>
      </c>
      <c r="X434" s="38" t="str">
        <f t="shared" si="57"/>
        <v/>
      </c>
      <c r="Y434" s="38" t="str">
        <f>IF(AND(A434="Аппарат",C434&lt;&gt;"",OR($S$5="(все)",B434=$S$5)),MAX($Y$3:Y433)+1,"")</f>
        <v/>
      </c>
      <c r="Z434" s="38" t="str">
        <f t="shared" si="58"/>
        <v/>
      </c>
      <c r="AA434" s="38" t="str">
        <f>IF(AND(A434="Модуль",C434&lt;&gt;"",OR($S$6="(все)",B434=$S$6)),MAX($AA$3:AA433)+1,"")</f>
        <v/>
      </c>
      <c r="AB434" s="38" t="str">
        <f t="shared" si="59"/>
        <v/>
      </c>
      <c r="AC434" s="38" t="str">
        <f>IF(OR(B434="",COUNTIF($B$4:B434,B434)&gt;1),"",MAX($AC$3:AC433)+1)</f>
        <v/>
      </c>
      <c r="AD434" s="38" t="str">
        <f t="shared" si="60"/>
        <v/>
      </c>
      <c r="AE434" s="38" t="str">
        <f t="shared" si="61"/>
        <v/>
      </c>
      <c r="AF434" s="38" t="str">
        <f t="shared" si="62"/>
        <v/>
      </c>
    </row>
    <row r="435" spans="1:32" x14ac:dyDescent="0.3">
      <c r="A435" s="74"/>
      <c r="B435" s="74"/>
      <c r="C435" s="74"/>
      <c r="D435" s="74"/>
      <c r="E435" s="74"/>
      <c r="F435" s="74"/>
      <c r="G435" s="74"/>
      <c r="H435" s="74"/>
      <c r="I435" s="74"/>
      <c r="J435" s="74"/>
      <c r="K435" s="74"/>
      <c r="L435" s="74"/>
      <c r="M435" s="74"/>
      <c r="N435" s="38" t="str">
        <f>IF(OR(A435="Автомат",A435="Дифавтомат"),IF(W435="","",COUNTIFS(Однолинейка!$H$3:$H$3000,U435,Однолинейка!$A$3:$A$3000,Щит_спец)),IF(A435="Аппарат",IF(C435="","",COUNTIFS(Однолинейка!$I$3:$I$3000,C435,Однолинейка!$A$3:$A$3000,Щит_спец)+COUNTIFS(Однолинейка!$J$3:$J$3000,C435,Однолинейка!$A$3:$A$3000,Щит_спец)+COUNTIFS(Однолинейка!$K$3:$K$3000,C435,Однолинейка!$A$3:$A$3000,Щит_спец)),IF(A435="Модуль",IF(C435="","",COUNTIFS(Однолинейка!$AW$3:$AW$3000,"?*",Однолинейка!$AI$3:$AI$3000,C435,Однолинейка!$A$3:$A$3000,Щит_спец)),IF(A435="Клемма",IF(C435="","",IF(C435=$S$7,SUMIFS(Однолинейка!$BW$3:$BW$3000,Однолинейка!$A$3:$A$3000,Щит_спец),IF(C435=$S$8,SUMIFS(Однолинейка!$BX$3:$BX$3000,Однолинейка!$A$3:$A$3000,Щит_спец),""))),""))))</f>
        <v/>
      </c>
      <c r="O435" s="74"/>
      <c r="P435" s="38" t="str">
        <f t="shared" si="54"/>
        <v/>
      </c>
      <c r="U435" s="38" t="str">
        <f t="shared" si="55"/>
        <v/>
      </c>
      <c r="V435" s="38" t="str">
        <f t="shared" si="56"/>
        <v/>
      </c>
      <c r="W435" s="38" t="str">
        <f>IF(AND(U435&lt;&gt;"",OR($S$4="(все)",B435=$S$4),IF($S$4="(все)",COUNTIF($U$4:U435,U435),COUNTIFS($U$4:U435,U435,$B$4:B435,B435))=1),MAX($W$3:W434)+1,"")</f>
        <v/>
      </c>
      <c r="X435" s="38" t="str">
        <f t="shared" si="57"/>
        <v/>
      </c>
      <c r="Y435" s="38" t="str">
        <f>IF(AND(A435="Аппарат",C435&lt;&gt;"",OR($S$5="(все)",B435=$S$5)),MAX($Y$3:Y434)+1,"")</f>
        <v/>
      </c>
      <c r="Z435" s="38" t="str">
        <f t="shared" si="58"/>
        <v/>
      </c>
      <c r="AA435" s="38" t="str">
        <f>IF(AND(A435="Модуль",C435&lt;&gt;"",OR($S$6="(все)",B435=$S$6)),MAX($AA$3:AA434)+1,"")</f>
        <v/>
      </c>
      <c r="AB435" s="38" t="str">
        <f t="shared" si="59"/>
        <v/>
      </c>
      <c r="AC435" s="38" t="str">
        <f>IF(OR(B435="",COUNTIF($B$4:B435,B435)&gt;1),"",MAX($AC$3:AC434)+1)</f>
        <v/>
      </c>
      <c r="AD435" s="38" t="str">
        <f t="shared" si="60"/>
        <v/>
      </c>
      <c r="AE435" s="38" t="str">
        <f t="shared" si="61"/>
        <v/>
      </c>
      <c r="AF435" s="38" t="str">
        <f t="shared" si="62"/>
        <v/>
      </c>
    </row>
    <row r="436" spans="1:32" x14ac:dyDescent="0.3">
      <c r="A436" s="74"/>
      <c r="B436" s="74"/>
      <c r="C436" s="74"/>
      <c r="D436" s="74"/>
      <c r="E436" s="74"/>
      <c r="F436" s="74"/>
      <c r="G436" s="74"/>
      <c r="H436" s="74"/>
      <c r="I436" s="74"/>
      <c r="J436" s="74"/>
      <c r="K436" s="74"/>
      <c r="L436" s="74"/>
      <c r="M436" s="74"/>
      <c r="N436" s="38" t="str">
        <f>IF(OR(A436="Автомат",A436="Дифавтомат"),IF(W436="","",COUNTIFS(Однолинейка!$H$3:$H$3000,U436,Однолинейка!$A$3:$A$3000,Щит_спец)),IF(A436="Аппарат",IF(C436="","",COUNTIFS(Однолинейка!$I$3:$I$3000,C436,Однолинейка!$A$3:$A$3000,Щит_спец)+COUNTIFS(Однолинейка!$J$3:$J$3000,C436,Однолинейка!$A$3:$A$3000,Щит_спец)+COUNTIFS(Однолинейка!$K$3:$K$3000,C436,Однолинейка!$A$3:$A$3000,Щит_спец)),IF(A436="Модуль",IF(C436="","",COUNTIFS(Однолинейка!$AW$3:$AW$3000,"?*",Однолинейка!$AI$3:$AI$3000,C436,Однолинейка!$A$3:$A$3000,Щит_спец)),IF(A436="Клемма",IF(C436="","",IF(C436=$S$7,SUMIFS(Однолинейка!$BW$3:$BW$3000,Однолинейка!$A$3:$A$3000,Щит_спец),IF(C436=$S$8,SUMIFS(Однолинейка!$BX$3:$BX$3000,Однолинейка!$A$3:$A$3000,Щит_спец),""))),""))))</f>
        <v/>
      </c>
      <c r="O436" s="74"/>
      <c r="P436" s="38" t="str">
        <f t="shared" si="54"/>
        <v/>
      </c>
      <c r="U436" s="38" t="str">
        <f t="shared" si="55"/>
        <v/>
      </c>
      <c r="V436" s="38" t="str">
        <f t="shared" si="56"/>
        <v/>
      </c>
      <c r="W436" s="38" t="str">
        <f>IF(AND(U436&lt;&gt;"",OR($S$4="(все)",B436=$S$4),IF($S$4="(все)",COUNTIF($U$4:U436,U436),COUNTIFS($U$4:U436,U436,$B$4:B436,B436))=1),MAX($W$3:W435)+1,"")</f>
        <v/>
      </c>
      <c r="X436" s="38" t="str">
        <f t="shared" si="57"/>
        <v/>
      </c>
      <c r="Y436" s="38" t="str">
        <f>IF(AND(A436="Аппарат",C436&lt;&gt;"",OR($S$5="(все)",B436=$S$5)),MAX($Y$3:Y435)+1,"")</f>
        <v/>
      </c>
      <c r="Z436" s="38" t="str">
        <f t="shared" si="58"/>
        <v/>
      </c>
      <c r="AA436" s="38" t="str">
        <f>IF(AND(A436="Модуль",C436&lt;&gt;"",OR($S$6="(все)",B436=$S$6)),MAX($AA$3:AA435)+1,"")</f>
        <v/>
      </c>
      <c r="AB436" s="38" t="str">
        <f t="shared" si="59"/>
        <v/>
      </c>
      <c r="AC436" s="38" t="str">
        <f>IF(OR(B436="",COUNTIF($B$4:B436,B436)&gt;1),"",MAX($AC$3:AC435)+1)</f>
        <v/>
      </c>
      <c r="AD436" s="38" t="str">
        <f t="shared" si="60"/>
        <v/>
      </c>
      <c r="AE436" s="38" t="str">
        <f t="shared" si="61"/>
        <v/>
      </c>
      <c r="AF436" s="38" t="str">
        <f t="shared" si="62"/>
        <v/>
      </c>
    </row>
    <row r="437" spans="1:32" x14ac:dyDescent="0.3">
      <c r="A437" s="74"/>
      <c r="B437" s="74"/>
      <c r="C437" s="74"/>
      <c r="D437" s="74"/>
      <c r="E437" s="74"/>
      <c r="F437" s="74"/>
      <c r="G437" s="74"/>
      <c r="H437" s="74"/>
      <c r="I437" s="74"/>
      <c r="J437" s="74"/>
      <c r="K437" s="74"/>
      <c r="L437" s="74"/>
      <c r="M437" s="74"/>
      <c r="N437" s="38" t="str">
        <f>IF(OR(A437="Автомат",A437="Дифавтомат"),IF(W437="","",COUNTIFS(Однолинейка!$H$3:$H$3000,U437,Однолинейка!$A$3:$A$3000,Щит_спец)),IF(A437="Аппарат",IF(C437="","",COUNTIFS(Однолинейка!$I$3:$I$3000,C437,Однолинейка!$A$3:$A$3000,Щит_спец)+COUNTIFS(Однолинейка!$J$3:$J$3000,C437,Однолинейка!$A$3:$A$3000,Щит_спец)+COUNTIFS(Однолинейка!$K$3:$K$3000,C437,Однолинейка!$A$3:$A$3000,Щит_спец)),IF(A437="Модуль",IF(C437="","",COUNTIFS(Однолинейка!$AW$3:$AW$3000,"?*",Однолинейка!$AI$3:$AI$3000,C437,Однолинейка!$A$3:$A$3000,Щит_спец)),IF(A437="Клемма",IF(C437="","",IF(C437=$S$7,SUMIFS(Однолинейка!$BW$3:$BW$3000,Однолинейка!$A$3:$A$3000,Щит_спец),IF(C437=$S$8,SUMIFS(Однолинейка!$BX$3:$BX$3000,Однолинейка!$A$3:$A$3000,Щит_спец),""))),""))))</f>
        <v/>
      </c>
      <c r="O437" s="74"/>
      <c r="P437" s="38" t="str">
        <f t="shared" si="54"/>
        <v/>
      </c>
      <c r="U437" s="38" t="str">
        <f t="shared" si="55"/>
        <v/>
      </c>
      <c r="V437" s="38" t="str">
        <f t="shared" si="56"/>
        <v/>
      </c>
      <c r="W437" s="38" t="str">
        <f>IF(AND(U437&lt;&gt;"",OR($S$4="(все)",B437=$S$4),IF($S$4="(все)",COUNTIF($U$4:U437,U437),COUNTIFS($U$4:U437,U437,$B$4:B437,B437))=1),MAX($W$3:W436)+1,"")</f>
        <v/>
      </c>
      <c r="X437" s="38" t="str">
        <f t="shared" si="57"/>
        <v/>
      </c>
      <c r="Y437" s="38" t="str">
        <f>IF(AND(A437="Аппарат",C437&lt;&gt;"",OR($S$5="(все)",B437=$S$5)),MAX($Y$3:Y436)+1,"")</f>
        <v/>
      </c>
      <c r="Z437" s="38" t="str">
        <f t="shared" si="58"/>
        <v/>
      </c>
      <c r="AA437" s="38" t="str">
        <f>IF(AND(A437="Модуль",C437&lt;&gt;"",OR($S$6="(все)",B437=$S$6)),MAX($AA$3:AA436)+1,"")</f>
        <v/>
      </c>
      <c r="AB437" s="38" t="str">
        <f t="shared" si="59"/>
        <v/>
      </c>
      <c r="AC437" s="38" t="str">
        <f>IF(OR(B437="",COUNTIF($B$4:B437,B437)&gt;1),"",MAX($AC$3:AC436)+1)</f>
        <v/>
      </c>
      <c r="AD437" s="38" t="str">
        <f t="shared" si="60"/>
        <v/>
      </c>
      <c r="AE437" s="38" t="str">
        <f t="shared" si="61"/>
        <v/>
      </c>
      <c r="AF437" s="38" t="str">
        <f t="shared" si="62"/>
        <v/>
      </c>
    </row>
    <row r="438" spans="1:32" x14ac:dyDescent="0.3">
      <c r="A438" s="74"/>
      <c r="B438" s="74"/>
      <c r="C438" s="74"/>
      <c r="D438" s="74"/>
      <c r="E438" s="74"/>
      <c r="F438" s="74"/>
      <c r="G438" s="74"/>
      <c r="H438" s="74"/>
      <c r="I438" s="74"/>
      <c r="J438" s="74"/>
      <c r="K438" s="74"/>
      <c r="L438" s="74"/>
      <c r="M438" s="74"/>
      <c r="N438" s="38" t="str">
        <f>IF(OR(A438="Автомат",A438="Дифавтомат"),IF(W438="","",COUNTIFS(Однолинейка!$H$3:$H$3000,U438,Однолинейка!$A$3:$A$3000,Щит_спец)),IF(A438="Аппарат",IF(C438="","",COUNTIFS(Однолинейка!$I$3:$I$3000,C438,Однолинейка!$A$3:$A$3000,Щит_спец)+COUNTIFS(Однолинейка!$J$3:$J$3000,C438,Однолинейка!$A$3:$A$3000,Щит_спец)+COUNTIFS(Однолинейка!$K$3:$K$3000,C438,Однолинейка!$A$3:$A$3000,Щит_спец)),IF(A438="Модуль",IF(C438="","",COUNTIFS(Однолинейка!$AW$3:$AW$3000,"?*",Однолинейка!$AI$3:$AI$3000,C438,Однолинейка!$A$3:$A$3000,Щит_спец)),IF(A438="Клемма",IF(C438="","",IF(C438=$S$7,SUMIFS(Однолинейка!$BW$3:$BW$3000,Однолинейка!$A$3:$A$3000,Щит_спец),IF(C438=$S$8,SUMIFS(Однолинейка!$BX$3:$BX$3000,Однолинейка!$A$3:$A$3000,Щит_спец),""))),""))))</f>
        <v/>
      </c>
      <c r="O438" s="74"/>
      <c r="P438" s="38" t="str">
        <f t="shared" si="54"/>
        <v/>
      </c>
      <c r="U438" s="38" t="str">
        <f t="shared" si="55"/>
        <v/>
      </c>
      <c r="V438" s="38" t="str">
        <f t="shared" si="56"/>
        <v/>
      </c>
      <c r="W438" s="38" t="str">
        <f>IF(AND(U438&lt;&gt;"",OR($S$4="(все)",B438=$S$4),IF($S$4="(все)",COUNTIF($U$4:U438,U438),COUNTIFS($U$4:U438,U438,$B$4:B438,B438))=1),MAX($W$3:W437)+1,"")</f>
        <v/>
      </c>
      <c r="X438" s="38" t="str">
        <f t="shared" si="57"/>
        <v/>
      </c>
      <c r="Y438" s="38" t="str">
        <f>IF(AND(A438="Аппарат",C438&lt;&gt;"",OR($S$5="(все)",B438=$S$5)),MAX($Y$3:Y437)+1,"")</f>
        <v/>
      </c>
      <c r="Z438" s="38" t="str">
        <f t="shared" si="58"/>
        <v/>
      </c>
      <c r="AA438" s="38" t="str">
        <f>IF(AND(A438="Модуль",C438&lt;&gt;"",OR($S$6="(все)",B438=$S$6)),MAX($AA$3:AA437)+1,"")</f>
        <v/>
      </c>
      <c r="AB438" s="38" t="str">
        <f t="shared" si="59"/>
        <v/>
      </c>
      <c r="AC438" s="38" t="str">
        <f>IF(OR(B438="",COUNTIF($B$4:B438,B438)&gt;1),"",MAX($AC$3:AC437)+1)</f>
        <v/>
      </c>
      <c r="AD438" s="38" t="str">
        <f t="shared" si="60"/>
        <v/>
      </c>
      <c r="AE438" s="38" t="str">
        <f t="shared" si="61"/>
        <v/>
      </c>
      <c r="AF438" s="38" t="str">
        <f t="shared" si="62"/>
        <v/>
      </c>
    </row>
    <row r="439" spans="1:32" x14ac:dyDescent="0.3">
      <c r="A439" s="74"/>
      <c r="B439" s="74"/>
      <c r="C439" s="74"/>
      <c r="D439" s="74"/>
      <c r="E439" s="74"/>
      <c r="F439" s="74"/>
      <c r="G439" s="74"/>
      <c r="H439" s="74"/>
      <c r="I439" s="74"/>
      <c r="J439" s="74"/>
      <c r="K439" s="74"/>
      <c r="L439" s="74"/>
      <c r="M439" s="74"/>
      <c r="N439" s="38" t="str">
        <f>IF(OR(A439="Автомат",A439="Дифавтомат"),IF(W439="","",COUNTIFS(Однолинейка!$H$3:$H$3000,U439,Однолинейка!$A$3:$A$3000,Щит_спец)),IF(A439="Аппарат",IF(C439="","",COUNTIFS(Однолинейка!$I$3:$I$3000,C439,Однолинейка!$A$3:$A$3000,Щит_спец)+COUNTIFS(Однолинейка!$J$3:$J$3000,C439,Однолинейка!$A$3:$A$3000,Щит_спец)+COUNTIFS(Однолинейка!$K$3:$K$3000,C439,Однолинейка!$A$3:$A$3000,Щит_спец)),IF(A439="Модуль",IF(C439="","",COUNTIFS(Однолинейка!$AW$3:$AW$3000,"?*",Однолинейка!$AI$3:$AI$3000,C439,Однолинейка!$A$3:$A$3000,Щит_спец)),IF(A439="Клемма",IF(C439="","",IF(C439=$S$7,SUMIFS(Однолинейка!$BW$3:$BW$3000,Однолинейка!$A$3:$A$3000,Щит_спец),IF(C439=$S$8,SUMIFS(Однолинейка!$BX$3:$BX$3000,Однолинейка!$A$3:$A$3000,Щит_спец),""))),""))))</f>
        <v/>
      </c>
      <c r="O439" s="74"/>
      <c r="P439" s="38" t="str">
        <f t="shared" si="54"/>
        <v/>
      </c>
      <c r="U439" s="38" t="str">
        <f t="shared" si="55"/>
        <v/>
      </c>
      <c r="V439" s="38" t="str">
        <f t="shared" si="56"/>
        <v/>
      </c>
      <c r="W439" s="38" t="str">
        <f>IF(AND(U439&lt;&gt;"",OR($S$4="(все)",B439=$S$4),IF($S$4="(все)",COUNTIF($U$4:U439,U439),COUNTIFS($U$4:U439,U439,$B$4:B439,B439))=1),MAX($W$3:W438)+1,"")</f>
        <v/>
      </c>
      <c r="X439" s="38" t="str">
        <f t="shared" si="57"/>
        <v/>
      </c>
      <c r="Y439" s="38" t="str">
        <f>IF(AND(A439="Аппарат",C439&lt;&gt;"",OR($S$5="(все)",B439=$S$5)),MAX($Y$3:Y438)+1,"")</f>
        <v/>
      </c>
      <c r="Z439" s="38" t="str">
        <f t="shared" si="58"/>
        <v/>
      </c>
      <c r="AA439" s="38" t="str">
        <f>IF(AND(A439="Модуль",C439&lt;&gt;"",OR($S$6="(все)",B439=$S$6)),MAX($AA$3:AA438)+1,"")</f>
        <v/>
      </c>
      <c r="AB439" s="38" t="str">
        <f t="shared" si="59"/>
        <v/>
      </c>
      <c r="AC439" s="38" t="str">
        <f>IF(OR(B439="",COUNTIF($B$4:B439,B439)&gt;1),"",MAX($AC$3:AC438)+1)</f>
        <v/>
      </c>
      <c r="AD439" s="38" t="str">
        <f t="shared" si="60"/>
        <v/>
      </c>
      <c r="AE439" s="38" t="str">
        <f t="shared" si="61"/>
        <v/>
      </c>
      <c r="AF439" s="38" t="str">
        <f t="shared" si="62"/>
        <v/>
      </c>
    </row>
    <row r="440" spans="1:32" x14ac:dyDescent="0.3">
      <c r="A440" s="74"/>
      <c r="B440" s="74"/>
      <c r="C440" s="74"/>
      <c r="D440" s="74"/>
      <c r="E440" s="74"/>
      <c r="F440" s="74"/>
      <c r="G440" s="74"/>
      <c r="H440" s="74"/>
      <c r="I440" s="74"/>
      <c r="J440" s="74"/>
      <c r="K440" s="74"/>
      <c r="L440" s="74"/>
      <c r="M440" s="74"/>
      <c r="N440" s="38" t="str">
        <f>IF(OR(A440="Автомат",A440="Дифавтомат"),IF(W440="","",COUNTIFS(Однолинейка!$H$3:$H$3000,U440,Однолинейка!$A$3:$A$3000,Щит_спец)),IF(A440="Аппарат",IF(C440="","",COUNTIFS(Однолинейка!$I$3:$I$3000,C440,Однолинейка!$A$3:$A$3000,Щит_спец)+COUNTIFS(Однолинейка!$J$3:$J$3000,C440,Однолинейка!$A$3:$A$3000,Щит_спец)+COUNTIFS(Однолинейка!$K$3:$K$3000,C440,Однолинейка!$A$3:$A$3000,Щит_спец)),IF(A440="Модуль",IF(C440="","",COUNTIFS(Однолинейка!$AW$3:$AW$3000,"?*",Однолинейка!$AI$3:$AI$3000,C440,Однолинейка!$A$3:$A$3000,Щит_спец)),IF(A440="Клемма",IF(C440="","",IF(C440=$S$7,SUMIFS(Однолинейка!$BW$3:$BW$3000,Однолинейка!$A$3:$A$3000,Щит_спец),IF(C440=$S$8,SUMIFS(Однолинейка!$BX$3:$BX$3000,Однолинейка!$A$3:$A$3000,Щит_спец),""))),""))))</f>
        <v/>
      </c>
      <c r="O440" s="74"/>
      <c r="P440" s="38" t="str">
        <f t="shared" si="54"/>
        <v/>
      </c>
      <c r="U440" s="38" t="str">
        <f t="shared" si="55"/>
        <v/>
      </c>
      <c r="V440" s="38" t="str">
        <f t="shared" si="56"/>
        <v/>
      </c>
      <c r="W440" s="38" t="str">
        <f>IF(AND(U440&lt;&gt;"",OR($S$4="(все)",B440=$S$4),IF($S$4="(все)",COUNTIF($U$4:U440,U440),COUNTIFS($U$4:U440,U440,$B$4:B440,B440))=1),MAX($W$3:W439)+1,"")</f>
        <v/>
      </c>
      <c r="X440" s="38" t="str">
        <f t="shared" si="57"/>
        <v/>
      </c>
      <c r="Y440" s="38" t="str">
        <f>IF(AND(A440="Аппарат",C440&lt;&gt;"",OR($S$5="(все)",B440=$S$5)),MAX($Y$3:Y439)+1,"")</f>
        <v/>
      </c>
      <c r="Z440" s="38" t="str">
        <f t="shared" si="58"/>
        <v/>
      </c>
      <c r="AA440" s="38" t="str">
        <f>IF(AND(A440="Модуль",C440&lt;&gt;"",OR($S$6="(все)",B440=$S$6)),MAX($AA$3:AA439)+1,"")</f>
        <v/>
      </c>
      <c r="AB440" s="38" t="str">
        <f t="shared" si="59"/>
        <v/>
      </c>
      <c r="AC440" s="38" t="str">
        <f>IF(OR(B440="",COUNTIF($B$4:B440,B440)&gt;1),"",MAX($AC$3:AC439)+1)</f>
        <v/>
      </c>
      <c r="AD440" s="38" t="str">
        <f t="shared" si="60"/>
        <v/>
      </c>
      <c r="AE440" s="38" t="str">
        <f t="shared" si="61"/>
        <v/>
      </c>
      <c r="AF440" s="38" t="str">
        <f t="shared" si="62"/>
        <v/>
      </c>
    </row>
    <row r="441" spans="1:32" x14ac:dyDescent="0.3">
      <c r="A441" s="74"/>
      <c r="B441" s="74"/>
      <c r="C441" s="74"/>
      <c r="D441" s="74"/>
      <c r="E441" s="74"/>
      <c r="F441" s="74"/>
      <c r="G441" s="74"/>
      <c r="H441" s="74"/>
      <c r="I441" s="74"/>
      <c r="J441" s="74"/>
      <c r="K441" s="74"/>
      <c r="L441" s="74"/>
      <c r="M441" s="74"/>
      <c r="N441" s="38" t="str">
        <f>IF(OR(A441="Автомат",A441="Дифавтомат"),IF(W441="","",COUNTIFS(Однолинейка!$H$3:$H$3000,U441,Однолинейка!$A$3:$A$3000,Щит_спец)),IF(A441="Аппарат",IF(C441="","",COUNTIFS(Однолинейка!$I$3:$I$3000,C441,Однолинейка!$A$3:$A$3000,Щит_спец)+COUNTIFS(Однолинейка!$J$3:$J$3000,C441,Однолинейка!$A$3:$A$3000,Щит_спец)+COUNTIFS(Однолинейка!$K$3:$K$3000,C441,Однолинейка!$A$3:$A$3000,Щит_спец)),IF(A441="Модуль",IF(C441="","",COUNTIFS(Однолинейка!$AW$3:$AW$3000,"?*",Однолинейка!$AI$3:$AI$3000,C441,Однолинейка!$A$3:$A$3000,Щит_спец)),IF(A441="Клемма",IF(C441="","",IF(C441=$S$7,SUMIFS(Однолинейка!$BW$3:$BW$3000,Однолинейка!$A$3:$A$3000,Щит_спец),IF(C441=$S$8,SUMIFS(Однолинейка!$BX$3:$BX$3000,Однолинейка!$A$3:$A$3000,Щит_спец),""))),""))))</f>
        <v/>
      </c>
      <c r="O441" s="74"/>
      <c r="P441" s="38" t="str">
        <f t="shared" si="54"/>
        <v/>
      </c>
      <c r="U441" s="38" t="str">
        <f t="shared" si="55"/>
        <v/>
      </c>
      <c r="V441" s="38" t="str">
        <f t="shared" si="56"/>
        <v/>
      </c>
      <c r="W441" s="38" t="str">
        <f>IF(AND(U441&lt;&gt;"",OR($S$4="(все)",B441=$S$4),IF($S$4="(все)",COUNTIF($U$4:U441,U441),COUNTIFS($U$4:U441,U441,$B$4:B441,B441))=1),MAX($W$3:W440)+1,"")</f>
        <v/>
      </c>
      <c r="X441" s="38" t="str">
        <f t="shared" si="57"/>
        <v/>
      </c>
      <c r="Y441" s="38" t="str">
        <f>IF(AND(A441="Аппарат",C441&lt;&gt;"",OR($S$5="(все)",B441=$S$5)),MAX($Y$3:Y440)+1,"")</f>
        <v/>
      </c>
      <c r="Z441" s="38" t="str">
        <f t="shared" si="58"/>
        <v/>
      </c>
      <c r="AA441" s="38" t="str">
        <f>IF(AND(A441="Модуль",C441&lt;&gt;"",OR($S$6="(все)",B441=$S$6)),MAX($AA$3:AA440)+1,"")</f>
        <v/>
      </c>
      <c r="AB441" s="38" t="str">
        <f t="shared" si="59"/>
        <v/>
      </c>
      <c r="AC441" s="38" t="str">
        <f>IF(OR(B441="",COUNTIF($B$4:B441,B441)&gt;1),"",MAX($AC$3:AC440)+1)</f>
        <v/>
      </c>
      <c r="AD441" s="38" t="str">
        <f t="shared" si="60"/>
        <v/>
      </c>
      <c r="AE441" s="38" t="str">
        <f t="shared" si="61"/>
        <v/>
      </c>
      <c r="AF441" s="38" t="str">
        <f t="shared" si="62"/>
        <v/>
      </c>
    </row>
    <row r="442" spans="1:32" x14ac:dyDescent="0.3">
      <c r="A442" s="74"/>
      <c r="B442" s="74"/>
      <c r="C442" s="74"/>
      <c r="D442" s="74"/>
      <c r="E442" s="74"/>
      <c r="F442" s="74"/>
      <c r="G442" s="74"/>
      <c r="H442" s="74"/>
      <c r="I442" s="74"/>
      <c r="J442" s="74"/>
      <c r="K442" s="74"/>
      <c r="L442" s="74"/>
      <c r="M442" s="74"/>
      <c r="N442" s="38" t="str">
        <f>IF(OR(A442="Автомат",A442="Дифавтомат"),IF(W442="","",COUNTIFS(Однолинейка!$H$3:$H$3000,U442,Однолинейка!$A$3:$A$3000,Щит_спец)),IF(A442="Аппарат",IF(C442="","",COUNTIFS(Однолинейка!$I$3:$I$3000,C442,Однолинейка!$A$3:$A$3000,Щит_спец)+COUNTIFS(Однолинейка!$J$3:$J$3000,C442,Однолинейка!$A$3:$A$3000,Щит_спец)+COUNTIFS(Однолинейка!$K$3:$K$3000,C442,Однолинейка!$A$3:$A$3000,Щит_спец)),IF(A442="Модуль",IF(C442="","",COUNTIFS(Однолинейка!$AW$3:$AW$3000,"?*",Однолинейка!$AI$3:$AI$3000,C442,Однолинейка!$A$3:$A$3000,Щит_спец)),IF(A442="Клемма",IF(C442="","",IF(C442=$S$7,SUMIFS(Однолинейка!$BW$3:$BW$3000,Однолинейка!$A$3:$A$3000,Щит_спец),IF(C442=$S$8,SUMIFS(Однолинейка!$BX$3:$BX$3000,Однолинейка!$A$3:$A$3000,Щит_спец),""))),""))))</f>
        <v/>
      </c>
      <c r="O442" s="74"/>
      <c r="P442" s="38" t="str">
        <f t="shared" si="54"/>
        <v/>
      </c>
      <c r="U442" s="38" t="str">
        <f t="shared" si="55"/>
        <v/>
      </c>
      <c r="V442" s="38" t="str">
        <f t="shared" si="56"/>
        <v/>
      </c>
      <c r="W442" s="38" t="str">
        <f>IF(AND(U442&lt;&gt;"",OR($S$4="(все)",B442=$S$4),IF($S$4="(все)",COUNTIF($U$4:U442,U442),COUNTIFS($U$4:U442,U442,$B$4:B442,B442))=1),MAX($W$3:W441)+1,"")</f>
        <v/>
      </c>
      <c r="X442" s="38" t="str">
        <f t="shared" si="57"/>
        <v/>
      </c>
      <c r="Y442" s="38" t="str">
        <f>IF(AND(A442="Аппарат",C442&lt;&gt;"",OR($S$5="(все)",B442=$S$5)),MAX($Y$3:Y441)+1,"")</f>
        <v/>
      </c>
      <c r="Z442" s="38" t="str">
        <f t="shared" si="58"/>
        <v/>
      </c>
      <c r="AA442" s="38" t="str">
        <f>IF(AND(A442="Модуль",C442&lt;&gt;"",OR($S$6="(все)",B442=$S$6)),MAX($AA$3:AA441)+1,"")</f>
        <v/>
      </c>
      <c r="AB442" s="38" t="str">
        <f t="shared" si="59"/>
        <v/>
      </c>
      <c r="AC442" s="38" t="str">
        <f>IF(OR(B442="",COUNTIF($B$4:B442,B442)&gt;1),"",MAX($AC$3:AC441)+1)</f>
        <v/>
      </c>
      <c r="AD442" s="38" t="str">
        <f t="shared" si="60"/>
        <v/>
      </c>
      <c r="AE442" s="38" t="str">
        <f t="shared" si="61"/>
        <v/>
      </c>
      <c r="AF442" s="38" t="str">
        <f t="shared" si="62"/>
        <v/>
      </c>
    </row>
    <row r="443" spans="1:32" x14ac:dyDescent="0.3">
      <c r="A443" s="74"/>
      <c r="B443" s="74"/>
      <c r="C443" s="74"/>
      <c r="D443" s="74"/>
      <c r="E443" s="74"/>
      <c r="F443" s="74"/>
      <c r="G443" s="74"/>
      <c r="H443" s="74"/>
      <c r="I443" s="74"/>
      <c r="J443" s="74"/>
      <c r="K443" s="74"/>
      <c r="L443" s="74"/>
      <c r="M443" s="74"/>
      <c r="N443" s="38" t="str">
        <f>IF(OR(A443="Автомат",A443="Дифавтомат"),IF(W443="","",COUNTIFS(Однолинейка!$H$3:$H$3000,U443,Однолинейка!$A$3:$A$3000,Щит_спец)),IF(A443="Аппарат",IF(C443="","",COUNTIFS(Однолинейка!$I$3:$I$3000,C443,Однолинейка!$A$3:$A$3000,Щит_спец)+COUNTIFS(Однолинейка!$J$3:$J$3000,C443,Однолинейка!$A$3:$A$3000,Щит_спец)+COUNTIFS(Однолинейка!$K$3:$K$3000,C443,Однолинейка!$A$3:$A$3000,Щит_спец)),IF(A443="Модуль",IF(C443="","",COUNTIFS(Однолинейка!$AW$3:$AW$3000,"?*",Однолинейка!$AI$3:$AI$3000,C443,Однолинейка!$A$3:$A$3000,Щит_спец)),IF(A443="Клемма",IF(C443="","",IF(C443=$S$7,SUMIFS(Однолинейка!$BW$3:$BW$3000,Однолинейка!$A$3:$A$3000,Щит_спец),IF(C443=$S$8,SUMIFS(Однолинейка!$BX$3:$BX$3000,Однолинейка!$A$3:$A$3000,Щит_спец),""))),""))))</f>
        <v/>
      </c>
      <c r="O443" s="74"/>
      <c r="P443" s="38" t="str">
        <f t="shared" si="54"/>
        <v/>
      </c>
      <c r="U443" s="38" t="str">
        <f t="shared" si="55"/>
        <v/>
      </c>
      <c r="V443" s="38" t="str">
        <f t="shared" si="56"/>
        <v/>
      </c>
      <c r="W443" s="38" t="str">
        <f>IF(AND(U443&lt;&gt;"",OR($S$4="(все)",B443=$S$4),IF($S$4="(все)",COUNTIF($U$4:U443,U443),COUNTIFS($U$4:U443,U443,$B$4:B443,B443))=1),MAX($W$3:W442)+1,"")</f>
        <v/>
      </c>
      <c r="X443" s="38" t="str">
        <f t="shared" si="57"/>
        <v/>
      </c>
      <c r="Y443" s="38" t="str">
        <f>IF(AND(A443="Аппарат",C443&lt;&gt;"",OR($S$5="(все)",B443=$S$5)),MAX($Y$3:Y442)+1,"")</f>
        <v/>
      </c>
      <c r="Z443" s="38" t="str">
        <f t="shared" si="58"/>
        <v/>
      </c>
      <c r="AA443" s="38" t="str">
        <f>IF(AND(A443="Модуль",C443&lt;&gt;"",OR($S$6="(все)",B443=$S$6)),MAX($AA$3:AA442)+1,"")</f>
        <v/>
      </c>
      <c r="AB443" s="38" t="str">
        <f t="shared" si="59"/>
        <v/>
      </c>
      <c r="AC443" s="38" t="str">
        <f>IF(OR(B443="",COUNTIF($B$4:B443,B443)&gt;1),"",MAX($AC$3:AC442)+1)</f>
        <v/>
      </c>
      <c r="AD443" s="38" t="str">
        <f t="shared" si="60"/>
        <v/>
      </c>
      <c r="AE443" s="38" t="str">
        <f t="shared" si="61"/>
        <v/>
      </c>
      <c r="AF443" s="38" t="str">
        <f t="shared" si="62"/>
        <v/>
      </c>
    </row>
    <row r="444" spans="1:32" x14ac:dyDescent="0.3">
      <c r="A444" s="74"/>
      <c r="B444" s="74"/>
      <c r="C444" s="74"/>
      <c r="D444" s="74"/>
      <c r="E444" s="74"/>
      <c r="F444" s="74"/>
      <c r="G444" s="74"/>
      <c r="H444" s="74"/>
      <c r="I444" s="74"/>
      <c r="J444" s="74"/>
      <c r="K444" s="74"/>
      <c r="L444" s="74"/>
      <c r="M444" s="74"/>
      <c r="N444" s="38" t="str">
        <f>IF(OR(A444="Автомат",A444="Дифавтомат"),IF(W444="","",COUNTIFS(Однолинейка!$H$3:$H$3000,U444,Однолинейка!$A$3:$A$3000,Щит_спец)),IF(A444="Аппарат",IF(C444="","",COUNTIFS(Однолинейка!$I$3:$I$3000,C444,Однолинейка!$A$3:$A$3000,Щит_спец)+COUNTIFS(Однолинейка!$J$3:$J$3000,C444,Однолинейка!$A$3:$A$3000,Щит_спец)+COUNTIFS(Однолинейка!$K$3:$K$3000,C444,Однолинейка!$A$3:$A$3000,Щит_спец)),IF(A444="Модуль",IF(C444="","",COUNTIFS(Однолинейка!$AW$3:$AW$3000,"?*",Однолинейка!$AI$3:$AI$3000,C444,Однолинейка!$A$3:$A$3000,Щит_спец)),IF(A444="Клемма",IF(C444="","",IF(C444=$S$7,SUMIFS(Однолинейка!$BW$3:$BW$3000,Однолинейка!$A$3:$A$3000,Щит_спец),IF(C444=$S$8,SUMIFS(Однолинейка!$BX$3:$BX$3000,Однолинейка!$A$3:$A$3000,Щит_спец),""))),""))))</f>
        <v/>
      </c>
      <c r="O444" s="74"/>
      <c r="P444" s="38" t="str">
        <f t="shared" si="54"/>
        <v/>
      </c>
      <c r="U444" s="38" t="str">
        <f t="shared" si="55"/>
        <v/>
      </c>
      <c r="V444" s="38" t="str">
        <f t="shared" si="56"/>
        <v/>
      </c>
      <c r="W444" s="38" t="str">
        <f>IF(AND(U444&lt;&gt;"",OR($S$4="(все)",B444=$S$4),IF($S$4="(все)",COUNTIF($U$4:U444,U444),COUNTIFS($U$4:U444,U444,$B$4:B444,B444))=1),MAX($W$3:W443)+1,"")</f>
        <v/>
      </c>
      <c r="X444" s="38" t="str">
        <f t="shared" si="57"/>
        <v/>
      </c>
      <c r="Y444" s="38" t="str">
        <f>IF(AND(A444="Аппарат",C444&lt;&gt;"",OR($S$5="(все)",B444=$S$5)),MAX($Y$3:Y443)+1,"")</f>
        <v/>
      </c>
      <c r="Z444" s="38" t="str">
        <f t="shared" si="58"/>
        <v/>
      </c>
      <c r="AA444" s="38" t="str">
        <f>IF(AND(A444="Модуль",C444&lt;&gt;"",OR($S$6="(все)",B444=$S$6)),MAX($AA$3:AA443)+1,"")</f>
        <v/>
      </c>
      <c r="AB444" s="38" t="str">
        <f t="shared" si="59"/>
        <v/>
      </c>
      <c r="AC444" s="38" t="str">
        <f>IF(OR(B444="",COUNTIF($B$4:B444,B444)&gt;1),"",MAX($AC$3:AC443)+1)</f>
        <v/>
      </c>
      <c r="AD444" s="38" t="str">
        <f t="shared" si="60"/>
        <v/>
      </c>
      <c r="AE444" s="38" t="str">
        <f t="shared" si="61"/>
        <v/>
      </c>
      <c r="AF444" s="38" t="str">
        <f t="shared" si="62"/>
        <v/>
      </c>
    </row>
    <row r="445" spans="1:32" x14ac:dyDescent="0.3">
      <c r="A445" s="74"/>
      <c r="B445" s="74"/>
      <c r="C445" s="74"/>
      <c r="D445" s="74"/>
      <c r="E445" s="74"/>
      <c r="F445" s="74"/>
      <c r="G445" s="74"/>
      <c r="H445" s="74"/>
      <c r="I445" s="74"/>
      <c r="J445" s="74"/>
      <c r="K445" s="74"/>
      <c r="L445" s="74"/>
      <c r="M445" s="74"/>
      <c r="N445" s="38" t="str">
        <f>IF(OR(A445="Автомат",A445="Дифавтомат"),IF(W445="","",COUNTIFS(Однолинейка!$H$3:$H$3000,U445,Однолинейка!$A$3:$A$3000,Щит_спец)),IF(A445="Аппарат",IF(C445="","",COUNTIFS(Однолинейка!$I$3:$I$3000,C445,Однолинейка!$A$3:$A$3000,Щит_спец)+COUNTIFS(Однолинейка!$J$3:$J$3000,C445,Однолинейка!$A$3:$A$3000,Щит_спец)+COUNTIFS(Однолинейка!$K$3:$K$3000,C445,Однолинейка!$A$3:$A$3000,Щит_спец)),IF(A445="Модуль",IF(C445="","",COUNTIFS(Однолинейка!$AW$3:$AW$3000,"?*",Однолинейка!$AI$3:$AI$3000,C445,Однолинейка!$A$3:$A$3000,Щит_спец)),IF(A445="Клемма",IF(C445="","",IF(C445=$S$7,SUMIFS(Однолинейка!$BW$3:$BW$3000,Однолинейка!$A$3:$A$3000,Щит_спец),IF(C445=$S$8,SUMIFS(Однолинейка!$BX$3:$BX$3000,Однолинейка!$A$3:$A$3000,Щит_спец),""))),""))))</f>
        <v/>
      </c>
      <c r="O445" s="74"/>
      <c r="P445" s="38" t="str">
        <f t="shared" si="54"/>
        <v/>
      </c>
      <c r="U445" s="38" t="str">
        <f t="shared" si="55"/>
        <v/>
      </c>
      <c r="V445" s="38" t="str">
        <f t="shared" si="56"/>
        <v/>
      </c>
      <c r="W445" s="38" t="str">
        <f>IF(AND(U445&lt;&gt;"",OR($S$4="(все)",B445=$S$4),IF($S$4="(все)",COUNTIF($U$4:U445,U445),COUNTIFS($U$4:U445,U445,$B$4:B445,B445))=1),MAX($W$3:W444)+1,"")</f>
        <v/>
      </c>
      <c r="X445" s="38" t="str">
        <f t="shared" si="57"/>
        <v/>
      </c>
      <c r="Y445" s="38" t="str">
        <f>IF(AND(A445="Аппарат",C445&lt;&gt;"",OR($S$5="(все)",B445=$S$5)),MAX($Y$3:Y444)+1,"")</f>
        <v/>
      </c>
      <c r="Z445" s="38" t="str">
        <f t="shared" si="58"/>
        <v/>
      </c>
      <c r="AA445" s="38" t="str">
        <f>IF(AND(A445="Модуль",C445&lt;&gt;"",OR($S$6="(все)",B445=$S$6)),MAX($AA$3:AA444)+1,"")</f>
        <v/>
      </c>
      <c r="AB445" s="38" t="str">
        <f t="shared" si="59"/>
        <v/>
      </c>
      <c r="AC445" s="38" t="str">
        <f>IF(OR(B445="",COUNTIF($B$4:B445,B445)&gt;1),"",MAX($AC$3:AC444)+1)</f>
        <v/>
      </c>
      <c r="AD445" s="38" t="str">
        <f t="shared" si="60"/>
        <v/>
      </c>
      <c r="AE445" s="38" t="str">
        <f t="shared" si="61"/>
        <v/>
      </c>
      <c r="AF445" s="38" t="str">
        <f t="shared" si="62"/>
        <v/>
      </c>
    </row>
    <row r="446" spans="1:32" x14ac:dyDescent="0.3">
      <c r="A446" s="74"/>
      <c r="B446" s="74"/>
      <c r="C446" s="74"/>
      <c r="D446" s="74"/>
      <c r="E446" s="74"/>
      <c r="F446" s="74"/>
      <c r="G446" s="74"/>
      <c r="H446" s="74"/>
      <c r="I446" s="74"/>
      <c r="J446" s="74"/>
      <c r="K446" s="74"/>
      <c r="L446" s="74"/>
      <c r="M446" s="74"/>
      <c r="N446" s="38" t="str">
        <f>IF(OR(A446="Автомат",A446="Дифавтомат"),IF(W446="","",COUNTIFS(Однолинейка!$H$3:$H$3000,U446,Однолинейка!$A$3:$A$3000,Щит_спец)),IF(A446="Аппарат",IF(C446="","",COUNTIFS(Однолинейка!$I$3:$I$3000,C446,Однолинейка!$A$3:$A$3000,Щит_спец)+COUNTIFS(Однолинейка!$J$3:$J$3000,C446,Однолинейка!$A$3:$A$3000,Щит_спец)+COUNTIFS(Однолинейка!$K$3:$K$3000,C446,Однолинейка!$A$3:$A$3000,Щит_спец)),IF(A446="Модуль",IF(C446="","",COUNTIFS(Однолинейка!$AW$3:$AW$3000,"?*",Однолинейка!$AI$3:$AI$3000,C446,Однолинейка!$A$3:$A$3000,Щит_спец)),IF(A446="Клемма",IF(C446="","",IF(C446=$S$7,SUMIFS(Однолинейка!$BW$3:$BW$3000,Однолинейка!$A$3:$A$3000,Щит_спец),IF(C446=$S$8,SUMIFS(Однолинейка!$BX$3:$BX$3000,Однолинейка!$A$3:$A$3000,Щит_спец),""))),""))))</f>
        <v/>
      </c>
      <c r="O446" s="74"/>
      <c r="P446" s="38" t="str">
        <f t="shared" si="54"/>
        <v/>
      </c>
      <c r="U446" s="38" t="str">
        <f t="shared" si="55"/>
        <v/>
      </c>
      <c r="V446" s="38" t="str">
        <f t="shared" si="56"/>
        <v/>
      </c>
      <c r="W446" s="38" t="str">
        <f>IF(AND(U446&lt;&gt;"",OR($S$4="(все)",B446=$S$4),IF($S$4="(все)",COUNTIF($U$4:U446,U446),COUNTIFS($U$4:U446,U446,$B$4:B446,B446))=1),MAX($W$3:W445)+1,"")</f>
        <v/>
      </c>
      <c r="X446" s="38" t="str">
        <f t="shared" si="57"/>
        <v/>
      </c>
      <c r="Y446" s="38" t="str">
        <f>IF(AND(A446="Аппарат",C446&lt;&gt;"",OR($S$5="(все)",B446=$S$5)),MAX($Y$3:Y445)+1,"")</f>
        <v/>
      </c>
      <c r="Z446" s="38" t="str">
        <f t="shared" si="58"/>
        <v/>
      </c>
      <c r="AA446" s="38" t="str">
        <f>IF(AND(A446="Модуль",C446&lt;&gt;"",OR($S$6="(все)",B446=$S$6)),MAX($AA$3:AA445)+1,"")</f>
        <v/>
      </c>
      <c r="AB446" s="38" t="str">
        <f t="shared" si="59"/>
        <v/>
      </c>
      <c r="AC446" s="38" t="str">
        <f>IF(OR(B446="",COUNTIF($B$4:B446,B446)&gt;1),"",MAX($AC$3:AC445)+1)</f>
        <v/>
      </c>
      <c r="AD446" s="38" t="str">
        <f t="shared" si="60"/>
        <v/>
      </c>
      <c r="AE446" s="38" t="str">
        <f t="shared" si="61"/>
        <v/>
      </c>
      <c r="AF446" s="38" t="str">
        <f t="shared" si="62"/>
        <v/>
      </c>
    </row>
    <row r="447" spans="1:32" x14ac:dyDescent="0.3">
      <c r="A447" s="74"/>
      <c r="B447" s="74"/>
      <c r="C447" s="74"/>
      <c r="D447" s="74"/>
      <c r="E447" s="74"/>
      <c r="F447" s="74"/>
      <c r="G447" s="74"/>
      <c r="H447" s="74"/>
      <c r="I447" s="74"/>
      <c r="J447" s="74"/>
      <c r="K447" s="74"/>
      <c r="L447" s="74"/>
      <c r="M447" s="74"/>
      <c r="N447" s="38" t="str">
        <f>IF(OR(A447="Автомат",A447="Дифавтомат"),IF(W447="","",COUNTIFS(Однолинейка!$H$3:$H$3000,U447,Однолинейка!$A$3:$A$3000,Щит_спец)),IF(A447="Аппарат",IF(C447="","",COUNTIFS(Однолинейка!$I$3:$I$3000,C447,Однолинейка!$A$3:$A$3000,Щит_спец)+COUNTIFS(Однолинейка!$J$3:$J$3000,C447,Однолинейка!$A$3:$A$3000,Щит_спец)+COUNTIFS(Однолинейка!$K$3:$K$3000,C447,Однолинейка!$A$3:$A$3000,Щит_спец)),IF(A447="Модуль",IF(C447="","",COUNTIFS(Однолинейка!$AW$3:$AW$3000,"?*",Однолинейка!$AI$3:$AI$3000,C447,Однолинейка!$A$3:$A$3000,Щит_спец)),IF(A447="Клемма",IF(C447="","",IF(C447=$S$7,SUMIFS(Однолинейка!$BW$3:$BW$3000,Однолинейка!$A$3:$A$3000,Щит_спец),IF(C447=$S$8,SUMIFS(Однолинейка!$BX$3:$BX$3000,Однолинейка!$A$3:$A$3000,Щит_спец),""))),""))))</f>
        <v/>
      </c>
      <c r="O447" s="74"/>
      <c r="P447" s="38" t="str">
        <f t="shared" si="54"/>
        <v/>
      </c>
      <c r="U447" s="38" t="str">
        <f t="shared" si="55"/>
        <v/>
      </c>
      <c r="V447" s="38" t="str">
        <f t="shared" si="56"/>
        <v/>
      </c>
      <c r="W447" s="38" t="str">
        <f>IF(AND(U447&lt;&gt;"",OR($S$4="(все)",B447=$S$4),IF($S$4="(все)",COUNTIF($U$4:U447,U447),COUNTIFS($U$4:U447,U447,$B$4:B447,B447))=1),MAX($W$3:W446)+1,"")</f>
        <v/>
      </c>
      <c r="X447" s="38" t="str">
        <f t="shared" si="57"/>
        <v/>
      </c>
      <c r="Y447" s="38" t="str">
        <f>IF(AND(A447="Аппарат",C447&lt;&gt;"",OR($S$5="(все)",B447=$S$5)),MAX($Y$3:Y446)+1,"")</f>
        <v/>
      </c>
      <c r="Z447" s="38" t="str">
        <f t="shared" si="58"/>
        <v/>
      </c>
      <c r="AA447" s="38" t="str">
        <f>IF(AND(A447="Модуль",C447&lt;&gt;"",OR($S$6="(все)",B447=$S$6)),MAX($AA$3:AA446)+1,"")</f>
        <v/>
      </c>
      <c r="AB447" s="38" t="str">
        <f t="shared" si="59"/>
        <v/>
      </c>
      <c r="AC447" s="38" t="str">
        <f>IF(OR(B447="",COUNTIF($B$4:B447,B447)&gt;1),"",MAX($AC$3:AC446)+1)</f>
        <v/>
      </c>
      <c r="AD447" s="38" t="str">
        <f t="shared" si="60"/>
        <v/>
      </c>
      <c r="AE447" s="38" t="str">
        <f t="shared" si="61"/>
        <v/>
      </c>
      <c r="AF447" s="38" t="str">
        <f t="shared" si="62"/>
        <v/>
      </c>
    </row>
    <row r="448" spans="1:32" x14ac:dyDescent="0.3">
      <c r="A448" s="74"/>
      <c r="B448" s="74"/>
      <c r="C448" s="74"/>
      <c r="D448" s="74"/>
      <c r="E448" s="74"/>
      <c r="F448" s="74"/>
      <c r="G448" s="74"/>
      <c r="H448" s="74"/>
      <c r="I448" s="74"/>
      <c r="J448" s="74"/>
      <c r="K448" s="74"/>
      <c r="L448" s="74"/>
      <c r="M448" s="74"/>
      <c r="N448" s="38" t="str">
        <f>IF(OR(A448="Автомат",A448="Дифавтомат"),IF(W448="","",COUNTIFS(Однолинейка!$H$3:$H$3000,U448,Однолинейка!$A$3:$A$3000,Щит_спец)),IF(A448="Аппарат",IF(C448="","",COUNTIFS(Однолинейка!$I$3:$I$3000,C448,Однолинейка!$A$3:$A$3000,Щит_спец)+COUNTIFS(Однолинейка!$J$3:$J$3000,C448,Однолинейка!$A$3:$A$3000,Щит_спец)+COUNTIFS(Однолинейка!$K$3:$K$3000,C448,Однолинейка!$A$3:$A$3000,Щит_спец)),IF(A448="Модуль",IF(C448="","",COUNTIFS(Однолинейка!$AW$3:$AW$3000,"?*",Однолинейка!$AI$3:$AI$3000,C448,Однолинейка!$A$3:$A$3000,Щит_спец)),IF(A448="Клемма",IF(C448="","",IF(C448=$S$7,SUMIFS(Однолинейка!$BW$3:$BW$3000,Однолинейка!$A$3:$A$3000,Щит_спец),IF(C448=$S$8,SUMIFS(Однолинейка!$BX$3:$BX$3000,Однолинейка!$A$3:$A$3000,Щит_спец),""))),""))))</f>
        <v/>
      </c>
      <c r="O448" s="74"/>
      <c r="P448" s="38" t="str">
        <f t="shared" si="54"/>
        <v/>
      </c>
      <c r="U448" s="38" t="str">
        <f t="shared" si="55"/>
        <v/>
      </c>
      <c r="V448" s="38" t="str">
        <f t="shared" si="56"/>
        <v/>
      </c>
      <c r="W448" s="38" t="str">
        <f>IF(AND(U448&lt;&gt;"",OR($S$4="(все)",B448=$S$4),IF($S$4="(все)",COUNTIF($U$4:U448,U448),COUNTIFS($U$4:U448,U448,$B$4:B448,B448))=1),MAX($W$3:W447)+1,"")</f>
        <v/>
      </c>
      <c r="X448" s="38" t="str">
        <f t="shared" si="57"/>
        <v/>
      </c>
      <c r="Y448" s="38" t="str">
        <f>IF(AND(A448="Аппарат",C448&lt;&gt;"",OR($S$5="(все)",B448=$S$5)),MAX($Y$3:Y447)+1,"")</f>
        <v/>
      </c>
      <c r="Z448" s="38" t="str">
        <f t="shared" si="58"/>
        <v/>
      </c>
      <c r="AA448" s="38" t="str">
        <f>IF(AND(A448="Модуль",C448&lt;&gt;"",OR($S$6="(все)",B448=$S$6)),MAX($AA$3:AA447)+1,"")</f>
        <v/>
      </c>
      <c r="AB448" s="38" t="str">
        <f t="shared" si="59"/>
        <v/>
      </c>
      <c r="AC448" s="38" t="str">
        <f>IF(OR(B448="",COUNTIF($B$4:B448,B448)&gt;1),"",MAX($AC$3:AC447)+1)</f>
        <v/>
      </c>
      <c r="AD448" s="38" t="str">
        <f t="shared" si="60"/>
        <v/>
      </c>
      <c r="AE448" s="38" t="str">
        <f t="shared" si="61"/>
        <v/>
      </c>
      <c r="AF448" s="38" t="str">
        <f t="shared" si="62"/>
        <v/>
      </c>
    </row>
    <row r="449" spans="1:32" x14ac:dyDescent="0.3">
      <c r="A449" s="74"/>
      <c r="B449" s="74"/>
      <c r="C449" s="74"/>
      <c r="D449" s="74"/>
      <c r="E449" s="74"/>
      <c r="F449" s="74"/>
      <c r="G449" s="74"/>
      <c r="H449" s="74"/>
      <c r="I449" s="74"/>
      <c r="J449" s="74"/>
      <c r="K449" s="74"/>
      <c r="L449" s="74"/>
      <c r="M449" s="74"/>
      <c r="N449" s="38" t="str">
        <f>IF(OR(A449="Автомат",A449="Дифавтомат"),IF(W449="","",COUNTIFS(Однолинейка!$H$3:$H$3000,U449,Однолинейка!$A$3:$A$3000,Щит_спец)),IF(A449="Аппарат",IF(C449="","",COUNTIFS(Однолинейка!$I$3:$I$3000,C449,Однолинейка!$A$3:$A$3000,Щит_спец)+COUNTIFS(Однолинейка!$J$3:$J$3000,C449,Однолинейка!$A$3:$A$3000,Щит_спец)+COUNTIFS(Однолинейка!$K$3:$K$3000,C449,Однолинейка!$A$3:$A$3000,Щит_спец)),IF(A449="Модуль",IF(C449="","",COUNTIFS(Однолинейка!$AW$3:$AW$3000,"?*",Однолинейка!$AI$3:$AI$3000,C449,Однолинейка!$A$3:$A$3000,Щит_спец)),IF(A449="Клемма",IF(C449="","",IF(C449=$S$7,SUMIFS(Однолинейка!$BW$3:$BW$3000,Однолинейка!$A$3:$A$3000,Щит_спец),IF(C449=$S$8,SUMIFS(Однолинейка!$BX$3:$BX$3000,Однолинейка!$A$3:$A$3000,Щит_спец),""))),""))))</f>
        <v/>
      </c>
      <c r="O449" s="74"/>
      <c r="P449" s="38" t="str">
        <f t="shared" si="54"/>
        <v/>
      </c>
      <c r="U449" s="38" t="str">
        <f t="shared" si="55"/>
        <v/>
      </c>
      <c r="V449" s="38" t="str">
        <f t="shared" si="56"/>
        <v/>
      </c>
      <c r="W449" s="38" t="str">
        <f>IF(AND(U449&lt;&gt;"",OR($S$4="(все)",B449=$S$4),IF($S$4="(все)",COUNTIF($U$4:U449,U449),COUNTIFS($U$4:U449,U449,$B$4:B449,B449))=1),MAX($W$3:W448)+1,"")</f>
        <v/>
      </c>
      <c r="X449" s="38" t="str">
        <f t="shared" si="57"/>
        <v/>
      </c>
      <c r="Y449" s="38" t="str">
        <f>IF(AND(A449="Аппарат",C449&lt;&gt;"",OR($S$5="(все)",B449=$S$5)),MAX($Y$3:Y448)+1,"")</f>
        <v/>
      </c>
      <c r="Z449" s="38" t="str">
        <f t="shared" si="58"/>
        <v/>
      </c>
      <c r="AA449" s="38" t="str">
        <f>IF(AND(A449="Модуль",C449&lt;&gt;"",OR($S$6="(все)",B449=$S$6)),MAX($AA$3:AA448)+1,"")</f>
        <v/>
      </c>
      <c r="AB449" s="38" t="str">
        <f t="shared" si="59"/>
        <v/>
      </c>
      <c r="AC449" s="38" t="str">
        <f>IF(OR(B449="",COUNTIF($B$4:B449,B449)&gt;1),"",MAX($AC$3:AC448)+1)</f>
        <v/>
      </c>
      <c r="AD449" s="38" t="str">
        <f t="shared" si="60"/>
        <v/>
      </c>
      <c r="AE449" s="38" t="str">
        <f t="shared" si="61"/>
        <v/>
      </c>
      <c r="AF449" s="38" t="str">
        <f t="shared" si="62"/>
        <v/>
      </c>
    </row>
    <row r="450" spans="1:32" x14ac:dyDescent="0.3">
      <c r="A450" s="74"/>
      <c r="B450" s="74"/>
      <c r="C450" s="74"/>
      <c r="D450" s="74"/>
      <c r="E450" s="74"/>
      <c r="F450" s="74"/>
      <c r="G450" s="74"/>
      <c r="H450" s="74"/>
      <c r="I450" s="74"/>
      <c r="J450" s="74"/>
      <c r="K450" s="74"/>
      <c r="L450" s="74"/>
      <c r="M450" s="74"/>
      <c r="N450" s="38" t="str">
        <f>IF(OR(A450="Автомат",A450="Дифавтомат"),IF(W450="","",COUNTIFS(Однолинейка!$H$3:$H$3000,U450,Однолинейка!$A$3:$A$3000,Щит_спец)),IF(A450="Аппарат",IF(C450="","",COUNTIFS(Однолинейка!$I$3:$I$3000,C450,Однолинейка!$A$3:$A$3000,Щит_спец)+COUNTIFS(Однолинейка!$J$3:$J$3000,C450,Однолинейка!$A$3:$A$3000,Щит_спец)+COUNTIFS(Однолинейка!$K$3:$K$3000,C450,Однолинейка!$A$3:$A$3000,Щит_спец)),IF(A450="Модуль",IF(C450="","",COUNTIFS(Однолинейка!$AW$3:$AW$3000,"?*",Однолинейка!$AI$3:$AI$3000,C450,Однолинейка!$A$3:$A$3000,Щит_спец)),IF(A450="Клемма",IF(C450="","",IF(C450=$S$7,SUMIFS(Однолинейка!$BW$3:$BW$3000,Однолинейка!$A$3:$A$3000,Щит_спец),IF(C450=$S$8,SUMIFS(Однолинейка!$BX$3:$BX$3000,Однолинейка!$A$3:$A$3000,Щит_спец),""))),""))))</f>
        <v/>
      </c>
      <c r="O450" s="74"/>
      <c r="P450" s="38" t="str">
        <f t="shared" si="54"/>
        <v/>
      </c>
      <c r="U450" s="38" t="str">
        <f t="shared" si="55"/>
        <v/>
      </c>
      <c r="V450" s="38" t="str">
        <f t="shared" si="56"/>
        <v/>
      </c>
      <c r="W450" s="38" t="str">
        <f>IF(AND(U450&lt;&gt;"",OR($S$4="(все)",B450=$S$4),IF($S$4="(все)",COUNTIF($U$4:U450,U450),COUNTIFS($U$4:U450,U450,$B$4:B450,B450))=1),MAX($W$3:W449)+1,"")</f>
        <v/>
      </c>
      <c r="X450" s="38" t="str">
        <f t="shared" si="57"/>
        <v/>
      </c>
      <c r="Y450" s="38" t="str">
        <f>IF(AND(A450="Аппарат",C450&lt;&gt;"",OR($S$5="(все)",B450=$S$5)),MAX($Y$3:Y449)+1,"")</f>
        <v/>
      </c>
      <c r="Z450" s="38" t="str">
        <f t="shared" si="58"/>
        <v/>
      </c>
      <c r="AA450" s="38" t="str">
        <f>IF(AND(A450="Модуль",C450&lt;&gt;"",OR($S$6="(все)",B450=$S$6)),MAX($AA$3:AA449)+1,"")</f>
        <v/>
      </c>
      <c r="AB450" s="38" t="str">
        <f t="shared" si="59"/>
        <v/>
      </c>
      <c r="AC450" s="38" t="str">
        <f>IF(OR(B450="",COUNTIF($B$4:B450,B450)&gt;1),"",MAX($AC$3:AC449)+1)</f>
        <v/>
      </c>
      <c r="AD450" s="38" t="str">
        <f t="shared" si="60"/>
        <v/>
      </c>
      <c r="AE450" s="38" t="str">
        <f t="shared" si="61"/>
        <v/>
      </c>
      <c r="AF450" s="38" t="str">
        <f t="shared" si="62"/>
        <v/>
      </c>
    </row>
    <row r="451" spans="1:32" x14ac:dyDescent="0.3">
      <c r="A451" s="74"/>
      <c r="B451" s="74"/>
      <c r="C451" s="74"/>
      <c r="D451" s="74"/>
      <c r="E451" s="74"/>
      <c r="F451" s="74"/>
      <c r="G451" s="74"/>
      <c r="H451" s="74"/>
      <c r="I451" s="74"/>
      <c r="J451" s="74"/>
      <c r="K451" s="74"/>
      <c r="L451" s="74"/>
      <c r="M451" s="74"/>
      <c r="N451" s="38" t="str">
        <f>IF(OR(A451="Автомат",A451="Дифавтомат"),IF(W451="","",COUNTIFS(Однолинейка!$H$3:$H$3000,U451,Однолинейка!$A$3:$A$3000,Щит_спец)),IF(A451="Аппарат",IF(C451="","",COUNTIFS(Однолинейка!$I$3:$I$3000,C451,Однолинейка!$A$3:$A$3000,Щит_спец)+COUNTIFS(Однолинейка!$J$3:$J$3000,C451,Однолинейка!$A$3:$A$3000,Щит_спец)+COUNTIFS(Однолинейка!$K$3:$K$3000,C451,Однолинейка!$A$3:$A$3000,Щит_спец)),IF(A451="Модуль",IF(C451="","",COUNTIFS(Однолинейка!$AW$3:$AW$3000,"?*",Однолинейка!$AI$3:$AI$3000,C451,Однолинейка!$A$3:$A$3000,Щит_спец)),IF(A451="Клемма",IF(C451="","",IF(C451=$S$7,SUMIFS(Однолинейка!$BW$3:$BW$3000,Однолинейка!$A$3:$A$3000,Щит_спец),IF(C451=$S$8,SUMIFS(Однолинейка!$BX$3:$BX$3000,Однолинейка!$A$3:$A$3000,Щит_спец),""))),""))))</f>
        <v/>
      </c>
      <c r="O451" s="74"/>
      <c r="P451" s="38" t="str">
        <f t="shared" si="54"/>
        <v/>
      </c>
      <c r="U451" s="38" t="str">
        <f t="shared" si="55"/>
        <v/>
      </c>
      <c r="V451" s="38" t="str">
        <f t="shared" si="56"/>
        <v/>
      </c>
      <c r="W451" s="38" t="str">
        <f>IF(AND(U451&lt;&gt;"",OR($S$4="(все)",B451=$S$4),IF($S$4="(все)",COUNTIF($U$4:U451,U451),COUNTIFS($U$4:U451,U451,$B$4:B451,B451))=1),MAX($W$3:W450)+1,"")</f>
        <v/>
      </c>
      <c r="X451" s="38" t="str">
        <f t="shared" si="57"/>
        <v/>
      </c>
      <c r="Y451" s="38" t="str">
        <f>IF(AND(A451="Аппарат",C451&lt;&gt;"",OR($S$5="(все)",B451=$S$5)),MAX($Y$3:Y450)+1,"")</f>
        <v/>
      </c>
      <c r="Z451" s="38" t="str">
        <f t="shared" si="58"/>
        <v/>
      </c>
      <c r="AA451" s="38" t="str">
        <f>IF(AND(A451="Модуль",C451&lt;&gt;"",OR($S$6="(все)",B451=$S$6)),MAX($AA$3:AA450)+1,"")</f>
        <v/>
      </c>
      <c r="AB451" s="38" t="str">
        <f t="shared" si="59"/>
        <v/>
      </c>
      <c r="AC451" s="38" t="str">
        <f>IF(OR(B451="",COUNTIF($B$4:B451,B451)&gt;1),"",MAX($AC$3:AC450)+1)</f>
        <v/>
      </c>
      <c r="AD451" s="38" t="str">
        <f t="shared" si="60"/>
        <v/>
      </c>
      <c r="AE451" s="38" t="str">
        <f t="shared" si="61"/>
        <v/>
      </c>
      <c r="AF451" s="38" t="str">
        <f t="shared" si="62"/>
        <v/>
      </c>
    </row>
    <row r="452" spans="1:32" x14ac:dyDescent="0.3">
      <c r="A452" s="74"/>
      <c r="B452" s="74"/>
      <c r="C452" s="74"/>
      <c r="D452" s="74"/>
      <c r="E452" s="74"/>
      <c r="F452" s="74"/>
      <c r="G452" s="74"/>
      <c r="H452" s="74"/>
      <c r="I452" s="74"/>
      <c r="J452" s="74"/>
      <c r="K452" s="74"/>
      <c r="L452" s="74"/>
      <c r="M452" s="74"/>
      <c r="N452" s="38" t="str">
        <f>IF(OR(A452="Автомат",A452="Дифавтомат"),IF(W452="","",COUNTIFS(Однолинейка!$H$3:$H$3000,U452,Однолинейка!$A$3:$A$3000,Щит_спец)),IF(A452="Аппарат",IF(C452="","",COUNTIFS(Однолинейка!$I$3:$I$3000,C452,Однолинейка!$A$3:$A$3000,Щит_спец)+COUNTIFS(Однолинейка!$J$3:$J$3000,C452,Однолинейка!$A$3:$A$3000,Щит_спец)+COUNTIFS(Однолинейка!$K$3:$K$3000,C452,Однолинейка!$A$3:$A$3000,Щит_спец)),IF(A452="Модуль",IF(C452="","",COUNTIFS(Однолинейка!$AW$3:$AW$3000,"?*",Однолинейка!$AI$3:$AI$3000,C452,Однолинейка!$A$3:$A$3000,Щит_спец)),IF(A452="Клемма",IF(C452="","",IF(C452=$S$7,SUMIFS(Однолинейка!$BW$3:$BW$3000,Однолинейка!$A$3:$A$3000,Щит_спец),IF(C452=$S$8,SUMIFS(Однолинейка!$BX$3:$BX$3000,Однолинейка!$A$3:$A$3000,Щит_спец),""))),""))))</f>
        <v/>
      </c>
      <c r="O452" s="74"/>
      <c r="P452" s="38" t="str">
        <f t="shared" ref="P452:P500" si="63">IF(COUNT(N452,O452)=0,"",SUM(N452,O452))</f>
        <v/>
      </c>
      <c r="U452" s="38" t="str">
        <f t="shared" ref="U452:U500" si="64">IF(OR(A452="Автомат",A452="Дифавтомат"),I452&amp;" С"&amp;J452&amp;"А"&amp;IF(K452="да"," 30мА",IF(ISNUMBER(K452)," "&amp;K452&amp;"мА","")),"")</f>
        <v/>
      </c>
      <c r="V452" s="38" t="str">
        <f t="shared" ref="V452:V500" si="65">IF(U452="","",B452&amp;"|"&amp;U452)</f>
        <v/>
      </c>
      <c r="W452" s="38" t="str">
        <f>IF(AND(U452&lt;&gt;"",OR($S$4="(все)",B452=$S$4),IF($S$4="(все)",COUNTIF($U$4:U452,U452),COUNTIFS($U$4:U452,U452,$B$4:B452,B452))=1),MAX($W$3:W451)+1,"")</f>
        <v/>
      </c>
      <c r="X452" s="38" t="str">
        <f t="shared" ref="X452:X500" si="66">IFERROR(INDEX($U$4:$U$500,MATCH(ROW()-3,$W$4:$W$500,0)),"")</f>
        <v/>
      </c>
      <c r="Y452" s="38" t="str">
        <f>IF(AND(A452="Аппарат",C452&lt;&gt;"",OR($S$5="(все)",B452=$S$5)),MAX($Y$3:Y451)+1,"")</f>
        <v/>
      </c>
      <c r="Z452" s="38" t="str">
        <f t="shared" ref="Z452:Z500" si="67">IFERROR(INDEX($C$4:$C$500,MATCH(ROW()-3,$Y$4:$Y$500,0)),"")</f>
        <v/>
      </c>
      <c r="AA452" s="38" t="str">
        <f>IF(AND(A452="Модуль",C452&lt;&gt;"",OR($S$6="(все)",B452=$S$6)),MAX($AA$3:AA451)+1,"")</f>
        <v/>
      </c>
      <c r="AB452" s="38" t="str">
        <f t="shared" ref="AB452:AB500" si="68">IFERROR(INDEX($C$4:$C$500,MATCH(ROW()-3,$AA$4:$AA$500,0)),"")</f>
        <v/>
      </c>
      <c r="AC452" s="38" t="str">
        <f>IF(OR(B452="",COUNTIF($B$4:B452,B452)&gt;1),"",MAX($AC$3:AC451)+1)</f>
        <v/>
      </c>
      <c r="AD452" s="38" t="str">
        <f t="shared" ref="AD452:AD500" si="69">IFERROR(INDEX($B$4:$B$500,MATCH(ROW()-3,$AC$4:$AC$500,0)),"")</f>
        <v/>
      </c>
      <c r="AE452" s="38" t="str">
        <f t="shared" ref="AE452:AE500" si="70">IF(AND(A452&lt;&gt;"",N(P452)&gt;0),IFERROR(MATCH(A452,$R$12:$R$25,0),99)*1000+ROW(),"")</f>
        <v/>
      </c>
      <c r="AF452" s="38" t="str">
        <f t="shared" ref="AF452:AF500" si="71">IF(AE452="","",COUNTIF($AE$4:$AE$500,"&lt;="&amp;AE452))</f>
        <v/>
      </c>
    </row>
    <row r="453" spans="1:32" x14ac:dyDescent="0.3">
      <c r="A453" s="74"/>
      <c r="B453" s="74"/>
      <c r="C453" s="74"/>
      <c r="D453" s="74"/>
      <c r="E453" s="74"/>
      <c r="F453" s="74"/>
      <c r="G453" s="74"/>
      <c r="H453" s="74"/>
      <c r="I453" s="74"/>
      <c r="J453" s="74"/>
      <c r="K453" s="74"/>
      <c r="L453" s="74"/>
      <c r="M453" s="74"/>
      <c r="N453" s="38" t="str">
        <f>IF(OR(A453="Автомат",A453="Дифавтомат"),IF(W453="","",COUNTIFS(Однолинейка!$H$3:$H$3000,U453,Однолинейка!$A$3:$A$3000,Щит_спец)),IF(A453="Аппарат",IF(C453="","",COUNTIFS(Однолинейка!$I$3:$I$3000,C453,Однолинейка!$A$3:$A$3000,Щит_спец)+COUNTIFS(Однолинейка!$J$3:$J$3000,C453,Однолинейка!$A$3:$A$3000,Щит_спец)+COUNTIFS(Однолинейка!$K$3:$K$3000,C453,Однолинейка!$A$3:$A$3000,Щит_спец)),IF(A453="Модуль",IF(C453="","",COUNTIFS(Однолинейка!$AW$3:$AW$3000,"?*",Однолинейка!$AI$3:$AI$3000,C453,Однолинейка!$A$3:$A$3000,Щит_спец)),IF(A453="Клемма",IF(C453="","",IF(C453=$S$7,SUMIFS(Однолинейка!$BW$3:$BW$3000,Однолинейка!$A$3:$A$3000,Щит_спец),IF(C453=$S$8,SUMIFS(Однолинейка!$BX$3:$BX$3000,Однолинейка!$A$3:$A$3000,Щит_спец),""))),""))))</f>
        <v/>
      </c>
      <c r="O453" s="74"/>
      <c r="P453" s="38" t="str">
        <f t="shared" si="63"/>
        <v/>
      </c>
      <c r="U453" s="38" t="str">
        <f t="shared" si="64"/>
        <v/>
      </c>
      <c r="V453" s="38" t="str">
        <f t="shared" si="65"/>
        <v/>
      </c>
      <c r="W453" s="38" t="str">
        <f>IF(AND(U453&lt;&gt;"",OR($S$4="(все)",B453=$S$4),IF($S$4="(все)",COUNTIF($U$4:U453,U453),COUNTIFS($U$4:U453,U453,$B$4:B453,B453))=1),MAX($W$3:W452)+1,"")</f>
        <v/>
      </c>
      <c r="X453" s="38" t="str">
        <f t="shared" si="66"/>
        <v/>
      </c>
      <c r="Y453" s="38" t="str">
        <f>IF(AND(A453="Аппарат",C453&lt;&gt;"",OR($S$5="(все)",B453=$S$5)),MAX($Y$3:Y452)+1,"")</f>
        <v/>
      </c>
      <c r="Z453" s="38" t="str">
        <f t="shared" si="67"/>
        <v/>
      </c>
      <c r="AA453" s="38" t="str">
        <f>IF(AND(A453="Модуль",C453&lt;&gt;"",OR($S$6="(все)",B453=$S$6)),MAX($AA$3:AA452)+1,"")</f>
        <v/>
      </c>
      <c r="AB453" s="38" t="str">
        <f t="shared" si="68"/>
        <v/>
      </c>
      <c r="AC453" s="38" t="str">
        <f>IF(OR(B453="",COUNTIF($B$4:B453,B453)&gt;1),"",MAX($AC$3:AC452)+1)</f>
        <v/>
      </c>
      <c r="AD453" s="38" t="str">
        <f t="shared" si="69"/>
        <v/>
      </c>
      <c r="AE453" s="38" t="str">
        <f t="shared" si="70"/>
        <v/>
      </c>
      <c r="AF453" s="38" t="str">
        <f t="shared" si="71"/>
        <v/>
      </c>
    </row>
    <row r="454" spans="1:32" x14ac:dyDescent="0.3">
      <c r="A454" s="74"/>
      <c r="B454" s="74"/>
      <c r="C454" s="74"/>
      <c r="D454" s="74"/>
      <c r="E454" s="74"/>
      <c r="F454" s="74"/>
      <c r="G454" s="74"/>
      <c r="H454" s="74"/>
      <c r="I454" s="74"/>
      <c r="J454" s="74"/>
      <c r="K454" s="74"/>
      <c r="L454" s="74"/>
      <c r="M454" s="74"/>
      <c r="N454" s="38" t="str">
        <f>IF(OR(A454="Автомат",A454="Дифавтомат"),IF(W454="","",COUNTIFS(Однолинейка!$H$3:$H$3000,U454,Однолинейка!$A$3:$A$3000,Щит_спец)),IF(A454="Аппарат",IF(C454="","",COUNTIFS(Однолинейка!$I$3:$I$3000,C454,Однолинейка!$A$3:$A$3000,Щит_спец)+COUNTIFS(Однолинейка!$J$3:$J$3000,C454,Однолинейка!$A$3:$A$3000,Щит_спец)+COUNTIFS(Однолинейка!$K$3:$K$3000,C454,Однолинейка!$A$3:$A$3000,Щит_спец)),IF(A454="Модуль",IF(C454="","",COUNTIFS(Однолинейка!$AW$3:$AW$3000,"?*",Однолинейка!$AI$3:$AI$3000,C454,Однолинейка!$A$3:$A$3000,Щит_спец)),IF(A454="Клемма",IF(C454="","",IF(C454=$S$7,SUMIFS(Однолинейка!$BW$3:$BW$3000,Однолинейка!$A$3:$A$3000,Щит_спец),IF(C454=$S$8,SUMIFS(Однолинейка!$BX$3:$BX$3000,Однолинейка!$A$3:$A$3000,Щит_спец),""))),""))))</f>
        <v/>
      </c>
      <c r="O454" s="74"/>
      <c r="P454" s="38" t="str">
        <f t="shared" si="63"/>
        <v/>
      </c>
      <c r="U454" s="38" t="str">
        <f t="shared" si="64"/>
        <v/>
      </c>
      <c r="V454" s="38" t="str">
        <f t="shared" si="65"/>
        <v/>
      </c>
      <c r="W454" s="38" t="str">
        <f>IF(AND(U454&lt;&gt;"",OR($S$4="(все)",B454=$S$4),IF($S$4="(все)",COUNTIF($U$4:U454,U454),COUNTIFS($U$4:U454,U454,$B$4:B454,B454))=1),MAX($W$3:W453)+1,"")</f>
        <v/>
      </c>
      <c r="X454" s="38" t="str">
        <f t="shared" si="66"/>
        <v/>
      </c>
      <c r="Y454" s="38" t="str">
        <f>IF(AND(A454="Аппарат",C454&lt;&gt;"",OR($S$5="(все)",B454=$S$5)),MAX($Y$3:Y453)+1,"")</f>
        <v/>
      </c>
      <c r="Z454" s="38" t="str">
        <f t="shared" si="67"/>
        <v/>
      </c>
      <c r="AA454" s="38" t="str">
        <f>IF(AND(A454="Модуль",C454&lt;&gt;"",OR($S$6="(все)",B454=$S$6)),MAX($AA$3:AA453)+1,"")</f>
        <v/>
      </c>
      <c r="AB454" s="38" t="str">
        <f t="shared" si="68"/>
        <v/>
      </c>
      <c r="AC454" s="38" t="str">
        <f>IF(OR(B454="",COUNTIF($B$4:B454,B454)&gt;1),"",MAX($AC$3:AC453)+1)</f>
        <v/>
      </c>
      <c r="AD454" s="38" t="str">
        <f t="shared" si="69"/>
        <v/>
      </c>
      <c r="AE454" s="38" t="str">
        <f t="shared" si="70"/>
        <v/>
      </c>
      <c r="AF454" s="38" t="str">
        <f t="shared" si="71"/>
        <v/>
      </c>
    </row>
    <row r="455" spans="1:32" x14ac:dyDescent="0.3">
      <c r="A455" s="74"/>
      <c r="B455" s="74"/>
      <c r="C455" s="74"/>
      <c r="D455" s="74"/>
      <c r="E455" s="74"/>
      <c r="F455" s="74"/>
      <c r="G455" s="74"/>
      <c r="H455" s="74"/>
      <c r="I455" s="74"/>
      <c r="J455" s="74"/>
      <c r="K455" s="74"/>
      <c r="L455" s="74"/>
      <c r="M455" s="74"/>
      <c r="N455" s="38" t="str">
        <f>IF(OR(A455="Автомат",A455="Дифавтомат"),IF(W455="","",COUNTIFS(Однолинейка!$H$3:$H$3000,U455,Однолинейка!$A$3:$A$3000,Щит_спец)),IF(A455="Аппарат",IF(C455="","",COUNTIFS(Однолинейка!$I$3:$I$3000,C455,Однолинейка!$A$3:$A$3000,Щит_спец)+COUNTIFS(Однолинейка!$J$3:$J$3000,C455,Однолинейка!$A$3:$A$3000,Щит_спец)+COUNTIFS(Однолинейка!$K$3:$K$3000,C455,Однолинейка!$A$3:$A$3000,Щит_спец)),IF(A455="Модуль",IF(C455="","",COUNTIFS(Однолинейка!$AW$3:$AW$3000,"?*",Однолинейка!$AI$3:$AI$3000,C455,Однолинейка!$A$3:$A$3000,Щит_спец)),IF(A455="Клемма",IF(C455="","",IF(C455=$S$7,SUMIFS(Однолинейка!$BW$3:$BW$3000,Однолинейка!$A$3:$A$3000,Щит_спец),IF(C455=$S$8,SUMIFS(Однолинейка!$BX$3:$BX$3000,Однолинейка!$A$3:$A$3000,Щит_спец),""))),""))))</f>
        <v/>
      </c>
      <c r="O455" s="74"/>
      <c r="P455" s="38" t="str">
        <f t="shared" si="63"/>
        <v/>
      </c>
      <c r="U455" s="38" t="str">
        <f t="shared" si="64"/>
        <v/>
      </c>
      <c r="V455" s="38" t="str">
        <f t="shared" si="65"/>
        <v/>
      </c>
      <c r="W455" s="38" t="str">
        <f>IF(AND(U455&lt;&gt;"",OR($S$4="(все)",B455=$S$4),IF($S$4="(все)",COUNTIF($U$4:U455,U455),COUNTIFS($U$4:U455,U455,$B$4:B455,B455))=1),MAX($W$3:W454)+1,"")</f>
        <v/>
      </c>
      <c r="X455" s="38" t="str">
        <f t="shared" si="66"/>
        <v/>
      </c>
      <c r="Y455" s="38" t="str">
        <f>IF(AND(A455="Аппарат",C455&lt;&gt;"",OR($S$5="(все)",B455=$S$5)),MAX($Y$3:Y454)+1,"")</f>
        <v/>
      </c>
      <c r="Z455" s="38" t="str">
        <f t="shared" si="67"/>
        <v/>
      </c>
      <c r="AA455" s="38" t="str">
        <f>IF(AND(A455="Модуль",C455&lt;&gt;"",OR($S$6="(все)",B455=$S$6)),MAX($AA$3:AA454)+1,"")</f>
        <v/>
      </c>
      <c r="AB455" s="38" t="str">
        <f t="shared" si="68"/>
        <v/>
      </c>
      <c r="AC455" s="38" t="str">
        <f>IF(OR(B455="",COUNTIF($B$4:B455,B455)&gt;1),"",MAX($AC$3:AC454)+1)</f>
        <v/>
      </c>
      <c r="AD455" s="38" t="str">
        <f t="shared" si="69"/>
        <v/>
      </c>
      <c r="AE455" s="38" t="str">
        <f t="shared" si="70"/>
        <v/>
      </c>
      <c r="AF455" s="38" t="str">
        <f t="shared" si="71"/>
        <v/>
      </c>
    </row>
    <row r="456" spans="1:32" x14ac:dyDescent="0.3">
      <c r="A456" s="74"/>
      <c r="B456" s="74"/>
      <c r="C456" s="74"/>
      <c r="D456" s="74"/>
      <c r="E456" s="74"/>
      <c r="F456" s="74"/>
      <c r="G456" s="74"/>
      <c r="H456" s="74"/>
      <c r="I456" s="74"/>
      <c r="J456" s="74"/>
      <c r="K456" s="74"/>
      <c r="L456" s="74"/>
      <c r="M456" s="74"/>
      <c r="N456" s="38" t="str">
        <f>IF(OR(A456="Автомат",A456="Дифавтомат"),IF(W456="","",COUNTIFS(Однолинейка!$H$3:$H$3000,U456,Однолинейка!$A$3:$A$3000,Щит_спец)),IF(A456="Аппарат",IF(C456="","",COUNTIFS(Однолинейка!$I$3:$I$3000,C456,Однолинейка!$A$3:$A$3000,Щит_спец)+COUNTIFS(Однолинейка!$J$3:$J$3000,C456,Однолинейка!$A$3:$A$3000,Щит_спец)+COUNTIFS(Однолинейка!$K$3:$K$3000,C456,Однолинейка!$A$3:$A$3000,Щит_спец)),IF(A456="Модуль",IF(C456="","",COUNTIFS(Однолинейка!$AW$3:$AW$3000,"?*",Однолинейка!$AI$3:$AI$3000,C456,Однолинейка!$A$3:$A$3000,Щит_спец)),IF(A456="Клемма",IF(C456="","",IF(C456=$S$7,SUMIFS(Однолинейка!$BW$3:$BW$3000,Однолинейка!$A$3:$A$3000,Щит_спец),IF(C456=$S$8,SUMIFS(Однолинейка!$BX$3:$BX$3000,Однолинейка!$A$3:$A$3000,Щит_спец),""))),""))))</f>
        <v/>
      </c>
      <c r="O456" s="74"/>
      <c r="P456" s="38" t="str">
        <f t="shared" si="63"/>
        <v/>
      </c>
      <c r="U456" s="38" t="str">
        <f t="shared" si="64"/>
        <v/>
      </c>
      <c r="V456" s="38" t="str">
        <f t="shared" si="65"/>
        <v/>
      </c>
      <c r="W456" s="38" t="str">
        <f>IF(AND(U456&lt;&gt;"",OR($S$4="(все)",B456=$S$4),IF($S$4="(все)",COUNTIF($U$4:U456,U456),COUNTIFS($U$4:U456,U456,$B$4:B456,B456))=1),MAX($W$3:W455)+1,"")</f>
        <v/>
      </c>
      <c r="X456" s="38" t="str">
        <f t="shared" si="66"/>
        <v/>
      </c>
      <c r="Y456" s="38" t="str">
        <f>IF(AND(A456="Аппарат",C456&lt;&gt;"",OR($S$5="(все)",B456=$S$5)),MAX($Y$3:Y455)+1,"")</f>
        <v/>
      </c>
      <c r="Z456" s="38" t="str">
        <f t="shared" si="67"/>
        <v/>
      </c>
      <c r="AA456" s="38" t="str">
        <f>IF(AND(A456="Модуль",C456&lt;&gt;"",OR($S$6="(все)",B456=$S$6)),MAX($AA$3:AA455)+1,"")</f>
        <v/>
      </c>
      <c r="AB456" s="38" t="str">
        <f t="shared" si="68"/>
        <v/>
      </c>
      <c r="AC456" s="38" t="str">
        <f>IF(OR(B456="",COUNTIF($B$4:B456,B456)&gt;1),"",MAX($AC$3:AC455)+1)</f>
        <v/>
      </c>
      <c r="AD456" s="38" t="str">
        <f t="shared" si="69"/>
        <v/>
      </c>
      <c r="AE456" s="38" t="str">
        <f t="shared" si="70"/>
        <v/>
      </c>
      <c r="AF456" s="38" t="str">
        <f t="shared" si="71"/>
        <v/>
      </c>
    </row>
    <row r="457" spans="1:32" x14ac:dyDescent="0.3">
      <c r="A457" s="74"/>
      <c r="B457" s="74"/>
      <c r="C457" s="74"/>
      <c r="D457" s="74"/>
      <c r="E457" s="74"/>
      <c r="F457" s="74"/>
      <c r="G457" s="74"/>
      <c r="H457" s="74"/>
      <c r="I457" s="74"/>
      <c r="J457" s="74"/>
      <c r="K457" s="74"/>
      <c r="L457" s="74"/>
      <c r="M457" s="74"/>
      <c r="N457" s="38" t="str">
        <f>IF(OR(A457="Автомат",A457="Дифавтомат"),IF(W457="","",COUNTIFS(Однолинейка!$H$3:$H$3000,U457,Однолинейка!$A$3:$A$3000,Щит_спец)),IF(A457="Аппарат",IF(C457="","",COUNTIFS(Однолинейка!$I$3:$I$3000,C457,Однолинейка!$A$3:$A$3000,Щит_спец)+COUNTIFS(Однолинейка!$J$3:$J$3000,C457,Однолинейка!$A$3:$A$3000,Щит_спец)+COUNTIFS(Однолинейка!$K$3:$K$3000,C457,Однолинейка!$A$3:$A$3000,Щит_спец)),IF(A457="Модуль",IF(C457="","",COUNTIFS(Однолинейка!$AW$3:$AW$3000,"?*",Однолинейка!$AI$3:$AI$3000,C457,Однолинейка!$A$3:$A$3000,Щит_спец)),IF(A457="Клемма",IF(C457="","",IF(C457=$S$7,SUMIFS(Однолинейка!$BW$3:$BW$3000,Однолинейка!$A$3:$A$3000,Щит_спец),IF(C457=$S$8,SUMIFS(Однолинейка!$BX$3:$BX$3000,Однолинейка!$A$3:$A$3000,Щит_спец),""))),""))))</f>
        <v/>
      </c>
      <c r="O457" s="74"/>
      <c r="P457" s="38" t="str">
        <f t="shared" si="63"/>
        <v/>
      </c>
      <c r="U457" s="38" t="str">
        <f t="shared" si="64"/>
        <v/>
      </c>
      <c r="V457" s="38" t="str">
        <f t="shared" si="65"/>
        <v/>
      </c>
      <c r="W457" s="38" t="str">
        <f>IF(AND(U457&lt;&gt;"",OR($S$4="(все)",B457=$S$4),IF($S$4="(все)",COUNTIF($U$4:U457,U457),COUNTIFS($U$4:U457,U457,$B$4:B457,B457))=1),MAX($W$3:W456)+1,"")</f>
        <v/>
      </c>
      <c r="X457" s="38" t="str">
        <f t="shared" si="66"/>
        <v/>
      </c>
      <c r="Y457" s="38" t="str">
        <f>IF(AND(A457="Аппарат",C457&lt;&gt;"",OR($S$5="(все)",B457=$S$5)),MAX($Y$3:Y456)+1,"")</f>
        <v/>
      </c>
      <c r="Z457" s="38" t="str">
        <f t="shared" si="67"/>
        <v/>
      </c>
      <c r="AA457" s="38" t="str">
        <f>IF(AND(A457="Модуль",C457&lt;&gt;"",OR($S$6="(все)",B457=$S$6)),MAX($AA$3:AA456)+1,"")</f>
        <v/>
      </c>
      <c r="AB457" s="38" t="str">
        <f t="shared" si="68"/>
        <v/>
      </c>
      <c r="AC457" s="38" t="str">
        <f>IF(OR(B457="",COUNTIF($B$4:B457,B457)&gt;1),"",MAX($AC$3:AC456)+1)</f>
        <v/>
      </c>
      <c r="AD457" s="38" t="str">
        <f t="shared" si="69"/>
        <v/>
      </c>
      <c r="AE457" s="38" t="str">
        <f t="shared" si="70"/>
        <v/>
      </c>
      <c r="AF457" s="38" t="str">
        <f t="shared" si="71"/>
        <v/>
      </c>
    </row>
    <row r="458" spans="1:32" x14ac:dyDescent="0.3">
      <c r="A458" s="74"/>
      <c r="B458" s="74"/>
      <c r="C458" s="74"/>
      <c r="D458" s="74"/>
      <c r="E458" s="74"/>
      <c r="F458" s="74"/>
      <c r="G458" s="74"/>
      <c r="H458" s="74"/>
      <c r="I458" s="74"/>
      <c r="J458" s="74"/>
      <c r="K458" s="74"/>
      <c r="L458" s="74"/>
      <c r="M458" s="74"/>
      <c r="N458" s="38" t="str">
        <f>IF(OR(A458="Автомат",A458="Дифавтомат"),IF(W458="","",COUNTIFS(Однолинейка!$H$3:$H$3000,U458,Однолинейка!$A$3:$A$3000,Щит_спец)),IF(A458="Аппарат",IF(C458="","",COUNTIFS(Однолинейка!$I$3:$I$3000,C458,Однолинейка!$A$3:$A$3000,Щит_спец)+COUNTIFS(Однолинейка!$J$3:$J$3000,C458,Однолинейка!$A$3:$A$3000,Щит_спец)+COUNTIFS(Однолинейка!$K$3:$K$3000,C458,Однолинейка!$A$3:$A$3000,Щит_спец)),IF(A458="Модуль",IF(C458="","",COUNTIFS(Однолинейка!$AW$3:$AW$3000,"?*",Однолинейка!$AI$3:$AI$3000,C458,Однолинейка!$A$3:$A$3000,Щит_спец)),IF(A458="Клемма",IF(C458="","",IF(C458=$S$7,SUMIFS(Однолинейка!$BW$3:$BW$3000,Однолинейка!$A$3:$A$3000,Щит_спец),IF(C458=$S$8,SUMIFS(Однолинейка!$BX$3:$BX$3000,Однолинейка!$A$3:$A$3000,Щит_спец),""))),""))))</f>
        <v/>
      </c>
      <c r="O458" s="74"/>
      <c r="P458" s="38" t="str">
        <f t="shared" si="63"/>
        <v/>
      </c>
      <c r="U458" s="38" t="str">
        <f t="shared" si="64"/>
        <v/>
      </c>
      <c r="V458" s="38" t="str">
        <f t="shared" si="65"/>
        <v/>
      </c>
      <c r="W458" s="38" t="str">
        <f>IF(AND(U458&lt;&gt;"",OR($S$4="(все)",B458=$S$4),IF($S$4="(все)",COUNTIF($U$4:U458,U458),COUNTIFS($U$4:U458,U458,$B$4:B458,B458))=1),MAX($W$3:W457)+1,"")</f>
        <v/>
      </c>
      <c r="X458" s="38" t="str">
        <f t="shared" si="66"/>
        <v/>
      </c>
      <c r="Y458" s="38" t="str">
        <f>IF(AND(A458="Аппарат",C458&lt;&gt;"",OR($S$5="(все)",B458=$S$5)),MAX($Y$3:Y457)+1,"")</f>
        <v/>
      </c>
      <c r="Z458" s="38" t="str">
        <f t="shared" si="67"/>
        <v/>
      </c>
      <c r="AA458" s="38" t="str">
        <f>IF(AND(A458="Модуль",C458&lt;&gt;"",OR($S$6="(все)",B458=$S$6)),MAX($AA$3:AA457)+1,"")</f>
        <v/>
      </c>
      <c r="AB458" s="38" t="str">
        <f t="shared" si="68"/>
        <v/>
      </c>
      <c r="AC458" s="38" t="str">
        <f>IF(OR(B458="",COUNTIF($B$4:B458,B458)&gt;1),"",MAX($AC$3:AC457)+1)</f>
        <v/>
      </c>
      <c r="AD458" s="38" t="str">
        <f t="shared" si="69"/>
        <v/>
      </c>
      <c r="AE458" s="38" t="str">
        <f t="shared" si="70"/>
        <v/>
      </c>
      <c r="AF458" s="38" t="str">
        <f t="shared" si="71"/>
        <v/>
      </c>
    </row>
    <row r="459" spans="1:32" x14ac:dyDescent="0.3">
      <c r="A459" s="74"/>
      <c r="B459" s="74"/>
      <c r="C459" s="74"/>
      <c r="D459" s="74"/>
      <c r="E459" s="74"/>
      <c r="F459" s="74"/>
      <c r="G459" s="74"/>
      <c r="H459" s="74"/>
      <c r="I459" s="74"/>
      <c r="J459" s="74"/>
      <c r="K459" s="74"/>
      <c r="L459" s="74"/>
      <c r="M459" s="74"/>
      <c r="N459" s="38" t="str">
        <f>IF(OR(A459="Автомат",A459="Дифавтомат"),IF(W459="","",COUNTIFS(Однолинейка!$H$3:$H$3000,U459,Однолинейка!$A$3:$A$3000,Щит_спец)),IF(A459="Аппарат",IF(C459="","",COUNTIFS(Однолинейка!$I$3:$I$3000,C459,Однолинейка!$A$3:$A$3000,Щит_спец)+COUNTIFS(Однолинейка!$J$3:$J$3000,C459,Однолинейка!$A$3:$A$3000,Щит_спец)+COUNTIFS(Однолинейка!$K$3:$K$3000,C459,Однолинейка!$A$3:$A$3000,Щит_спец)),IF(A459="Модуль",IF(C459="","",COUNTIFS(Однолинейка!$AW$3:$AW$3000,"?*",Однолинейка!$AI$3:$AI$3000,C459,Однолинейка!$A$3:$A$3000,Щит_спец)),IF(A459="Клемма",IF(C459="","",IF(C459=$S$7,SUMIFS(Однолинейка!$BW$3:$BW$3000,Однолинейка!$A$3:$A$3000,Щит_спец),IF(C459=$S$8,SUMIFS(Однолинейка!$BX$3:$BX$3000,Однолинейка!$A$3:$A$3000,Щит_спец),""))),""))))</f>
        <v/>
      </c>
      <c r="O459" s="74"/>
      <c r="P459" s="38" t="str">
        <f t="shared" si="63"/>
        <v/>
      </c>
      <c r="U459" s="38" t="str">
        <f t="shared" si="64"/>
        <v/>
      </c>
      <c r="V459" s="38" t="str">
        <f t="shared" si="65"/>
        <v/>
      </c>
      <c r="W459" s="38" t="str">
        <f>IF(AND(U459&lt;&gt;"",OR($S$4="(все)",B459=$S$4),IF($S$4="(все)",COUNTIF($U$4:U459,U459),COUNTIFS($U$4:U459,U459,$B$4:B459,B459))=1),MAX($W$3:W458)+1,"")</f>
        <v/>
      </c>
      <c r="X459" s="38" t="str">
        <f t="shared" si="66"/>
        <v/>
      </c>
      <c r="Y459" s="38" t="str">
        <f>IF(AND(A459="Аппарат",C459&lt;&gt;"",OR($S$5="(все)",B459=$S$5)),MAX($Y$3:Y458)+1,"")</f>
        <v/>
      </c>
      <c r="Z459" s="38" t="str">
        <f t="shared" si="67"/>
        <v/>
      </c>
      <c r="AA459" s="38" t="str">
        <f>IF(AND(A459="Модуль",C459&lt;&gt;"",OR($S$6="(все)",B459=$S$6)),MAX($AA$3:AA458)+1,"")</f>
        <v/>
      </c>
      <c r="AB459" s="38" t="str">
        <f t="shared" si="68"/>
        <v/>
      </c>
      <c r="AC459" s="38" t="str">
        <f>IF(OR(B459="",COUNTIF($B$4:B459,B459)&gt;1),"",MAX($AC$3:AC458)+1)</f>
        <v/>
      </c>
      <c r="AD459" s="38" t="str">
        <f t="shared" si="69"/>
        <v/>
      </c>
      <c r="AE459" s="38" t="str">
        <f t="shared" si="70"/>
        <v/>
      </c>
      <c r="AF459" s="38" t="str">
        <f t="shared" si="71"/>
        <v/>
      </c>
    </row>
    <row r="460" spans="1:32" x14ac:dyDescent="0.3">
      <c r="A460" s="74"/>
      <c r="B460" s="74"/>
      <c r="C460" s="74"/>
      <c r="D460" s="74"/>
      <c r="E460" s="74"/>
      <c r="F460" s="74"/>
      <c r="G460" s="74"/>
      <c r="H460" s="74"/>
      <c r="I460" s="74"/>
      <c r="J460" s="74"/>
      <c r="K460" s="74"/>
      <c r="L460" s="74"/>
      <c r="M460" s="74"/>
      <c r="N460" s="38" t="str">
        <f>IF(OR(A460="Автомат",A460="Дифавтомат"),IF(W460="","",COUNTIFS(Однолинейка!$H$3:$H$3000,U460,Однолинейка!$A$3:$A$3000,Щит_спец)),IF(A460="Аппарат",IF(C460="","",COUNTIFS(Однолинейка!$I$3:$I$3000,C460,Однолинейка!$A$3:$A$3000,Щит_спец)+COUNTIFS(Однолинейка!$J$3:$J$3000,C460,Однолинейка!$A$3:$A$3000,Щит_спец)+COUNTIFS(Однолинейка!$K$3:$K$3000,C460,Однолинейка!$A$3:$A$3000,Щит_спец)),IF(A460="Модуль",IF(C460="","",COUNTIFS(Однолинейка!$AW$3:$AW$3000,"?*",Однолинейка!$AI$3:$AI$3000,C460,Однолинейка!$A$3:$A$3000,Щит_спец)),IF(A460="Клемма",IF(C460="","",IF(C460=$S$7,SUMIFS(Однолинейка!$BW$3:$BW$3000,Однолинейка!$A$3:$A$3000,Щит_спец),IF(C460=$S$8,SUMIFS(Однолинейка!$BX$3:$BX$3000,Однолинейка!$A$3:$A$3000,Щит_спец),""))),""))))</f>
        <v/>
      </c>
      <c r="O460" s="74"/>
      <c r="P460" s="38" t="str">
        <f t="shared" si="63"/>
        <v/>
      </c>
      <c r="U460" s="38" t="str">
        <f t="shared" si="64"/>
        <v/>
      </c>
      <c r="V460" s="38" t="str">
        <f t="shared" si="65"/>
        <v/>
      </c>
      <c r="W460" s="38" t="str">
        <f>IF(AND(U460&lt;&gt;"",OR($S$4="(все)",B460=$S$4),IF($S$4="(все)",COUNTIF($U$4:U460,U460),COUNTIFS($U$4:U460,U460,$B$4:B460,B460))=1),MAX($W$3:W459)+1,"")</f>
        <v/>
      </c>
      <c r="X460" s="38" t="str">
        <f t="shared" si="66"/>
        <v/>
      </c>
      <c r="Y460" s="38" t="str">
        <f>IF(AND(A460="Аппарат",C460&lt;&gt;"",OR($S$5="(все)",B460=$S$5)),MAX($Y$3:Y459)+1,"")</f>
        <v/>
      </c>
      <c r="Z460" s="38" t="str">
        <f t="shared" si="67"/>
        <v/>
      </c>
      <c r="AA460" s="38" t="str">
        <f>IF(AND(A460="Модуль",C460&lt;&gt;"",OR($S$6="(все)",B460=$S$6)),MAX($AA$3:AA459)+1,"")</f>
        <v/>
      </c>
      <c r="AB460" s="38" t="str">
        <f t="shared" si="68"/>
        <v/>
      </c>
      <c r="AC460" s="38" t="str">
        <f>IF(OR(B460="",COUNTIF($B$4:B460,B460)&gt;1),"",MAX($AC$3:AC459)+1)</f>
        <v/>
      </c>
      <c r="AD460" s="38" t="str">
        <f t="shared" si="69"/>
        <v/>
      </c>
      <c r="AE460" s="38" t="str">
        <f t="shared" si="70"/>
        <v/>
      </c>
      <c r="AF460" s="38" t="str">
        <f t="shared" si="71"/>
        <v/>
      </c>
    </row>
    <row r="461" spans="1:32" x14ac:dyDescent="0.3">
      <c r="A461" s="74"/>
      <c r="B461" s="74"/>
      <c r="C461" s="74"/>
      <c r="D461" s="74"/>
      <c r="E461" s="74"/>
      <c r="F461" s="74"/>
      <c r="G461" s="74"/>
      <c r="H461" s="74"/>
      <c r="I461" s="74"/>
      <c r="J461" s="74"/>
      <c r="K461" s="74"/>
      <c r="L461" s="74"/>
      <c r="M461" s="74"/>
      <c r="N461" s="38" t="str">
        <f>IF(OR(A461="Автомат",A461="Дифавтомат"),IF(W461="","",COUNTIFS(Однолинейка!$H$3:$H$3000,U461,Однолинейка!$A$3:$A$3000,Щит_спец)),IF(A461="Аппарат",IF(C461="","",COUNTIFS(Однолинейка!$I$3:$I$3000,C461,Однолинейка!$A$3:$A$3000,Щит_спец)+COUNTIFS(Однолинейка!$J$3:$J$3000,C461,Однолинейка!$A$3:$A$3000,Щит_спец)+COUNTIFS(Однолинейка!$K$3:$K$3000,C461,Однолинейка!$A$3:$A$3000,Щит_спец)),IF(A461="Модуль",IF(C461="","",COUNTIFS(Однолинейка!$AW$3:$AW$3000,"?*",Однолинейка!$AI$3:$AI$3000,C461,Однолинейка!$A$3:$A$3000,Щит_спец)),IF(A461="Клемма",IF(C461="","",IF(C461=$S$7,SUMIFS(Однолинейка!$BW$3:$BW$3000,Однолинейка!$A$3:$A$3000,Щит_спец),IF(C461=$S$8,SUMIFS(Однолинейка!$BX$3:$BX$3000,Однолинейка!$A$3:$A$3000,Щит_спец),""))),""))))</f>
        <v/>
      </c>
      <c r="O461" s="74"/>
      <c r="P461" s="38" t="str">
        <f t="shared" si="63"/>
        <v/>
      </c>
      <c r="U461" s="38" t="str">
        <f t="shared" si="64"/>
        <v/>
      </c>
      <c r="V461" s="38" t="str">
        <f t="shared" si="65"/>
        <v/>
      </c>
      <c r="W461" s="38" t="str">
        <f>IF(AND(U461&lt;&gt;"",OR($S$4="(все)",B461=$S$4),IF($S$4="(все)",COUNTIF($U$4:U461,U461),COUNTIFS($U$4:U461,U461,$B$4:B461,B461))=1),MAX($W$3:W460)+1,"")</f>
        <v/>
      </c>
      <c r="X461" s="38" t="str">
        <f t="shared" si="66"/>
        <v/>
      </c>
      <c r="Y461" s="38" t="str">
        <f>IF(AND(A461="Аппарат",C461&lt;&gt;"",OR($S$5="(все)",B461=$S$5)),MAX($Y$3:Y460)+1,"")</f>
        <v/>
      </c>
      <c r="Z461" s="38" t="str">
        <f t="shared" si="67"/>
        <v/>
      </c>
      <c r="AA461" s="38" t="str">
        <f>IF(AND(A461="Модуль",C461&lt;&gt;"",OR($S$6="(все)",B461=$S$6)),MAX($AA$3:AA460)+1,"")</f>
        <v/>
      </c>
      <c r="AB461" s="38" t="str">
        <f t="shared" si="68"/>
        <v/>
      </c>
      <c r="AC461" s="38" t="str">
        <f>IF(OR(B461="",COUNTIF($B$4:B461,B461)&gt;1),"",MAX($AC$3:AC460)+1)</f>
        <v/>
      </c>
      <c r="AD461" s="38" t="str">
        <f t="shared" si="69"/>
        <v/>
      </c>
      <c r="AE461" s="38" t="str">
        <f t="shared" si="70"/>
        <v/>
      </c>
      <c r="AF461" s="38" t="str">
        <f t="shared" si="71"/>
        <v/>
      </c>
    </row>
    <row r="462" spans="1:32" x14ac:dyDescent="0.3">
      <c r="A462" s="74"/>
      <c r="B462" s="74"/>
      <c r="C462" s="74"/>
      <c r="D462" s="74"/>
      <c r="E462" s="74"/>
      <c r="F462" s="74"/>
      <c r="G462" s="74"/>
      <c r="H462" s="74"/>
      <c r="I462" s="74"/>
      <c r="J462" s="74"/>
      <c r="K462" s="74"/>
      <c r="L462" s="74"/>
      <c r="M462" s="74"/>
      <c r="N462" s="38" t="str">
        <f>IF(OR(A462="Автомат",A462="Дифавтомат"),IF(W462="","",COUNTIFS(Однолинейка!$H$3:$H$3000,U462,Однолинейка!$A$3:$A$3000,Щит_спец)),IF(A462="Аппарат",IF(C462="","",COUNTIFS(Однолинейка!$I$3:$I$3000,C462,Однолинейка!$A$3:$A$3000,Щит_спец)+COUNTIFS(Однолинейка!$J$3:$J$3000,C462,Однолинейка!$A$3:$A$3000,Щит_спец)+COUNTIFS(Однолинейка!$K$3:$K$3000,C462,Однолинейка!$A$3:$A$3000,Щит_спец)),IF(A462="Модуль",IF(C462="","",COUNTIFS(Однолинейка!$AW$3:$AW$3000,"?*",Однолинейка!$AI$3:$AI$3000,C462,Однолинейка!$A$3:$A$3000,Щит_спец)),IF(A462="Клемма",IF(C462="","",IF(C462=$S$7,SUMIFS(Однолинейка!$BW$3:$BW$3000,Однолинейка!$A$3:$A$3000,Щит_спец),IF(C462=$S$8,SUMIFS(Однолинейка!$BX$3:$BX$3000,Однолинейка!$A$3:$A$3000,Щит_спец),""))),""))))</f>
        <v/>
      </c>
      <c r="O462" s="74"/>
      <c r="P462" s="38" t="str">
        <f t="shared" si="63"/>
        <v/>
      </c>
      <c r="U462" s="38" t="str">
        <f t="shared" si="64"/>
        <v/>
      </c>
      <c r="V462" s="38" t="str">
        <f t="shared" si="65"/>
        <v/>
      </c>
      <c r="W462" s="38" t="str">
        <f>IF(AND(U462&lt;&gt;"",OR($S$4="(все)",B462=$S$4),IF($S$4="(все)",COUNTIF($U$4:U462,U462),COUNTIFS($U$4:U462,U462,$B$4:B462,B462))=1),MAX($W$3:W461)+1,"")</f>
        <v/>
      </c>
      <c r="X462" s="38" t="str">
        <f t="shared" si="66"/>
        <v/>
      </c>
      <c r="Y462" s="38" t="str">
        <f>IF(AND(A462="Аппарат",C462&lt;&gt;"",OR($S$5="(все)",B462=$S$5)),MAX($Y$3:Y461)+1,"")</f>
        <v/>
      </c>
      <c r="Z462" s="38" t="str">
        <f t="shared" si="67"/>
        <v/>
      </c>
      <c r="AA462" s="38" t="str">
        <f>IF(AND(A462="Модуль",C462&lt;&gt;"",OR($S$6="(все)",B462=$S$6)),MAX($AA$3:AA461)+1,"")</f>
        <v/>
      </c>
      <c r="AB462" s="38" t="str">
        <f t="shared" si="68"/>
        <v/>
      </c>
      <c r="AC462" s="38" t="str">
        <f>IF(OR(B462="",COUNTIF($B$4:B462,B462)&gt;1),"",MAX($AC$3:AC461)+1)</f>
        <v/>
      </c>
      <c r="AD462" s="38" t="str">
        <f t="shared" si="69"/>
        <v/>
      </c>
      <c r="AE462" s="38" t="str">
        <f t="shared" si="70"/>
        <v/>
      </c>
      <c r="AF462" s="38" t="str">
        <f t="shared" si="71"/>
        <v/>
      </c>
    </row>
    <row r="463" spans="1:32" x14ac:dyDescent="0.3">
      <c r="A463" s="74"/>
      <c r="B463" s="74"/>
      <c r="C463" s="74"/>
      <c r="D463" s="74"/>
      <c r="E463" s="74"/>
      <c r="F463" s="74"/>
      <c r="G463" s="74"/>
      <c r="H463" s="74"/>
      <c r="I463" s="74"/>
      <c r="J463" s="74"/>
      <c r="K463" s="74"/>
      <c r="L463" s="74"/>
      <c r="M463" s="74"/>
      <c r="N463" s="38" t="str">
        <f>IF(OR(A463="Автомат",A463="Дифавтомат"),IF(W463="","",COUNTIFS(Однолинейка!$H$3:$H$3000,U463,Однолинейка!$A$3:$A$3000,Щит_спец)),IF(A463="Аппарат",IF(C463="","",COUNTIFS(Однолинейка!$I$3:$I$3000,C463,Однолинейка!$A$3:$A$3000,Щит_спец)+COUNTIFS(Однолинейка!$J$3:$J$3000,C463,Однолинейка!$A$3:$A$3000,Щит_спец)+COUNTIFS(Однолинейка!$K$3:$K$3000,C463,Однолинейка!$A$3:$A$3000,Щит_спец)),IF(A463="Модуль",IF(C463="","",COUNTIFS(Однолинейка!$AW$3:$AW$3000,"?*",Однолинейка!$AI$3:$AI$3000,C463,Однолинейка!$A$3:$A$3000,Щит_спец)),IF(A463="Клемма",IF(C463="","",IF(C463=$S$7,SUMIFS(Однолинейка!$BW$3:$BW$3000,Однолинейка!$A$3:$A$3000,Щит_спец),IF(C463=$S$8,SUMIFS(Однолинейка!$BX$3:$BX$3000,Однолинейка!$A$3:$A$3000,Щит_спец),""))),""))))</f>
        <v/>
      </c>
      <c r="O463" s="74"/>
      <c r="P463" s="38" t="str">
        <f t="shared" si="63"/>
        <v/>
      </c>
      <c r="U463" s="38" t="str">
        <f t="shared" si="64"/>
        <v/>
      </c>
      <c r="V463" s="38" t="str">
        <f t="shared" si="65"/>
        <v/>
      </c>
      <c r="W463" s="38" t="str">
        <f>IF(AND(U463&lt;&gt;"",OR($S$4="(все)",B463=$S$4),IF($S$4="(все)",COUNTIF($U$4:U463,U463),COUNTIFS($U$4:U463,U463,$B$4:B463,B463))=1),MAX($W$3:W462)+1,"")</f>
        <v/>
      </c>
      <c r="X463" s="38" t="str">
        <f t="shared" si="66"/>
        <v/>
      </c>
      <c r="Y463" s="38" t="str">
        <f>IF(AND(A463="Аппарат",C463&lt;&gt;"",OR($S$5="(все)",B463=$S$5)),MAX($Y$3:Y462)+1,"")</f>
        <v/>
      </c>
      <c r="Z463" s="38" t="str">
        <f t="shared" si="67"/>
        <v/>
      </c>
      <c r="AA463" s="38" t="str">
        <f>IF(AND(A463="Модуль",C463&lt;&gt;"",OR($S$6="(все)",B463=$S$6)),MAX($AA$3:AA462)+1,"")</f>
        <v/>
      </c>
      <c r="AB463" s="38" t="str">
        <f t="shared" si="68"/>
        <v/>
      </c>
      <c r="AC463" s="38" t="str">
        <f>IF(OR(B463="",COUNTIF($B$4:B463,B463)&gt;1),"",MAX($AC$3:AC462)+1)</f>
        <v/>
      </c>
      <c r="AD463" s="38" t="str">
        <f t="shared" si="69"/>
        <v/>
      </c>
      <c r="AE463" s="38" t="str">
        <f t="shared" si="70"/>
        <v/>
      </c>
      <c r="AF463" s="38" t="str">
        <f t="shared" si="71"/>
        <v/>
      </c>
    </row>
    <row r="464" spans="1:32" x14ac:dyDescent="0.3">
      <c r="A464" s="74"/>
      <c r="B464" s="74"/>
      <c r="C464" s="74"/>
      <c r="D464" s="74"/>
      <c r="E464" s="74"/>
      <c r="F464" s="74"/>
      <c r="G464" s="74"/>
      <c r="H464" s="74"/>
      <c r="I464" s="74"/>
      <c r="J464" s="74"/>
      <c r="K464" s="74"/>
      <c r="L464" s="74"/>
      <c r="M464" s="74"/>
      <c r="N464" s="38" t="str">
        <f>IF(OR(A464="Автомат",A464="Дифавтомат"),IF(W464="","",COUNTIFS(Однолинейка!$H$3:$H$3000,U464,Однолинейка!$A$3:$A$3000,Щит_спец)),IF(A464="Аппарат",IF(C464="","",COUNTIFS(Однолинейка!$I$3:$I$3000,C464,Однолинейка!$A$3:$A$3000,Щит_спец)+COUNTIFS(Однолинейка!$J$3:$J$3000,C464,Однолинейка!$A$3:$A$3000,Щит_спец)+COUNTIFS(Однолинейка!$K$3:$K$3000,C464,Однолинейка!$A$3:$A$3000,Щит_спец)),IF(A464="Модуль",IF(C464="","",COUNTIFS(Однолинейка!$AW$3:$AW$3000,"?*",Однолинейка!$AI$3:$AI$3000,C464,Однолинейка!$A$3:$A$3000,Щит_спец)),IF(A464="Клемма",IF(C464="","",IF(C464=$S$7,SUMIFS(Однолинейка!$BW$3:$BW$3000,Однолинейка!$A$3:$A$3000,Щит_спец),IF(C464=$S$8,SUMIFS(Однолинейка!$BX$3:$BX$3000,Однолинейка!$A$3:$A$3000,Щит_спец),""))),""))))</f>
        <v/>
      </c>
      <c r="O464" s="74"/>
      <c r="P464" s="38" t="str">
        <f t="shared" si="63"/>
        <v/>
      </c>
      <c r="U464" s="38" t="str">
        <f t="shared" si="64"/>
        <v/>
      </c>
      <c r="V464" s="38" t="str">
        <f t="shared" si="65"/>
        <v/>
      </c>
      <c r="W464" s="38" t="str">
        <f>IF(AND(U464&lt;&gt;"",OR($S$4="(все)",B464=$S$4),IF($S$4="(все)",COUNTIF($U$4:U464,U464),COUNTIFS($U$4:U464,U464,$B$4:B464,B464))=1),MAX($W$3:W463)+1,"")</f>
        <v/>
      </c>
      <c r="X464" s="38" t="str">
        <f t="shared" si="66"/>
        <v/>
      </c>
      <c r="Y464" s="38" t="str">
        <f>IF(AND(A464="Аппарат",C464&lt;&gt;"",OR($S$5="(все)",B464=$S$5)),MAX($Y$3:Y463)+1,"")</f>
        <v/>
      </c>
      <c r="Z464" s="38" t="str">
        <f t="shared" si="67"/>
        <v/>
      </c>
      <c r="AA464" s="38" t="str">
        <f>IF(AND(A464="Модуль",C464&lt;&gt;"",OR($S$6="(все)",B464=$S$6)),MAX($AA$3:AA463)+1,"")</f>
        <v/>
      </c>
      <c r="AB464" s="38" t="str">
        <f t="shared" si="68"/>
        <v/>
      </c>
      <c r="AC464" s="38" t="str">
        <f>IF(OR(B464="",COUNTIF($B$4:B464,B464)&gt;1),"",MAX($AC$3:AC463)+1)</f>
        <v/>
      </c>
      <c r="AD464" s="38" t="str">
        <f t="shared" si="69"/>
        <v/>
      </c>
      <c r="AE464" s="38" t="str">
        <f t="shared" si="70"/>
        <v/>
      </c>
      <c r="AF464" s="38" t="str">
        <f t="shared" si="71"/>
        <v/>
      </c>
    </row>
    <row r="465" spans="1:32" x14ac:dyDescent="0.3">
      <c r="A465" s="74"/>
      <c r="B465" s="74"/>
      <c r="C465" s="74"/>
      <c r="D465" s="74"/>
      <c r="E465" s="74"/>
      <c r="F465" s="74"/>
      <c r="G465" s="74"/>
      <c r="H465" s="74"/>
      <c r="I465" s="74"/>
      <c r="J465" s="74"/>
      <c r="K465" s="74"/>
      <c r="L465" s="74"/>
      <c r="M465" s="74"/>
      <c r="N465" s="38" t="str">
        <f>IF(OR(A465="Автомат",A465="Дифавтомат"),IF(W465="","",COUNTIFS(Однолинейка!$H$3:$H$3000,U465,Однолинейка!$A$3:$A$3000,Щит_спец)),IF(A465="Аппарат",IF(C465="","",COUNTIFS(Однолинейка!$I$3:$I$3000,C465,Однолинейка!$A$3:$A$3000,Щит_спец)+COUNTIFS(Однолинейка!$J$3:$J$3000,C465,Однолинейка!$A$3:$A$3000,Щит_спец)+COUNTIFS(Однолинейка!$K$3:$K$3000,C465,Однолинейка!$A$3:$A$3000,Щит_спец)),IF(A465="Модуль",IF(C465="","",COUNTIFS(Однолинейка!$AW$3:$AW$3000,"?*",Однолинейка!$AI$3:$AI$3000,C465,Однолинейка!$A$3:$A$3000,Щит_спец)),IF(A465="Клемма",IF(C465="","",IF(C465=$S$7,SUMIFS(Однолинейка!$BW$3:$BW$3000,Однолинейка!$A$3:$A$3000,Щит_спец),IF(C465=$S$8,SUMIFS(Однолинейка!$BX$3:$BX$3000,Однолинейка!$A$3:$A$3000,Щит_спец),""))),""))))</f>
        <v/>
      </c>
      <c r="O465" s="74"/>
      <c r="P465" s="38" t="str">
        <f t="shared" si="63"/>
        <v/>
      </c>
      <c r="U465" s="38" t="str">
        <f t="shared" si="64"/>
        <v/>
      </c>
      <c r="V465" s="38" t="str">
        <f t="shared" si="65"/>
        <v/>
      </c>
      <c r="W465" s="38" t="str">
        <f>IF(AND(U465&lt;&gt;"",OR($S$4="(все)",B465=$S$4),IF($S$4="(все)",COUNTIF($U$4:U465,U465),COUNTIFS($U$4:U465,U465,$B$4:B465,B465))=1),MAX($W$3:W464)+1,"")</f>
        <v/>
      </c>
      <c r="X465" s="38" t="str">
        <f t="shared" si="66"/>
        <v/>
      </c>
      <c r="Y465" s="38" t="str">
        <f>IF(AND(A465="Аппарат",C465&lt;&gt;"",OR($S$5="(все)",B465=$S$5)),MAX($Y$3:Y464)+1,"")</f>
        <v/>
      </c>
      <c r="Z465" s="38" t="str">
        <f t="shared" si="67"/>
        <v/>
      </c>
      <c r="AA465" s="38" t="str">
        <f>IF(AND(A465="Модуль",C465&lt;&gt;"",OR($S$6="(все)",B465=$S$6)),MAX($AA$3:AA464)+1,"")</f>
        <v/>
      </c>
      <c r="AB465" s="38" t="str">
        <f t="shared" si="68"/>
        <v/>
      </c>
      <c r="AC465" s="38" t="str">
        <f>IF(OR(B465="",COUNTIF($B$4:B465,B465)&gt;1),"",MAX($AC$3:AC464)+1)</f>
        <v/>
      </c>
      <c r="AD465" s="38" t="str">
        <f t="shared" si="69"/>
        <v/>
      </c>
      <c r="AE465" s="38" t="str">
        <f t="shared" si="70"/>
        <v/>
      </c>
      <c r="AF465" s="38" t="str">
        <f t="shared" si="71"/>
        <v/>
      </c>
    </row>
    <row r="466" spans="1:32" x14ac:dyDescent="0.3">
      <c r="A466" s="74"/>
      <c r="B466" s="74"/>
      <c r="C466" s="74"/>
      <c r="D466" s="74"/>
      <c r="E466" s="74"/>
      <c r="F466" s="74"/>
      <c r="G466" s="74"/>
      <c r="H466" s="74"/>
      <c r="I466" s="74"/>
      <c r="J466" s="74"/>
      <c r="K466" s="74"/>
      <c r="L466" s="74"/>
      <c r="M466" s="74"/>
      <c r="N466" s="38" t="str">
        <f>IF(OR(A466="Автомат",A466="Дифавтомат"),IF(W466="","",COUNTIFS(Однолинейка!$H$3:$H$3000,U466,Однолинейка!$A$3:$A$3000,Щит_спец)),IF(A466="Аппарат",IF(C466="","",COUNTIFS(Однолинейка!$I$3:$I$3000,C466,Однолинейка!$A$3:$A$3000,Щит_спец)+COUNTIFS(Однолинейка!$J$3:$J$3000,C466,Однолинейка!$A$3:$A$3000,Щит_спец)+COUNTIFS(Однолинейка!$K$3:$K$3000,C466,Однолинейка!$A$3:$A$3000,Щит_спец)),IF(A466="Модуль",IF(C466="","",COUNTIFS(Однолинейка!$AW$3:$AW$3000,"?*",Однолинейка!$AI$3:$AI$3000,C466,Однолинейка!$A$3:$A$3000,Щит_спец)),IF(A466="Клемма",IF(C466="","",IF(C466=$S$7,SUMIFS(Однолинейка!$BW$3:$BW$3000,Однолинейка!$A$3:$A$3000,Щит_спец),IF(C466=$S$8,SUMIFS(Однолинейка!$BX$3:$BX$3000,Однолинейка!$A$3:$A$3000,Щит_спец),""))),""))))</f>
        <v/>
      </c>
      <c r="O466" s="74"/>
      <c r="P466" s="38" t="str">
        <f t="shared" si="63"/>
        <v/>
      </c>
      <c r="U466" s="38" t="str">
        <f t="shared" si="64"/>
        <v/>
      </c>
      <c r="V466" s="38" t="str">
        <f t="shared" si="65"/>
        <v/>
      </c>
      <c r="W466" s="38" t="str">
        <f>IF(AND(U466&lt;&gt;"",OR($S$4="(все)",B466=$S$4),IF($S$4="(все)",COUNTIF($U$4:U466,U466),COUNTIFS($U$4:U466,U466,$B$4:B466,B466))=1),MAX($W$3:W465)+1,"")</f>
        <v/>
      </c>
      <c r="X466" s="38" t="str">
        <f t="shared" si="66"/>
        <v/>
      </c>
      <c r="Y466" s="38" t="str">
        <f>IF(AND(A466="Аппарат",C466&lt;&gt;"",OR($S$5="(все)",B466=$S$5)),MAX($Y$3:Y465)+1,"")</f>
        <v/>
      </c>
      <c r="Z466" s="38" t="str">
        <f t="shared" si="67"/>
        <v/>
      </c>
      <c r="AA466" s="38" t="str">
        <f>IF(AND(A466="Модуль",C466&lt;&gt;"",OR($S$6="(все)",B466=$S$6)),MAX($AA$3:AA465)+1,"")</f>
        <v/>
      </c>
      <c r="AB466" s="38" t="str">
        <f t="shared" si="68"/>
        <v/>
      </c>
      <c r="AC466" s="38" t="str">
        <f>IF(OR(B466="",COUNTIF($B$4:B466,B466)&gt;1),"",MAX($AC$3:AC465)+1)</f>
        <v/>
      </c>
      <c r="AD466" s="38" t="str">
        <f t="shared" si="69"/>
        <v/>
      </c>
      <c r="AE466" s="38" t="str">
        <f t="shared" si="70"/>
        <v/>
      </c>
      <c r="AF466" s="38" t="str">
        <f t="shared" si="71"/>
        <v/>
      </c>
    </row>
    <row r="467" spans="1:32" x14ac:dyDescent="0.3">
      <c r="A467" s="74"/>
      <c r="B467" s="74"/>
      <c r="C467" s="74"/>
      <c r="D467" s="74"/>
      <c r="E467" s="74"/>
      <c r="F467" s="74"/>
      <c r="G467" s="74"/>
      <c r="H467" s="74"/>
      <c r="I467" s="74"/>
      <c r="J467" s="74"/>
      <c r="K467" s="74"/>
      <c r="L467" s="74"/>
      <c r="M467" s="74"/>
      <c r="N467" s="38" t="str">
        <f>IF(OR(A467="Автомат",A467="Дифавтомат"),IF(W467="","",COUNTIFS(Однолинейка!$H$3:$H$3000,U467,Однолинейка!$A$3:$A$3000,Щит_спец)),IF(A467="Аппарат",IF(C467="","",COUNTIFS(Однолинейка!$I$3:$I$3000,C467,Однолинейка!$A$3:$A$3000,Щит_спец)+COUNTIFS(Однолинейка!$J$3:$J$3000,C467,Однолинейка!$A$3:$A$3000,Щит_спец)+COUNTIFS(Однолинейка!$K$3:$K$3000,C467,Однолинейка!$A$3:$A$3000,Щит_спец)),IF(A467="Модуль",IF(C467="","",COUNTIFS(Однолинейка!$AW$3:$AW$3000,"?*",Однолинейка!$AI$3:$AI$3000,C467,Однолинейка!$A$3:$A$3000,Щит_спец)),IF(A467="Клемма",IF(C467="","",IF(C467=$S$7,SUMIFS(Однолинейка!$BW$3:$BW$3000,Однолинейка!$A$3:$A$3000,Щит_спец),IF(C467=$S$8,SUMIFS(Однолинейка!$BX$3:$BX$3000,Однолинейка!$A$3:$A$3000,Щит_спец),""))),""))))</f>
        <v/>
      </c>
      <c r="O467" s="74"/>
      <c r="P467" s="38" t="str">
        <f t="shared" si="63"/>
        <v/>
      </c>
      <c r="U467" s="38" t="str">
        <f t="shared" si="64"/>
        <v/>
      </c>
      <c r="V467" s="38" t="str">
        <f t="shared" si="65"/>
        <v/>
      </c>
      <c r="W467" s="38" t="str">
        <f>IF(AND(U467&lt;&gt;"",OR($S$4="(все)",B467=$S$4),IF($S$4="(все)",COUNTIF($U$4:U467,U467),COUNTIFS($U$4:U467,U467,$B$4:B467,B467))=1),MAX($W$3:W466)+1,"")</f>
        <v/>
      </c>
      <c r="X467" s="38" t="str">
        <f t="shared" si="66"/>
        <v/>
      </c>
      <c r="Y467" s="38" t="str">
        <f>IF(AND(A467="Аппарат",C467&lt;&gt;"",OR($S$5="(все)",B467=$S$5)),MAX($Y$3:Y466)+1,"")</f>
        <v/>
      </c>
      <c r="Z467" s="38" t="str">
        <f t="shared" si="67"/>
        <v/>
      </c>
      <c r="AA467" s="38" t="str">
        <f>IF(AND(A467="Модуль",C467&lt;&gt;"",OR($S$6="(все)",B467=$S$6)),MAX($AA$3:AA466)+1,"")</f>
        <v/>
      </c>
      <c r="AB467" s="38" t="str">
        <f t="shared" si="68"/>
        <v/>
      </c>
      <c r="AC467" s="38" t="str">
        <f>IF(OR(B467="",COUNTIF($B$4:B467,B467)&gt;1),"",MAX($AC$3:AC466)+1)</f>
        <v/>
      </c>
      <c r="AD467" s="38" t="str">
        <f t="shared" si="69"/>
        <v/>
      </c>
      <c r="AE467" s="38" t="str">
        <f t="shared" si="70"/>
        <v/>
      </c>
      <c r="AF467" s="38" t="str">
        <f t="shared" si="71"/>
        <v/>
      </c>
    </row>
    <row r="468" spans="1:32" x14ac:dyDescent="0.3">
      <c r="A468" s="74"/>
      <c r="B468" s="74"/>
      <c r="C468" s="74"/>
      <c r="D468" s="74"/>
      <c r="E468" s="74"/>
      <c r="F468" s="74"/>
      <c r="G468" s="74"/>
      <c r="H468" s="74"/>
      <c r="I468" s="74"/>
      <c r="J468" s="74"/>
      <c r="K468" s="74"/>
      <c r="L468" s="74"/>
      <c r="M468" s="74"/>
      <c r="N468" s="38" t="str">
        <f>IF(OR(A468="Автомат",A468="Дифавтомат"),IF(W468="","",COUNTIFS(Однолинейка!$H$3:$H$3000,U468,Однолинейка!$A$3:$A$3000,Щит_спец)),IF(A468="Аппарат",IF(C468="","",COUNTIFS(Однолинейка!$I$3:$I$3000,C468,Однолинейка!$A$3:$A$3000,Щит_спец)+COUNTIFS(Однолинейка!$J$3:$J$3000,C468,Однолинейка!$A$3:$A$3000,Щит_спец)+COUNTIFS(Однолинейка!$K$3:$K$3000,C468,Однолинейка!$A$3:$A$3000,Щит_спец)),IF(A468="Модуль",IF(C468="","",COUNTIFS(Однолинейка!$AW$3:$AW$3000,"?*",Однолинейка!$AI$3:$AI$3000,C468,Однолинейка!$A$3:$A$3000,Щит_спец)),IF(A468="Клемма",IF(C468="","",IF(C468=$S$7,SUMIFS(Однолинейка!$BW$3:$BW$3000,Однолинейка!$A$3:$A$3000,Щит_спец),IF(C468=$S$8,SUMIFS(Однолинейка!$BX$3:$BX$3000,Однолинейка!$A$3:$A$3000,Щит_спец),""))),""))))</f>
        <v/>
      </c>
      <c r="O468" s="74"/>
      <c r="P468" s="38" t="str">
        <f t="shared" si="63"/>
        <v/>
      </c>
      <c r="U468" s="38" t="str">
        <f t="shared" si="64"/>
        <v/>
      </c>
      <c r="V468" s="38" t="str">
        <f t="shared" si="65"/>
        <v/>
      </c>
      <c r="W468" s="38" t="str">
        <f>IF(AND(U468&lt;&gt;"",OR($S$4="(все)",B468=$S$4),IF($S$4="(все)",COUNTIF($U$4:U468,U468),COUNTIFS($U$4:U468,U468,$B$4:B468,B468))=1),MAX($W$3:W467)+1,"")</f>
        <v/>
      </c>
      <c r="X468" s="38" t="str">
        <f t="shared" si="66"/>
        <v/>
      </c>
      <c r="Y468" s="38" t="str">
        <f>IF(AND(A468="Аппарат",C468&lt;&gt;"",OR($S$5="(все)",B468=$S$5)),MAX($Y$3:Y467)+1,"")</f>
        <v/>
      </c>
      <c r="Z468" s="38" t="str">
        <f t="shared" si="67"/>
        <v/>
      </c>
      <c r="AA468" s="38" t="str">
        <f>IF(AND(A468="Модуль",C468&lt;&gt;"",OR($S$6="(все)",B468=$S$6)),MAX($AA$3:AA467)+1,"")</f>
        <v/>
      </c>
      <c r="AB468" s="38" t="str">
        <f t="shared" si="68"/>
        <v/>
      </c>
      <c r="AC468" s="38" t="str">
        <f>IF(OR(B468="",COUNTIF($B$4:B468,B468)&gt;1),"",MAX($AC$3:AC467)+1)</f>
        <v/>
      </c>
      <c r="AD468" s="38" t="str">
        <f t="shared" si="69"/>
        <v/>
      </c>
      <c r="AE468" s="38" t="str">
        <f t="shared" si="70"/>
        <v/>
      </c>
      <c r="AF468" s="38" t="str">
        <f t="shared" si="71"/>
        <v/>
      </c>
    </row>
    <row r="469" spans="1:32" x14ac:dyDescent="0.3">
      <c r="A469" s="74"/>
      <c r="B469" s="74"/>
      <c r="C469" s="74"/>
      <c r="D469" s="74"/>
      <c r="E469" s="74"/>
      <c r="F469" s="74"/>
      <c r="G469" s="74"/>
      <c r="H469" s="74"/>
      <c r="I469" s="74"/>
      <c r="J469" s="74"/>
      <c r="K469" s="74"/>
      <c r="L469" s="74"/>
      <c r="M469" s="74"/>
      <c r="N469" s="38" t="str">
        <f>IF(OR(A469="Автомат",A469="Дифавтомат"),IF(W469="","",COUNTIFS(Однолинейка!$H$3:$H$3000,U469,Однолинейка!$A$3:$A$3000,Щит_спец)),IF(A469="Аппарат",IF(C469="","",COUNTIFS(Однолинейка!$I$3:$I$3000,C469,Однолинейка!$A$3:$A$3000,Щит_спец)+COUNTIFS(Однолинейка!$J$3:$J$3000,C469,Однолинейка!$A$3:$A$3000,Щит_спец)+COUNTIFS(Однолинейка!$K$3:$K$3000,C469,Однолинейка!$A$3:$A$3000,Щит_спец)),IF(A469="Модуль",IF(C469="","",COUNTIFS(Однолинейка!$AW$3:$AW$3000,"?*",Однолинейка!$AI$3:$AI$3000,C469,Однолинейка!$A$3:$A$3000,Щит_спец)),IF(A469="Клемма",IF(C469="","",IF(C469=$S$7,SUMIFS(Однолинейка!$BW$3:$BW$3000,Однолинейка!$A$3:$A$3000,Щит_спец),IF(C469=$S$8,SUMIFS(Однолинейка!$BX$3:$BX$3000,Однолинейка!$A$3:$A$3000,Щит_спец),""))),""))))</f>
        <v/>
      </c>
      <c r="O469" s="74"/>
      <c r="P469" s="38" t="str">
        <f t="shared" si="63"/>
        <v/>
      </c>
      <c r="U469" s="38" t="str">
        <f t="shared" si="64"/>
        <v/>
      </c>
      <c r="V469" s="38" t="str">
        <f t="shared" si="65"/>
        <v/>
      </c>
      <c r="W469" s="38" t="str">
        <f>IF(AND(U469&lt;&gt;"",OR($S$4="(все)",B469=$S$4),IF($S$4="(все)",COUNTIF($U$4:U469,U469),COUNTIFS($U$4:U469,U469,$B$4:B469,B469))=1),MAX($W$3:W468)+1,"")</f>
        <v/>
      </c>
      <c r="X469" s="38" t="str">
        <f t="shared" si="66"/>
        <v/>
      </c>
      <c r="Y469" s="38" t="str">
        <f>IF(AND(A469="Аппарат",C469&lt;&gt;"",OR($S$5="(все)",B469=$S$5)),MAX($Y$3:Y468)+1,"")</f>
        <v/>
      </c>
      <c r="Z469" s="38" t="str">
        <f t="shared" si="67"/>
        <v/>
      </c>
      <c r="AA469" s="38" t="str">
        <f>IF(AND(A469="Модуль",C469&lt;&gt;"",OR($S$6="(все)",B469=$S$6)),MAX($AA$3:AA468)+1,"")</f>
        <v/>
      </c>
      <c r="AB469" s="38" t="str">
        <f t="shared" si="68"/>
        <v/>
      </c>
      <c r="AC469" s="38" t="str">
        <f>IF(OR(B469="",COUNTIF($B$4:B469,B469)&gt;1),"",MAX($AC$3:AC468)+1)</f>
        <v/>
      </c>
      <c r="AD469" s="38" t="str">
        <f t="shared" si="69"/>
        <v/>
      </c>
      <c r="AE469" s="38" t="str">
        <f t="shared" si="70"/>
        <v/>
      </c>
      <c r="AF469" s="38" t="str">
        <f t="shared" si="71"/>
        <v/>
      </c>
    </row>
    <row r="470" spans="1:32" x14ac:dyDescent="0.3">
      <c r="A470" s="74"/>
      <c r="B470" s="74"/>
      <c r="C470" s="74"/>
      <c r="D470" s="74"/>
      <c r="E470" s="74"/>
      <c r="F470" s="74"/>
      <c r="G470" s="74"/>
      <c r="H470" s="74"/>
      <c r="I470" s="74"/>
      <c r="J470" s="74"/>
      <c r="K470" s="74"/>
      <c r="L470" s="74"/>
      <c r="M470" s="74"/>
      <c r="N470" s="38" t="str">
        <f>IF(OR(A470="Автомат",A470="Дифавтомат"),IF(W470="","",COUNTIFS(Однолинейка!$H$3:$H$3000,U470,Однолинейка!$A$3:$A$3000,Щит_спец)),IF(A470="Аппарат",IF(C470="","",COUNTIFS(Однолинейка!$I$3:$I$3000,C470,Однолинейка!$A$3:$A$3000,Щит_спец)+COUNTIFS(Однолинейка!$J$3:$J$3000,C470,Однолинейка!$A$3:$A$3000,Щит_спец)+COUNTIFS(Однолинейка!$K$3:$K$3000,C470,Однолинейка!$A$3:$A$3000,Щит_спец)),IF(A470="Модуль",IF(C470="","",COUNTIFS(Однолинейка!$AW$3:$AW$3000,"?*",Однолинейка!$AI$3:$AI$3000,C470,Однолинейка!$A$3:$A$3000,Щит_спец)),IF(A470="Клемма",IF(C470="","",IF(C470=$S$7,SUMIFS(Однолинейка!$BW$3:$BW$3000,Однолинейка!$A$3:$A$3000,Щит_спец),IF(C470=$S$8,SUMIFS(Однолинейка!$BX$3:$BX$3000,Однолинейка!$A$3:$A$3000,Щит_спец),""))),""))))</f>
        <v/>
      </c>
      <c r="O470" s="74"/>
      <c r="P470" s="38" t="str">
        <f t="shared" si="63"/>
        <v/>
      </c>
      <c r="U470" s="38" t="str">
        <f t="shared" si="64"/>
        <v/>
      </c>
      <c r="V470" s="38" t="str">
        <f t="shared" si="65"/>
        <v/>
      </c>
      <c r="W470" s="38" t="str">
        <f>IF(AND(U470&lt;&gt;"",OR($S$4="(все)",B470=$S$4),IF($S$4="(все)",COUNTIF($U$4:U470,U470),COUNTIFS($U$4:U470,U470,$B$4:B470,B470))=1),MAX($W$3:W469)+1,"")</f>
        <v/>
      </c>
      <c r="X470" s="38" t="str">
        <f t="shared" si="66"/>
        <v/>
      </c>
      <c r="Y470" s="38" t="str">
        <f>IF(AND(A470="Аппарат",C470&lt;&gt;"",OR($S$5="(все)",B470=$S$5)),MAX($Y$3:Y469)+1,"")</f>
        <v/>
      </c>
      <c r="Z470" s="38" t="str">
        <f t="shared" si="67"/>
        <v/>
      </c>
      <c r="AA470" s="38" t="str">
        <f>IF(AND(A470="Модуль",C470&lt;&gt;"",OR($S$6="(все)",B470=$S$6)),MAX($AA$3:AA469)+1,"")</f>
        <v/>
      </c>
      <c r="AB470" s="38" t="str">
        <f t="shared" si="68"/>
        <v/>
      </c>
      <c r="AC470" s="38" t="str">
        <f>IF(OR(B470="",COUNTIF($B$4:B470,B470)&gt;1),"",MAX($AC$3:AC469)+1)</f>
        <v/>
      </c>
      <c r="AD470" s="38" t="str">
        <f t="shared" si="69"/>
        <v/>
      </c>
      <c r="AE470" s="38" t="str">
        <f t="shared" si="70"/>
        <v/>
      </c>
      <c r="AF470" s="38" t="str">
        <f t="shared" si="71"/>
        <v/>
      </c>
    </row>
    <row r="471" spans="1:32" x14ac:dyDescent="0.3">
      <c r="A471" s="74"/>
      <c r="B471" s="74"/>
      <c r="C471" s="74"/>
      <c r="D471" s="74"/>
      <c r="E471" s="74"/>
      <c r="F471" s="74"/>
      <c r="G471" s="74"/>
      <c r="H471" s="74"/>
      <c r="I471" s="74"/>
      <c r="J471" s="74"/>
      <c r="K471" s="74"/>
      <c r="L471" s="74"/>
      <c r="M471" s="74"/>
      <c r="N471" s="38" t="str">
        <f>IF(OR(A471="Автомат",A471="Дифавтомат"),IF(W471="","",COUNTIFS(Однолинейка!$H$3:$H$3000,U471,Однолинейка!$A$3:$A$3000,Щит_спец)),IF(A471="Аппарат",IF(C471="","",COUNTIFS(Однолинейка!$I$3:$I$3000,C471,Однолинейка!$A$3:$A$3000,Щит_спец)+COUNTIFS(Однолинейка!$J$3:$J$3000,C471,Однолинейка!$A$3:$A$3000,Щит_спец)+COUNTIFS(Однолинейка!$K$3:$K$3000,C471,Однолинейка!$A$3:$A$3000,Щит_спец)),IF(A471="Модуль",IF(C471="","",COUNTIFS(Однолинейка!$AW$3:$AW$3000,"?*",Однолинейка!$AI$3:$AI$3000,C471,Однолинейка!$A$3:$A$3000,Щит_спец)),IF(A471="Клемма",IF(C471="","",IF(C471=$S$7,SUMIFS(Однолинейка!$BW$3:$BW$3000,Однолинейка!$A$3:$A$3000,Щит_спец),IF(C471=$S$8,SUMIFS(Однолинейка!$BX$3:$BX$3000,Однолинейка!$A$3:$A$3000,Щит_спец),""))),""))))</f>
        <v/>
      </c>
      <c r="O471" s="74"/>
      <c r="P471" s="38" t="str">
        <f t="shared" si="63"/>
        <v/>
      </c>
      <c r="U471" s="38" t="str">
        <f t="shared" si="64"/>
        <v/>
      </c>
      <c r="V471" s="38" t="str">
        <f t="shared" si="65"/>
        <v/>
      </c>
      <c r="W471" s="38" t="str">
        <f>IF(AND(U471&lt;&gt;"",OR($S$4="(все)",B471=$S$4),IF($S$4="(все)",COUNTIF($U$4:U471,U471),COUNTIFS($U$4:U471,U471,$B$4:B471,B471))=1),MAX($W$3:W470)+1,"")</f>
        <v/>
      </c>
      <c r="X471" s="38" t="str">
        <f t="shared" si="66"/>
        <v/>
      </c>
      <c r="Y471" s="38" t="str">
        <f>IF(AND(A471="Аппарат",C471&lt;&gt;"",OR($S$5="(все)",B471=$S$5)),MAX($Y$3:Y470)+1,"")</f>
        <v/>
      </c>
      <c r="Z471" s="38" t="str">
        <f t="shared" si="67"/>
        <v/>
      </c>
      <c r="AA471" s="38" t="str">
        <f>IF(AND(A471="Модуль",C471&lt;&gt;"",OR($S$6="(все)",B471=$S$6)),MAX($AA$3:AA470)+1,"")</f>
        <v/>
      </c>
      <c r="AB471" s="38" t="str">
        <f t="shared" si="68"/>
        <v/>
      </c>
      <c r="AC471" s="38" t="str">
        <f>IF(OR(B471="",COUNTIF($B$4:B471,B471)&gt;1),"",MAX($AC$3:AC470)+1)</f>
        <v/>
      </c>
      <c r="AD471" s="38" t="str">
        <f t="shared" si="69"/>
        <v/>
      </c>
      <c r="AE471" s="38" t="str">
        <f t="shared" si="70"/>
        <v/>
      </c>
      <c r="AF471" s="38" t="str">
        <f t="shared" si="71"/>
        <v/>
      </c>
    </row>
    <row r="472" spans="1:32" x14ac:dyDescent="0.3">
      <c r="A472" s="74"/>
      <c r="B472" s="74"/>
      <c r="C472" s="74"/>
      <c r="D472" s="74"/>
      <c r="E472" s="74"/>
      <c r="F472" s="74"/>
      <c r="G472" s="74"/>
      <c r="H472" s="74"/>
      <c r="I472" s="74"/>
      <c r="J472" s="74"/>
      <c r="K472" s="74"/>
      <c r="L472" s="74"/>
      <c r="M472" s="74"/>
      <c r="N472" s="38" t="str">
        <f>IF(OR(A472="Автомат",A472="Дифавтомат"),IF(W472="","",COUNTIFS(Однолинейка!$H$3:$H$3000,U472,Однолинейка!$A$3:$A$3000,Щит_спец)),IF(A472="Аппарат",IF(C472="","",COUNTIFS(Однолинейка!$I$3:$I$3000,C472,Однолинейка!$A$3:$A$3000,Щит_спец)+COUNTIFS(Однолинейка!$J$3:$J$3000,C472,Однолинейка!$A$3:$A$3000,Щит_спец)+COUNTIFS(Однолинейка!$K$3:$K$3000,C472,Однолинейка!$A$3:$A$3000,Щит_спец)),IF(A472="Модуль",IF(C472="","",COUNTIFS(Однолинейка!$AW$3:$AW$3000,"?*",Однолинейка!$AI$3:$AI$3000,C472,Однолинейка!$A$3:$A$3000,Щит_спец)),IF(A472="Клемма",IF(C472="","",IF(C472=$S$7,SUMIFS(Однолинейка!$BW$3:$BW$3000,Однолинейка!$A$3:$A$3000,Щит_спец),IF(C472=$S$8,SUMIFS(Однолинейка!$BX$3:$BX$3000,Однолинейка!$A$3:$A$3000,Щит_спец),""))),""))))</f>
        <v/>
      </c>
      <c r="O472" s="74"/>
      <c r="P472" s="38" t="str">
        <f t="shared" si="63"/>
        <v/>
      </c>
      <c r="U472" s="38" t="str">
        <f t="shared" si="64"/>
        <v/>
      </c>
      <c r="V472" s="38" t="str">
        <f t="shared" si="65"/>
        <v/>
      </c>
      <c r="W472" s="38" t="str">
        <f>IF(AND(U472&lt;&gt;"",OR($S$4="(все)",B472=$S$4),IF($S$4="(все)",COUNTIF($U$4:U472,U472),COUNTIFS($U$4:U472,U472,$B$4:B472,B472))=1),MAX($W$3:W471)+1,"")</f>
        <v/>
      </c>
      <c r="X472" s="38" t="str">
        <f t="shared" si="66"/>
        <v/>
      </c>
      <c r="Y472" s="38" t="str">
        <f>IF(AND(A472="Аппарат",C472&lt;&gt;"",OR($S$5="(все)",B472=$S$5)),MAX($Y$3:Y471)+1,"")</f>
        <v/>
      </c>
      <c r="Z472" s="38" t="str">
        <f t="shared" si="67"/>
        <v/>
      </c>
      <c r="AA472" s="38" t="str">
        <f>IF(AND(A472="Модуль",C472&lt;&gt;"",OR($S$6="(все)",B472=$S$6)),MAX($AA$3:AA471)+1,"")</f>
        <v/>
      </c>
      <c r="AB472" s="38" t="str">
        <f t="shared" si="68"/>
        <v/>
      </c>
      <c r="AC472" s="38" t="str">
        <f>IF(OR(B472="",COUNTIF($B$4:B472,B472)&gt;1),"",MAX($AC$3:AC471)+1)</f>
        <v/>
      </c>
      <c r="AD472" s="38" t="str">
        <f t="shared" si="69"/>
        <v/>
      </c>
      <c r="AE472" s="38" t="str">
        <f t="shared" si="70"/>
        <v/>
      </c>
      <c r="AF472" s="38" t="str">
        <f t="shared" si="71"/>
        <v/>
      </c>
    </row>
    <row r="473" spans="1:32" x14ac:dyDescent="0.3">
      <c r="A473" s="74"/>
      <c r="B473" s="74"/>
      <c r="C473" s="74"/>
      <c r="D473" s="74"/>
      <c r="E473" s="74"/>
      <c r="F473" s="74"/>
      <c r="G473" s="74"/>
      <c r="H473" s="74"/>
      <c r="I473" s="74"/>
      <c r="J473" s="74"/>
      <c r="K473" s="74"/>
      <c r="L473" s="74"/>
      <c r="M473" s="74"/>
      <c r="N473" s="38" t="str">
        <f>IF(OR(A473="Автомат",A473="Дифавтомат"),IF(W473="","",COUNTIFS(Однолинейка!$H$3:$H$3000,U473,Однолинейка!$A$3:$A$3000,Щит_спец)),IF(A473="Аппарат",IF(C473="","",COUNTIFS(Однолинейка!$I$3:$I$3000,C473,Однолинейка!$A$3:$A$3000,Щит_спец)+COUNTIFS(Однолинейка!$J$3:$J$3000,C473,Однолинейка!$A$3:$A$3000,Щит_спец)+COUNTIFS(Однолинейка!$K$3:$K$3000,C473,Однолинейка!$A$3:$A$3000,Щит_спец)),IF(A473="Модуль",IF(C473="","",COUNTIFS(Однолинейка!$AW$3:$AW$3000,"?*",Однолинейка!$AI$3:$AI$3000,C473,Однолинейка!$A$3:$A$3000,Щит_спец)),IF(A473="Клемма",IF(C473="","",IF(C473=$S$7,SUMIFS(Однолинейка!$BW$3:$BW$3000,Однолинейка!$A$3:$A$3000,Щит_спец),IF(C473=$S$8,SUMIFS(Однолинейка!$BX$3:$BX$3000,Однолинейка!$A$3:$A$3000,Щит_спец),""))),""))))</f>
        <v/>
      </c>
      <c r="O473" s="74"/>
      <c r="P473" s="38" t="str">
        <f t="shared" si="63"/>
        <v/>
      </c>
      <c r="U473" s="38" t="str">
        <f t="shared" si="64"/>
        <v/>
      </c>
      <c r="V473" s="38" t="str">
        <f t="shared" si="65"/>
        <v/>
      </c>
      <c r="W473" s="38" t="str">
        <f>IF(AND(U473&lt;&gt;"",OR($S$4="(все)",B473=$S$4),IF($S$4="(все)",COUNTIF($U$4:U473,U473),COUNTIFS($U$4:U473,U473,$B$4:B473,B473))=1),MAX($W$3:W472)+1,"")</f>
        <v/>
      </c>
      <c r="X473" s="38" t="str">
        <f t="shared" si="66"/>
        <v/>
      </c>
      <c r="Y473" s="38" t="str">
        <f>IF(AND(A473="Аппарат",C473&lt;&gt;"",OR($S$5="(все)",B473=$S$5)),MAX($Y$3:Y472)+1,"")</f>
        <v/>
      </c>
      <c r="Z473" s="38" t="str">
        <f t="shared" si="67"/>
        <v/>
      </c>
      <c r="AA473" s="38" t="str">
        <f>IF(AND(A473="Модуль",C473&lt;&gt;"",OR($S$6="(все)",B473=$S$6)),MAX($AA$3:AA472)+1,"")</f>
        <v/>
      </c>
      <c r="AB473" s="38" t="str">
        <f t="shared" si="68"/>
        <v/>
      </c>
      <c r="AC473" s="38" t="str">
        <f>IF(OR(B473="",COUNTIF($B$4:B473,B473)&gt;1),"",MAX($AC$3:AC472)+1)</f>
        <v/>
      </c>
      <c r="AD473" s="38" t="str">
        <f t="shared" si="69"/>
        <v/>
      </c>
      <c r="AE473" s="38" t="str">
        <f t="shared" si="70"/>
        <v/>
      </c>
      <c r="AF473" s="38" t="str">
        <f t="shared" si="71"/>
        <v/>
      </c>
    </row>
    <row r="474" spans="1:32" x14ac:dyDescent="0.3">
      <c r="A474" s="74"/>
      <c r="B474" s="74"/>
      <c r="C474" s="74"/>
      <c r="D474" s="74"/>
      <c r="E474" s="74"/>
      <c r="F474" s="74"/>
      <c r="G474" s="74"/>
      <c r="H474" s="74"/>
      <c r="I474" s="74"/>
      <c r="J474" s="74"/>
      <c r="K474" s="74"/>
      <c r="L474" s="74"/>
      <c r="M474" s="74"/>
      <c r="N474" s="38" t="str">
        <f>IF(OR(A474="Автомат",A474="Дифавтомат"),IF(W474="","",COUNTIFS(Однолинейка!$H$3:$H$3000,U474,Однолинейка!$A$3:$A$3000,Щит_спец)),IF(A474="Аппарат",IF(C474="","",COUNTIFS(Однолинейка!$I$3:$I$3000,C474,Однолинейка!$A$3:$A$3000,Щит_спец)+COUNTIFS(Однолинейка!$J$3:$J$3000,C474,Однолинейка!$A$3:$A$3000,Щит_спец)+COUNTIFS(Однолинейка!$K$3:$K$3000,C474,Однолинейка!$A$3:$A$3000,Щит_спец)),IF(A474="Модуль",IF(C474="","",COUNTIFS(Однолинейка!$AW$3:$AW$3000,"?*",Однолинейка!$AI$3:$AI$3000,C474,Однолинейка!$A$3:$A$3000,Щит_спец)),IF(A474="Клемма",IF(C474="","",IF(C474=$S$7,SUMIFS(Однолинейка!$BW$3:$BW$3000,Однолинейка!$A$3:$A$3000,Щит_спец),IF(C474=$S$8,SUMIFS(Однолинейка!$BX$3:$BX$3000,Однолинейка!$A$3:$A$3000,Щит_спец),""))),""))))</f>
        <v/>
      </c>
      <c r="O474" s="74"/>
      <c r="P474" s="38" t="str">
        <f t="shared" si="63"/>
        <v/>
      </c>
      <c r="U474" s="38" t="str">
        <f t="shared" si="64"/>
        <v/>
      </c>
      <c r="V474" s="38" t="str">
        <f t="shared" si="65"/>
        <v/>
      </c>
      <c r="W474" s="38" t="str">
        <f>IF(AND(U474&lt;&gt;"",OR($S$4="(все)",B474=$S$4),IF($S$4="(все)",COUNTIF($U$4:U474,U474),COUNTIFS($U$4:U474,U474,$B$4:B474,B474))=1),MAX($W$3:W473)+1,"")</f>
        <v/>
      </c>
      <c r="X474" s="38" t="str">
        <f t="shared" si="66"/>
        <v/>
      </c>
      <c r="Y474" s="38" t="str">
        <f>IF(AND(A474="Аппарат",C474&lt;&gt;"",OR($S$5="(все)",B474=$S$5)),MAX($Y$3:Y473)+1,"")</f>
        <v/>
      </c>
      <c r="Z474" s="38" t="str">
        <f t="shared" si="67"/>
        <v/>
      </c>
      <c r="AA474" s="38" t="str">
        <f>IF(AND(A474="Модуль",C474&lt;&gt;"",OR($S$6="(все)",B474=$S$6)),MAX($AA$3:AA473)+1,"")</f>
        <v/>
      </c>
      <c r="AB474" s="38" t="str">
        <f t="shared" si="68"/>
        <v/>
      </c>
      <c r="AC474" s="38" t="str">
        <f>IF(OR(B474="",COUNTIF($B$4:B474,B474)&gt;1),"",MAX($AC$3:AC473)+1)</f>
        <v/>
      </c>
      <c r="AD474" s="38" t="str">
        <f t="shared" si="69"/>
        <v/>
      </c>
      <c r="AE474" s="38" t="str">
        <f t="shared" si="70"/>
        <v/>
      </c>
      <c r="AF474" s="38" t="str">
        <f t="shared" si="71"/>
        <v/>
      </c>
    </row>
    <row r="475" spans="1:32" x14ac:dyDescent="0.3">
      <c r="A475" s="74"/>
      <c r="B475" s="74"/>
      <c r="C475" s="74"/>
      <c r="D475" s="74"/>
      <c r="E475" s="74"/>
      <c r="F475" s="74"/>
      <c r="G475" s="74"/>
      <c r="H475" s="74"/>
      <c r="I475" s="74"/>
      <c r="J475" s="74"/>
      <c r="K475" s="74"/>
      <c r="L475" s="74"/>
      <c r="M475" s="74"/>
      <c r="N475" s="38" t="str">
        <f>IF(OR(A475="Автомат",A475="Дифавтомат"),IF(W475="","",COUNTIFS(Однолинейка!$H$3:$H$3000,U475,Однолинейка!$A$3:$A$3000,Щит_спец)),IF(A475="Аппарат",IF(C475="","",COUNTIFS(Однолинейка!$I$3:$I$3000,C475,Однолинейка!$A$3:$A$3000,Щит_спец)+COUNTIFS(Однолинейка!$J$3:$J$3000,C475,Однолинейка!$A$3:$A$3000,Щит_спец)+COUNTIFS(Однолинейка!$K$3:$K$3000,C475,Однолинейка!$A$3:$A$3000,Щит_спец)),IF(A475="Модуль",IF(C475="","",COUNTIFS(Однолинейка!$AW$3:$AW$3000,"?*",Однолинейка!$AI$3:$AI$3000,C475,Однолинейка!$A$3:$A$3000,Щит_спец)),IF(A475="Клемма",IF(C475="","",IF(C475=$S$7,SUMIFS(Однолинейка!$BW$3:$BW$3000,Однолинейка!$A$3:$A$3000,Щит_спец),IF(C475=$S$8,SUMIFS(Однолинейка!$BX$3:$BX$3000,Однолинейка!$A$3:$A$3000,Щит_спец),""))),""))))</f>
        <v/>
      </c>
      <c r="O475" s="74"/>
      <c r="P475" s="38" t="str">
        <f t="shared" si="63"/>
        <v/>
      </c>
      <c r="U475" s="38" t="str">
        <f t="shared" si="64"/>
        <v/>
      </c>
      <c r="V475" s="38" t="str">
        <f t="shared" si="65"/>
        <v/>
      </c>
      <c r="W475" s="38" t="str">
        <f>IF(AND(U475&lt;&gt;"",OR($S$4="(все)",B475=$S$4),IF($S$4="(все)",COUNTIF($U$4:U475,U475),COUNTIFS($U$4:U475,U475,$B$4:B475,B475))=1),MAX($W$3:W474)+1,"")</f>
        <v/>
      </c>
      <c r="X475" s="38" t="str">
        <f t="shared" si="66"/>
        <v/>
      </c>
      <c r="Y475" s="38" t="str">
        <f>IF(AND(A475="Аппарат",C475&lt;&gt;"",OR($S$5="(все)",B475=$S$5)),MAX($Y$3:Y474)+1,"")</f>
        <v/>
      </c>
      <c r="Z475" s="38" t="str">
        <f t="shared" si="67"/>
        <v/>
      </c>
      <c r="AA475" s="38" t="str">
        <f>IF(AND(A475="Модуль",C475&lt;&gt;"",OR($S$6="(все)",B475=$S$6)),MAX($AA$3:AA474)+1,"")</f>
        <v/>
      </c>
      <c r="AB475" s="38" t="str">
        <f t="shared" si="68"/>
        <v/>
      </c>
      <c r="AC475" s="38" t="str">
        <f>IF(OR(B475="",COUNTIF($B$4:B475,B475)&gt;1),"",MAX($AC$3:AC474)+1)</f>
        <v/>
      </c>
      <c r="AD475" s="38" t="str">
        <f t="shared" si="69"/>
        <v/>
      </c>
      <c r="AE475" s="38" t="str">
        <f t="shared" si="70"/>
        <v/>
      </c>
      <c r="AF475" s="38" t="str">
        <f t="shared" si="71"/>
        <v/>
      </c>
    </row>
    <row r="476" spans="1:32" x14ac:dyDescent="0.3">
      <c r="A476" s="74"/>
      <c r="B476" s="74"/>
      <c r="C476" s="74"/>
      <c r="D476" s="74"/>
      <c r="E476" s="74"/>
      <c r="F476" s="74"/>
      <c r="G476" s="74"/>
      <c r="H476" s="74"/>
      <c r="I476" s="74"/>
      <c r="J476" s="74"/>
      <c r="K476" s="74"/>
      <c r="L476" s="74"/>
      <c r="M476" s="74"/>
      <c r="N476" s="38" t="str">
        <f>IF(OR(A476="Автомат",A476="Дифавтомат"),IF(W476="","",COUNTIFS(Однолинейка!$H$3:$H$3000,U476,Однолинейка!$A$3:$A$3000,Щит_спец)),IF(A476="Аппарат",IF(C476="","",COUNTIFS(Однолинейка!$I$3:$I$3000,C476,Однолинейка!$A$3:$A$3000,Щит_спец)+COUNTIFS(Однолинейка!$J$3:$J$3000,C476,Однолинейка!$A$3:$A$3000,Щит_спец)+COUNTIFS(Однолинейка!$K$3:$K$3000,C476,Однолинейка!$A$3:$A$3000,Щит_спец)),IF(A476="Модуль",IF(C476="","",COUNTIFS(Однолинейка!$AW$3:$AW$3000,"?*",Однолинейка!$AI$3:$AI$3000,C476,Однолинейка!$A$3:$A$3000,Щит_спец)),IF(A476="Клемма",IF(C476="","",IF(C476=$S$7,SUMIFS(Однолинейка!$BW$3:$BW$3000,Однолинейка!$A$3:$A$3000,Щит_спец),IF(C476=$S$8,SUMIFS(Однолинейка!$BX$3:$BX$3000,Однолинейка!$A$3:$A$3000,Щит_спец),""))),""))))</f>
        <v/>
      </c>
      <c r="O476" s="74"/>
      <c r="P476" s="38" t="str">
        <f t="shared" si="63"/>
        <v/>
      </c>
      <c r="U476" s="38" t="str">
        <f t="shared" si="64"/>
        <v/>
      </c>
      <c r="V476" s="38" t="str">
        <f t="shared" si="65"/>
        <v/>
      </c>
      <c r="W476" s="38" t="str">
        <f>IF(AND(U476&lt;&gt;"",OR($S$4="(все)",B476=$S$4),IF($S$4="(все)",COUNTIF($U$4:U476,U476),COUNTIFS($U$4:U476,U476,$B$4:B476,B476))=1),MAX($W$3:W475)+1,"")</f>
        <v/>
      </c>
      <c r="X476" s="38" t="str">
        <f t="shared" si="66"/>
        <v/>
      </c>
      <c r="Y476" s="38" t="str">
        <f>IF(AND(A476="Аппарат",C476&lt;&gt;"",OR($S$5="(все)",B476=$S$5)),MAX($Y$3:Y475)+1,"")</f>
        <v/>
      </c>
      <c r="Z476" s="38" t="str">
        <f t="shared" si="67"/>
        <v/>
      </c>
      <c r="AA476" s="38" t="str">
        <f>IF(AND(A476="Модуль",C476&lt;&gt;"",OR($S$6="(все)",B476=$S$6)),MAX($AA$3:AA475)+1,"")</f>
        <v/>
      </c>
      <c r="AB476" s="38" t="str">
        <f t="shared" si="68"/>
        <v/>
      </c>
      <c r="AC476" s="38" t="str">
        <f>IF(OR(B476="",COUNTIF($B$4:B476,B476)&gt;1),"",MAX($AC$3:AC475)+1)</f>
        <v/>
      </c>
      <c r="AD476" s="38" t="str">
        <f t="shared" si="69"/>
        <v/>
      </c>
      <c r="AE476" s="38" t="str">
        <f t="shared" si="70"/>
        <v/>
      </c>
      <c r="AF476" s="38" t="str">
        <f t="shared" si="71"/>
        <v/>
      </c>
    </row>
    <row r="477" spans="1:32" x14ac:dyDescent="0.3">
      <c r="A477" s="74"/>
      <c r="B477" s="74"/>
      <c r="C477" s="74"/>
      <c r="D477" s="74"/>
      <c r="E477" s="74"/>
      <c r="F477" s="74"/>
      <c r="G477" s="74"/>
      <c r="H477" s="74"/>
      <c r="I477" s="74"/>
      <c r="J477" s="74"/>
      <c r="K477" s="74"/>
      <c r="L477" s="74"/>
      <c r="M477" s="74"/>
      <c r="N477" s="38" t="str">
        <f>IF(OR(A477="Автомат",A477="Дифавтомат"),IF(W477="","",COUNTIFS(Однолинейка!$H$3:$H$3000,U477,Однолинейка!$A$3:$A$3000,Щит_спец)),IF(A477="Аппарат",IF(C477="","",COUNTIFS(Однолинейка!$I$3:$I$3000,C477,Однолинейка!$A$3:$A$3000,Щит_спец)+COUNTIFS(Однолинейка!$J$3:$J$3000,C477,Однолинейка!$A$3:$A$3000,Щит_спец)+COUNTIFS(Однолинейка!$K$3:$K$3000,C477,Однолинейка!$A$3:$A$3000,Щит_спец)),IF(A477="Модуль",IF(C477="","",COUNTIFS(Однолинейка!$AW$3:$AW$3000,"?*",Однолинейка!$AI$3:$AI$3000,C477,Однолинейка!$A$3:$A$3000,Щит_спец)),IF(A477="Клемма",IF(C477="","",IF(C477=$S$7,SUMIFS(Однолинейка!$BW$3:$BW$3000,Однолинейка!$A$3:$A$3000,Щит_спец),IF(C477=$S$8,SUMIFS(Однолинейка!$BX$3:$BX$3000,Однолинейка!$A$3:$A$3000,Щит_спец),""))),""))))</f>
        <v/>
      </c>
      <c r="O477" s="74"/>
      <c r="P477" s="38" t="str">
        <f t="shared" si="63"/>
        <v/>
      </c>
      <c r="U477" s="38" t="str">
        <f t="shared" si="64"/>
        <v/>
      </c>
      <c r="V477" s="38" t="str">
        <f t="shared" si="65"/>
        <v/>
      </c>
      <c r="W477" s="38" t="str">
        <f>IF(AND(U477&lt;&gt;"",OR($S$4="(все)",B477=$S$4),IF($S$4="(все)",COUNTIF($U$4:U477,U477),COUNTIFS($U$4:U477,U477,$B$4:B477,B477))=1),MAX($W$3:W476)+1,"")</f>
        <v/>
      </c>
      <c r="X477" s="38" t="str">
        <f t="shared" si="66"/>
        <v/>
      </c>
      <c r="Y477" s="38" t="str">
        <f>IF(AND(A477="Аппарат",C477&lt;&gt;"",OR($S$5="(все)",B477=$S$5)),MAX($Y$3:Y476)+1,"")</f>
        <v/>
      </c>
      <c r="Z477" s="38" t="str">
        <f t="shared" si="67"/>
        <v/>
      </c>
      <c r="AA477" s="38" t="str">
        <f>IF(AND(A477="Модуль",C477&lt;&gt;"",OR($S$6="(все)",B477=$S$6)),MAX($AA$3:AA476)+1,"")</f>
        <v/>
      </c>
      <c r="AB477" s="38" t="str">
        <f t="shared" si="68"/>
        <v/>
      </c>
      <c r="AC477" s="38" t="str">
        <f>IF(OR(B477="",COUNTIF($B$4:B477,B477)&gt;1),"",MAX($AC$3:AC476)+1)</f>
        <v/>
      </c>
      <c r="AD477" s="38" t="str">
        <f t="shared" si="69"/>
        <v/>
      </c>
      <c r="AE477" s="38" t="str">
        <f t="shared" si="70"/>
        <v/>
      </c>
      <c r="AF477" s="38" t="str">
        <f t="shared" si="71"/>
        <v/>
      </c>
    </row>
    <row r="478" spans="1:32" x14ac:dyDescent="0.3">
      <c r="A478" s="74"/>
      <c r="B478" s="74"/>
      <c r="C478" s="74"/>
      <c r="D478" s="74"/>
      <c r="E478" s="74"/>
      <c r="F478" s="74"/>
      <c r="G478" s="74"/>
      <c r="H478" s="74"/>
      <c r="I478" s="74"/>
      <c r="J478" s="74"/>
      <c r="K478" s="74"/>
      <c r="L478" s="74"/>
      <c r="M478" s="74"/>
      <c r="N478" s="38" t="str">
        <f>IF(OR(A478="Автомат",A478="Дифавтомат"),IF(W478="","",COUNTIFS(Однолинейка!$H$3:$H$3000,U478,Однолинейка!$A$3:$A$3000,Щит_спец)),IF(A478="Аппарат",IF(C478="","",COUNTIFS(Однолинейка!$I$3:$I$3000,C478,Однолинейка!$A$3:$A$3000,Щит_спец)+COUNTIFS(Однолинейка!$J$3:$J$3000,C478,Однолинейка!$A$3:$A$3000,Щит_спец)+COUNTIFS(Однолинейка!$K$3:$K$3000,C478,Однолинейка!$A$3:$A$3000,Щит_спец)),IF(A478="Модуль",IF(C478="","",COUNTIFS(Однолинейка!$AW$3:$AW$3000,"?*",Однолинейка!$AI$3:$AI$3000,C478,Однолинейка!$A$3:$A$3000,Щит_спец)),IF(A478="Клемма",IF(C478="","",IF(C478=$S$7,SUMIFS(Однолинейка!$BW$3:$BW$3000,Однолинейка!$A$3:$A$3000,Щит_спец),IF(C478=$S$8,SUMIFS(Однолинейка!$BX$3:$BX$3000,Однолинейка!$A$3:$A$3000,Щит_спец),""))),""))))</f>
        <v/>
      </c>
      <c r="O478" s="74"/>
      <c r="P478" s="38" t="str">
        <f t="shared" si="63"/>
        <v/>
      </c>
      <c r="U478" s="38" t="str">
        <f t="shared" si="64"/>
        <v/>
      </c>
      <c r="V478" s="38" t="str">
        <f t="shared" si="65"/>
        <v/>
      </c>
      <c r="W478" s="38" t="str">
        <f>IF(AND(U478&lt;&gt;"",OR($S$4="(все)",B478=$S$4),IF($S$4="(все)",COUNTIF($U$4:U478,U478),COUNTIFS($U$4:U478,U478,$B$4:B478,B478))=1),MAX($W$3:W477)+1,"")</f>
        <v/>
      </c>
      <c r="X478" s="38" t="str">
        <f t="shared" si="66"/>
        <v/>
      </c>
      <c r="Y478" s="38" t="str">
        <f>IF(AND(A478="Аппарат",C478&lt;&gt;"",OR($S$5="(все)",B478=$S$5)),MAX($Y$3:Y477)+1,"")</f>
        <v/>
      </c>
      <c r="Z478" s="38" t="str">
        <f t="shared" si="67"/>
        <v/>
      </c>
      <c r="AA478" s="38" t="str">
        <f>IF(AND(A478="Модуль",C478&lt;&gt;"",OR($S$6="(все)",B478=$S$6)),MAX($AA$3:AA477)+1,"")</f>
        <v/>
      </c>
      <c r="AB478" s="38" t="str">
        <f t="shared" si="68"/>
        <v/>
      </c>
      <c r="AC478" s="38" t="str">
        <f>IF(OR(B478="",COUNTIF($B$4:B478,B478)&gt;1),"",MAX($AC$3:AC477)+1)</f>
        <v/>
      </c>
      <c r="AD478" s="38" t="str">
        <f t="shared" si="69"/>
        <v/>
      </c>
      <c r="AE478" s="38" t="str">
        <f t="shared" si="70"/>
        <v/>
      </c>
      <c r="AF478" s="38" t="str">
        <f t="shared" si="71"/>
        <v/>
      </c>
    </row>
    <row r="479" spans="1:32" x14ac:dyDescent="0.3">
      <c r="A479" s="74"/>
      <c r="B479" s="74"/>
      <c r="C479" s="74"/>
      <c r="D479" s="74"/>
      <c r="E479" s="74"/>
      <c r="F479" s="74"/>
      <c r="G479" s="74"/>
      <c r="H479" s="74"/>
      <c r="I479" s="74"/>
      <c r="J479" s="74"/>
      <c r="K479" s="74"/>
      <c r="L479" s="74"/>
      <c r="M479" s="74"/>
      <c r="N479" s="38" t="str">
        <f>IF(OR(A479="Автомат",A479="Дифавтомат"),IF(W479="","",COUNTIFS(Однолинейка!$H$3:$H$3000,U479,Однолинейка!$A$3:$A$3000,Щит_спец)),IF(A479="Аппарат",IF(C479="","",COUNTIFS(Однолинейка!$I$3:$I$3000,C479,Однолинейка!$A$3:$A$3000,Щит_спец)+COUNTIFS(Однолинейка!$J$3:$J$3000,C479,Однолинейка!$A$3:$A$3000,Щит_спец)+COUNTIFS(Однолинейка!$K$3:$K$3000,C479,Однолинейка!$A$3:$A$3000,Щит_спец)),IF(A479="Модуль",IF(C479="","",COUNTIFS(Однолинейка!$AW$3:$AW$3000,"?*",Однолинейка!$AI$3:$AI$3000,C479,Однолинейка!$A$3:$A$3000,Щит_спец)),IF(A479="Клемма",IF(C479="","",IF(C479=$S$7,SUMIFS(Однолинейка!$BW$3:$BW$3000,Однолинейка!$A$3:$A$3000,Щит_спец),IF(C479=$S$8,SUMIFS(Однолинейка!$BX$3:$BX$3000,Однолинейка!$A$3:$A$3000,Щит_спец),""))),""))))</f>
        <v/>
      </c>
      <c r="O479" s="74"/>
      <c r="P479" s="38" t="str">
        <f t="shared" si="63"/>
        <v/>
      </c>
      <c r="U479" s="38" t="str">
        <f t="shared" si="64"/>
        <v/>
      </c>
      <c r="V479" s="38" t="str">
        <f t="shared" si="65"/>
        <v/>
      </c>
      <c r="W479" s="38" t="str">
        <f>IF(AND(U479&lt;&gt;"",OR($S$4="(все)",B479=$S$4),IF($S$4="(все)",COUNTIF($U$4:U479,U479),COUNTIFS($U$4:U479,U479,$B$4:B479,B479))=1),MAX($W$3:W478)+1,"")</f>
        <v/>
      </c>
      <c r="X479" s="38" t="str">
        <f t="shared" si="66"/>
        <v/>
      </c>
      <c r="Y479" s="38" t="str">
        <f>IF(AND(A479="Аппарат",C479&lt;&gt;"",OR($S$5="(все)",B479=$S$5)),MAX($Y$3:Y478)+1,"")</f>
        <v/>
      </c>
      <c r="Z479" s="38" t="str">
        <f t="shared" si="67"/>
        <v/>
      </c>
      <c r="AA479" s="38" t="str">
        <f>IF(AND(A479="Модуль",C479&lt;&gt;"",OR($S$6="(все)",B479=$S$6)),MAX($AA$3:AA478)+1,"")</f>
        <v/>
      </c>
      <c r="AB479" s="38" t="str">
        <f t="shared" si="68"/>
        <v/>
      </c>
      <c r="AC479" s="38" t="str">
        <f>IF(OR(B479="",COUNTIF($B$4:B479,B479)&gt;1),"",MAX($AC$3:AC478)+1)</f>
        <v/>
      </c>
      <c r="AD479" s="38" t="str">
        <f t="shared" si="69"/>
        <v/>
      </c>
      <c r="AE479" s="38" t="str">
        <f t="shared" si="70"/>
        <v/>
      </c>
      <c r="AF479" s="38" t="str">
        <f t="shared" si="71"/>
        <v/>
      </c>
    </row>
    <row r="480" spans="1:32" x14ac:dyDescent="0.3">
      <c r="A480" s="74"/>
      <c r="B480" s="74"/>
      <c r="C480" s="74"/>
      <c r="D480" s="74"/>
      <c r="E480" s="74"/>
      <c r="F480" s="74"/>
      <c r="G480" s="74"/>
      <c r="H480" s="74"/>
      <c r="I480" s="74"/>
      <c r="J480" s="74"/>
      <c r="K480" s="74"/>
      <c r="L480" s="74"/>
      <c r="M480" s="74"/>
      <c r="N480" s="38" t="str">
        <f>IF(OR(A480="Автомат",A480="Дифавтомат"),IF(W480="","",COUNTIFS(Однолинейка!$H$3:$H$3000,U480,Однолинейка!$A$3:$A$3000,Щит_спец)),IF(A480="Аппарат",IF(C480="","",COUNTIFS(Однолинейка!$I$3:$I$3000,C480,Однолинейка!$A$3:$A$3000,Щит_спец)+COUNTIFS(Однолинейка!$J$3:$J$3000,C480,Однолинейка!$A$3:$A$3000,Щит_спец)+COUNTIFS(Однолинейка!$K$3:$K$3000,C480,Однолинейка!$A$3:$A$3000,Щит_спец)),IF(A480="Модуль",IF(C480="","",COUNTIFS(Однолинейка!$AW$3:$AW$3000,"?*",Однолинейка!$AI$3:$AI$3000,C480,Однолинейка!$A$3:$A$3000,Щит_спец)),IF(A480="Клемма",IF(C480="","",IF(C480=$S$7,SUMIFS(Однолинейка!$BW$3:$BW$3000,Однолинейка!$A$3:$A$3000,Щит_спец),IF(C480=$S$8,SUMIFS(Однолинейка!$BX$3:$BX$3000,Однолинейка!$A$3:$A$3000,Щит_спец),""))),""))))</f>
        <v/>
      </c>
      <c r="O480" s="74"/>
      <c r="P480" s="38" t="str">
        <f t="shared" si="63"/>
        <v/>
      </c>
      <c r="U480" s="38" t="str">
        <f t="shared" si="64"/>
        <v/>
      </c>
      <c r="V480" s="38" t="str">
        <f t="shared" si="65"/>
        <v/>
      </c>
      <c r="W480" s="38" t="str">
        <f>IF(AND(U480&lt;&gt;"",OR($S$4="(все)",B480=$S$4),IF($S$4="(все)",COUNTIF($U$4:U480,U480),COUNTIFS($U$4:U480,U480,$B$4:B480,B480))=1),MAX($W$3:W479)+1,"")</f>
        <v/>
      </c>
      <c r="X480" s="38" t="str">
        <f t="shared" si="66"/>
        <v/>
      </c>
      <c r="Y480" s="38" t="str">
        <f>IF(AND(A480="Аппарат",C480&lt;&gt;"",OR($S$5="(все)",B480=$S$5)),MAX($Y$3:Y479)+1,"")</f>
        <v/>
      </c>
      <c r="Z480" s="38" t="str">
        <f t="shared" si="67"/>
        <v/>
      </c>
      <c r="AA480" s="38" t="str">
        <f>IF(AND(A480="Модуль",C480&lt;&gt;"",OR($S$6="(все)",B480=$S$6)),MAX($AA$3:AA479)+1,"")</f>
        <v/>
      </c>
      <c r="AB480" s="38" t="str">
        <f t="shared" si="68"/>
        <v/>
      </c>
      <c r="AC480" s="38" t="str">
        <f>IF(OR(B480="",COUNTIF($B$4:B480,B480)&gt;1),"",MAX($AC$3:AC479)+1)</f>
        <v/>
      </c>
      <c r="AD480" s="38" t="str">
        <f t="shared" si="69"/>
        <v/>
      </c>
      <c r="AE480" s="38" t="str">
        <f t="shared" si="70"/>
        <v/>
      </c>
      <c r="AF480" s="38" t="str">
        <f t="shared" si="71"/>
        <v/>
      </c>
    </row>
    <row r="481" spans="1:32" x14ac:dyDescent="0.3">
      <c r="A481" s="74"/>
      <c r="B481" s="74"/>
      <c r="C481" s="74"/>
      <c r="D481" s="74"/>
      <c r="E481" s="74"/>
      <c r="F481" s="74"/>
      <c r="G481" s="74"/>
      <c r="H481" s="74"/>
      <c r="I481" s="74"/>
      <c r="J481" s="74"/>
      <c r="K481" s="74"/>
      <c r="L481" s="74"/>
      <c r="M481" s="74"/>
      <c r="N481" s="38" t="str">
        <f>IF(OR(A481="Автомат",A481="Дифавтомат"),IF(W481="","",COUNTIFS(Однолинейка!$H$3:$H$3000,U481,Однолинейка!$A$3:$A$3000,Щит_спец)),IF(A481="Аппарат",IF(C481="","",COUNTIFS(Однолинейка!$I$3:$I$3000,C481,Однолинейка!$A$3:$A$3000,Щит_спец)+COUNTIFS(Однолинейка!$J$3:$J$3000,C481,Однолинейка!$A$3:$A$3000,Щит_спец)+COUNTIFS(Однолинейка!$K$3:$K$3000,C481,Однолинейка!$A$3:$A$3000,Щит_спец)),IF(A481="Модуль",IF(C481="","",COUNTIFS(Однолинейка!$AW$3:$AW$3000,"?*",Однолинейка!$AI$3:$AI$3000,C481,Однолинейка!$A$3:$A$3000,Щит_спец)),IF(A481="Клемма",IF(C481="","",IF(C481=$S$7,SUMIFS(Однолинейка!$BW$3:$BW$3000,Однолинейка!$A$3:$A$3000,Щит_спец),IF(C481=$S$8,SUMIFS(Однолинейка!$BX$3:$BX$3000,Однолинейка!$A$3:$A$3000,Щит_спец),""))),""))))</f>
        <v/>
      </c>
      <c r="O481" s="74"/>
      <c r="P481" s="38" t="str">
        <f t="shared" si="63"/>
        <v/>
      </c>
      <c r="U481" s="38" t="str">
        <f t="shared" si="64"/>
        <v/>
      </c>
      <c r="V481" s="38" t="str">
        <f t="shared" si="65"/>
        <v/>
      </c>
      <c r="W481" s="38" t="str">
        <f>IF(AND(U481&lt;&gt;"",OR($S$4="(все)",B481=$S$4),IF($S$4="(все)",COUNTIF($U$4:U481,U481),COUNTIFS($U$4:U481,U481,$B$4:B481,B481))=1),MAX($W$3:W480)+1,"")</f>
        <v/>
      </c>
      <c r="X481" s="38" t="str">
        <f t="shared" si="66"/>
        <v/>
      </c>
      <c r="Y481" s="38" t="str">
        <f>IF(AND(A481="Аппарат",C481&lt;&gt;"",OR($S$5="(все)",B481=$S$5)),MAX($Y$3:Y480)+1,"")</f>
        <v/>
      </c>
      <c r="Z481" s="38" t="str">
        <f t="shared" si="67"/>
        <v/>
      </c>
      <c r="AA481" s="38" t="str">
        <f>IF(AND(A481="Модуль",C481&lt;&gt;"",OR($S$6="(все)",B481=$S$6)),MAX($AA$3:AA480)+1,"")</f>
        <v/>
      </c>
      <c r="AB481" s="38" t="str">
        <f t="shared" si="68"/>
        <v/>
      </c>
      <c r="AC481" s="38" t="str">
        <f>IF(OR(B481="",COUNTIF($B$4:B481,B481)&gt;1),"",MAX($AC$3:AC480)+1)</f>
        <v/>
      </c>
      <c r="AD481" s="38" t="str">
        <f t="shared" si="69"/>
        <v/>
      </c>
      <c r="AE481" s="38" t="str">
        <f t="shared" si="70"/>
        <v/>
      </c>
      <c r="AF481" s="38" t="str">
        <f t="shared" si="71"/>
        <v/>
      </c>
    </row>
    <row r="482" spans="1:32" x14ac:dyDescent="0.3">
      <c r="A482" s="74"/>
      <c r="B482" s="74"/>
      <c r="C482" s="74"/>
      <c r="D482" s="74"/>
      <c r="E482" s="74"/>
      <c r="F482" s="74"/>
      <c r="G482" s="74"/>
      <c r="H482" s="74"/>
      <c r="I482" s="74"/>
      <c r="J482" s="74"/>
      <c r="K482" s="74"/>
      <c r="L482" s="74"/>
      <c r="M482" s="74"/>
      <c r="N482" s="38" t="str">
        <f>IF(OR(A482="Автомат",A482="Дифавтомат"),IF(W482="","",COUNTIFS(Однолинейка!$H$3:$H$3000,U482,Однолинейка!$A$3:$A$3000,Щит_спец)),IF(A482="Аппарат",IF(C482="","",COUNTIFS(Однолинейка!$I$3:$I$3000,C482,Однолинейка!$A$3:$A$3000,Щит_спец)+COUNTIFS(Однолинейка!$J$3:$J$3000,C482,Однолинейка!$A$3:$A$3000,Щит_спец)+COUNTIFS(Однолинейка!$K$3:$K$3000,C482,Однолинейка!$A$3:$A$3000,Щит_спец)),IF(A482="Модуль",IF(C482="","",COUNTIFS(Однолинейка!$AW$3:$AW$3000,"?*",Однолинейка!$AI$3:$AI$3000,C482,Однолинейка!$A$3:$A$3000,Щит_спец)),IF(A482="Клемма",IF(C482="","",IF(C482=$S$7,SUMIFS(Однолинейка!$BW$3:$BW$3000,Однолинейка!$A$3:$A$3000,Щит_спец),IF(C482=$S$8,SUMIFS(Однолинейка!$BX$3:$BX$3000,Однолинейка!$A$3:$A$3000,Щит_спец),""))),""))))</f>
        <v/>
      </c>
      <c r="O482" s="74"/>
      <c r="P482" s="38" t="str">
        <f t="shared" si="63"/>
        <v/>
      </c>
      <c r="U482" s="38" t="str">
        <f t="shared" si="64"/>
        <v/>
      </c>
      <c r="V482" s="38" t="str">
        <f t="shared" si="65"/>
        <v/>
      </c>
      <c r="W482" s="38" t="str">
        <f>IF(AND(U482&lt;&gt;"",OR($S$4="(все)",B482=$S$4),IF($S$4="(все)",COUNTIF($U$4:U482,U482),COUNTIFS($U$4:U482,U482,$B$4:B482,B482))=1),MAX($W$3:W481)+1,"")</f>
        <v/>
      </c>
      <c r="X482" s="38" t="str">
        <f t="shared" si="66"/>
        <v/>
      </c>
      <c r="Y482" s="38" t="str">
        <f>IF(AND(A482="Аппарат",C482&lt;&gt;"",OR($S$5="(все)",B482=$S$5)),MAX($Y$3:Y481)+1,"")</f>
        <v/>
      </c>
      <c r="Z482" s="38" t="str">
        <f t="shared" si="67"/>
        <v/>
      </c>
      <c r="AA482" s="38" t="str">
        <f>IF(AND(A482="Модуль",C482&lt;&gt;"",OR($S$6="(все)",B482=$S$6)),MAX($AA$3:AA481)+1,"")</f>
        <v/>
      </c>
      <c r="AB482" s="38" t="str">
        <f t="shared" si="68"/>
        <v/>
      </c>
      <c r="AC482" s="38" t="str">
        <f>IF(OR(B482="",COUNTIF($B$4:B482,B482)&gt;1),"",MAX($AC$3:AC481)+1)</f>
        <v/>
      </c>
      <c r="AD482" s="38" t="str">
        <f t="shared" si="69"/>
        <v/>
      </c>
      <c r="AE482" s="38" t="str">
        <f t="shared" si="70"/>
        <v/>
      </c>
      <c r="AF482" s="38" t="str">
        <f t="shared" si="71"/>
        <v/>
      </c>
    </row>
    <row r="483" spans="1:32" x14ac:dyDescent="0.3">
      <c r="A483" s="74"/>
      <c r="B483" s="74"/>
      <c r="C483" s="74"/>
      <c r="D483" s="74"/>
      <c r="E483" s="74"/>
      <c r="F483" s="74"/>
      <c r="G483" s="74"/>
      <c r="H483" s="74"/>
      <c r="I483" s="74"/>
      <c r="J483" s="74"/>
      <c r="K483" s="74"/>
      <c r="L483" s="74"/>
      <c r="M483" s="74"/>
      <c r="N483" s="38" t="str">
        <f>IF(OR(A483="Автомат",A483="Дифавтомат"),IF(W483="","",COUNTIFS(Однолинейка!$H$3:$H$3000,U483,Однолинейка!$A$3:$A$3000,Щит_спец)),IF(A483="Аппарат",IF(C483="","",COUNTIFS(Однолинейка!$I$3:$I$3000,C483,Однолинейка!$A$3:$A$3000,Щит_спец)+COUNTIFS(Однолинейка!$J$3:$J$3000,C483,Однолинейка!$A$3:$A$3000,Щит_спец)+COUNTIFS(Однолинейка!$K$3:$K$3000,C483,Однолинейка!$A$3:$A$3000,Щит_спец)),IF(A483="Модуль",IF(C483="","",COUNTIFS(Однолинейка!$AW$3:$AW$3000,"?*",Однолинейка!$AI$3:$AI$3000,C483,Однолинейка!$A$3:$A$3000,Щит_спец)),IF(A483="Клемма",IF(C483="","",IF(C483=$S$7,SUMIFS(Однолинейка!$BW$3:$BW$3000,Однолинейка!$A$3:$A$3000,Щит_спец),IF(C483=$S$8,SUMIFS(Однолинейка!$BX$3:$BX$3000,Однолинейка!$A$3:$A$3000,Щит_спец),""))),""))))</f>
        <v/>
      </c>
      <c r="O483" s="74"/>
      <c r="P483" s="38" t="str">
        <f t="shared" si="63"/>
        <v/>
      </c>
      <c r="U483" s="38" t="str">
        <f t="shared" si="64"/>
        <v/>
      </c>
      <c r="V483" s="38" t="str">
        <f t="shared" si="65"/>
        <v/>
      </c>
      <c r="W483" s="38" t="str">
        <f>IF(AND(U483&lt;&gt;"",OR($S$4="(все)",B483=$S$4),IF($S$4="(все)",COUNTIF($U$4:U483,U483),COUNTIFS($U$4:U483,U483,$B$4:B483,B483))=1),MAX($W$3:W482)+1,"")</f>
        <v/>
      </c>
      <c r="X483" s="38" t="str">
        <f t="shared" si="66"/>
        <v/>
      </c>
      <c r="Y483" s="38" t="str">
        <f>IF(AND(A483="Аппарат",C483&lt;&gt;"",OR($S$5="(все)",B483=$S$5)),MAX($Y$3:Y482)+1,"")</f>
        <v/>
      </c>
      <c r="Z483" s="38" t="str">
        <f t="shared" si="67"/>
        <v/>
      </c>
      <c r="AA483" s="38" t="str">
        <f>IF(AND(A483="Модуль",C483&lt;&gt;"",OR($S$6="(все)",B483=$S$6)),MAX($AA$3:AA482)+1,"")</f>
        <v/>
      </c>
      <c r="AB483" s="38" t="str">
        <f t="shared" si="68"/>
        <v/>
      </c>
      <c r="AC483" s="38" t="str">
        <f>IF(OR(B483="",COUNTIF($B$4:B483,B483)&gt;1),"",MAX($AC$3:AC482)+1)</f>
        <v/>
      </c>
      <c r="AD483" s="38" t="str">
        <f t="shared" si="69"/>
        <v/>
      </c>
      <c r="AE483" s="38" t="str">
        <f t="shared" si="70"/>
        <v/>
      </c>
      <c r="AF483" s="38" t="str">
        <f t="shared" si="71"/>
        <v/>
      </c>
    </row>
    <row r="484" spans="1:32" x14ac:dyDescent="0.3">
      <c r="A484" s="74"/>
      <c r="B484" s="74"/>
      <c r="C484" s="74"/>
      <c r="D484" s="74"/>
      <c r="E484" s="74"/>
      <c r="F484" s="74"/>
      <c r="G484" s="74"/>
      <c r="H484" s="74"/>
      <c r="I484" s="74"/>
      <c r="J484" s="74"/>
      <c r="K484" s="74"/>
      <c r="L484" s="74"/>
      <c r="M484" s="74"/>
      <c r="N484" s="38" t="str">
        <f>IF(OR(A484="Автомат",A484="Дифавтомат"),IF(W484="","",COUNTIFS(Однолинейка!$H$3:$H$3000,U484,Однолинейка!$A$3:$A$3000,Щит_спец)),IF(A484="Аппарат",IF(C484="","",COUNTIFS(Однолинейка!$I$3:$I$3000,C484,Однолинейка!$A$3:$A$3000,Щит_спец)+COUNTIFS(Однолинейка!$J$3:$J$3000,C484,Однолинейка!$A$3:$A$3000,Щит_спец)+COUNTIFS(Однолинейка!$K$3:$K$3000,C484,Однолинейка!$A$3:$A$3000,Щит_спец)),IF(A484="Модуль",IF(C484="","",COUNTIFS(Однолинейка!$AW$3:$AW$3000,"?*",Однолинейка!$AI$3:$AI$3000,C484,Однолинейка!$A$3:$A$3000,Щит_спец)),IF(A484="Клемма",IF(C484="","",IF(C484=$S$7,SUMIFS(Однолинейка!$BW$3:$BW$3000,Однолинейка!$A$3:$A$3000,Щит_спец),IF(C484=$S$8,SUMIFS(Однолинейка!$BX$3:$BX$3000,Однолинейка!$A$3:$A$3000,Щит_спец),""))),""))))</f>
        <v/>
      </c>
      <c r="O484" s="74"/>
      <c r="P484" s="38" t="str">
        <f t="shared" si="63"/>
        <v/>
      </c>
      <c r="U484" s="38" t="str">
        <f t="shared" si="64"/>
        <v/>
      </c>
      <c r="V484" s="38" t="str">
        <f t="shared" si="65"/>
        <v/>
      </c>
      <c r="W484" s="38" t="str">
        <f>IF(AND(U484&lt;&gt;"",OR($S$4="(все)",B484=$S$4),IF($S$4="(все)",COUNTIF($U$4:U484,U484),COUNTIFS($U$4:U484,U484,$B$4:B484,B484))=1),MAX($W$3:W483)+1,"")</f>
        <v/>
      </c>
      <c r="X484" s="38" t="str">
        <f t="shared" si="66"/>
        <v/>
      </c>
      <c r="Y484" s="38" t="str">
        <f>IF(AND(A484="Аппарат",C484&lt;&gt;"",OR($S$5="(все)",B484=$S$5)),MAX($Y$3:Y483)+1,"")</f>
        <v/>
      </c>
      <c r="Z484" s="38" t="str">
        <f t="shared" si="67"/>
        <v/>
      </c>
      <c r="AA484" s="38" t="str">
        <f>IF(AND(A484="Модуль",C484&lt;&gt;"",OR($S$6="(все)",B484=$S$6)),MAX($AA$3:AA483)+1,"")</f>
        <v/>
      </c>
      <c r="AB484" s="38" t="str">
        <f t="shared" si="68"/>
        <v/>
      </c>
      <c r="AC484" s="38" t="str">
        <f>IF(OR(B484="",COUNTIF($B$4:B484,B484)&gt;1),"",MAX($AC$3:AC483)+1)</f>
        <v/>
      </c>
      <c r="AD484" s="38" t="str">
        <f t="shared" si="69"/>
        <v/>
      </c>
      <c r="AE484" s="38" t="str">
        <f t="shared" si="70"/>
        <v/>
      </c>
      <c r="AF484" s="38" t="str">
        <f t="shared" si="71"/>
        <v/>
      </c>
    </row>
    <row r="485" spans="1:32" x14ac:dyDescent="0.3">
      <c r="A485" s="74"/>
      <c r="B485" s="74"/>
      <c r="C485" s="74"/>
      <c r="D485" s="74"/>
      <c r="E485" s="74"/>
      <c r="F485" s="74"/>
      <c r="G485" s="74"/>
      <c r="H485" s="74"/>
      <c r="I485" s="74"/>
      <c r="J485" s="74"/>
      <c r="K485" s="74"/>
      <c r="L485" s="74"/>
      <c r="M485" s="74"/>
      <c r="N485" s="38" t="str">
        <f>IF(OR(A485="Автомат",A485="Дифавтомат"),IF(W485="","",COUNTIFS(Однолинейка!$H$3:$H$3000,U485,Однолинейка!$A$3:$A$3000,Щит_спец)),IF(A485="Аппарат",IF(C485="","",COUNTIFS(Однолинейка!$I$3:$I$3000,C485,Однолинейка!$A$3:$A$3000,Щит_спец)+COUNTIFS(Однолинейка!$J$3:$J$3000,C485,Однолинейка!$A$3:$A$3000,Щит_спец)+COUNTIFS(Однолинейка!$K$3:$K$3000,C485,Однолинейка!$A$3:$A$3000,Щит_спец)),IF(A485="Модуль",IF(C485="","",COUNTIFS(Однолинейка!$AW$3:$AW$3000,"?*",Однолинейка!$AI$3:$AI$3000,C485,Однолинейка!$A$3:$A$3000,Щит_спец)),IF(A485="Клемма",IF(C485="","",IF(C485=$S$7,SUMIFS(Однолинейка!$BW$3:$BW$3000,Однолинейка!$A$3:$A$3000,Щит_спец),IF(C485=$S$8,SUMIFS(Однолинейка!$BX$3:$BX$3000,Однолинейка!$A$3:$A$3000,Щит_спец),""))),""))))</f>
        <v/>
      </c>
      <c r="O485" s="74"/>
      <c r="P485" s="38" t="str">
        <f t="shared" si="63"/>
        <v/>
      </c>
      <c r="U485" s="38" t="str">
        <f t="shared" si="64"/>
        <v/>
      </c>
      <c r="V485" s="38" t="str">
        <f t="shared" si="65"/>
        <v/>
      </c>
      <c r="W485" s="38" t="str">
        <f>IF(AND(U485&lt;&gt;"",OR($S$4="(все)",B485=$S$4),IF($S$4="(все)",COUNTIF($U$4:U485,U485),COUNTIFS($U$4:U485,U485,$B$4:B485,B485))=1),MAX($W$3:W484)+1,"")</f>
        <v/>
      </c>
      <c r="X485" s="38" t="str">
        <f t="shared" si="66"/>
        <v/>
      </c>
      <c r="Y485" s="38" t="str">
        <f>IF(AND(A485="Аппарат",C485&lt;&gt;"",OR($S$5="(все)",B485=$S$5)),MAX($Y$3:Y484)+1,"")</f>
        <v/>
      </c>
      <c r="Z485" s="38" t="str">
        <f t="shared" si="67"/>
        <v/>
      </c>
      <c r="AA485" s="38" t="str">
        <f>IF(AND(A485="Модуль",C485&lt;&gt;"",OR($S$6="(все)",B485=$S$6)),MAX($AA$3:AA484)+1,"")</f>
        <v/>
      </c>
      <c r="AB485" s="38" t="str">
        <f t="shared" si="68"/>
        <v/>
      </c>
      <c r="AC485" s="38" t="str">
        <f>IF(OR(B485="",COUNTIF($B$4:B485,B485)&gt;1),"",MAX($AC$3:AC484)+1)</f>
        <v/>
      </c>
      <c r="AD485" s="38" t="str">
        <f t="shared" si="69"/>
        <v/>
      </c>
      <c r="AE485" s="38" t="str">
        <f t="shared" si="70"/>
        <v/>
      </c>
      <c r="AF485" s="38" t="str">
        <f t="shared" si="71"/>
        <v/>
      </c>
    </row>
    <row r="486" spans="1:32" x14ac:dyDescent="0.3">
      <c r="A486" s="74"/>
      <c r="B486" s="74"/>
      <c r="C486" s="74"/>
      <c r="D486" s="74"/>
      <c r="E486" s="74"/>
      <c r="F486" s="74"/>
      <c r="G486" s="74"/>
      <c r="H486" s="74"/>
      <c r="I486" s="74"/>
      <c r="J486" s="74"/>
      <c r="K486" s="74"/>
      <c r="L486" s="74"/>
      <c r="M486" s="74"/>
      <c r="N486" s="38" t="str">
        <f>IF(OR(A486="Автомат",A486="Дифавтомат"),IF(W486="","",COUNTIFS(Однолинейка!$H$3:$H$3000,U486,Однолинейка!$A$3:$A$3000,Щит_спец)),IF(A486="Аппарат",IF(C486="","",COUNTIFS(Однолинейка!$I$3:$I$3000,C486,Однолинейка!$A$3:$A$3000,Щит_спец)+COUNTIFS(Однолинейка!$J$3:$J$3000,C486,Однолинейка!$A$3:$A$3000,Щит_спец)+COUNTIFS(Однолинейка!$K$3:$K$3000,C486,Однолинейка!$A$3:$A$3000,Щит_спец)),IF(A486="Модуль",IF(C486="","",COUNTIFS(Однолинейка!$AW$3:$AW$3000,"?*",Однолинейка!$AI$3:$AI$3000,C486,Однолинейка!$A$3:$A$3000,Щит_спец)),IF(A486="Клемма",IF(C486="","",IF(C486=$S$7,SUMIFS(Однолинейка!$BW$3:$BW$3000,Однолинейка!$A$3:$A$3000,Щит_спец),IF(C486=$S$8,SUMIFS(Однолинейка!$BX$3:$BX$3000,Однолинейка!$A$3:$A$3000,Щит_спец),""))),""))))</f>
        <v/>
      </c>
      <c r="O486" s="74"/>
      <c r="P486" s="38" t="str">
        <f t="shared" si="63"/>
        <v/>
      </c>
      <c r="U486" s="38" t="str">
        <f t="shared" si="64"/>
        <v/>
      </c>
      <c r="V486" s="38" t="str">
        <f t="shared" si="65"/>
        <v/>
      </c>
      <c r="W486" s="38" t="str">
        <f>IF(AND(U486&lt;&gt;"",OR($S$4="(все)",B486=$S$4),IF($S$4="(все)",COUNTIF($U$4:U486,U486),COUNTIFS($U$4:U486,U486,$B$4:B486,B486))=1),MAX($W$3:W485)+1,"")</f>
        <v/>
      </c>
      <c r="X486" s="38" t="str">
        <f t="shared" si="66"/>
        <v/>
      </c>
      <c r="Y486" s="38" t="str">
        <f>IF(AND(A486="Аппарат",C486&lt;&gt;"",OR($S$5="(все)",B486=$S$5)),MAX($Y$3:Y485)+1,"")</f>
        <v/>
      </c>
      <c r="Z486" s="38" t="str">
        <f t="shared" si="67"/>
        <v/>
      </c>
      <c r="AA486" s="38" t="str">
        <f>IF(AND(A486="Модуль",C486&lt;&gt;"",OR($S$6="(все)",B486=$S$6)),MAX($AA$3:AA485)+1,"")</f>
        <v/>
      </c>
      <c r="AB486" s="38" t="str">
        <f t="shared" si="68"/>
        <v/>
      </c>
      <c r="AC486" s="38" t="str">
        <f>IF(OR(B486="",COUNTIF($B$4:B486,B486)&gt;1),"",MAX($AC$3:AC485)+1)</f>
        <v/>
      </c>
      <c r="AD486" s="38" t="str">
        <f t="shared" si="69"/>
        <v/>
      </c>
      <c r="AE486" s="38" t="str">
        <f t="shared" si="70"/>
        <v/>
      </c>
      <c r="AF486" s="38" t="str">
        <f t="shared" si="71"/>
        <v/>
      </c>
    </row>
    <row r="487" spans="1:32" x14ac:dyDescent="0.3">
      <c r="A487" s="74"/>
      <c r="B487" s="74"/>
      <c r="C487" s="74"/>
      <c r="D487" s="74"/>
      <c r="E487" s="74"/>
      <c r="F487" s="74"/>
      <c r="G487" s="74"/>
      <c r="H487" s="74"/>
      <c r="I487" s="74"/>
      <c r="J487" s="74"/>
      <c r="K487" s="74"/>
      <c r="L487" s="74"/>
      <c r="M487" s="74"/>
      <c r="N487" s="38" t="str">
        <f>IF(OR(A487="Автомат",A487="Дифавтомат"),IF(W487="","",COUNTIFS(Однолинейка!$H$3:$H$3000,U487,Однолинейка!$A$3:$A$3000,Щит_спец)),IF(A487="Аппарат",IF(C487="","",COUNTIFS(Однолинейка!$I$3:$I$3000,C487,Однолинейка!$A$3:$A$3000,Щит_спец)+COUNTIFS(Однолинейка!$J$3:$J$3000,C487,Однолинейка!$A$3:$A$3000,Щит_спец)+COUNTIFS(Однолинейка!$K$3:$K$3000,C487,Однолинейка!$A$3:$A$3000,Щит_спец)),IF(A487="Модуль",IF(C487="","",COUNTIFS(Однолинейка!$AW$3:$AW$3000,"?*",Однолинейка!$AI$3:$AI$3000,C487,Однолинейка!$A$3:$A$3000,Щит_спец)),IF(A487="Клемма",IF(C487="","",IF(C487=$S$7,SUMIFS(Однолинейка!$BW$3:$BW$3000,Однолинейка!$A$3:$A$3000,Щит_спец),IF(C487=$S$8,SUMIFS(Однолинейка!$BX$3:$BX$3000,Однолинейка!$A$3:$A$3000,Щит_спец),""))),""))))</f>
        <v/>
      </c>
      <c r="O487" s="74"/>
      <c r="P487" s="38" t="str">
        <f t="shared" si="63"/>
        <v/>
      </c>
      <c r="U487" s="38" t="str">
        <f t="shared" si="64"/>
        <v/>
      </c>
      <c r="V487" s="38" t="str">
        <f t="shared" si="65"/>
        <v/>
      </c>
      <c r="W487" s="38" t="str">
        <f>IF(AND(U487&lt;&gt;"",OR($S$4="(все)",B487=$S$4),IF($S$4="(все)",COUNTIF($U$4:U487,U487),COUNTIFS($U$4:U487,U487,$B$4:B487,B487))=1),MAX($W$3:W486)+1,"")</f>
        <v/>
      </c>
      <c r="X487" s="38" t="str">
        <f t="shared" si="66"/>
        <v/>
      </c>
      <c r="Y487" s="38" t="str">
        <f>IF(AND(A487="Аппарат",C487&lt;&gt;"",OR($S$5="(все)",B487=$S$5)),MAX($Y$3:Y486)+1,"")</f>
        <v/>
      </c>
      <c r="Z487" s="38" t="str">
        <f t="shared" si="67"/>
        <v/>
      </c>
      <c r="AA487" s="38" t="str">
        <f>IF(AND(A487="Модуль",C487&lt;&gt;"",OR($S$6="(все)",B487=$S$6)),MAX($AA$3:AA486)+1,"")</f>
        <v/>
      </c>
      <c r="AB487" s="38" t="str">
        <f t="shared" si="68"/>
        <v/>
      </c>
      <c r="AC487" s="38" t="str">
        <f>IF(OR(B487="",COUNTIF($B$4:B487,B487)&gt;1),"",MAX($AC$3:AC486)+1)</f>
        <v/>
      </c>
      <c r="AD487" s="38" t="str">
        <f t="shared" si="69"/>
        <v/>
      </c>
      <c r="AE487" s="38" t="str">
        <f t="shared" si="70"/>
        <v/>
      </c>
      <c r="AF487" s="38" t="str">
        <f t="shared" si="71"/>
        <v/>
      </c>
    </row>
    <row r="488" spans="1:32" x14ac:dyDescent="0.3">
      <c r="A488" s="74"/>
      <c r="B488" s="74"/>
      <c r="C488" s="74"/>
      <c r="D488" s="74"/>
      <c r="E488" s="74"/>
      <c r="F488" s="74"/>
      <c r="G488" s="74"/>
      <c r="H488" s="74"/>
      <c r="I488" s="74"/>
      <c r="J488" s="74"/>
      <c r="K488" s="74"/>
      <c r="L488" s="74"/>
      <c r="M488" s="74"/>
      <c r="N488" s="38" t="str">
        <f>IF(OR(A488="Автомат",A488="Дифавтомат"),IF(W488="","",COUNTIFS(Однолинейка!$H$3:$H$3000,U488,Однолинейка!$A$3:$A$3000,Щит_спец)),IF(A488="Аппарат",IF(C488="","",COUNTIFS(Однолинейка!$I$3:$I$3000,C488,Однолинейка!$A$3:$A$3000,Щит_спец)+COUNTIFS(Однолинейка!$J$3:$J$3000,C488,Однолинейка!$A$3:$A$3000,Щит_спец)+COUNTIFS(Однолинейка!$K$3:$K$3000,C488,Однолинейка!$A$3:$A$3000,Щит_спец)),IF(A488="Модуль",IF(C488="","",COUNTIFS(Однолинейка!$AW$3:$AW$3000,"?*",Однолинейка!$AI$3:$AI$3000,C488,Однолинейка!$A$3:$A$3000,Щит_спец)),IF(A488="Клемма",IF(C488="","",IF(C488=$S$7,SUMIFS(Однолинейка!$BW$3:$BW$3000,Однолинейка!$A$3:$A$3000,Щит_спец),IF(C488=$S$8,SUMIFS(Однолинейка!$BX$3:$BX$3000,Однолинейка!$A$3:$A$3000,Щит_спец),""))),""))))</f>
        <v/>
      </c>
      <c r="O488" s="74"/>
      <c r="P488" s="38" t="str">
        <f t="shared" si="63"/>
        <v/>
      </c>
      <c r="U488" s="38" t="str">
        <f t="shared" si="64"/>
        <v/>
      </c>
      <c r="V488" s="38" t="str">
        <f t="shared" si="65"/>
        <v/>
      </c>
      <c r="W488" s="38" t="str">
        <f>IF(AND(U488&lt;&gt;"",OR($S$4="(все)",B488=$S$4),IF($S$4="(все)",COUNTIF($U$4:U488,U488),COUNTIFS($U$4:U488,U488,$B$4:B488,B488))=1),MAX($W$3:W487)+1,"")</f>
        <v/>
      </c>
      <c r="X488" s="38" t="str">
        <f t="shared" si="66"/>
        <v/>
      </c>
      <c r="Y488" s="38" t="str">
        <f>IF(AND(A488="Аппарат",C488&lt;&gt;"",OR($S$5="(все)",B488=$S$5)),MAX($Y$3:Y487)+1,"")</f>
        <v/>
      </c>
      <c r="Z488" s="38" t="str">
        <f t="shared" si="67"/>
        <v/>
      </c>
      <c r="AA488" s="38" t="str">
        <f>IF(AND(A488="Модуль",C488&lt;&gt;"",OR($S$6="(все)",B488=$S$6)),MAX($AA$3:AA487)+1,"")</f>
        <v/>
      </c>
      <c r="AB488" s="38" t="str">
        <f t="shared" si="68"/>
        <v/>
      </c>
      <c r="AC488" s="38" t="str">
        <f>IF(OR(B488="",COUNTIF($B$4:B488,B488)&gt;1),"",MAX($AC$3:AC487)+1)</f>
        <v/>
      </c>
      <c r="AD488" s="38" t="str">
        <f t="shared" si="69"/>
        <v/>
      </c>
      <c r="AE488" s="38" t="str">
        <f t="shared" si="70"/>
        <v/>
      </c>
      <c r="AF488" s="38" t="str">
        <f t="shared" si="71"/>
        <v/>
      </c>
    </row>
    <row r="489" spans="1:32" x14ac:dyDescent="0.3">
      <c r="A489" s="74"/>
      <c r="B489" s="74"/>
      <c r="C489" s="74"/>
      <c r="D489" s="74"/>
      <c r="E489" s="74"/>
      <c r="F489" s="74"/>
      <c r="G489" s="74"/>
      <c r="H489" s="74"/>
      <c r="I489" s="74"/>
      <c r="J489" s="74"/>
      <c r="K489" s="74"/>
      <c r="L489" s="74"/>
      <c r="M489" s="74"/>
      <c r="N489" s="38" t="str">
        <f>IF(OR(A489="Автомат",A489="Дифавтомат"),IF(W489="","",COUNTIFS(Однолинейка!$H$3:$H$3000,U489,Однолинейка!$A$3:$A$3000,Щит_спец)),IF(A489="Аппарат",IF(C489="","",COUNTIFS(Однолинейка!$I$3:$I$3000,C489,Однолинейка!$A$3:$A$3000,Щит_спец)+COUNTIFS(Однолинейка!$J$3:$J$3000,C489,Однолинейка!$A$3:$A$3000,Щит_спец)+COUNTIFS(Однолинейка!$K$3:$K$3000,C489,Однолинейка!$A$3:$A$3000,Щит_спец)),IF(A489="Модуль",IF(C489="","",COUNTIFS(Однолинейка!$AW$3:$AW$3000,"?*",Однолинейка!$AI$3:$AI$3000,C489,Однолинейка!$A$3:$A$3000,Щит_спец)),IF(A489="Клемма",IF(C489="","",IF(C489=$S$7,SUMIFS(Однолинейка!$BW$3:$BW$3000,Однолинейка!$A$3:$A$3000,Щит_спец),IF(C489=$S$8,SUMIFS(Однолинейка!$BX$3:$BX$3000,Однолинейка!$A$3:$A$3000,Щит_спец),""))),""))))</f>
        <v/>
      </c>
      <c r="O489" s="74"/>
      <c r="P489" s="38" t="str">
        <f t="shared" si="63"/>
        <v/>
      </c>
      <c r="U489" s="38" t="str">
        <f t="shared" si="64"/>
        <v/>
      </c>
      <c r="V489" s="38" t="str">
        <f t="shared" si="65"/>
        <v/>
      </c>
      <c r="W489" s="38" t="str">
        <f>IF(AND(U489&lt;&gt;"",OR($S$4="(все)",B489=$S$4),IF($S$4="(все)",COUNTIF($U$4:U489,U489),COUNTIFS($U$4:U489,U489,$B$4:B489,B489))=1),MAX($W$3:W488)+1,"")</f>
        <v/>
      </c>
      <c r="X489" s="38" t="str">
        <f t="shared" si="66"/>
        <v/>
      </c>
      <c r="Y489" s="38" t="str">
        <f>IF(AND(A489="Аппарат",C489&lt;&gt;"",OR($S$5="(все)",B489=$S$5)),MAX($Y$3:Y488)+1,"")</f>
        <v/>
      </c>
      <c r="Z489" s="38" t="str">
        <f t="shared" si="67"/>
        <v/>
      </c>
      <c r="AA489" s="38" t="str">
        <f>IF(AND(A489="Модуль",C489&lt;&gt;"",OR($S$6="(все)",B489=$S$6)),MAX($AA$3:AA488)+1,"")</f>
        <v/>
      </c>
      <c r="AB489" s="38" t="str">
        <f t="shared" si="68"/>
        <v/>
      </c>
      <c r="AC489" s="38" t="str">
        <f>IF(OR(B489="",COUNTIF($B$4:B489,B489)&gt;1),"",MAX($AC$3:AC488)+1)</f>
        <v/>
      </c>
      <c r="AD489" s="38" t="str">
        <f t="shared" si="69"/>
        <v/>
      </c>
      <c r="AE489" s="38" t="str">
        <f t="shared" si="70"/>
        <v/>
      </c>
      <c r="AF489" s="38" t="str">
        <f t="shared" si="71"/>
        <v/>
      </c>
    </row>
    <row r="490" spans="1:32" x14ac:dyDescent="0.3">
      <c r="A490" s="74"/>
      <c r="B490" s="74"/>
      <c r="C490" s="74"/>
      <c r="D490" s="74"/>
      <c r="E490" s="74"/>
      <c r="F490" s="74"/>
      <c r="G490" s="74"/>
      <c r="H490" s="74"/>
      <c r="I490" s="74"/>
      <c r="J490" s="74"/>
      <c r="K490" s="74"/>
      <c r="L490" s="74"/>
      <c r="M490" s="74"/>
      <c r="N490" s="38" t="str">
        <f>IF(OR(A490="Автомат",A490="Дифавтомат"),IF(W490="","",COUNTIFS(Однолинейка!$H$3:$H$3000,U490,Однолинейка!$A$3:$A$3000,Щит_спец)),IF(A490="Аппарат",IF(C490="","",COUNTIFS(Однолинейка!$I$3:$I$3000,C490,Однолинейка!$A$3:$A$3000,Щит_спец)+COUNTIFS(Однолинейка!$J$3:$J$3000,C490,Однолинейка!$A$3:$A$3000,Щит_спец)+COUNTIFS(Однолинейка!$K$3:$K$3000,C490,Однолинейка!$A$3:$A$3000,Щит_спец)),IF(A490="Модуль",IF(C490="","",COUNTIFS(Однолинейка!$AW$3:$AW$3000,"?*",Однолинейка!$AI$3:$AI$3000,C490,Однолинейка!$A$3:$A$3000,Щит_спец)),IF(A490="Клемма",IF(C490="","",IF(C490=$S$7,SUMIFS(Однолинейка!$BW$3:$BW$3000,Однолинейка!$A$3:$A$3000,Щит_спец),IF(C490=$S$8,SUMIFS(Однолинейка!$BX$3:$BX$3000,Однолинейка!$A$3:$A$3000,Щит_спец),""))),""))))</f>
        <v/>
      </c>
      <c r="O490" s="74"/>
      <c r="P490" s="38" t="str">
        <f t="shared" si="63"/>
        <v/>
      </c>
      <c r="U490" s="38" t="str">
        <f t="shared" si="64"/>
        <v/>
      </c>
      <c r="V490" s="38" t="str">
        <f t="shared" si="65"/>
        <v/>
      </c>
      <c r="W490" s="38" t="str">
        <f>IF(AND(U490&lt;&gt;"",OR($S$4="(все)",B490=$S$4),IF($S$4="(все)",COUNTIF($U$4:U490,U490),COUNTIFS($U$4:U490,U490,$B$4:B490,B490))=1),MAX($W$3:W489)+1,"")</f>
        <v/>
      </c>
      <c r="X490" s="38" t="str">
        <f t="shared" si="66"/>
        <v/>
      </c>
      <c r="Y490" s="38" t="str">
        <f>IF(AND(A490="Аппарат",C490&lt;&gt;"",OR($S$5="(все)",B490=$S$5)),MAX($Y$3:Y489)+1,"")</f>
        <v/>
      </c>
      <c r="Z490" s="38" t="str">
        <f t="shared" si="67"/>
        <v/>
      </c>
      <c r="AA490" s="38" t="str">
        <f>IF(AND(A490="Модуль",C490&lt;&gt;"",OR($S$6="(все)",B490=$S$6)),MAX($AA$3:AA489)+1,"")</f>
        <v/>
      </c>
      <c r="AB490" s="38" t="str">
        <f t="shared" si="68"/>
        <v/>
      </c>
      <c r="AC490" s="38" t="str">
        <f>IF(OR(B490="",COUNTIF($B$4:B490,B490)&gt;1),"",MAX($AC$3:AC489)+1)</f>
        <v/>
      </c>
      <c r="AD490" s="38" t="str">
        <f t="shared" si="69"/>
        <v/>
      </c>
      <c r="AE490" s="38" t="str">
        <f t="shared" si="70"/>
        <v/>
      </c>
      <c r="AF490" s="38" t="str">
        <f t="shared" si="71"/>
        <v/>
      </c>
    </row>
    <row r="491" spans="1:32" x14ac:dyDescent="0.3">
      <c r="A491" s="74"/>
      <c r="B491" s="74"/>
      <c r="C491" s="74"/>
      <c r="D491" s="74"/>
      <c r="E491" s="74"/>
      <c r="F491" s="74"/>
      <c r="G491" s="74"/>
      <c r="H491" s="74"/>
      <c r="I491" s="74"/>
      <c r="J491" s="74"/>
      <c r="K491" s="74"/>
      <c r="L491" s="74"/>
      <c r="M491" s="74"/>
      <c r="N491" s="38" t="str">
        <f>IF(OR(A491="Автомат",A491="Дифавтомат"),IF(W491="","",COUNTIFS(Однолинейка!$H$3:$H$3000,U491,Однолинейка!$A$3:$A$3000,Щит_спец)),IF(A491="Аппарат",IF(C491="","",COUNTIFS(Однолинейка!$I$3:$I$3000,C491,Однолинейка!$A$3:$A$3000,Щит_спец)+COUNTIFS(Однолинейка!$J$3:$J$3000,C491,Однолинейка!$A$3:$A$3000,Щит_спец)+COUNTIFS(Однолинейка!$K$3:$K$3000,C491,Однолинейка!$A$3:$A$3000,Щит_спец)),IF(A491="Модуль",IF(C491="","",COUNTIFS(Однолинейка!$AW$3:$AW$3000,"?*",Однолинейка!$AI$3:$AI$3000,C491,Однолинейка!$A$3:$A$3000,Щит_спец)),IF(A491="Клемма",IF(C491="","",IF(C491=$S$7,SUMIFS(Однолинейка!$BW$3:$BW$3000,Однолинейка!$A$3:$A$3000,Щит_спец),IF(C491=$S$8,SUMIFS(Однолинейка!$BX$3:$BX$3000,Однолинейка!$A$3:$A$3000,Щит_спец),""))),""))))</f>
        <v/>
      </c>
      <c r="O491" s="74"/>
      <c r="P491" s="38" t="str">
        <f t="shared" si="63"/>
        <v/>
      </c>
      <c r="U491" s="38" t="str">
        <f t="shared" si="64"/>
        <v/>
      </c>
      <c r="V491" s="38" t="str">
        <f t="shared" si="65"/>
        <v/>
      </c>
      <c r="W491" s="38" t="str">
        <f>IF(AND(U491&lt;&gt;"",OR($S$4="(все)",B491=$S$4),IF($S$4="(все)",COUNTIF($U$4:U491,U491),COUNTIFS($U$4:U491,U491,$B$4:B491,B491))=1),MAX($W$3:W490)+1,"")</f>
        <v/>
      </c>
      <c r="X491" s="38" t="str">
        <f t="shared" si="66"/>
        <v/>
      </c>
      <c r="Y491" s="38" t="str">
        <f>IF(AND(A491="Аппарат",C491&lt;&gt;"",OR($S$5="(все)",B491=$S$5)),MAX($Y$3:Y490)+1,"")</f>
        <v/>
      </c>
      <c r="Z491" s="38" t="str">
        <f t="shared" si="67"/>
        <v/>
      </c>
      <c r="AA491" s="38" t="str">
        <f>IF(AND(A491="Модуль",C491&lt;&gt;"",OR($S$6="(все)",B491=$S$6)),MAX($AA$3:AA490)+1,"")</f>
        <v/>
      </c>
      <c r="AB491" s="38" t="str">
        <f t="shared" si="68"/>
        <v/>
      </c>
      <c r="AC491" s="38" t="str">
        <f>IF(OR(B491="",COUNTIF($B$4:B491,B491)&gt;1),"",MAX($AC$3:AC490)+1)</f>
        <v/>
      </c>
      <c r="AD491" s="38" t="str">
        <f t="shared" si="69"/>
        <v/>
      </c>
      <c r="AE491" s="38" t="str">
        <f t="shared" si="70"/>
        <v/>
      </c>
      <c r="AF491" s="38" t="str">
        <f t="shared" si="71"/>
        <v/>
      </c>
    </row>
    <row r="492" spans="1:32" x14ac:dyDescent="0.3">
      <c r="A492" s="74"/>
      <c r="B492" s="74"/>
      <c r="C492" s="74"/>
      <c r="D492" s="74"/>
      <c r="E492" s="74"/>
      <c r="F492" s="74"/>
      <c r="G492" s="74"/>
      <c r="H492" s="74"/>
      <c r="I492" s="74"/>
      <c r="J492" s="74"/>
      <c r="K492" s="74"/>
      <c r="L492" s="74"/>
      <c r="M492" s="74"/>
      <c r="N492" s="38" t="str">
        <f>IF(OR(A492="Автомат",A492="Дифавтомат"),IF(W492="","",COUNTIFS(Однолинейка!$H$3:$H$3000,U492,Однолинейка!$A$3:$A$3000,Щит_спец)),IF(A492="Аппарат",IF(C492="","",COUNTIFS(Однолинейка!$I$3:$I$3000,C492,Однолинейка!$A$3:$A$3000,Щит_спец)+COUNTIFS(Однолинейка!$J$3:$J$3000,C492,Однолинейка!$A$3:$A$3000,Щит_спец)+COUNTIFS(Однолинейка!$K$3:$K$3000,C492,Однолинейка!$A$3:$A$3000,Щит_спец)),IF(A492="Модуль",IF(C492="","",COUNTIFS(Однолинейка!$AW$3:$AW$3000,"?*",Однолинейка!$AI$3:$AI$3000,C492,Однолинейка!$A$3:$A$3000,Щит_спец)),IF(A492="Клемма",IF(C492="","",IF(C492=$S$7,SUMIFS(Однолинейка!$BW$3:$BW$3000,Однолинейка!$A$3:$A$3000,Щит_спец),IF(C492=$S$8,SUMIFS(Однолинейка!$BX$3:$BX$3000,Однолинейка!$A$3:$A$3000,Щит_спец),""))),""))))</f>
        <v/>
      </c>
      <c r="O492" s="74"/>
      <c r="P492" s="38" t="str">
        <f t="shared" si="63"/>
        <v/>
      </c>
      <c r="U492" s="38" t="str">
        <f t="shared" si="64"/>
        <v/>
      </c>
      <c r="V492" s="38" t="str">
        <f t="shared" si="65"/>
        <v/>
      </c>
      <c r="W492" s="38" t="str">
        <f>IF(AND(U492&lt;&gt;"",OR($S$4="(все)",B492=$S$4),IF($S$4="(все)",COUNTIF($U$4:U492,U492),COUNTIFS($U$4:U492,U492,$B$4:B492,B492))=1),MAX($W$3:W491)+1,"")</f>
        <v/>
      </c>
      <c r="X492" s="38" t="str">
        <f t="shared" si="66"/>
        <v/>
      </c>
      <c r="Y492" s="38" t="str">
        <f>IF(AND(A492="Аппарат",C492&lt;&gt;"",OR($S$5="(все)",B492=$S$5)),MAX($Y$3:Y491)+1,"")</f>
        <v/>
      </c>
      <c r="Z492" s="38" t="str">
        <f t="shared" si="67"/>
        <v/>
      </c>
      <c r="AA492" s="38" t="str">
        <f>IF(AND(A492="Модуль",C492&lt;&gt;"",OR($S$6="(все)",B492=$S$6)),MAX($AA$3:AA491)+1,"")</f>
        <v/>
      </c>
      <c r="AB492" s="38" t="str">
        <f t="shared" si="68"/>
        <v/>
      </c>
      <c r="AC492" s="38" t="str">
        <f>IF(OR(B492="",COUNTIF($B$4:B492,B492)&gt;1),"",MAX($AC$3:AC491)+1)</f>
        <v/>
      </c>
      <c r="AD492" s="38" t="str">
        <f t="shared" si="69"/>
        <v/>
      </c>
      <c r="AE492" s="38" t="str">
        <f t="shared" si="70"/>
        <v/>
      </c>
      <c r="AF492" s="38" t="str">
        <f t="shared" si="71"/>
        <v/>
      </c>
    </row>
    <row r="493" spans="1:32" x14ac:dyDescent="0.3">
      <c r="A493" s="74"/>
      <c r="B493" s="74"/>
      <c r="C493" s="74"/>
      <c r="D493" s="74"/>
      <c r="E493" s="74"/>
      <c r="F493" s="74"/>
      <c r="G493" s="74"/>
      <c r="H493" s="74"/>
      <c r="I493" s="74"/>
      <c r="J493" s="74"/>
      <c r="K493" s="74"/>
      <c r="L493" s="74"/>
      <c r="M493" s="74"/>
      <c r="N493" s="38" t="str">
        <f>IF(OR(A493="Автомат",A493="Дифавтомат"),IF(W493="","",COUNTIFS(Однолинейка!$H$3:$H$3000,U493,Однолинейка!$A$3:$A$3000,Щит_спец)),IF(A493="Аппарат",IF(C493="","",COUNTIFS(Однолинейка!$I$3:$I$3000,C493,Однолинейка!$A$3:$A$3000,Щит_спец)+COUNTIFS(Однолинейка!$J$3:$J$3000,C493,Однолинейка!$A$3:$A$3000,Щит_спец)+COUNTIFS(Однолинейка!$K$3:$K$3000,C493,Однолинейка!$A$3:$A$3000,Щит_спец)),IF(A493="Модуль",IF(C493="","",COUNTIFS(Однолинейка!$AW$3:$AW$3000,"?*",Однолинейка!$AI$3:$AI$3000,C493,Однолинейка!$A$3:$A$3000,Щит_спец)),IF(A493="Клемма",IF(C493="","",IF(C493=$S$7,SUMIFS(Однолинейка!$BW$3:$BW$3000,Однолинейка!$A$3:$A$3000,Щит_спец),IF(C493=$S$8,SUMIFS(Однолинейка!$BX$3:$BX$3000,Однолинейка!$A$3:$A$3000,Щит_спец),""))),""))))</f>
        <v/>
      </c>
      <c r="O493" s="74"/>
      <c r="P493" s="38" t="str">
        <f t="shared" si="63"/>
        <v/>
      </c>
      <c r="U493" s="38" t="str">
        <f t="shared" si="64"/>
        <v/>
      </c>
      <c r="V493" s="38" t="str">
        <f t="shared" si="65"/>
        <v/>
      </c>
      <c r="W493" s="38" t="str">
        <f>IF(AND(U493&lt;&gt;"",OR($S$4="(все)",B493=$S$4),IF($S$4="(все)",COUNTIF($U$4:U493,U493),COUNTIFS($U$4:U493,U493,$B$4:B493,B493))=1),MAX($W$3:W492)+1,"")</f>
        <v/>
      </c>
      <c r="X493" s="38" t="str">
        <f t="shared" si="66"/>
        <v/>
      </c>
      <c r="Y493" s="38" t="str">
        <f>IF(AND(A493="Аппарат",C493&lt;&gt;"",OR($S$5="(все)",B493=$S$5)),MAX($Y$3:Y492)+1,"")</f>
        <v/>
      </c>
      <c r="Z493" s="38" t="str">
        <f t="shared" si="67"/>
        <v/>
      </c>
      <c r="AA493" s="38" t="str">
        <f>IF(AND(A493="Модуль",C493&lt;&gt;"",OR($S$6="(все)",B493=$S$6)),MAX($AA$3:AA492)+1,"")</f>
        <v/>
      </c>
      <c r="AB493" s="38" t="str">
        <f t="shared" si="68"/>
        <v/>
      </c>
      <c r="AC493" s="38" t="str">
        <f>IF(OR(B493="",COUNTIF($B$4:B493,B493)&gt;1),"",MAX($AC$3:AC492)+1)</f>
        <v/>
      </c>
      <c r="AD493" s="38" t="str">
        <f t="shared" si="69"/>
        <v/>
      </c>
      <c r="AE493" s="38" t="str">
        <f t="shared" si="70"/>
        <v/>
      </c>
      <c r="AF493" s="38" t="str">
        <f t="shared" si="71"/>
        <v/>
      </c>
    </row>
    <row r="494" spans="1:32" x14ac:dyDescent="0.3">
      <c r="A494" s="74"/>
      <c r="B494" s="74"/>
      <c r="C494" s="74"/>
      <c r="D494" s="74"/>
      <c r="E494" s="74"/>
      <c r="F494" s="74"/>
      <c r="G494" s="74"/>
      <c r="H494" s="74"/>
      <c r="I494" s="74"/>
      <c r="J494" s="74"/>
      <c r="K494" s="74"/>
      <c r="L494" s="74"/>
      <c r="M494" s="74"/>
      <c r="N494" s="38" t="str">
        <f>IF(OR(A494="Автомат",A494="Дифавтомат"),IF(W494="","",COUNTIFS(Однолинейка!$H$3:$H$3000,U494,Однолинейка!$A$3:$A$3000,Щит_спец)),IF(A494="Аппарат",IF(C494="","",COUNTIFS(Однолинейка!$I$3:$I$3000,C494,Однолинейка!$A$3:$A$3000,Щит_спец)+COUNTIFS(Однолинейка!$J$3:$J$3000,C494,Однолинейка!$A$3:$A$3000,Щит_спец)+COUNTIFS(Однолинейка!$K$3:$K$3000,C494,Однолинейка!$A$3:$A$3000,Щит_спец)),IF(A494="Модуль",IF(C494="","",COUNTIFS(Однолинейка!$AW$3:$AW$3000,"?*",Однолинейка!$AI$3:$AI$3000,C494,Однолинейка!$A$3:$A$3000,Щит_спец)),IF(A494="Клемма",IF(C494="","",IF(C494=$S$7,SUMIFS(Однолинейка!$BW$3:$BW$3000,Однолинейка!$A$3:$A$3000,Щит_спец),IF(C494=$S$8,SUMIFS(Однолинейка!$BX$3:$BX$3000,Однолинейка!$A$3:$A$3000,Щит_спец),""))),""))))</f>
        <v/>
      </c>
      <c r="O494" s="74"/>
      <c r="P494" s="38" t="str">
        <f t="shared" si="63"/>
        <v/>
      </c>
      <c r="U494" s="38" t="str">
        <f t="shared" si="64"/>
        <v/>
      </c>
      <c r="V494" s="38" t="str">
        <f t="shared" si="65"/>
        <v/>
      </c>
      <c r="W494" s="38" t="str">
        <f>IF(AND(U494&lt;&gt;"",OR($S$4="(все)",B494=$S$4),IF($S$4="(все)",COUNTIF($U$4:U494,U494),COUNTIFS($U$4:U494,U494,$B$4:B494,B494))=1),MAX($W$3:W493)+1,"")</f>
        <v/>
      </c>
      <c r="X494" s="38" t="str">
        <f t="shared" si="66"/>
        <v/>
      </c>
      <c r="Y494" s="38" t="str">
        <f>IF(AND(A494="Аппарат",C494&lt;&gt;"",OR($S$5="(все)",B494=$S$5)),MAX($Y$3:Y493)+1,"")</f>
        <v/>
      </c>
      <c r="Z494" s="38" t="str">
        <f t="shared" si="67"/>
        <v/>
      </c>
      <c r="AA494" s="38" t="str">
        <f>IF(AND(A494="Модуль",C494&lt;&gt;"",OR($S$6="(все)",B494=$S$6)),MAX($AA$3:AA493)+1,"")</f>
        <v/>
      </c>
      <c r="AB494" s="38" t="str">
        <f t="shared" si="68"/>
        <v/>
      </c>
      <c r="AC494" s="38" t="str">
        <f>IF(OR(B494="",COUNTIF($B$4:B494,B494)&gt;1),"",MAX($AC$3:AC493)+1)</f>
        <v/>
      </c>
      <c r="AD494" s="38" t="str">
        <f t="shared" si="69"/>
        <v/>
      </c>
      <c r="AE494" s="38" t="str">
        <f t="shared" si="70"/>
        <v/>
      </c>
      <c r="AF494" s="38" t="str">
        <f t="shared" si="71"/>
        <v/>
      </c>
    </row>
    <row r="495" spans="1:32" x14ac:dyDescent="0.3">
      <c r="A495" s="74"/>
      <c r="B495" s="74"/>
      <c r="C495" s="74"/>
      <c r="D495" s="74"/>
      <c r="E495" s="74"/>
      <c r="F495" s="74"/>
      <c r="G495" s="74"/>
      <c r="H495" s="74"/>
      <c r="I495" s="74"/>
      <c r="J495" s="74"/>
      <c r="K495" s="74"/>
      <c r="L495" s="74"/>
      <c r="M495" s="74"/>
      <c r="N495" s="38" t="str">
        <f>IF(OR(A495="Автомат",A495="Дифавтомат"),IF(W495="","",COUNTIFS(Однолинейка!$H$3:$H$3000,U495,Однолинейка!$A$3:$A$3000,Щит_спец)),IF(A495="Аппарат",IF(C495="","",COUNTIFS(Однолинейка!$I$3:$I$3000,C495,Однолинейка!$A$3:$A$3000,Щит_спец)+COUNTIFS(Однолинейка!$J$3:$J$3000,C495,Однолинейка!$A$3:$A$3000,Щит_спец)+COUNTIFS(Однолинейка!$K$3:$K$3000,C495,Однолинейка!$A$3:$A$3000,Щит_спец)),IF(A495="Модуль",IF(C495="","",COUNTIFS(Однолинейка!$AW$3:$AW$3000,"?*",Однолинейка!$AI$3:$AI$3000,C495,Однолинейка!$A$3:$A$3000,Щит_спец)),IF(A495="Клемма",IF(C495="","",IF(C495=$S$7,SUMIFS(Однолинейка!$BW$3:$BW$3000,Однолинейка!$A$3:$A$3000,Щит_спец),IF(C495=$S$8,SUMIFS(Однолинейка!$BX$3:$BX$3000,Однолинейка!$A$3:$A$3000,Щит_спец),""))),""))))</f>
        <v/>
      </c>
      <c r="O495" s="74"/>
      <c r="P495" s="38" t="str">
        <f t="shared" si="63"/>
        <v/>
      </c>
      <c r="U495" s="38" t="str">
        <f t="shared" si="64"/>
        <v/>
      </c>
      <c r="V495" s="38" t="str">
        <f t="shared" si="65"/>
        <v/>
      </c>
      <c r="W495" s="38" t="str">
        <f>IF(AND(U495&lt;&gt;"",OR($S$4="(все)",B495=$S$4),IF($S$4="(все)",COUNTIF($U$4:U495,U495),COUNTIFS($U$4:U495,U495,$B$4:B495,B495))=1),MAX($W$3:W494)+1,"")</f>
        <v/>
      </c>
      <c r="X495" s="38" t="str">
        <f t="shared" si="66"/>
        <v/>
      </c>
      <c r="Y495" s="38" t="str">
        <f>IF(AND(A495="Аппарат",C495&lt;&gt;"",OR($S$5="(все)",B495=$S$5)),MAX($Y$3:Y494)+1,"")</f>
        <v/>
      </c>
      <c r="Z495" s="38" t="str">
        <f t="shared" si="67"/>
        <v/>
      </c>
      <c r="AA495" s="38" t="str">
        <f>IF(AND(A495="Модуль",C495&lt;&gt;"",OR($S$6="(все)",B495=$S$6)),MAX($AA$3:AA494)+1,"")</f>
        <v/>
      </c>
      <c r="AB495" s="38" t="str">
        <f t="shared" si="68"/>
        <v/>
      </c>
      <c r="AC495" s="38" t="str">
        <f>IF(OR(B495="",COUNTIF($B$4:B495,B495)&gt;1),"",MAX($AC$3:AC494)+1)</f>
        <v/>
      </c>
      <c r="AD495" s="38" t="str">
        <f t="shared" si="69"/>
        <v/>
      </c>
      <c r="AE495" s="38" t="str">
        <f t="shared" si="70"/>
        <v/>
      </c>
      <c r="AF495" s="38" t="str">
        <f t="shared" si="71"/>
        <v/>
      </c>
    </row>
    <row r="496" spans="1:32" x14ac:dyDescent="0.3">
      <c r="A496" s="74"/>
      <c r="B496" s="74"/>
      <c r="C496" s="74"/>
      <c r="D496" s="74"/>
      <c r="E496" s="74"/>
      <c r="F496" s="74"/>
      <c r="G496" s="74"/>
      <c r="H496" s="74"/>
      <c r="I496" s="74"/>
      <c r="J496" s="74"/>
      <c r="K496" s="74"/>
      <c r="L496" s="74"/>
      <c r="M496" s="74"/>
      <c r="N496" s="38" t="str">
        <f>IF(OR(A496="Автомат",A496="Дифавтомат"),IF(W496="","",COUNTIFS(Однолинейка!$H$3:$H$3000,U496,Однолинейка!$A$3:$A$3000,Щит_спец)),IF(A496="Аппарат",IF(C496="","",COUNTIFS(Однолинейка!$I$3:$I$3000,C496,Однолинейка!$A$3:$A$3000,Щит_спец)+COUNTIFS(Однолинейка!$J$3:$J$3000,C496,Однолинейка!$A$3:$A$3000,Щит_спец)+COUNTIFS(Однолинейка!$K$3:$K$3000,C496,Однолинейка!$A$3:$A$3000,Щит_спец)),IF(A496="Модуль",IF(C496="","",COUNTIFS(Однолинейка!$AW$3:$AW$3000,"?*",Однолинейка!$AI$3:$AI$3000,C496,Однолинейка!$A$3:$A$3000,Щит_спец)),IF(A496="Клемма",IF(C496="","",IF(C496=$S$7,SUMIFS(Однолинейка!$BW$3:$BW$3000,Однолинейка!$A$3:$A$3000,Щит_спец),IF(C496=$S$8,SUMIFS(Однолинейка!$BX$3:$BX$3000,Однолинейка!$A$3:$A$3000,Щит_спец),""))),""))))</f>
        <v/>
      </c>
      <c r="O496" s="74"/>
      <c r="P496" s="38" t="str">
        <f t="shared" si="63"/>
        <v/>
      </c>
      <c r="U496" s="38" t="str">
        <f t="shared" si="64"/>
        <v/>
      </c>
      <c r="V496" s="38" t="str">
        <f t="shared" si="65"/>
        <v/>
      </c>
      <c r="W496" s="38" t="str">
        <f>IF(AND(U496&lt;&gt;"",OR($S$4="(все)",B496=$S$4),IF($S$4="(все)",COUNTIF($U$4:U496,U496),COUNTIFS($U$4:U496,U496,$B$4:B496,B496))=1),MAX($W$3:W495)+1,"")</f>
        <v/>
      </c>
      <c r="X496" s="38" t="str">
        <f t="shared" si="66"/>
        <v/>
      </c>
      <c r="Y496" s="38" t="str">
        <f>IF(AND(A496="Аппарат",C496&lt;&gt;"",OR($S$5="(все)",B496=$S$5)),MAX($Y$3:Y495)+1,"")</f>
        <v/>
      </c>
      <c r="Z496" s="38" t="str">
        <f t="shared" si="67"/>
        <v/>
      </c>
      <c r="AA496" s="38" t="str">
        <f>IF(AND(A496="Модуль",C496&lt;&gt;"",OR($S$6="(все)",B496=$S$6)),MAX($AA$3:AA495)+1,"")</f>
        <v/>
      </c>
      <c r="AB496" s="38" t="str">
        <f t="shared" si="68"/>
        <v/>
      </c>
      <c r="AC496" s="38" t="str">
        <f>IF(OR(B496="",COUNTIF($B$4:B496,B496)&gt;1),"",MAX($AC$3:AC495)+1)</f>
        <v/>
      </c>
      <c r="AD496" s="38" t="str">
        <f t="shared" si="69"/>
        <v/>
      </c>
      <c r="AE496" s="38" t="str">
        <f t="shared" si="70"/>
        <v/>
      </c>
      <c r="AF496" s="38" t="str">
        <f t="shared" si="71"/>
        <v/>
      </c>
    </row>
    <row r="497" spans="1:32" x14ac:dyDescent="0.3">
      <c r="A497" s="74"/>
      <c r="B497" s="74"/>
      <c r="C497" s="74"/>
      <c r="D497" s="74"/>
      <c r="E497" s="74"/>
      <c r="F497" s="74"/>
      <c r="G497" s="74"/>
      <c r="H497" s="74"/>
      <c r="I497" s="74"/>
      <c r="J497" s="74"/>
      <c r="K497" s="74"/>
      <c r="L497" s="74"/>
      <c r="M497" s="74"/>
      <c r="N497" s="38" t="str">
        <f>IF(OR(A497="Автомат",A497="Дифавтомат"),IF(W497="","",COUNTIFS(Однолинейка!$H$3:$H$3000,U497,Однолинейка!$A$3:$A$3000,Щит_спец)),IF(A497="Аппарат",IF(C497="","",COUNTIFS(Однолинейка!$I$3:$I$3000,C497,Однолинейка!$A$3:$A$3000,Щит_спец)+COUNTIFS(Однолинейка!$J$3:$J$3000,C497,Однолинейка!$A$3:$A$3000,Щит_спец)+COUNTIFS(Однолинейка!$K$3:$K$3000,C497,Однолинейка!$A$3:$A$3000,Щит_спец)),IF(A497="Модуль",IF(C497="","",COUNTIFS(Однолинейка!$AW$3:$AW$3000,"?*",Однолинейка!$AI$3:$AI$3000,C497,Однолинейка!$A$3:$A$3000,Щит_спец)),IF(A497="Клемма",IF(C497="","",IF(C497=$S$7,SUMIFS(Однолинейка!$BW$3:$BW$3000,Однолинейка!$A$3:$A$3000,Щит_спец),IF(C497=$S$8,SUMIFS(Однолинейка!$BX$3:$BX$3000,Однолинейка!$A$3:$A$3000,Щит_спец),""))),""))))</f>
        <v/>
      </c>
      <c r="O497" s="74"/>
      <c r="P497" s="38" t="str">
        <f t="shared" si="63"/>
        <v/>
      </c>
      <c r="U497" s="38" t="str">
        <f t="shared" si="64"/>
        <v/>
      </c>
      <c r="V497" s="38" t="str">
        <f t="shared" si="65"/>
        <v/>
      </c>
      <c r="W497" s="38" t="str">
        <f>IF(AND(U497&lt;&gt;"",OR($S$4="(все)",B497=$S$4),IF($S$4="(все)",COUNTIF($U$4:U497,U497),COUNTIFS($U$4:U497,U497,$B$4:B497,B497))=1),MAX($W$3:W496)+1,"")</f>
        <v/>
      </c>
      <c r="X497" s="38" t="str">
        <f t="shared" si="66"/>
        <v/>
      </c>
      <c r="Y497" s="38" t="str">
        <f>IF(AND(A497="Аппарат",C497&lt;&gt;"",OR($S$5="(все)",B497=$S$5)),MAX($Y$3:Y496)+1,"")</f>
        <v/>
      </c>
      <c r="Z497" s="38" t="str">
        <f t="shared" si="67"/>
        <v/>
      </c>
      <c r="AA497" s="38" t="str">
        <f>IF(AND(A497="Модуль",C497&lt;&gt;"",OR($S$6="(все)",B497=$S$6)),MAX($AA$3:AA496)+1,"")</f>
        <v/>
      </c>
      <c r="AB497" s="38" t="str">
        <f t="shared" si="68"/>
        <v/>
      </c>
      <c r="AC497" s="38" t="str">
        <f>IF(OR(B497="",COUNTIF($B$4:B497,B497)&gt;1),"",MAX($AC$3:AC496)+1)</f>
        <v/>
      </c>
      <c r="AD497" s="38" t="str">
        <f t="shared" si="69"/>
        <v/>
      </c>
      <c r="AE497" s="38" t="str">
        <f t="shared" si="70"/>
        <v/>
      </c>
      <c r="AF497" s="38" t="str">
        <f t="shared" si="71"/>
        <v/>
      </c>
    </row>
    <row r="498" spans="1:32" x14ac:dyDescent="0.3">
      <c r="A498" s="74"/>
      <c r="B498" s="74"/>
      <c r="C498" s="74"/>
      <c r="D498" s="74"/>
      <c r="E498" s="74"/>
      <c r="F498" s="74"/>
      <c r="G498" s="74"/>
      <c r="H498" s="74"/>
      <c r="I498" s="74"/>
      <c r="J498" s="74"/>
      <c r="K498" s="74"/>
      <c r="L498" s="74"/>
      <c r="M498" s="74"/>
      <c r="N498" s="38" t="str">
        <f>IF(OR(A498="Автомат",A498="Дифавтомат"),IF(W498="","",COUNTIFS(Однолинейка!$H$3:$H$3000,U498,Однолинейка!$A$3:$A$3000,Щит_спец)),IF(A498="Аппарат",IF(C498="","",COUNTIFS(Однолинейка!$I$3:$I$3000,C498,Однолинейка!$A$3:$A$3000,Щит_спец)+COUNTIFS(Однолинейка!$J$3:$J$3000,C498,Однолинейка!$A$3:$A$3000,Щит_спец)+COUNTIFS(Однолинейка!$K$3:$K$3000,C498,Однолинейка!$A$3:$A$3000,Щит_спец)),IF(A498="Модуль",IF(C498="","",COUNTIFS(Однолинейка!$AW$3:$AW$3000,"?*",Однолинейка!$AI$3:$AI$3000,C498,Однолинейка!$A$3:$A$3000,Щит_спец)),IF(A498="Клемма",IF(C498="","",IF(C498=$S$7,SUMIFS(Однолинейка!$BW$3:$BW$3000,Однолинейка!$A$3:$A$3000,Щит_спец),IF(C498=$S$8,SUMIFS(Однолинейка!$BX$3:$BX$3000,Однолинейка!$A$3:$A$3000,Щит_спец),""))),""))))</f>
        <v/>
      </c>
      <c r="O498" s="74"/>
      <c r="P498" s="38" t="str">
        <f t="shared" si="63"/>
        <v/>
      </c>
      <c r="U498" s="38" t="str">
        <f t="shared" si="64"/>
        <v/>
      </c>
      <c r="V498" s="38" t="str">
        <f t="shared" si="65"/>
        <v/>
      </c>
      <c r="W498" s="38" t="str">
        <f>IF(AND(U498&lt;&gt;"",OR($S$4="(все)",B498=$S$4),IF($S$4="(все)",COUNTIF($U$4:U498,U498),COUNTIFS($U$4:U498,U498,$B$4:B498,B498))=1),MAX($W$3:W497)+1,"")</f>
        <v/>
      </c>
      <c r="X498" s="38" t="str">
        <f t="shared" si="66"/>
        <v/>
      </c>
      <c r="Y498" s="38" t="str">
        <f>IF(AND(A498="Аппарат",C498&lt;&gt;"",OR($S$5="(все)",B498=$S$5)),MAX($Y$3:Y497)+1,"")</f>
        <v/>
      </c>
      <c r="Z498" s="38" t="str">
        <f t="shared" si="67"/>
        <v/>
      </c>
      <c r="AA498" s="38" t="str">
        <f>IF(AND(A498="Модуль",C498&lt;&gt;"",OR($S$6="(все)",B498=$S$6)),MAX($AA$3:AA497)+1,"")</f>
        <v/>
      </c>
      <c r="AB498" s="38" t="str">
        <f t="shared" si="68"/>
        <v/>
      </c>
      <c r="AC498" s="38" t="str">
        <f>IF(OR(B498="",COUNTIF($B$4:B498,B498)&gt;1),"",MAX($AC$3:AC497)+1)</f>
        <v/>
      </c>
      <c r="AD498" s="38" t="str">
        <f t="shared" si="69"/>
        <v/>
      </c>
      <c r="AE498" s="38" t="str">
        <f t="shared" si="70"/>
        <v/>
      </c>
      <c r="AF498" s="38" t="str">
        <f t="shared" si="71"/>
        <v/>
      </c>
    </row>
    <row r="499" spans="1:32" x14ac:dyDescent="0.3">
      <c r="A499" s="74"/>
      <c r="B499" s="74"/>
      <c r="C499" s="74"/>
      <c r="D499" s="74"/>
      <c r="E499" s="74"/>
      <c r="F499" s="74"/>
      <c r="G499" s="74"/>
      <c r="H499" s="74"/>
      <c r="I499" s="74"/>
      <c r="J499" s="74"/>
      <c r="K499" s="74"/>
      <c r="L499" s="74"/>
      <c r="M499" s="74"/>
      <c r="N499" s="38" t="str">
        <f>IF(OR(A499="Автомат",A499="Дифавтомат"),IF(W499="","",COUNTIFS(Однолинейка!$H$3:$H$3000,U499,Однолинейка!$A$3:$A$3000,Щит_спец)),IF(A499="Аппарат",IF(C499="","",COUNTIFS(Однолинейка!$I$3:$I$3000,C499,Однолинейка!$A$3:$A$3000,Щит_спец)+COUNTIFS(Однолинейка!$J$3:$J$3000,C499,Однолинейка!$A$3:$A$3000,Щит_спец)+COUNTIFS(Однолинейка!$K$3:$K$3000,C499,Однолинейка!$A$3:$A$3000,Щит_спец)),IF(A499="Модуль",IF(C499="","",COUNTIFS(Однолинейка!$AW$3:$AW$3000,"?*",Однолинейка!$AI$3:$AI$3000,C499,Однолинейка!$A$3:$A$3000,Щит_спец)),IF(A499="Клемма",IF(C499="","",IF(C499=$S$7,SUMIFS(Однолинейка!$BW$3:$BW$3000,Однолинейка!$A$3:$A$3000,Щит_спец),IF(C499=$S$8,SUMIFS(Однолинейка!$BX$3:$BX$3000,Однолинейка!$A$3:$A$3000,Щит_спец),""))),""))))</f>
        <v/>
      </c>
      <c r="O499" s="74"/>
      <c r="P499" s="38" t="str">
        <f t="shared" si="63"/>
        <v/>
      </c>
      <c r="U499" s="38" t="str">
        <f t="shared" si="64"/>
        <v/>
      </c>
      <c r="V499" s="38" t="str">
        <f t="shared" si="65"/>
        <v/>
      </c>
      <c r="W499" s="38" t="str">
        <f>IF(AND(U499&lt;&gt;"",OR($S$4="(все)",B499=$S$4),IF($S$4="(все)",COUNTIF($U$4:U499,U499),COUNTIFS($U$4:U499,U499,$B$4:B499,B499))=1),MAX($W$3:W498)+1,"")</f>
        <v/>
      </c>
      <c r="X499" s="38" t="str">
        <f t="shared" si="66"/>
        <v/>
      </c>
      <c r="Y499" s="38" t="str">
        <f>IF(AND(A499="Аппарат",C499&lt;&gt;"",OR($S$5="(все)",B499=$S$5)),MAX($Y$3:Y498)+1,"")</f>
        <v/>
      </c>
      <c r="Z499" s="38" t="str">
        <f t="shared" si="67"/>
        <v/>
      </c>
      <c r="AA499" s="38" t="str">
        <f>IF(AND(A499="Модуль",C499&lt;&gt;"",OR($S$6="(все)",B499=$S$6)),MAX($AA$3:AA498)+1,"")</f>
        <v/>
      </c>
      <c r="AB499" s="38" t="str">
        <f t="shared" si="68"/>
        <v/>
      </c>
      <c r="AC499" s="38" t="str">
        <f>IF(OR(B499="",COUNTIF($B$4:B499,B499)&gt;1),"",MAX($AC$3:AC498)+1)</f>
        <v/>
      </c>
      <c r="AD499" s="38" t="str">
        <f t="shared" si="69"/>
        <v/>
      </c>
      <c r="AE499" s="38" t="str">
        <f t="shared" si="70"/>
        <v/>
      </c>
      <c r="AF499" s="38" t="str">
        <f t="shared" si="71"/>
        <v/>
      </c>
    </row>
    <row r="500" spans="1:32" x14ac:dyDescent="0.3">
      <c r="A500" s="74"/>
      <c r="B500" s="74"/>
      <c r="C500" s="74"/>
      <c r="D500" s="74"/>
      <c r="E500" s="74"/>
      <c r="F500" s="74"/>
      <c r="G500" s="74"/>
      <c r="H500" s="74"/>
      <c r="I500" s="74"/>
      <c r="J500" s="74"/>
      <c r="K500" s="74"/>
      <c r="L500" s="74"/>
      <c r="M500" s="74"/>
      <c r="N500" s="38" t="str">
        <f>IF(OR(A500="Автомат",A500="Дифавтомат"),IF(W500="","",COUNTIFS(Однолинейка!$H$3:$H$3000,U500,Однолинейка!$A$3:$A$3000,Щит_спец)),IF(A500="Аппарат",IF(C500="","",COUNTIFS(Однолинейка!$I$3:$I$3000,C500,Однолинейка!$A$3:$A$3000,Щит_спец)+COUNTIFS(Однолинейка!$J$3:$J$3000,C500,Однолинейка!$A$3:$A$3000,Щит_спец)+COUNTIFS(Однолинейка!$K$3:$K$3000,C500,Однолинейка!$A$3:$A$3000,Щит_спец)),IF(A500="Модуль",IF(C500="","",COUNTIFS(Однолинейка!$AW$3:$AW$3000,"?*",Однолинейка!$AI$3:$AI$3000,C500,Однолинейка!$A$3:$A$3000,Щит_спец)),IF(A500="Клемма",IF(C500="","",IF(C500=$S$7,SUMIFS(Однолинейка!$BW$3:$BW$3000,Однолинейка!$A$3:$A$3000,Щит_спец),IF(C500=$S$8,SUMIFS(Однолинейка!$BX$3:$BX$3000,Однолинейка!$A$3:$A$3000,Щит_спец),""))),""))))</f>
        <v/>
      </c>
      <c r="O500" s="74"/>
      <c r="P500" s="38" t="str">
        <f t="shared" si="63"/>
        <v/>
      </c>
      <c r="U500" s="38" t="str">
        <f t="shared" si="64"/>
        <v/>
      </c>
      <c r="V500" s="38" t="str">
        <f t="shared" si="65"/>
        <v/>
      </c>
      <c r="W500" s="38" t="str">
        <f>IF(AND(U500&lt;&gt;"",OR($S$4="(все)",B500=$S$4),IF($S$4="(все)",COUNTIF($U$4:U500,U500),COUNTIFS($U$4:U500,U500,$B$4:B500,B500))=1),MAX($W$3:W499)+1,"")</f>
        <v/>
      </c>
      <c r="X500" s="38" t="str">
        <f t="shared" si="66"/>
        <v/>
      </c>
      <c r="Y500" s="38" t="str">
        <f>IF(AND(A500="Аппарат",C500&lt;&gt;"",OR($S$5="(все)",B500=$S$5)),MAX($Y$3:Y499)+1,"")</f>
        <v/>
      </c>
      <c r="Z500" s="38" t="str">
        <f t="shared" si="67"/>
        <v/>
      </c>
      <c r="AA500" s="38" t="str">
        <f>IF(AND(A500="Модуль",C500&lt;&gt;"",OR($S$6="(все)",B500=$S$6)),MAX($AA$3:AA499)+1,"")</f>
        <v/>
      </c>
      <c r="AB500" s="38" t="str">
        <f t="shared" si="68"/>
        <v/>
      </c>
      <c r="AC500" s="38" t="str">
        <f>IF(OR(B500="",COUNTIF($B$4:B500,B500)&gt;1),"",MAX($AC$3:AC499)+1)</f>
        <v/>
      </c>
      <c r="AD500" s="38" t="str">
        <f t="shared" si="69"/>
        <v/>
      </c>
      <c r="AE500" s="38" t="str">
        <f t="shared" si="70"/>
        <v/>
      </c>
      <c r="AF500" s="38" t="str">
        <f t="shared" si="71"/>
        <v/>
      </c>
    </row>
  </sheetData>
  <autoFilter ref="A3:P500" xr:uid="{00000000-0009-0000-0000-000002000000}"/>
  <conditionalFormatting sqref="P4:P500">
    <cfRule type="expression" dxfId="14" priority="2">
      <formula>N($P4)&gt;0</formula>
    </cfRule>
  </conditionalFormatting>
  <conditionalFormatting sqref="R28:R37">
    <cfRule type="expression" dxfId="13" priority="1">
      <formula>$R28&lt;&gt;""</formula>
    </cfRule>
  </conditionalFormatting>
  <dataValidations count="4">
    <dataValidation type="list" allowBlank="1" sqref="A4:A500" xr:uid="{00000000-0002-0000-0200-000000000000}">
      <formula1>$R$12:$R$25</formula1>
    </dataValidation>
    <dataValidation type="list" allowBlank="1" sqref="K4:K500" xr:uid="{00000000-0002-0000-0200-000001000000}">
      <formula1>"да,нет"</formula1>
    </dataValidation>
    <dataValidation type="list" allowBlank="1" sqref="I4:I500" xr:uid="{00000000-0002-0000-0200-000002000000}">
      <formula1>"1P,2P,3P,4P"</formula1>
    </dataValidation>
    <dataValidation type="list" allowBlank="1" sqref="S4:S6" xr:uid="{00000000-0002-0000-0200-000003000000}">
      <formula1>Список_произв</formula1>
    </dataValidation>
  </dataValidations>
  <pageMargins left="0.4" right="0.4" top="0.5" bottom="0.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50483-1E92-4B19-B30C-FF6BB7158E93}">
  <sheetPr codeName="Лист14">
    <tabColor rgb="FF00B050"/>
  </sheetPr>
  <dimension ref="B1:F378"/>
  <sheetViews>
    <sheetView showGridLines="0" workbookViewId="0"/>
  </sheetViews>
  <sheetFormatPr defaultRowHeight="13.2" x14ac:dyDescent="0.3"/>
  <cols>
    <col min="1" max="1" width="3.77734375" style="81" customWidth="1"/>
    <col min="2" max="2" width="30.77734375" style="81" customWidth="1"/>
    <col min="3" max="3" width="34.77734375" style="81" customWidth="1"/>
    <col min="4" max="4" width="22.77734375" style="81" customWidth="1"/>
    <col min="5" max="5" width="34.77734375" style="81" customWidth="1"/>
    <col min="6" max="6" width="22.77734375" style="81" customWidth="1"/>
    <col min="7" max="16384" width="8.88671875" style="81"/>
  </cols>
  <sheetData>
    <row r="1" spans="2:6" ht="13.5" customHeight="1" x14ac:dyDescent="0.3">
      <c r="B1" s="147" t="s">
        <v>1794</v>
      </c>
      <c r="C1" s="147"/>
      <c r="D1" s="147"/>
      <c r="E1" s="147"/>
      <c r="F1" s="147"/>
    </row>
    <row r="2" spans="2:6" ht="13.5" customHeight="1" x14ac:dyDescent="0.3">
      <c r="B2" s="93" t="s">
        <v>1795</v>
      </c>
      <c r="C2" s="93"/>
      <c r="D2" s="93"/>
      <c r="E2" s="93"/>
      <c r="F2" s="93"/>
    </row>
    <row r="3" spans="2:6" ht="13.5" customHeight="1" x14ac:dyDescent="0.3">
      <c r="B3" s="93" t="s">
        <v>1796</v>
      </c>
      <c r="C3" s="93"/>
      <c r="D3" s="93"/>
      <c r="E3" s="93"/>
      <c r="F3" s="93"/>
    </row>
    <row r="4" spans="2:6" ht="27" customHeight="1" x14ac:dyDescent="0.3">
      <c r="B4" s="93" t="s">
        <v>1797</v>
      </c>
      <c r="C4" s="93"/>
      <c r="D4" s="93"/>
      <c r="E4" s="93"/>
      <c r="F4" s="93"/>
    </row>
    <row r="5" spans="2:6" ht="13.5" customHeight="1" x14ac:dyDescent="0.3">
      <c r="B5" s="93" t="s">
        <v>1798</v>
      </c>
      <c r="C5" s="93"/>
      <c r="D5" s="93"/>
      <c r="E5" s="93"/>
      <c r="F5" s="93"/>
    </row>
    <row r="6" spans="2:6" ht="13.5" customHeight="1" x14ac:dyDescent="0.3">
      <c r="B6" s="93" t="s">
        <v>1799</v>
      </c>
      <c r="C6" s="93"/>
      <c r="D6" s="93"/>
      <c r="E6" s="93"/>
      <c r="F6" s="93"/>
    </row>
    <row r="7" spans="2:6" ht="40.5" customHeight="1" x14ac:dyDescent="0.3">
      <c r="B7" s="93" t="s">
        <v>1800</v>
      </c>
      <c r="C7" s="93"/>
      <c r="D7" s="93"/>
      <c r="E7" s="93"/>
      <c r="F7" s="93"/>
    </row>
    <row r="8" spans="2:6" ht="13.5" customHeight="1" x14ac:dyDescent="0.3">
      <c r="B8" s="93" t="s">
        <v>1801</v>
      </c>
      <c r="C8" s="93"/>
      <c r="D8" s="93"/>
      <c r="E8" s="93"/>
      <c r="F8" s="93"/>
    </row>
    <row r="9" spans="2:6" ht="13.5" customHeight="1" x14ac:dyDescent="0.3">
      <c r="B9" s="93" t="s">
        <v>1802</v>
      </c>
      <c r="C9" s="93"/>
      <c r="D9" s="93"/>
      <c r="E9" s="93"/>
      <c r="F9" s="93"/>
    </row>
    <row r="10" spans="2:6" x14ac:dyDescent="0.3">
      <c r="B10" s="85" t="s">
        <v>1803</v>
      </c>
      <c r="C10" s="85" t="s">
        <v>1804</v>
      </c>
      <c r="D10" s="85" t="s">
        <v>1805</v>
      </c>
    </row>
    <row r="11" spans="2:6" ht="39.6" x14ac:dyDescent="0.3">
      <c r="B11" s="87" t="s">
        <v>1806</v>
      </c>
      <c r="C11" s="87" t="s">
        <v>1807</v>
      </c>
      <c r="D11" s="87" t="s">
        <v>1808</v>
      </c>
    </row>
    <row r="12" spans="2:6" ht="39.6" x14ac:dyDescent="0.3">
      <c r="B12" s="87" t="s">
        <v>1809</v>
      </c>
      <c r="C12" s="87" t="s">
        <v>1810</v>
      </c>
      <c r="D12" s="87" t="s">
        <v>1811</v>
      </c>
    </row>
    <row r="13" spans="2:6" ht="39.6" x14ac:dyDescent="0.3">
      <c r="B13" s="87" t="s">
        <v>1812</v>
      </c>
      <c r="C13" s="87" t="s">
        <v>713</v>
      </c>
      <c r="D13" s="87" t="s">
        <v>1813</v>
      </c>
    </row>
    <row r="14" spans="2:6" ht="52.8" x14ac:dyDescent="0.3">
      <c r="B14" s="87" t="s">
        <v>1814</v>
      </c>
      <c r="C14" s="87" t="s">
        <v>713</v>
      </c>
      <c r="D14" s="87" t="s">
        <v>1815</v>
      </c>
    </row>
    <row r="15" spans="2:6" ht="52.8" x14ac:dyDescent="0.3">
      <c r="B15" s="87" t="s">
        <v>1816</v>
      </c>
      <c r="C15" s="87" t="s">
        <v>713</v>
      </c>
      <c r="D15" s="87" t="s">
        <v>1817</v>
      </c>
    </row>
    <row r="16" spans="2:6" ht="26.4" x14ac:dyDescent="0.3">
      <c r="B16" s="87" t="s">
        <v>1818</v>
      </c>
      <c r="C16" s="87" t="s">
        <v>713</v>
      </c>
      <c r="D16" s="87" t="s">
        <v>1819</v>
      </c>
    </row>
    <row r="17" spans="2:6" ht="26.4" x14ac:dyDescent="0.3">
      <c r="B17" s="87" t="s">
        <v>1820</v>
      </c>
      <c r="C17" s="87" t="s">
        <v>713</v>
      </c>
      <c r="D17" s="87" t="s">
        <v>1821</v>
      </c>
    </row>
    <row r="18" spans="2:6" ht="52.8" x14ac:dyDescent="0.3">
      <c r="B18" s="87" t="s">
        <v>1822</v>
      </c>
      <c r="C18" s="87" t="s">
        <v>713</v>
      </c>
      <c r="D18" s="87" t="s">
        <v>1823</v>
      </c>
    </row>
    <row r="20" spans="2:6" ht="27" customHeight="1" x14ac:dyDescent="0.3">
      <c r="B20" s="95" t="s">
        <v>1824</v>
      </c>
      <c r="C20" s="95"/>
      <c r="D20" s="95"/>
      <c r="E20" s="95"/>
      <c r="F20" s="95"/>
    </row>
    <row r="21" spans="2:6" ht="13.5" customHeight="1" x14ac:dyDescent="0.3">
      <c r="B21" s="93" t="s">
        <v>1825</v>
      </c>
      <c r="C21" s="93"/>
      <c r="D21" s="93"/>
      <c r="E21" s="93"/>
      <c r="F21" s="93"/>
    </row>
    <row r="22" spans="2:6" x14ac:dyDescent="0.3">
      <c r="B22" s="91"/>
      <c r="C22" s="91"/>
      <c r="D22" s="91"/>
      <c r="E22" s="91"/>
      <c r="F22" s="91"/>
    </row>
    <row r="23" spans="2:6" ht="13.5" customHeight="1" x14ac:dyDescent="0.3">
      <c r="B23" s="148" t="s">
        <v>1826</v>
      </c>
      <c r="C23" s="148"/>
      <c r="D23" s="148"/>
      <c r="E23" s="148"/>
      <c r="F23" s="148"/>
    </row>
    <row r="24" spans="2:6" x14ac:dyDescent="0.3">
      <c r="B24" s="85" t="s">
        <v>657</v>
      </c>
      <c r="C24" s="85" t="s">
        <v>1827</v>
      </c>
      <c r="D24" s="85" t="s">
        <v>1828</v>
      </c>
      <c r="E24" s="85" t="s">
        <v>1829</v>
      </c>
      <c r="F24" s="85" t="s">
        <v>1830</v>
      </c>
    </row>
    <row r="25" spans="2:6" x14ac:dyDescent="0.3">
      <c r="B25" s="87">
        <v>1</v>
      </c>
      <c r="C25" s="87" t="s">
        <v>1831</v>
      </c>
      <c r="D25" s="87" t="s">
        <v>1832</v>
      </c>
      <c r="E25" s="87" t="s">
        <v>1833</v>
      </c>
      <c r="F25" s="87" t="s">
        <v>1834</v>
      </c>
    </row>
    <row r="26" spans="2:6" ht="52.8" x14ac:dyDescent="0.3">
      <c r="B26" s="87">
        <v>2</v>
      </c>
      <c r="C26" s="87" t="s">
        <v>1835</v>
      </c>
      <c r="D26" s="87" t="s">
        <v>1836</v>
      </c>
      <c r="E26" s="87" t="s">
        <v>1837</v>
      </c>
      <c r="F26" s="87" t="s">
        <v>1838</v>
      </c>
    </row>
    <row r="27" spans="2:6" ht="26.4" x14ac:dyDescent="0.3">
      <c r="B27" s="87">
        <v>3</v>
      </c>
      <c r="C27" s="87" t="s">
        <v>1839</v>
      </c>
      <c r="D27" s="87" t="s">
        <v>1832</v>
      </c>
      <c r="E27" s="87" t="s">
        <v>1840</v>
      </c>
      <c r="F27" s="87" t="s">
        <v>1841</v>
      </c>
    </row>
    <row r="28" spans="2:6" ht="66" x14ac:dyDescent="0.3">
      <c r="B28" s="87">
        <v>4</v>
      </c>
      <c r="C28" s="87" t="s">
        <v>1842</v>
      </c>
      <c r="D28" s="87" t="s">
        <v>1836</v>
      </c>
      <c r="E28" s="87" t="s">
        <v>1843</v>
      </c>
      <c r="F28" s="87" t="s">
        <v>1844</v>
      </c>
    </row>
    <row r="29" spans="2:6" ht="26.4" x14ac:dyDescent="0.3">
      <c r="B29" s="87">
        <v>5</v>
      </c>
      <c r="C29" s="87" t="s">
        <v>1845</v>
      </c>
      <c r="D29" s="87" t="s">
        <v>1832</v>
      </c>
      <c r="E29" s="87" t="s">
        <v>1846</v>
      </c>
      <c r="F29" s="87" t="s">
        <v>1834</v>
      </c>
    </row>
    <row r="30" spans="2:6" x14ac:dyDescent="0.3">
      <c r="B30" s="87">
        <v>6</v>
      </c>
      <c r="C30" s="87" t="s">
        <v>1847</v>
      </c>
      <c r="D30" s="87" t="s">
        <v>1848</v>
      </c>
      <c r="E30" s="87" t="s">
        <v>1849</v>
      </c>
      <c r="F30" s="87" t="s">
        <v>1834</v>
      </c>
    </row>
    <row r="31" spans="2:6" ht="39.6" x14ac:dyDescent="0.3">
      <c r="B31" s="87">
        <v>7</v>
      </c>
      <c r="C31" s="87" t="s">
        <v>1850</v>
      </c>
      <c r="D31" s="87" t="s">
        <v>1832</v>
      </c>
      <c r="E31" s="87" t="s">
        <v>1851</v>
      </c>
      <c r="F31" s="87" t="s">
        <v>1852</v>
      </c>
    </row>
    <row r="32" spans="2:6" ht="26.4" x14ac:dyDescent="0.3">
      <c r="B32" s="87">
        <v>8</v>
      </c>
      <c r="C32" s="87" t="s">
        <v>1853</v>
      </c>
      <c r="D32" s="87" t="s">
        <v>1836</v>
      </c>
      <c r="E32" s="87" t="s">
        <v>1854</v>
      </c>
      <c r="F32" s="87" t="s">
        <v>1855</v>
      </c>
    </row>
    <row r="33" spans="2:6" ht="26.4" x14ac:dyDescent="0.3">
      <c r="B33" s="87">
        <v>9</v>
      </c>
      <c r="C33" s="87" t="s">
        <v>1856</v>
      </c>
      <c r="D33" s="87" t="s">
        <v>1857</v>
      </c>
      <c r="E33" s="87" t="s">
        <v>1858</v>
      </c>
      <c r="F33" s="87" t="s">
        <v>1859</v>
      </c>
    </row>
    <row r="34" spans="2:6" ht="39.6" x14ac:dyDescent="0.3">
      <c r="B34" s="87">
        <v>10</v>
      </c>
      <c r="C34" s="87" t="s">
        <v>1860</v>
      </c>
      <c r="D34" s="87" t="s">
        <v>1861</v>
      </c>
      <c r="E34" s="87" t="s">
        <v>1862</v>
      </c>
      <c r="F34" s="87" t="s">
        <v>1863</v>
      </c>
    </row>
    <row r="35" spans="2:6" ht="39.6" x14ac:dyDescent="0.3">
      <c r="B35" s="87">
        <v>11</v>
      </c>
      <c r="C35" s="87" t="s">
        <v>1864</v>
      </c>
      <c r="D35" s="87" t="s">
        <v>1836</v>
      </c>
      <c r="E35" s="87" t="s">
        <v>1865</v>
      </c>
      <c r="F35" s="87" t="s">
        <v>1866</v>
      </c>
    </row>
    <row r="36" spans="2:6" ht="52.8" x14ac:dyDescent="0.3">
      <c r="B36" s="87">
        <v>12</v>
      </c>
      <c r="C36" s="87" t="s">
        <v>1867</v>
      </c>
      <c r="D36" s="87" t="s">
        <v>1836</v>
      </c>
      <c r="E36" s="87" t="s">
        <v>1868</v>
      </c>
      <c r="F36" s="87" t="s">
        <v>1869</v>
      </c>
    </row>
    <row r="37" spans="2:6" ht="39.6" x14ac:dyDescent="0.3">
      <c r="B37" s="87">
        <v>13</v>
      </c>
      <c r="C37" s="87" t="s">
        <v>1870</v>
      </c>
      <c r="D37" s="87" t="s">
        <v>1836</v>
      </c>
      <c r="E37" s="87" t="s">
        <v>1871</v>
      </c>
      <c r="F37" s="87" t="s">
        <v>1872</v>
      </c>
    </row>
    <row r="38" spans="2:6" ht="26.4" x14ac:dyDescent="0.3">
      <c r="B38" s="87">
        <v>14</v>
      </c>
      <c r="C38" s="87" t="s">
        <v>1873</v>
      </c>
      <c r="D38" s="87" t="s">
        <v>1832</v>
      </c>
      <c r="E38" s="87" t="s">
        <v>1874</v>
      </c>
      <c r="F38" s="87" t="s">
        <v>1875</v>
      </c>
    </row>
    <row r="39" spans="2:6" ht="26.4" x14ac:dyDescent="0.3">
      <c r="B39" s="87">
        <v>15</v>
      </c>
      <c r="C39" s="87" t="s">
        <v>1876</v>
      </c>
      <c r="D39" s="87" t="s">
        <v>1836</v>
      </c>
      <c r="E39" s="87" t="s">
        <v>1877</v>
      </c>
      <c r="F39" s="87" t="s">
        <v>1878</v>
      </c>
    </row>
    <row r="40" spans="2:6" ht="26.4" x14ac:dyDescent="0.3">
      <c r="B40" s="87">
        <v>16</v>
      </c>
      <c r="C40" s="87" t="s">
        <v>170</v>
      </c>
      <c r="D40" s="87" t="s">
        <v>1832</v>
      </c>
      <c r="E40" s="87" t="s">
        <v>1879</v>
      </c>
      <c r="F40" s="87" t="s">
        <v>1834</v>
      </c>
    </row>
    <row r="41" spans="2:6" ht="26.4" x14ac:dyDescent="0.3">
      <c r="B41" s="87">
        <v>17</v>
      </c>
      <c r="C41" s="87" t="s">
        <v>1880</v>
      </c>
      <c r="D41" s="87" t="s">
        <v>1832</v>
      </c>
      <c r="E41" s="87" t="s">
        <v>1881</v>
      </c>
      <c r="F41" s="87" t="s">
        <v>1834</v>
      </c>
    </row>
    <row r="42" spans="2:6" ht="26.4" x14ac:dyDescent="0.3">
      <c r="B42" s="87">
        <v>18</v>
      </c>
      <c r="C42" s="87" t="s">
        <v>1882</v>
      </c>
      <c r="D42" s="87" t="s">
        <v>1836</v>
      </c>
      <c r="E42" s="87" t="s">
        <v>1883</v>
      </c>
      <c r="F42" s="87" t="s">
        <v>1884</v>
      </c>
    </row>
    <row r="43" spans="2:6" ht="39.6" x14ac:dyDescent="0.3">
      <c r="B43" s="87">
        <v>19</v>
      </c>
      <c r="C43" s="87" t="s">
        <v>1885</v>
      </c>
      <c r="D43" s="87" t="s">
        <v>1857</v>
      </c>
      <c r="E43" s="87" t="s">
        <v>1886</v>
      </c>
      <c r="F43" s="87" t="s">
        <v>1887</v>
      </c>
    </row>
    <row r="44" spans="2:6" x14ac:dyDescent="0.3">
      <c r="B44" s="87">
        <v>20</v>
      </c>
      <c r="C44" s="87" t="s">
        <v>1888</v>
      </c>
      <c r="D44" s="87" t="s">
        <v>1836</v>
      </c>
      <c r="E44" s="87" t="s">
        <v>1889</v>
      </c>
      <c r="F44" s="87" t="s">
        <v>1890</v>
      </c>
    </row>
    <row r="46" spans="2:6" ht="13.5" customHeight="1" x14ac:dyDescent="0.3">
      <c r="B46" s="93" t="s">
        <v>1825</v>
      </c>
      <c r="C46" s="93"/>
      <c r="D46" s="93"/>
      <c r="E46" s="93"/>
      <c r="F46" s="93"/>
    </row>
    <row r="47" spans="2:6" x14ac:dyDescent="0.3">
      <c r="B47" s="91"/>
      <c r="C47" s="91"/>
      <c r="D47" s="91"/>
      <c r="E47" s="91"/>
      <c r="F47" s="91"/>
    </row>
    <row r="48" spans="2:6" ht="13.5" customHeight="1" x14ac:dyDescent="0.3">
      <c r="B48" s="148" t="s">
        <v>1891</v>
      </c>
      <c r="C48" s="148"/>
      <c r="D48" s="148"/>
      <c r="E48" s="148"/>
      <c r="F48" s="148"/>
    </row>
    <row r="49" spans="2:6" ht="13.5" customHeight="1" x14ac:dyDescent="0.3">
      <c r="B49" s="93" t="s">
        <v>1892</v>
      </c>
      <c r="C49" s="93"/>
      <c r="D49" s="93"/>
      <c r="E49" s="93"/>
      <c r="F49" s="93"/>
    </row>
    <row r="50" spans="2:6" ht="13.5" customHeight="1" x14ac:dyDescent="0.3">
      <c r="B50" s="93" t="s">
        <v>1893</v>
      </c>
      <c r="C50" s="93"/>
      <c r="D50" s="93"/>
      <c r="E50" s="93"/>
      <c r="F50" s="93"/>
    </row>
    <row r="51" spans="2:6" x14ac:dyDescent="0.3">
      <c r="B51" s="85" t="s">
        <v>1390</v>
      </c>
      <c r="C51" s="85" t="s">
        <v>1894</v>
      </c>
      <c r="D51" s="85" t="s">
        <v>1895</v>
      </c>
    </row>
    <row r="52" spans="2:6" x14ac:dyDescent="0.3">
      <c r="B52" s="87" t="s">
        <v>6</v>
      </c>
      <c r="C52" s="87" t="s">
        <v>1896</v>
      </c>
      <c r="D52" s="87" t="s">
        <v>1897</v>
      </c>
    </row>
    <row r="53" spans="2:6" x14ac:dyDescent="0.3">
      <c r="B53" s="87" t="s">
        <v>857</v>
      </c>
      <c r="C53" s="87" t="s">
        <v>27</v>
      </c>
      <c r="D53" s="87" t="s">
        <v>1898</v>
      </c>
    </row>
    <row r="54" spans="2:6" ht="26.4" x14ac:dyDescent="0.3">
      <c r="B54" s="87" t="s">
        <v>1899</v>
      </c>
      <c r="C54" s="87" t="s">
        <v>1900</v>
      </c>
      <c r="D54" s="87" t="s">
        <v>1901</v>
      </c>
    </row>
    <row r="55" spans="2:6" ht="26.4" x14ac:dyDescent="0.3">
      <c r="B55" s="87" t="s">
        <v>1902</v>
      </c>
      <c r="C55" s="87" t="s">
        <v>1903</v>
      </c>
      <c r="D55" s="87" t="s">
        <v>1904</v>
      </c>
    </row>
    <row r="56" spans="2:6" ht="26.4" x14ac:dyDescent="0.3">
      <c r="B56" s="87" t="s">
        <v>1905</v>
      </c>
      <c r="C56" s="87" t="s">
        <v>1906</v>
      </c>
      <c r="D56" s="87" t="s">
        <v>1907</v>
      </c>
    </row>
    <row r="57" spans="2:6" ht="26.4" x14ac:dyDescent="0.3">
      <c r="B57" s="87" t="s">
        <v>1908</v>
      </c>
      <c r="C57" s="87" t="s">
        <v>506</v>
      </c>
      <c r="D57" s="87" t="s">
        <v>1909</v>
      </c>
    </row>
    <row r="58" spans="2:6" x14ac:dyDescent="0.3">
      <c r="B58" s="87" t="s">
        <v>544</v>
      </c>
      <c r="C58" s="87" t="s">
        <v>1910</v>
      </c>
      <c r="D58" s="87" t="s">
        <v>1911</v>
      </c>
    </row>
    <row r="59" spans="2:6" x14ac:dyDescent="0.3">
      <c r="B59" s="87" t="s">
        <v>789</v>
      </c>
      <c r="C59" s="87" t="s">
        <v>1912</v>
      </c>
      <c r="D59" s="87" t="s">
        <v>1913</v>
      </c>
    </row>
    <row r="60" spans="2:6" ht="26.4" x14ac:dyDescent="0.3">
      <c r="B60" s="87" t="s">
        <v>1914</v>
      </c>
      <c r="C60" s="87" t="s">
        <v>1915</v>
      </c>
      <c r="D60" s="87" t="s">
        <v>1916</v>
      </c>
    </row>
    <row r="62" spans="2:6" ht="13.5" customHeight="1" x14ac:dyDescent="0.3">
      <c r="B62" s="93" t="s">
        <v>1917</v>
      </c>
      <c r="C62" s="93"/>
      <c r="D62" s="93"/>
      <c r="E62" s="93"/>
      <c r="F62" s="93"/>
    </row>
    <row r="63" spans="2:6" ht="13.5" customHeight="1" x14ac:dyDescent="0.3">
      <c r="B63" s="93" t="s">
        <v>1825</v>
      </c>
      <c r="C63" s="93"/>
      <c r="D63" s="93"/>
      <c r="E63" s="93"/>
      <c r="F63" s="93"/>
    </row>
    <row r="64" spans="2:6" x14ac:dyDescent="0.3">
      <c r="B64" s="91"/>
      <c r="C64" s="91"/>
      <c r="D64" s="91"/>
      <c r="E64" s="91"/>
      <c r="F64" s="91"/>
    </row>
    <row r="65" spans="2:6" ht="13.5" customHeight="1" x14ac:dyDescent="0.3">
      <c r="B65" s="148" t="s">
        <v>1918</v>
      </c>
      <c r="C65" s="148"/>
      <c r="D65" s="148"/>
      <c r="E65" s="148"/>
      <c r="F65" s="148"/>
    </row>
    <row r="66" spans="2:6" ht="13.5" customHeight="1" x14ac:dyDescent="0.3">
      <c r="B66" s="93" t="s">
        <v>1919</v>
      </c>
      <c r="C66" s="93"/>
      <c r="D66" s="93"/>
      <c r="E66" s="93"/>
      <c r="F66" s="93"/>
    </row>
    <row r="67" spans="2:6" ht="13.5" customHeight="1" x14ac:dyDescent="0.3">
      <c r="B67" s="93" t="s">
        <v>1920</v>
      </c>
      <c r="C67" s="93"/>
      <c r="D67" s="93"/>
      <c r="E67" s="93"/>
      <c r="F67" s="93"/>
    </row>
    <row r="68" spans="2:6" ht="13.5" customHeight="1" x14ac:dyDescent="0.3">
      <c r="B68" s="93" t="s">
        <v>1921</v>
      </c>
      <c r="C68" s="93"/>
      <c r="D68" s="93"/>
      <c r="E68" s="93"/>
      <c r="F68" s="93"/>
    </row>
    <row r="69" spans="2:6" ht="13.5" customHeight="1" x14ac:dyDescent="0.3">
      <c r="B69" s="93" t="s">
        <v>1922</v>
      </c>
      <c r="C69" s="93"/>
      <c r="D69" s="93"/>
      <c r="E69" s="93"/>
      <c r="F69" s="93"/>
    </row>
    <row r="70" spans="2:6" ht="13.5" customHeight="1" x14ac:dyDescent="0.3">
      <c r="B70" s="93" t="s">
        <v>1923</v>
      </c>
      <c r="C70" s="93"/>
      <c r="D70" s="93"/>
      <c r="E70" s="93"/>
      <c r="F70" s="93"/>
    </row>
    <row r="71" spans="2:6" ht="13.5" customHeight="1" x14ac:dyDescent="0.3">
      <c r="B71" s="93" t="s">
        <v>1924</v>
      </c>
      <c r="C71" s="93"/>
      <c r="D71" s="93"/>
      <c r="E71" s="93"/>
      <c r="F71" s="93"/>
    </row>
    <row r="72" spans="2:6" ht="13.5" customHeight="1" x14ac:dyDescent="0.3">
      <c r="B72" s="149" t="s">
        <v>1925</v>
      </c>
      <c r="C72" s="149"/>
      <c r="D72" s="149"/>
      <c r="E72" s="149"/>
      <c r="F72" s="149"/>
    </row>
    <row r="73" spans="2:6" ht="13.5" customHeight="1" x14ac:dyDescent="0.3">
      <c r="B73" s="93" t="s">
        <v>1926</v>
      </c>
      <c r="C73" s="93"/>
      <c r="D73" s="93"/>
      <c r="E73" s="93"/>
      <c r="F73" s="93"/>
    </row>
    <row r="74" spans="2:6" ht="13.5" customHeight="1" x14ac:dyDescent="0.3">
      <c r="B74" s="93" t="s">
        <v>1927</v>
      </c>
      <c r="C74" s="93"/>
      <c r="D74" s="93"/>
      <c r="E74" s="93"/>
      <c r="F74" s="93"/>
    </row>
    <row r="75" spans="2:6" ht="13.5" customHeight="1" x14ac:dyDescent="0.3">
      <c r="B75" s="93" t="s">
        <v>1928</v>
      </c>
      <c r="C75" s="93"/>
      <c r="D75" s="93"/>
      <c r="E75" s="93"/>
      <c r="F75" s="93"/>
    </row>
    <row r="76" spans="2:6" ht="27" customHeight="1" x14ac:dyDescent="0.3">
      <c r="B76" s="93" t="s">
        <v>1929</v>
      </c>
      <c r="C76" s="93"/>
      <c r="D76" s="93"/>
      <c r="E76" s="93"/>
      <c r="F76" s="93"/>
    </row>
    <row r="77" spans="2:6" ht="13.5" customHeight="1" x14ac:dyDescent="0.3">
      <c r="B77" s="93" t="s">
        <v>1930</v>
      </c>
      <c r="C77" s="93"/>
      <c r="D77" s="93"/>
      <c r="E77" s="93"/>
      <c r="F77" s="93"/>
    </row>
    <row r="78" spans="2:6" ht="13.5" customHeight="1" x14ac:dyDescent="0.3">
      <c r="B78" s="93" t="s">
        <v>1931</v>
      </c>
      <c r="C78" s="93"/>
      <c r="D78" s="93"/>
      <c r="E78" s="93"/>
      <c r="F78" s="93"/>
    </row>
    <row r="79" spans="2:6" ht="13.5" customHeight="1" x14ac:dyDescent="0.3">
      <c r="B79" s="93" t="s">
        <v>1825</v>
      </c>
      <c r="C79" s="93"/>
      <c r="D79" s="93"/>
      <c r="E79" s="93"/>
      <c r="F79" s="93"/>
    </row>
    <row r="80" spans="2:6" x14ac:dyDescent="0.3">
      <c r="B80" s="91"/>
      <c r="C80" s="91"/>
      <c r="D80" s="91"/>
      <c r="E80" s="91"/>
      <c r="F80" s="91"/>
    </row>
    <row r="81" spans="2:6" ht="13.5" customHeight="1" x14ac:dyDescent="0.3">
      <c r="B81" s="148" t="s">
        <v>1932</v>
      </c>
      <c r="C81" s="148"/>
      <c r="D81" s="148"/>
      <c r="E81" s="148"/>
      <c r="F81" s="148"/>
    </row>
    <row r="82" spans="2:6" ht="13.5" customHeight="1" x14ac:dyDescent="0.3">
      <c r="B82" s="149" t="s">
        <v>1933</v>
      </c>
      <c r="C82" s="149"/>
      <c r="D82" s="149"/>
      <c r="E82" s="149"/>
      <c r="F82" s="149"/>
    </row>
    <row r="83" spans="2:6" ht="13.5" customHeight="1" x14ac:dyDescent="0.3">
      <c r="B83" s="93" t="s">
        <v>1934</v>
      </c>
      <c r="C83" s="93"/>
      <c r="D83" s="93"/>
      <c r="E83" s="93"/>
      <c r="F83" s="93"/>
    </row>
    <row r="84" spans="2:6" ht="13.5" customHeight="1" x14ac:dyDescent="0.3">
      <c r="B84" s="93" t="s">
        <v>1935</v>
      </c>
      <c r="C84" s="93"/>
      <c r="D84" s="93"/>
      <c r="E84" s="93"/>
      <c r="F84" s="93"/>
    </row>
    <row r="85" spans="2:6" ht="13.5" customHeight="1" x14ac:dyDescent="0.3">
      <c r="B85" s="93" t="s">
        <v>1936</v>
      </c>
      <c r="C85" s="93"/>
      <c r="D85" s="93"/>
      <c r="E85" s="93"/>
      <c r="F85" s="93"/>
    </row>
    <row r="86" spans="2:6" ht="13.5" customHeight="1" x14ac:dyDescent="0.3">
      <c r="B86" s="93" t="s">
        <v>1937</v>
      </c>
      <c r="C86" s="93"/>
      <c r="D86" s="93"/>
      <c r="E86" s="93"/>
      <c r="F86" s="93"/>
    </row>
    <row r="87" spans="2:6" ht="13.5" customHeight="1" x14ac:dyDescent="0.3">
      <c r="B87" s="93" t="s">
        <v>1938</v>
      </c>
      <c r="C87" s="93"/>
      <c r="D87" s="93"/>
      <c r="E87" s="93"/>
      <c r="F87" s="93"/>
    </row>
    <row r="88" spans="2:6" ht="13.5" customHeight="1" x14ac:dyDescent="0.3">
      <c r="B88" s="149" t="s">
        <v>1939</v>
      </c>
      <c r="C88" s="149"/>
      <c r="D88" s="149"/>
      <c r="E88" s="149"/>
      <c r="F88" s="149"/>
    </row>
    <row r="89" spans="2:6" ht="13.5" customHeight="1" x14ac:dyDescent="0.3">
      <c r="B89" s="93" t="s">
        <v>1940</v>
      </c>
      <c r="C89" s="93"/>
      <c r="D89" s="93"/>
      <c r="E89" s="93"/>
      <c r="F89" s="93"/>
    </row>
    <row r="90" spans="2:6" ht="13.5" customHeight="1" x14ac:dyDescent="0.3">
      <c r="B90" s="93" t="s">
        <v>1941</v>
      </c>
      <c r="C90" s="93"/>
      <c r="D90" s="93"/>
      <c r="E90" s="93"/>
      <c r="F90" s="93"/>
    </row>
    <row r="91" spans="2:6" ht="13.5" customHeight="1" x14ac:dyDescent="0.3">
      <c r="B91" s="93" t="s">
        <v>1942</v>
      </c>
      <c r="C91" s="93"/>
      <c r="D91" s="93"/>
      <c r="E91" s="93"/>
      <c r="F91" s="93"/>
    </row>
    <row r="92" spans="2:6" ht="13.5" customHeight="1" x14ac:dyDescent="0.3">
      <c r="B92" s="93" t="s">
        <v>1943</v>
      </c>
      <c r="C92" s="93"/>
      <c r="D92" s="93"/>
      <c r="E92" s="93"/>
      <c r="F92" s="93"/>
    </row>
    <row r="93" spans="2:6" ht="13.5" customHeight="1" x14ac:dyDescent="0.3">
      <c r="B93" s="93" t="s">
        <v>1944</v>
      </c>
      <c r="C93" s="93"/>
      <c r="D93" s="93"/>
      <c r="E93" s="93"/>
      <c r="F93" s="93"/>
    </row>
    <row r="94" spans="2:6" ht="13.5" customHeight="1" x14ac:dyDescent="0.3">
      <c r="B94" s="93" t="s">
        <v>1945</v>
      </c>
      <c r="C94" s="93"/>
      <c r="D94" s="93"/>
      <c r="E94" s="93"/>
      <c r="F94" s="93"/>
    </row>
    <row r="95" spans="2:6" ht="13.5" customHeight="1" x14ac:dyDescent="0.3">
      <c r="B95" s="93" t="s">
        <v>1946</v>
      </c>
      <c r="C95" s="93"/>
      <c r="D95" s="93"/>
      <c r="E95" s="93"/>
      <c r="F95" s="93"/>
    </row>
    <row r="96" spans="2:6" ht="13.5" customHeight="1" x14ac:dyDescent="0.3">
      <c r="B96" s="93" t="s">
        <v>1947</v>
      </c>
      <c r="C96" s="93"/>
      <c r="D96" s="93"/>
      <c r="E96" s="93"/>
      <c r="F96" s="93"/>
    </row>
    <row r="97" spans="2:6" ht="13.5" customHeight="1" x14ac:dyDescent="0.3">
      <c r="B97" s="93" t="s">
        <v>1948</v>
      </c>
      <c r="C97" s="93"/>
      <c r="D97" s="93"/>
      <c r="E97" s="93"/>
      <c r="F97" s="93"/>
    </row>
    <row r="98" spans="2:6" ht="27" customHeight="1" x14ac:dyDescent="0.3">
      <c r="B98" s="93" t="s">
        <v>1949</v>
      </c>
      <c r="C98" s="93"/>
      <c r="D98" s="93"/>
      <c r="E98" s="93"/>
      <c r="F98" s="93"/>
    </row>
    <row r="99" spans="2:6" ht="27" customHeight="1" x14ac:dyDescent="0.3">
      <c r="B99" s="93" t="s">
        <v>1950</v>
      </c>
      <c r="C99" s="93"/>
      <c r="D99" s="93"/>
      <c r="E99" s="93"/>
      <c r="F99" s="93"/>
    </row>
    <row r="100" spans="2:6" ht="27" customHeight="1" x14ac:dyDescent="0.3">
      <c r="B100" s="146" t="s">
        <v>1951</v>
      </c>
      <c r="C100" s="146"/>
      <c r="D100" s="146"/>
      <c r="E100" s="146"/>
      <c r="F100" s="146"/>
    </row>
    <row r="101" spans="2:6" ht="13.5" customHeight="1" x14ac:dyDescent="0.3">
      <c r="B101" s="149" t="s">
        <v>1952</v>
      </c>
      <c r="C101" s="149"/>
      <c r="D101" s="149"/>
      <c r="E101" s="149"/>
      <c r="F101" s="149"/>
    </row>
    <row r="102" spans="2:6" ht="27" customHeight="1" x14ac:dyDescent="0.3">
      <c r="B102" s="93" t="s">
        <v>1953</v>
      </c>
      <c r="C102" s="93"/>
      <c r="D102" s="93"/>
      <c r="E102" s="93"/>
      <c r="F102" s="93"/>
    </row>
    <row r="103" spans="2:6" ht="13.5" customHeight="1" x14ac:dyDescent="0.3">
      <c r="B103" s="93" t="s">
        <v>1954</v>
      </c>
      <c r="C103" s="93"/>
      <c r="D103" s="93"/>
      <c r="E103" s="93"/>
      <c r="F103" s="93"/>
    </row>
    <row r="104" spans="2:6" ht="13.5" customHeight="1" x14ac:dyDescent="0.3">
      <c r="B104" s="93" t="s">
        <v>1955</v>
      </c>
      <c r="C104" s="93"/>
      <c r="D104" s="93"/>
      <c r="E104" s="93"/>
      <c r="F104" s="93"/>
    </row>
    <row r="105" spans="2:6" ht="13.5" customHeight="1" x14ac:dyDescent="0.3">
      <c r="B105" s="93" t="s">
        <v>1956</v>
      </c>
      <c r="C105" s="93"/>
      <c r="D105" s="93"/>
      <c r="E105" s="93"/>
      <c r="F105" s="93"/>
    </row>
    <row r="106" spans="2:6" ht="13.5" customHeight="1" x14ac:dyDescent="0.3">
      <c r="B106" s="93" t="s">
        <v>1825</v>
      </c>
      <c r="C106" s="93"/>
      <c r="D106" s="93"/>
      <c r="E106" s="93"/>
      <c r="F106" s="93"/>
    </row>
    <row r="107" spans="2:6" x14ac:dyDescent="0.3">
      <c r="B107" s="91"/>
      <c r="C107" s="91"/>
      <c r="D107" s="91"/>
      <c r="E107" s="91"/>
      <c r="F107" s="91"/>
    </row>
    <row r="108" spans="2:6" ht="13.5" customHeight="1" x14ac:dyDescent="0.3">
      <c r="B108" s="148" t="s">
        <v>1957</v>
      </c>
      <c r="C108" s="148"/>
      <c r="D108" s="148"/>
      <c r="E108" s="148"/>
      <c r="F108" s="148"/>
    </row>
    <row r="109" spans="2:6" ht="13.5" customHeight="1" x14ac:dyDescent="0.3">
      <c r="B109" s="93" t="s">
        <v>1958</v>
      </c>
      <c r="C109" s="93"/>
      <c r="D109" s="93"/>
      <c r="E109" s="93"/>
      <c r="F109" s="93"/>
    </row>
    <row r="110" spans="2:6" ht="13.5" customHeight="1" x14ac:dyDescent="0.3">
      <c r="B110" s="93" t="s">
        <v>1959</v>
      </c>
      <c r="C110" s="93"/>
      <c r="D110" s="93"/>
      <c r="E110" s="93"/>
      <c r="F110" s="93"/>
    </row>
    <row r="111" spans="2:6" ht="13.5" customHeight="1" x14ac:dyDescent="0.3">
      <c r="B111" s="93" t="s">
        <v>1960</v>
      </c>
      <c r="C111" s="93"/>
      <c r="D111" s="93"/>
      <c r="E111" s="93"/>
      <c r="F111" s="93"/>
    </row>
    <row r="112" spans="2:6" ht="13.5" customHeight="1" x14ac:dyDescent="0.3">
      <c r="B112" s="93" t="s">
        <v>1961</v>
      </c>
      <c r="C112" s="93"/>
      <c r="D112" s="93"/>
      <c r="E112" s="93"/>
      <c r="F112" s="93"/>
    </row>
    <row r="113" spans="2:6" ht="13.5" customHeight="1" x14ac:dyDescent="0.3">
      <c r="B113" s="93" t="s">
        <v>1962</v>
      </c>
      <c r="C113" s="93"/>
      <c r="D113" s="93"/>
      <c r="E113" s="93"/>
      <c r="F113" s="93"/>
    </row>
    <row r="114" spans="2:6" ht="13.5" customHeight="1" x14ac:dyDescent="0.3">
      <c r="B114" s="93" t="s">
        <v>1963</v>
      </c>
      <c r="C114" s="93"/>
      <c r="D114" s="93"/>
      <c r="E114" s="93"/>
      <c r="F114" s="93"/>
    </row>
    <row r="115" spans="2:6" ht="13.5" customHeight="1" x14ac:dyDescent="0.3">
      <c r="B115" s="93" t="s">
        <v>1964</v>
      </c>
      <c r="C115" s="93"/>
      <c r="D115" s="93"/>
      <c r="E115" s="93"/>
      <c r="F115" s="93"/>
    </row>
    <row r="116" spans="2:6" ht="40.5" customHeight="1" x14ac:dyDescent="0.3">
      <c r="B116" s="93" t="s">
        <v>1965</v>
      </c>
      <c r="C116" s="93"/>
      <c r="D116" s="93"/>
      <c r="E116" s="93"/>
      <c r="F116" s="93"/>
    </row>
    <row r="117" spans="2:6" ht="27" customHeight="1" x14ac:dyDescent="0.3">
      <c r="B117" s="93" t="s">
        <v>1966</v>
      </c>
      <c r="C117" s="93"/>
      <c r="D117" s="93"/>
      <c r="E117" s="93"/>
      <c r="F117" s="93"/>
    </row>
    <row r="118" spans="2:6" ht="13.5" customHeight="1" x14ac:dyDescent="0.3">
      <c r="B118" s="93" t="s">
        <v>1967</v>
      </c>
      <c r="C118" s="93"/>
      <c r="D118" s="93"/>
      <c r="E118" s="93"/>
      <c r="F118" s="93"/>
    </row>
    <row r="119" spans="2:6" ht="27" customHeight="1" x14ac:dyDescent="0.3">
      <c r="B119" s="93" t="s">
        <v>1968</v>
      </c>
      <c r="C119" s="93"/>
      <c r="D119" s="93"/>
      <c r="E119" s="93"/>
      <c r="F119" s="93"/>
    </row>
    <row r="120" spans="2:6" ht="27" customHeight="1" x14ac:dyDescent="0.3">
      <c r="B120" s="93" t="s">
        <v>1969</v>
      </c>
      <c r="C120" s="93"/>
      <c r="D120" s="93"/>
      <c r="E120" s="93"/>
      <c r="F120" s="93"/>
    </row>
    <row r="121" spans="2:6" ht="13.5" customHeight="1" x14ac:dyDescent="0.3">
      <c r="B121" s="93" t="s">
        <v>1970</v>
      </c>
      <c r="C121" s="93"/>
      <c r="D121" s="93"/>
      <c r="E121" s="93"/>
      <c r="F121" s="93"/>
    </row>
    <row r="122" spans="2:6" ht="27" customHeight="1" x14ac:dyDescent="0.3">
      <c r="B122" s="93" t="s">
        <v>1971</v>
      </c>
      <c r="C122" s="93"/>
      <c r="D122" s="93"/>
      <c r="E122" s="93"/>
      <c r="F122" s="93"/>
    </row>
    <row r="123" spans="2:6" ht="13.5" customHeight="1" x14ac:dyDescent="0.3">
      <c r="B123" s="93" t="s">
        <v>1825</v>
      </c>
      <c r="C123" s="93"/>
      <c r="D123" s="93"/>
      <c r="E123" s="93"/>
      <c r="F123" s="93"/>
    </row>
    <row r="124" spans="2:6" x14ac:dyDescent="0.3">
      <c r="B124" s="91"/>
      <c r="C124" s="91"/>
      <c r="D124" s="91"/>
      <c r="E124" s="91"/>
      <c r="F124" s="91"/>
    </row>
    <row r="125" spans="2:6" ht="13.5" customHeight="1" x14ac:dyDescent="0.3">
      <c r="B125" s="148" t="s">
        <v>1972</v>
      </c>
      <c r="C125" s="148"/>
      <c r="D125" s="148"/>
      <c r="E125" s="148"/>
      <c r="F125" s="148"/>
    </row>
    <row r="126" spans="2:6" ht="13.5" customHeight="1" x14ac:dyDescent="0.3">
      <c r="B126" s="93" t="s">
        <v>1973</v>
      </c>
      <c r="C126" s="93"/>
      <c r="D126" s="93"/>
      <c r="E126" s="93"/>
      <c r="F126" s="93"/>
    </row>
    <row r="127" spans="2:6" ht="27" customHeight="1" x14ac:dyDescent="0.3">
      <c r="B127" s="93" t="s">
        <v>1974</v>
      </c>
      <c r="C127" s="93"/>
      <c r="D127" s="93"/>
      <c r="E127" s="93"/>
      <c r="F127" s="93"/>
    </row>
    <row r="128" spans="2:6" ht="13.5" customHeight="1" x14ac:dyDescent="0.3">
      <c r="B128" s="93" t="s">
        <v>1975</v>
      </c>
      <c r="C128" s="93"/>
      <c r="D128" s="93"/>
      <c r="E128" s="93"/>
      <c r="F128" s="93"/>
    </row>
    <row r="129" spans="2:6" ht="13.5" customHeight="1" x14ac:dyDescent="0.3">
      <c r="B129" s="93" t="s">
        <v>1976</v>
      </c>
      <c r="C129" s="93"/>
      <c r="D129" s="93"/>
      <c r="E129" s="93"/>
      <c r="F129" s="93"/>
    </row>
    <row r="130" spans="2:6" ht="13.5" customHeight="1" x14ac:dyDescent="0.3">
      <c r="B130" s="93" t="s">
        <v>1977</v>
      </c>
      <c r="C130" s="93"/>
      <c r="D130" s="93"/>
      <c r="E130" s="93"/>
      <c r="F130" s="93"/>
    </row>
    <row r="131" spans="2:6" ht="13.5" customHeight="1" x14ac:dyDescent="0.3">
      <c r="B131" s="93" t="s">
        <v>1978</v>
      </c>
      <c r="C131" s="93"/>
      <c r="D131" s="93"/>
      <c r="E131" s="93"/>
      <c r="F131" s="93"/>
    </row>
    <row r="132" spans="2:6" ht="13.5" customHeight="1" x14ac:dyDescent="0.3">
      <c r="B132" s="93" t="s">
        <v>1825</v>
      </c>
      <c r="C132" s="93"/>
      <c r="D132" s="93"/>
      <c r="E132" s="93"/>
      <c r="F132" s="93"/>
    </row>
    <row r="133" spans="2:6" x14ac:dyDescent="0.3">
      <c r="B133" s="91"/>
      <c r="C133" s="91"/>
      <c r="D133" s="91"/>
      <c r="E133" s="91"/>
      <c r="F133" s="91"/>
    </row>
    <row r="134" spans="2:6" ht="13.5" customHeight="1" x14ac:dyDescent="0.3">
      <c r="B134" s="148" t="s">
        <v>1979</v>
      </c>
      <c r="C134" s="148"/>
      <c r="D134" s="148"/>
      <c r="E134" s="148"/>
      <c r="F134" s="148"/>
    </row>
    <row r="135" spans="2:6" ht="13.5" customHeight="1" x14ac:dyDescent="0.3">
      <c r="B135" s="93" t="s">
        <v>1980</v>
      </c>
      <c r="C135" s="93"/>
      <c r="D135" s="93"/>
      <c r="E135" s="93"/>
      <c r="F135" s="93"/>
    </row>
    <row r="136" spans="2:6" ht="13.5" customHeight="1" x14ac:dyDescent="0.3">
      <c r="B136" s="93" t="s">
        <v>1981</v>
      </c>
      <c r="C136" s="93"/>
      <c r="D136" s="93"/>
      <c r="E136" s="93"/>
      <c r="F136" s="93"/>
    </row>
    <row r="137" spans="2:6" ht="13.5" customHeight="1" x14ac:dyDescent="0.3">
      <c r="B137" s="93" t="s">
        <v>1982</v>
      </c>
      <c r="C137" s="93"/>
      <c r="D137" s="93"/>
      <c r="E137" s="93"/>
      <c r="F137" s="93"/>
    </row>
    <row r="138" spans="2:6" ht="13.5" customHeight="1" x14ac:dyDescent="0.3">
      <c r="B138" s="93" t="s">
        <v>1983</v>
      </c>
      <c r="C138" s="93"/>
      <c r="D138" s="93"/>
      <c r="E138" s="93"/>
      <c r="F138" s="93"/>
    </row>
    <row r="139" spans="2:6" ht="13.5" customHeight="1" x14ac:dyDescent="0.3">
      <c r="B139" s="93" t="s">
        <v>1984</v>
      </c>
      <c r="C139" s="93"/>
      <c r="D139" s="93"/>
      <c r="E139" s="93"/>
      <c r="F139" s="93"/>
    </row>
    <row r="140" spans="2:6" ht="13.5" customHeight="1" x14ac:dyDescent="0.3">
      <c r="B140" s="93" t="s">
        <v>1985</v>
      </c>
      <c r="C140" s="93"/>
      <c r="D140" s="93"/>
      <c r="E140" s="93"/>
      <c r="F140" s="93"/>
    </row>
    <row r="141" spans="2:6" ht="13.5" customHeight="1" x14ac:dyDescent="0.3">
      <c r="B141" s="93" t="s">
        <v>1986</v>
      </c>
      <c r="C141" s="93"/>
      <c r="D141" s="93"/>
      <c r="E141" s="93"/>
      <c r="F141" s="93"/>
    </row>
    <row r="142" spans="2:6" ht="13.5" customHeight="1" x14ac:dyDescent="0.3">
      <c r="B142" s="93" t="s">
        <v>1987</v>
      </c>
      <c r="C142" s="93"/>
      <c r="D142" s="93"/>
      <c r="E142" s="93"/>
      <c r="F142" s="93"/>
    </row>
    <row r="143" spans="2:6" ht="13.5" customHeight="1" x14ac:dyDescent="0.3">
      <c r="B143" s="93" t="s">
        <v>1988</v>
      </c>
      <c r="C143" s="93"/>
      <c r="D143" s="93"/>
      <c r="E143" s="93"/>
      <c r="F143" s="93"/>
    </row>
    <row r="144" spans="2:6" ht="40.5" customHeight="1" x14ac:dyDescent="0.3">
      <c r="B144" s="93" t="s">
        <v>1989</v>
      </c>
      <c r="C144" s="93"/>
      <c r="D144" s="93"/>
      <c r="E144" s="93"/>
      <c r="F144" s="93"/>
    </row>
    <row r="145" spans="2:6" ht="13.5" customHeight="1" x14ac:dyDescent="0.3">
      <c r="B145" s="93" t="s">
        <v>1990</v>
      </c>
      <c r="C145" s="93"/>
      <c r="D145" s="93"/>
      <c r="E145" s="93"/>
      <c r="F145" s="93"/>
    </row>
    <row r="146" spans="2:6" ht="13.5" customHeight="1" x14ac:dyDescent="0.3">
      <c r="B146" s="93" t="s">
        <v>1991</v>
      </c>
      <c r="C146" s="93"/>
      <c r="D146" s="93"/>
      <c r="E146" s="93"/>
      <c r="F146" s="93"/>
    </row>
    <row r="147" spans="2:6" ht="13.5" customHeight="1" x14ac:dyDescent="0.3">
      <c r="B147" s="93" t="s">
        <v>1825</v>
      </c>
      <c r="C147" s="93"/>
      <c r="D147" s="93"/>
      <c r="E147" s="93"/>
      <c r="F147" s="93"/>
    </row>
    <row r="148" spans="2:6" x14ac:dyDescent="0.3">
      <c r="B148" s="91"/>
      <c r="C148" s="91"/>
      <c r="D148" s="91"/>
      <c r="E148" s="91"/>
      <c r="F148" s="91"/>
    </row>
    <row r="149" spans="2:6" ht="13.5" customHeight="1" x14ac:dyDescent="0.3">
      <c r="B149" s="148" t="s">
        <v>1992</v>
      </c>
      <c r="C149" s="148"/>
      <c r="D149" s="148"/>
      <c r="E149" s="148"/>
      <c r="F149" s="148"/>
    </row>
    <row r="150" spans="2:6" ht="13.5" customHeight="1" x14ac:dyDescent="0.3">
      <c r="B150" s="149" t="s">
        <v>1993</v>
      </c>
      <c r="C150" s="149"/>
      <c r="D150" s="149"/>
      <c r="E150" s="149"/>
      <c r="F150" s="149"/>
    </row>
    <row r="151" spans="2:6" ht="13.5" customHeight="1" x14ac:dyDescent="0.3">
      <c r="B151" s="93" t="s">
        <v>1994</v>
      </c>
      <c r="C151" s="93"/>
      <c r="D151" s="93"/>
      <c r="E151" s="93"/>
      <c r="F151" s="93"/>
    </row>
    <row r="152" spans="2:6" ht="13.5" customHeight="1" x14ac:dyDescent="0.3">
      <c r="B152" s="93" t="s">
        <v>1995</v>
      </c>
      <c r="C152" s="93"/>
      <c r="D152" s="93"/>
      <c r="E152" s="93"/>
      <c r="F152" s="93"/>
    </row>
    <row r="153" spans="2:6" ht="13.5" customHeight="1" x14ac:dyDescent="0.3">
      <c r="B153" s="93" t="s">
        <v>1996</v>
      </c>
      <c r="C153" s="93"/>
      <c r="D153" s="93"/>
      <c r="E153" s="93"/>
      <c r="F153" s="93"/>
    </row>
    <row r="154" spans="2:6" ht="13.5" customHeight="1" x14ac:dyDescent="0.3">
      <c r="B154" s="93" t="s">
        <v>1997</v>
      </c>
      <c r="C154" s="93"/>
      <c r="D154" s="93"/>
      <c r="E154" s="93"/>
      <c r="F154" s="93"/>
    </row>
    <row r="155" spans="2:6" ht="13.5" customHeight="1" x14ac:dyDescent="0.3">
      <c r="B155" s="93" t="s">
        <v>1998</v>
      </c>
      <c r="C155" s="93"/>
      <c r="D155" s="93"/>
      <c r="E155" s="93"/>
      <c r="F155" s="93"/>
    </row>
    <row r="156" spans="2:6" ht="13.5" customHeight="1" x14ac:dyDescent="0.3">
      <c r="B156" s="149" t="s">
        <v>1999</v>
      </c>
      <c r="C156" s="149"/>
      <c r="D156" s="149"/>
      <c r="E156" s="149"/>
      <c r="F156" s="149"/>
    </row>
    <row r="157" spans="2:6" ht="13.5" customHeight="1" x14ac:dyDescent="0.3">
      <c r="B157" s="93" t="s">
        <v>2000</v>
      </c>
      <c r="C157" s="93"/>
      <c r="D157" s="93"/>
      <c r="E157" s="93"/>
      <c r="F157" s="93"/>
    </row>
    <row r="158" spans="2:6" ht="13.5" customHeight="1" x14ac:dyDescent="0.3">
      <c r="B158" s="93" t="s">
        <v>2001</v>
      </c>
      <c r="C158" s="93"/>
      <c r="D158" s="93"/>
      <c r="E158" s="93"/>
      <c r="F158" s="93"/>
    </row>
    <row r="159" spans="2:6" ht="13.5" customHeight="1" x14ac:dyDescent="0.3">
      <c r="B159" s="149" t="s">
        <v>2002</v>
      </c>
      <c r="C159" s="149"/>
      <c r="D159" s="149"/>
      <c r="E159" s="149"/>
      <c r="F159" s="149"/>
    </row>
    <row r="160" spans="2:6" ht="13.5" customHeight="1" x14ac:dyDescent="0.3">
      <c r="B160" s="93" t="s">
        <v>2003</v>
      </c>
      <c r="C160" s="93"/>
      <c r="D160" s="93"/>
      <c r="E160" s="93"/>
      <c r="F160" s="93"/>
    </row>
    <row r="161" spans="2:6" ht="13.5" customHeight="1" x14ac:dyDescent="0.3">
      <c r="B161" s="93" t="s">
        <v>2004</v>
      </c>
      <c r="C161" s="93"/>
      <c r="D161" s="93"/>
      <c r="E161" s="93"/>
      <c r="F161" s="93"/>
    </row>
    <row r="162" spans="2:6" ht="27" customHeight="1" x14ac:dyDescent="0.3">
      <c r="B162" s="93" t="s">
        <v>2005</v>
      </c>
      <c r="C162" s="93"/>
      <c r="D162" s="93"/>
      <c r="E162" s="93"/>
      <c r="F162" s="93"/>
    </row>
    <row r="163" spans="2:6" ht="13.5" customHeight="1" x14ac:dyDescent="0.3">
      <c r="B163" s="93" t="s">
        <v>2006</v>
      </c>
      <c r="C163" s="93"/>
      <c r="D163" s="93"/>
      <c r="E163" s="93"/>
      <c r="F163" s="93"/>
    </row>
    <row r="164" spans="2:6" ht="40.5" customHeight="1" x14ac:dyDescent="0.3">
      <c r="B164" s="93" t="s">
        <v>2007</v>
      </c>
      <c r="C164" s="93"/>
      <c r="D164" s="93"/>
      <c r="E164" s="93"/>
      <c r="F164" s="93"/>
    </row>
    <row r="165" spans="2:6" ht="13.5" customHeight="1" x14ac:dyDescent="0.3">
      <c r="B165" s="93" t="s">
        <v>1967</v>
      </c>
      <c r="C165" s="93"/>
      <c r="D165" s="93"/>
      <c r="E165" s="93"/>
      <c r="F165" s="93"/>
    </row>
    <row r="166" spans="2:6" ht="13.5" customHeight="1" x14ac:dyDescent="0.3">
      <c r="B166" s="93" t="s">
        <v>2008</v>
      </c>
      <c r="C166" s="93"/>
      <c r="D166" s="93"/>
      <c r="E166" s="93"/>
      <c r="F166" s="93"/>
    </row>
    <row r="167" spans="2:6" ht="13.5" customHeight="1" x14ac:dyDescent="0.3">
      <c r="B167" s="93" t="s">
        <v>2009</v>
      </c>
      <c r="C167" s="93"/>
      <c r="D167" s="93"/>
      <c r="E167" s="93"/>
      <c r="F167" s="93"/>
    </row>
    <row r="168" spans="2:6" ht="13.5" customHeight="1" x14ac:dyDescent="0.3">
      <c r="B168" s="93" t="s">
        <v>2010</v>
      </c>
      <c r="C168" s="93"/>
      <c r="D168" s="93"/>
      <c r="E168" s="93"/>
      <c r="F168" s="93"/>
    </row>
    <row r="169" spans="2:6" ht="13.5" customHeight="1" x14ac:dyDescent="0.3">
      <c r="B169" s="93" t="s">
        <v>2011</v>
      </c>
      <c r="C169" s="93"/>
      <c r="D169" s="93"/>
      <c r="E169" s="93"/>
      <c r="F169" s="93"/>
    </row>
    <row r="170" spans="2:6" ht="13.5" customHeight="1" x14ac:dyDescent="0.3">
      <c r="B170" s="93" t="s">
        <v>2012</v>
      </c>
      <c r="C170" s="93"/>
      <c r="D170" s="93"/>
      <c r="E170" s="93"/>
      <c r="F170" s="93"/>
    </row>
    <row r="171" spans="2:6" ht="27" customHeight="1" x14ac:dyDescent="0.3">
      <c r="B171" s="93" t="s">
        <v>2013</v>
      </c>
      <c r="C171" s="93"/>
      <c r="D171" s="93"/>
      <c r="E171" s="93"/>
      <c r="F171" s="93"/>
    </row>
    <row r="172" spans="2:6" ht="13.5" customHeight="1" x14ac:dyDescent="0.3">
      <c r="B172" s="93" t="s">
        <v>2014</v>
      </c>
      <c r="C172" s="93"/>
      <c r="D172" s="93"/>
      <c r="E172" s="93"/>
      <c r="F172" s="93"/>
    </row>
    <row r="173" spans="2:6" ht="13.5" customHeight="1" x14ac:dyDescent="0.3">
      <c r="B173" s="149" t="s">
        <v>2015</v>
      </c>
      <c r="C173" s="149"/>
      <c r="D173" s="149"/>
      <c r="E173" s="149"/>
      <c r="F173" s="149"/>
    </row>
    <row r="174" spans="2:6" ht="13.5" customHeight="1" x14ac:dyDescent="0.3">
      <c r="B174" s="93" t="s">
        <v>2016</v>
      </c>
      <c r="C174" s="93"/>
      <c r="D174" s="93"/>
      <c r="E174" s="93"/>
      <c r="F174" s="93"/>
    </row>
    <row r="175" spans="2:6" ht="27" customHeight="1" x14ac:dyDescent="0.3">
      <c r="B175" s="93" t="s">
        <v>2017</v>
      </c>
      <c r="C175" s="93"/>
      <c r="D175" s="93"/>
      <c r="E175" s="93"/>
      <c r="F175" s="93"/>
    </row>
    <row r="176" spans="2:6" ht="27" customHeight="1" x14ac:dyDescent="0.3">
      <c r="B176" s="93" t="s">
        <v>2018</v>
      </c>
      <c r="C176" s="93"/>
      <c r="D176" s="93"/>
      <c r="E176" s="93"/>
      <c r="F176" s="93"/>
    </row>
    <row r="177" spans="2:6" ht="13.5" customHeight="1" x14ac:dyDescent="0.3">
      <c r="B177" s="93" t="s">
        <v>2019</v>
      </c>
      <c r="C177" s="93"/>
      <c r="D177" s="93"/>
      <c r="E177" s="93"/>
      <c r="F177" s="93"/>
    </row>
    <row r="178" spans="2:6" ht="13.5" customHeight="1" x14ac:dyDescent="0.3">
      <c r="B178" s="149" t="s">
        <v>2020</v>
      </c>
      <c r="C178" s="149"/>
      <c r="D178" s="149"/>
      <c r="E178" s="149"/>
      <c r="F178" s="149"/>
    </row>
    <row r="179" spans="2:6" ht="40.5" customHeight="1" x14ac:dyDescent="0.3">
      <c r="B179" s="95" t="s">
        <v>2021</v>
      </c>
      <c r="C179" s="95"/>
      <c r="D179" s="95"/>
      <c r="E179" s="95"/>
      <c r="F179" s="95"/>
    </row>
    <row r="180" spans="2:6" ht="13.5" customHeight="1" x14ac:dyDescent="0.3">
      <c r="B180" s="93" t="s">
        <v>1825</v>
      </c>
      <c r="C180" s="93"/>
      <c r="D180" s="93"/>
      <c r="E180" s="93"/>
      <c r="F180" s="93"/>
    </row>
    <row r="181" spans="2:6" x14ac:dyDescent="0.3">
      <c r="B181" s="91"/>
      <c r="C181" s="91"/>
      <c r="D181" s="91"/>
      <c r="E181" s="91"/>
      <c r="F181" s="91"/>
    </row>
    <row r="182" spans="2:6" ht="13.5" customHeight="1" x14ac:dyDescent="0.3">
      <c r="B182" s="148" t="s">
        <v>2022</v>
      </c>
      <c r="C182" s="148"/>
      <c r="D182" s="148"/>
      <c r="E182" s="148"/>
      <c r="F182" s="148"/>
    </row>
    <row r="183" spans="2:6" ht="13.5" customHeight="1" x14ac:dyDescent="0.3">
      <c r="B183" s="149" t="s">
        <v>2023</v>
      </c>
      <c r="C183" s="149"/>
      <c r="D183" s="149"/>
      <c r="E183" s="149"/>
      <c r="F183" s="149"/>
    </row>
    <row r="184" spans="2:6" x14ac:dyDescent="0.3">
      <c r="B184" s="85" t="s">
        <v>808</v>
      </c>
      <c r="C184" s="85" t="s">
        <v>2024</v>
      </c>
      <c r="D184" s="85" t="s">
        <v>2025</v>
      </c>
    </row>
    <row r="185" spans="2:6" ht="26.4" x14ac:dyDescent="0.3">
      <c r="B185" s="87" t="s">
        <v>570</v>
      </c>
      <c r="C185" s="87" t="s">
        <v>2026</v>
      </c>
      <c r="D185" s="87" t="s">
        <v>2027</v>
      </c>
    </row>
    <row r="186" spans="2:6" ht="52.8" x14ac:dyDescent="0.3">
      <c r="B186" s="87" t="s">
        <v>601</v>
      </c>
      <c r="C186" s="87" t="s">
        <v>2028</v>
      </c>
      <c r="D186" s="87" t="s">
        <v>2029</v>
      </c>
    </row>
    <row r="187" spans="2:6" ht="26.4" x14ac:dyDescent="0.3">
      <c r="B187" s="87" t="s">
        <v>581</v>
      </c>
      <c r="C187" s="87" t="s">
        <v>2030</v>
      </c>
      <c r="D187" s="87" t="s">
        <v>2031</v>
      </c>
    </row>
    <row r="188" spans="2:6" x14ac:dyDescent="0.3">
      <c r="B188" s="87" t="s">
        <v>556</v>
      </c>
      <c r="C188" s="87" t="s">
        <v>2032</v>
      </c>
      <c r="D188" s="87" t="s">
        <v>2033</v>
      </c>
    </row>
    <row r="189" spans="2:6" ht="26.4" x14ac:dyDescent="0.3">
      <c r="B189" s="87" t="s">
        <v>4</v>
      </c>
      <c r="C189" s="87" t="s">
        <v>2034</v>
      </c>
      <c r="D189" s="87" t="s">
        <v>2035</v>
      </c>
    </row>
    <row r="191" spans="2:6" ht="13.5" customHeight="1" x14ac:dyDescent="0.3">
      <c r="B191" s="149" t="s">
        <v>2036</v>
      </c>
      <c r="C191" s="149"/>
      <c r="D191" s="149"/>
      <c r="E191" s="149"/>
      <c r="F191" s="149"/>
    </row>
    <row r="192" spans="2:6" ht="13.5" customHeight="1" x14ac:dyDescent="0.3">
      <c r="B192" s="93" t="s">
        <v>2037</v>
      </c>
      <c r="C192" s="93"/>
      <c r="D192" s="93"/>
      <c r="E192" s="93"/>
      <c r="F192" s="93"/>
    </row>
    <row r="193" spans="2:6" ht="13.5" customHeight="1" x14ac:dyDescent="0.3">
      <c r="B193" s="93" t="s">
        <v>2038</v>
      </c>
      <c r="C193" s="93"/>
      <c r="D193" s="93"/>
      <c r="E193" s="93"/>
      <c r="F193" s="93"/>
    </row>
    <row r="194" spans="2:6" x14ac:dyDescent="0.3">
      <c r="B194" s="85" t="s">
        <v>550</v>
      </c>
      <c r="C194" s="85" t="s">
        <v>2039</v>
      </c>
      <c r="D194" s="85">
        <v>20</v>
      </c>
      <c r="E194" s="85">
        <v>30</v>
      </c>
      <c r="F194" s="85">
        <v>40</v>
      </c>
    </row>
    <row r="195" spans="2:6" x14ac:dyDescent="0.3">
      <c r="B195" s="87" t="s">
        <v>538</v>
      </c>
      <c r="C195" s="87" t="s">
        <v>2040</v>
      </c>
      <c r="D195" s="87" t="s">
        <v>2041</v>
      </c>
      <c r="E195" s="87" t="s">
        <v>2042</v>
      </c>
      <c r="F195" s="87" t="s">
        <v>2043</v>
      </c>
    </row>
    <row r="197" spans="2:6" ht="13.5" customHeight="1" x14ac:dyDescent="0.3">
      <c r="B197" s="93" t="s">
        <v>2044</v>
      </c>
      <c r="C197" s="93"/>
      <c r="D197" s="93"/>
      <c r="E197" s="93"/>
      <c r="F197" s="93"/>
    </row>
    <row r="198" spans="2:6" ht="13.5" customHeight="1" x14ac:dyDescent="0.3">
      <c r="B198" s="93" t="s">
        <v>2004</v>
      </c>
      <c r="C198" s="93"/>
      <c r="D198" s="93"/>
      <c r="E198" s="93"/>
      <c r="F198" s="93"/>
    </row>
    <row r="199" spans="2:6" ht="13.5" customHeight="1" x14ac:dyDescent="0.3">
      <c r="B199" s="93" t="s">
        <v>2045</v>
      </c>
      <c r="C199" s="93"/>
      <c r="D199" s="93"/>
      <c r="E199" s="93"/>
      <c r="F199" s="93"/>
    </row>
    <row r="200" spans="2:6" ht="27" customHeight="1" x14ac:dyDescent="0.3">
      <c r="B200" s="93" t="s">
        <v>2046</v>
      </c>
      <c r="C200" s="93"/>
      <c r="D200" s="93"/>
      <c r="E200" s="93"/>
      <c r="F200" s="93"/>
    </row>
    <row r="201" spans="2:6" ht="13.5" customHeight="1" x14ac:dyDescent="0.3">
      <c r="B201" s="93" t="s">
        <v>2047</v>
      </c>
      <c r="C201" s="93"/>
      <c r="D201" s="93"/>
      <c r="E201" s="93"/>
      <c r="F201" s="93"/>
    </row>
    <row r="202" spans="2:6" ht="27" customHeight="1" x14ac:dyDescent="0.3">
      <c r="B202" s="93" t="s">
        <v>2048</v>
      </c>
      <c r="C202" s="93"/>
      <c r="D202" s="93"/>
      <c r="E202" s="93"/>
      <c r="F202" s="93"/>
    </row>
    <row r="203" spans="2:6" ht="40.5" customHeight="1" x14ac:dyDescent="0.3">
      <c r="B203" s="93" t="s">
        <v>2049</v>
      </c>
      <c r="C203" s="93"/>
      <c r="D203" s="93"/>
      <c r="E203" s="93"/>
      <c r="F203" s="93"/>
    </row>
    <row r="204" spans="2:6" ht="13.5" customHeight="1" x14ac:dyDescent="0.3">
      <c r="B204" s="93" t="s">
        <v>2050</v>
      </c>
      <c r="C204" s="93"/>
      <c r="D204" s="93"/>
      <c r="E204" s="93"/>
      <c r="F204" s="93"/>
    </row>
    <row r="205" spans="2:6" ht="13.5" customHeight="1" x14ac:dyDescent="0.3">
      <c r="B205" s="93" t="s">
        <v>2051</v>
      </c>
      <c r="C205" s="93"/>
      <c r="D205" s="93"/>
      <c r="E205" s="93"/>
      <c r="F205" s="93"/>
    </row>
    <row r="206" spans="2:6" ht="13.5" customHeight="1" x14ac:dyDescent="0.3">
      <c r="B206" s="93" t="s">
        <v>2052</v>
      </c>
      <c r="C206" s="93"/>
      <c r="D206" s="93"/>
      <c r="E206" s="93"/>
      <c r="F206" s="93"/>
    </row>
    <row r="207" spans="2:6" ht="27" customHeight="1" x14ac:dyDescent="0.3">
      <c r="B207" s="93" t="s">
        <v>2053</v>
      </c>
      <c r="C207" s="93"/>
      <c r="D207" s="93"/>
      <c r="E207" s="93"/>
      <c r="F207" s="93"/>
    </row>
    <row r="208" spans="2:6" ht="27" customHeight="1" x14ac:dyDescent="0.3">
      <c r="B208" s="93" t="s">
        <v>2054</v>
      </c>
      <c r="C208" s="93"/>
      <c r="D208" s="93"/>
      <c r="E208" s="93"/>
      <c r="F208" s="93"/>
    </row>
    <row r="209" spans="2:6" ht="13.5" customHeight="1" x14ac:dyDescent="0.3">
      <c r="B209" s="93" t="s">
        <v>2055</v>
      </c>
      <c r="C209" s="93"/>
      <c r="D209" s="93"/>
      <c r="E209" s="93"/>
      <c r="F209" s="93"/>
    </row>
    <row r="210" spans="2:6" ht="13.5" customHeight="1" x14ac:dyDescent="0.3">
      <c r="B210" s="93" t="s">
        <v>2056</v>
      </c>
      <c r="C210" s="93"/>
      <c r="D210" s="93"/>
      <c r="E210" s="93"/>
      <c r="F210" s="93"/>
    </row>
    <row r="211" spans="2:6" ht="27" customHeight="1" x14ac:dyDescent="0.3">
      <c r="B211" s="93" t="s">
        <v>2057</v>
      </c>
      <c r="C211" s="93"/>
      <c r="D211" s="93"/>
      <c r="E211" s="93"/>
      <c r="F211" s="93"/>
    </row>
    <row r="212" spans="2:6" ht="13.5" customHeight="1" x14ac:dyDescent="0.3">
      <c r="B212" s="93" t="s">
        <v>2058</v>
      </c>
      <c r="C212" s="93"/>
      <c r="D212" s="93"/>
      <c r="E212" s="93"/>
      <c r="F212" s="93"/>
    </row>
    <row r="213" spans="2:6" ht="13.5" customHeight="1" x14ac:dyDescent="0.3">
      <c r="B213" s="93" t="s">
        <v>2059</v>
      </c>
      <c r="C213" s="93"/>
      <c r="D213" s="93"/>
      <c r="E213" s="93"/>
      <c r="F213" s="93"/>
    </row>
    <row r="214" spans="2:6" ht="13.5" customHeight="1" x14ac:dyDescent="0.3">
      <c r="B214" s="93" t="s">
        <v>2060</v>
      </c>
      <c r="C214" s="93"/>
      <c r="D214" s="93"/>
      <c r="E214" s="93"/>
      <c r="F214" s="93"/>
    </row>
    <row r="215" spans="2:6" ht="13.5" customHeight="1" x14ac:dyDescent="0.3">
      <c r="B215" s="149" t="s">
        <v>2061</v>
      </c>
      <c r="C215" s="149"/>
      <c r="D215" s="149"/>
      <c r="E215" s="149"/>
      <c r="F215" s="149"/>
    </row>
    <row r="216" spans="2:6" ht="27" customHeight="1" x14ac:dyDescent="0.3">
      <c r="B216" s="93" t="s">
        <v>2062</v>
      </c>
      <c r="C216" s="93"/>
      <c r="D216" s="93"/>
      <c r="E216" s="93"/>
      <c r="F216" s="93"/>
    </row>
    <row r="217" spans="2:6" ht="13.5" customHeight="1" x14ac:dyDescent="0.3">
      <c r="B217" s="93" t="s">
        <v>2063</v>
      </c>
      <c r="C217" s="93"/>
      <c r="D217" s="93"/>
      <c r="E217" s="93"/>
      <c r="F217" s="93"/>
    </row>
    <row r="218" spans="2:6" ht="13.5" customHeight="1" x14ac:dyDescent="0.3">
      <c r="B218" s="93" t="s">
        <v>2064</v>
      </c>
      <c r="C218" s="93"/>
      <c r="D218" s="93"/>
      <c r="E218" s="93"/>
      <c r="F218" s="93"/>
    </row>
    <row r="219" spans="2:6" ht="13.5" customHeight="1" x14ac:dyDescent="0.3">
      <c r="B219" s="93" t="s">
        <v>2065</v>
      </c>
      <c r="C219" s="93"/>
      <c r="D219" s="93"/>
      <c r="E219" s="93"/>
      <c r="F219" s="93"/>
    </row>
    <row r="220" spans="2:6" ht="27" customHeight="1" x14ac:dyDescent="0.3">
      <c r="B220" s="93" t="s">
        <v>2066</v>
      </c>
      <c r="C220" s="93"/>
      <c r="D220" s="93"/>
      <c r="E220" s="93"/>
      <c r="F220" s="93"/>
    </row>
    <row r="221" spans="2:6" ht="13.5" customHeight="1" x14ac:dyDescent="0.3">
      <c r="B221" s="149" t="s">
        <v>2067</v>
      </c>
      <c r="C221" s="149"/>
      <c r="D221" s="149"/>
      <c r="E221" s="149"/>
      <c r="F221" s="149"/>
    </row>
    <row r="222" spans="2:6" ht="13.5" customHeight="1" x14ac:dyDescent="0.3">
      <c r="B222" s="93" t="s">
        <v>2068</v>
      </c>
      <c r="C222" s="93"/>
      <c r="D222" s="93"/>
      <c r="E222" s="93"/>
      <c r="F222" s="93"/>
    </row>
    <row r="223" spans="2:6" ht="40.5" customHeight="1" x14ac:dyDescent="0.3">
      <c r="B223" s="93" t="s">
        <v>2069</v>
      </c>
      <c r="C223" s="93"/>
      <c r="D223" s="93"/>
      <c r="E223" s="93"/>
      <c r="F223" s="93"/>
    </row>
    <row r="224" spans="2:6" ht="13.5" customHeight="1" x14ac:dyDescent="0.3">
      <c r="B224" s="93" t="s">
        <v>2070</v>
      </c>
      <c r="C224" s="93"/>
      <c r="D224" s="93"/>
      <c r="E224" s="93"/>
      <c r="F224" s="93"/>
    </row>
    <row r="225" spans="2:6" ht="13.5" customHeight="1" x14ac:dyDescent="0.3">
      <c r="B225" s="93" t="s">
        <v>1825</v>
      </c>
      <c r="C225" s="93"/>
      <c r="D225" s="93"/>
      <c r="E225" s="93"/>
      <c r="F225" s="93"/>
    </row>
    <row r="226" spans="2:6" x14ac:dyDescent="0.3">
      <c r="B226" s="91"/>
      <c r="C226" s="91"/>
      <c r="D226" s="91"/>
      <c r="E226" s="91"/>
      <c r="F226" s="91"/>
    </row>
    <row r="227" spans="2:6" ht="13.5" customHeight="1" x14ac:dyDescent="0.3">
      <c r="B227" s="148" t="s">
        <v>2071</v>
      </c>
      <c r="C227" s="148"/>
      <c r="D227" s="148"/>
      <c r="E227" s="148"/>
      <c r="F227" s="148"/>
    </row>
    <row r="228" spans="2:6" x14ac:dyDescent="0.3">
      <c r="B228" s="85" t="s">
        <v>2072</v>
      </c>
      <c r="C228" s="85" t="s">
        <v>2073</v>
      </c>
      <c r="D228" s="85" t="s">
        <v>2074</v>
      </c>
      <c r="E228" s="85" t="s">
        <v>2075</v>
      </c>
      <c r="F228" s="85" t="s">
        <v>1828</v>
      </c>
    </row>
    <row r="229" spans="2:6" x14ac:dyDescent="0.3">
      <c r="B229" s="87" t="s">
        <v>2076</v>
      </c>
      <c r="C229" s="87" t="s">
        <v>2077</v>
      </c>
      <c r="D229" s="87" t="s">
        <v>2078</v>
      </c>
      <c r="E229" s="87" t="s">
        <v>2079</v>
      </c>
      <c r="F229" s="87" t="s">
        <v>713</v>
      </c>
    </row>
    <row r="230" spans="2:6" ht="52.8" x14ac:dyDescent="0.3">
      <c r="B230" s="87">
        <v>32</v>
      </c>
      <c r="C230" s="87" t="s">
        <v>751</v>
      </c>
      <c r="D230" s="87" t="s">
        <v>2080</v>
      </c>
      <c r="E230" s="87" t="s">
        <v>2081</v>
      </c>
      <c r="F230" s="87" t="s">
        <v>1832</v>
      </c>
    </row>
    <row r="231" spans="2:6" ht="26.4" x14ac:dyDescent="0.3">
      <c r="B231" s="87">
        <v>33</v>
      </c>
      <c r="C231" s="87" t="s">
        <v>2082</v>
      </c>
      <c r="D231" s="87" t="s">
        <v>2083</v>
      </c>
      <c r="E231" s="87" t="s">
        <v>2084</v>
      </c>
      <c r="F231" s="87" t="s">
        <v>1832</v>
      </c>
    </row>
    <row r="232" spans="2:6" x14ac:dyDescent="0.3">
      <c r="B232" s="87" t="s">
        <v>2085</v>
      </c>
      <c r="C232" s="87" t="s">
        <v>2086</v>
      </c>
      <c r="D232" s="87" t="s">
        <v>2087</v>
      </c>
      <c r="E232" s="87" t="s">
        <v>2088</v>
      </c>
      <c r="F232" s="87" t="s">
        <v>1836</v>
      </c>
    </row>
    <row r="233" spans="2:6" ht="52.8" x14ac:dyDescent="0.3">
      <c r="B233" s="87">
        <v>37</v>
      </c>
      <c r="C233" s="87" t="s">
        <v>2089</v>
      </c>
      <c r="D233" s="87" t="s">
        <v>2090</v>
      </c>
      <c r="E233" s="87" t="s">
        <v>2091</v>
      </c>
      <c r="F233" s="87" t="s">
        <v>1836</v>
      </c>
    </row>
    <row r="234" spans="2:6" x14ac:dyDescent="0.3">
      <c r="B234" s="87">
        <v>38</v>
      </c>
      <c r="C234" s="87" t="s">
        <v>2092</v>
      </c>
      <c r="D234" s="87"/>
      <c r="E234" s="87" t="s">
        <v>2093</v>
      </c>
      <c r="F234" s="87" t="s">
        <v>1832</v>
      </c>
    </row>
    <row r="235" spans="2:6" x14ac:dyDescent="0.3">
      <c r="B235" s="87">
        <v>39</v>
      </c>
      <c r="C235" s="87" t="s">
        <v>2094</v>
      </c>
      <c r="D235" s="87" t="s">
        <v>2095</v>
      </c>
      <c r="E235" s="87" t="s">
        <v>2096</v>
      </c>
      <c r="F235" s="87" t="s">
        <v>1832</v>
      </c>
    </row>
    <row r="236" spans="2:6" ht="66" x14ac:dyDescent="0.3">
      <c r="B236" s="87">
        <v>40</v>
      </c>
      <c r="C236" s="87" t="s">
        <v>2097</v>
      </c>
      <c r="D236" s="87" t="s">
        <v>2098</v>
      </c>
      <c r="E236" s="87" t="s">
        <v>2099</v>
      </c>
      <c r="F236" s="87" t="s">
        <v>1832</v>
      </c>
    </row>
    <row r="237" spans="2:6" ht="26.4" x14ac:dyDescent="0.3">
      <c r="B237" s="87">
        <v>41</v>
      </c>
      <c r="C237" s="87" t="s">
        <v>2100</v>
      </c>
      <c r="D237" s="87" t="s">
        <v>2101</v>
      </c>
      <c r="E237" s="87" t="s">
        <v>2102</v>
      </c>
      <c r="F237" s="87" t="s">
        <v>1836</v>
      </c>
    </row>
    <row r="239" spans="2:6" ht="13.5" customHeight="1" x14ac:dyDescent="0.3">
      <c r="B239" s="93" t="s">
        <v>2103</v>
      </c>
      <c r="C239" s="93"/>
      <c r="D239" s="93"/>
      <c r="E239" s="93"/>
      <c r="F239" s="93"/>
    </row>
    <row r="240" spans="2:6" ht="13.5" customHeight="1" x14ac:dyDescent="0.3">
      <c r="B240" s="93" t="s">
        <v>2104</v>
      </c>
      <c r="C240" s="93"/>
      <c r="D240" s="93"/>
      <c r="E240" s="93"/>
      <c r="F240" s="93"/>
    </row>
    <row r="241" spans="2:6" ht="13.5" customHeight="1" x14ac:dyDescent="0.3">
      <c r="B241" s="93" t="s">
        <v>2105</v>
      </c>
      <c r="C241" s="93"/>
      <c r="D241" s="93"/>
      <c r="E241" s="93"/>
      <c r="F241" s="93"/>
    </row>
    <row r="242" spans="2:6" ht="13.5" customHeight="1" x14ac:dyDescent="0.3">
      <c r="B242" s="93" t="s">
        <v>1825</v>
      </c>
      <c r="C242" s="93"/>
      <c r="D242" s="93"/>
      <c r="E242" s="93"/>
      <c r="F242" s="93"/>
    </row>
    <row r="243" spans="2:6" x14ac:dyDescent="0.3">
      <c r="B243" s="91"/>
      <c r="C243" s="91"/>
      <c r="D243" s="91"/>
      <c r="E243" s="91"/>
      <c r="F243" s="91"/>
    </row>
    <row r="244" spans="2:6" ht="13.5" customHeight="1" x14ac:dyDescent="0.3">
      <c r="B244" s="148" t="s">
        <v>2106</v>
      </c>
      <c r="C244" s="148"/>
      <c r="D244" s="148"/>
      <c r="E244" s="148"/>
      <c r="F244" s="148"/>
    </row>
    <row r="245" spans="2:6" ht="13.5" customHeight="1" x14ac:dyDescent="0.3">
      <c r="B245" s="93" t="s">
        <v>2107</v>
      </c>
      <c r="C245" s="93"/>
      <c r="D245" s="93"/>
      <c r="E245" s="93"/>
      <c r="F245" s="93"/>
    </row>
    <row r="246" spans="2:6" x14ac:dyDescent="0.3">
      <c r="B246" s="85" t="s">
        <v>815</v>
      </c>
      <c r="C246" s="85" t="s">
        <v>763</v>
      </c>
    </row>
    <row r="247" spans="2:6" ht="26.4" x14ac:dyDescent="0.3">
      <c r="B247" s="87" t="s">
        <v>816</v>
      </c>
      <c r="C247" s="87" t="s">
        <v>801</v>
      </c>
    </row>
    <row r="248" spans="2:6" ht="26.4" x14ac:dyDescent="0.3">
      <c r="B248" s="87" t="s">
        <v>2108</v>
      </c>
      <c r="C248" s="87" t="s">
        <v>760</v>
      </c>
    </row>
    <row r="249" spans="2:6" x14ac:dyDescent="0.3">
      <c r="B249" s="87" t="s">
        <v>817</v>
      </c>
      <c r="C249" s="87" t="s">
        <v>760</v>
      </c>
    </row>
    <row r="250" spans="2:6" x14ac:dyDescent="0.3">
      <c r="B250" s="87" t="s">
        <v>818</v>
      </c>
      <c r="C250" s="87" t="s">
        <v>800</v>
      </c>
    </row>
    <row r="251" spans="2:6" x14ac:dyDescent="0.3">
      <c r="B251" s="87" t="s">
        <v>2109</v>
      </c>
      <c r="C251" s="87" t="s">
        <v>799</v>
      </c>
    </row>
    <row r="253" spans="2:6" ht="13.5" customHeight="1" x14ac:dyDescent="0.3">
      <c r="B253" s="93" t="s">
        <v>2004</v>
      </c>
      <c r="C253" s="93"/>
      <c r="D253" s="93"/>
      <c r="E253" s="93"/>
      <c r="F253" s="93"/>
    </row>
    <row r="254" spans="2:6" ht="27" customHeight="1" x14ac:dyDescent="0.3">
      <c r="B254" s="93" t="s">
        <v>2110</v>
      </c>
      <c r="C254" s="93"/>
      <c r="D254" s="93"/>
      <c r="E254" s="93"/>
      <c r="F254" s="93"/>
    </row>
    <row r="255" spans="2:6" ht="27" customHeight="1" x14ac:dyDescent="0.3">
      <c r="B255" s="93" t="s">
        <v>2111</v>
      </c>
      <c r="C255" s="93"/>
      <c r="D255" s="93"/>
      <c r="E255" s="93"/>
      <c r="F255" s="93"/>
    </row>
    <row r="256" spans="2:6" ht="13.5" customHeight="1" x14ac:dyDescent="0.3">
      <c r="B256" s="93" t="s">
        <v>2112</v>
      </c>
      <c r="C256" s="93"/>
      <c r="D256" s="93"/>
      <c r="E256" s="93"/>
      <c r="F256" s="93"/>
    </row>
    <row r="257" spans="2:6" ht="13.5" customHeight="1" x14ac:dyDescent="0.3">
      <c r="B257" s="93" t="s">
        <v>2113</v>
      </c>
      <c r="C257" s="93"/>
      <c r="D257" s="93"/>
      <c r="E257" s="93"/>
      <c r="F257" s="93"/>
    </row>
    <row r="258" spans="2:6" ht="40.5" customHeight="1" x14ac:dyDescent="0.3">
      <c r="B258" s="93" t="s">
        <v>2114</v>
      </c>
      <c r="C258" s="93"/>
      <c r="D258" s="93"/>
      <c r="E258" s="93"/>
      <c r="F258" s="93"/>
    </row>
    <row r="259" spans="2:6" ht="13.5" customHeight="1" x14ac:dyDescent="0.3">
      <c r="B259" s="93" t="s">
        <v>2115</v>
      </c>
      <c r="C259" s="93"/>
      <c r="D259" s="93"/>
      <c r="E259" s="93"/>
      <c r="F259" s="93"/>
    </row>
    <row r="260" spans="2:6" ht="13.5" customHeight="1" x14ac:dyDescent="0.3">
      <c r="B260" s="93" t="s">
        <v>2116</v>
      </c>
      <c r="C260" s="93"/>
      <c r="D260" s="93"/>
      <c r="E260" s="93"/>
      <c r="F260" s="93"/>
    </row>
    <row r="261" spans="2:6" ht="13.5" customHeight="1" x14ac:dyDescent="0.3">
      <c r="B261" s="93" t="s">
        <v>2117</v>
      </c>
      <c r="C261" s="93"/>
      <c r="D261" s="93"/>
      <c r="E261" s="93"/>
      <c r="F261" s="93"/>
    </row>
    <row r="262" spans="2:6" ht="13.5" customHeight="1" x14ac:dyDescent="0.3">
      <c r="B262" s="93" t="s">
        <v>2118</v>
      </c>
      <c r="C262" s="93"/>
      <c r="D262" s="93"/>
      <c r="E262" s="93"/>
      <c r="F262" s="93"/>
    </row>
    <row r="263" spans="2:6" ht="13.5" customHeight="1" x14ac:dyDescent="0.3">
      <c r="B263" s="93" t="s">
        <v>2119</v>
      </c>
      <c r="C263" s="93"/>
      <c r="D263" s="93"/>
      <c r="E263" s="93"/>
      <c r="F263" s="93"/>
    </row>
    <row r="264" spans="2:6" ht="27" customHeight="1" x14ac:dyDescent="0.3">
      <c r="B264" s="93" t="s">
        <v>2120</v>
      </c>
      <c r="C264" s="93"/>
      <c r="D264" s="93"/>
      <c r="E264" s="93"/>
      <c r="F264" s="93"/>
    </row>
    <row r="265" spans="2:6" ht="13.5" customHeight="1" x14ac:dyDescent="0.3">
      <c r="B265" s="93" t="s">
        <v>1825</v>
      </c>
      <c r="C265" s="93"/>
      <c r="D265" s="93"/>
      <c r="E265" s="93"/>
      <c r="F265" s="93"/>
    </row>
    <row r="266" spans="2:6" x14ac:dyDescent="0.3">
      <c r="B266" s="91"/>
      <c r="C266" s="91"/>
      <c r="D266" s="91"/>
      <c r="E266" s="91"/>
      <c r="F266" s="91"/>
    </row>
    <row r="267" spans="2:6" ht="13.5" customHeight="1" x14ac:dyDescent="0.3">
      <c r="B267" s="148" t="s">
        <v>2121</v>
      </c>
      <c r="C267" s="148"/>
      <c r="D267" s="148"/>
      <c r="E267" s="148"/>
      <c r="F267" s="148"/>
    </row>
    <row r="268" spans="2:6" ht="27" customHeight="1" x14ac:dyDescent="0.3">
      <c r="B268" s="93" t="s">
        <v>2122</v>
      </c>
      <c r="C268" s="93"/>
      <c r="D268" s="93"/>
      <c r="E268" s="93"/>
      <c r="F268" s="93"/>
    </row>
    <row r="269" spans="2:6" ht="13.5" customHeight="1" x14ac:dyDescent="0.3">
      <c r="B269" s="93" t="s">
        <v>2123</v>
      </c>
      <c r="C269" s="93"/>
      <c r="D269" s="93"/>
      <c r="E269" s="93"/>
      <c r="F269" s="93"/>
    </row>
    <row r="270" spans="2:6" ht="40.5" customHeight="1" x14ac:dyDescent="0.3">
      <c r="B270" s="93" t="s">
        <v>2124</v>
      </c>
      <c r="C270" s="93"/>
      <c r="D270" s="93"/>
      <c r="E270" s="93"/>
      <c r="F270" s="93"/>
    </row>
    <row r="271" spans="2:6" ht="13.5" customHeight="1" x14ac:dyDescent="0.3">
      <c r="B271" s="93" t="s">
        <v>2125</v>
      </c>
      <c r="C271" s="93"/>
      <c r="D271" s="93"/>
      <c r="E271" s="93"/>
      <c r="F271" s="93"/>
    </row>
    <row r="272" spans="2:6" ht="13.5" customHeight="1" x14ac:dyDescent="0.3">
      <c r="B272" s="93" t="s">
        <v>1825</v>
      </c>
      <c r="C272" s="93"/>
      <c r="D272" s="93"/>
      <c r="E272" s="93"/>
      <c r="F272" s="93"/>
    </row>
    <row r="273" spans="2:6" x14ac:dyDescent="0.3">
      <c r="B273" s="91"/>
      <c r="C273" s="91"/>
      <c r="D273" s="91"/>
      <c r="E273" s="91"/>
      <c r="F273" s="91"/>
    </row>
    <row r="274" spans="2:6" ht="13.5" customHeight="1" x14ac:dyDescent="0.3">
      <c r="B274" s="148" t="s">
        <v>2126</v>
      </c>
      <c r="C274" s="148"/>
      <c r="D274" s="148"/>
      <c r="E274" s="148"/>
      <c r="F274" s="148"/>
    </row>
    <row r="275" spans="2:6" ht="27" customHeight="1" x14ac:dyDescent="0.3">
      <c r="B275" s="93" t="s">
        <v>2127</v>
      </c>
      <c r="C275" s="93"/>
      <c r="D275" s="93"/>
      <c r="E275" s="93"/>
      <c r="F275" s="93"/>
    </row>
    <row r="276" spans="2:6" ht="13.5" customHeight="1" x14ac:dyDescent="0.3">
      <c r="B276" s="93" t="s">
        <v>2128</v>
      </c>
      <c r="C276" s="93"/>
      <c r="D276" s="93"/>
      <c r="E276" s="93"/>
      <c r="F276" s="93"/>
    </row>
    <row r="277" spans="2:6" ht="13.5" customHeight="1" x14ac:dyDescent="0.3">
      <c r="B277" s="93" t="s">
        <v>1825</v>
      </c>
      <c r="C277" s="93"/>
      <c r="D277" s="93"/>
      <c r="E277" s="93"/>
      <c r="F277" s="93"/>
    </row>
    <row r="278" spans="2:6" x14ac:dyDescent="0.3">
      <c r="B278" s="91"/>
      <c r="C278" s="91"/>
      <c r="D278" s="91"/>
      <c r="E278" s="91"/>
      <c r="F278" s="91"/>
    </row>
    <row r="279" spans="2:6" ht="13.5" customHeight="1" x14ac:dyDescent="0.3">
      <c r="B279" s="148" t="s">
        <v>2129</v>
      </c>
      <c r="C279" s="148"/>
      <c r="D279" s="148"/>
      <c r="E279" s="148"/>
      <c r="F279" s="148"/>
    </row>
    <row r="280" spans="2:6" ht="27" customHeight="1" x14ac:dyDescent="0.3">
      <c r="B280" s="93" t="s">
        <v>2130</v>
      </c>
      <c r="C280" s="93"/>
      <c r="D280" s="93"/>
      <c r="E280" s="93"/>
      <c r="F280" s="93"/>
    </row>
    <row r="281" spans="2:6" ht="13.5" customHeight="1" x14ac:dyDescent="0.3">
      <c r="B281" s="93" t="s">
        <v>2131</v>
      </c>
      <c r="C281" s="93"/>
      <c r="D281" s="93"/>
      <c r="E281" s="93"/>
      <c r="F281" s="93"/>
    </row>
    <row r="282" spans="2:6" ht="13.5" customHeight="1" x14ac:dyDescent="0.3">
      <c r="B282" s="93" t="s">
        <v>1825</v>
      </c>
      <c r="C282" s="93"/>
      <c r="D282" s="93"/>
      <c r="E282" s="93"/>
      <c r="F282" s="93"/>
    </row>
    <row r="283" spans="2:6" x14ac:dyDescent="0.3">
      <c r="B283" s="91"/>
      <c r="C283" s="91"/>
      <c r="D283" s="91"/>
      <c r="E283" s="91"/>
      <c r="F283" s="91"/>
    </row>
    <row r="284" spans="2:6" ht="13.5" customHeight="1" x14ac:dyDescent="0.3">
      <c r="B284" s="148" t="s">
        <v>2132</v>
      </c>
      <c r="C284" s="148"/>
      <c r="D284" s="148"/>
      <c r="E284" s="148"/>
      <c r="F284" s="148"/>
    </row>
    <row r="285" spans="2:6" ht="27" customHeight="1" x14ac:dyDescent="0.3">
      <c r="B285" s="93" t="s">
        <v>2133</v>
      </c>
      <c r="C285" s="93"/>
      <c r="D285" s="93"/>
      <c r="E285" s="93"/>
      <c r="F285" s="93"/>
    </row>
    <row r="286" spans="2:6" x14ac:dyDescent="0.3">
      <c r="B286" s="85" t="s">
        <v>2134</v>
      </c>
      <c r="C286" s="85" t="s">
        <v>1827</v>
      </c>
      <c r="D286" s="85" t="s">
        <v>2135</v>
      </c>
      <c r="E286" s="85" t="s">
        <v>2136</v>
      </c>
    </row>
    <row r="287" spans="2:6" x14ac:dyDescent="0.3">
      <c r="B287" s="87" t="s">
        <v>5</v>
      </c>
      <c r="C287" s="87" t="s">
        <v>2137</v>
      </c>
      <c r="D287" s="87" t="s">
        <v>2138</v>
      </c>
      <c r="E287" s="87" t="s">
        <v>2139</v>
      </c>
    </row>
    <row r="288" spans="2:6" x14ac:dyDescent="0.3">
      <c r="B288" s="87" t="s">
        <v>2140</v>
      </c>
      <c r="C288" s="87" t="s">
        <v>2141</v>
      </c>
      <c r="D288" s="87" t="s">
        <v>2142</v>
      </c>
      <c r="E288" s="87" t="s">
        <v>2143</v>
      </c>
    </row>
    <row r="289" spans="2:6" x14ac:dyDescent="0.3">
      <c r="B289" s="87" t="s">
        <v>2144</v>
      </c>
      <c r="C289" s="87" t="s">
        <v>2145</v>
      </c>
      <c r="D289" s="87" t="s">
        <v>2146</v>
      </c>
      <c r="E289" s="87" t="s">
        <v>2147</v>
      </c>
    </row>
    <row r="290" spans="2:6" ht="26.4" x14ac:dyDescent="0.3">
      <c r="B290" s="87" t="s">
        <v>2148</v>
      </c>
      <c r="C290" s="87" t="s">
        <v>2149</v>
      </c>
      <c r="D290" s="87" t="s">
        <v>2150</v>
      </c>
      <c r="E290" s="87" t="s">
        <v>2151</v>
      </c>
    </row>
    <row r="291" spans="2:6" ht="26.4" x14ac:dyDescent="0.3">
      <c r="B291" s="87" t="s">
        <v>2152</v>
      </c>
      <c r="C291" s="87" t="s">
        <v>2153</v>
      </c>
      <c r="D291" s="87" t="s">
        <v>2154</v>
      </c>
      <c r="E291" s="87" t="s">
        <v>2155</v>
      </c>
    </row>
    <row r="292" spans="2:6" x14ac:dyDescent="0.3">
      <c r="B292" s="87" t="s">
        <v>2156</v>
      </c>
      <c r="C292" s="87" t="s">
        <v>2157</v>
      </c>
      <c r="D292" s="87" t="s">
        <v>2158</v>
      </c>
      <c r="E292" s="87" t="s">
        <v>2159</v>
      </c>
    </row>
    <row r="293" spans="2:6" x14ac:dyDescent="0.3">
      <c r="B293" s="87" t="s">
        <v>2160</v>
      </c>
      <c r="C293" s="87" t="s">
        <v>2161</v>
      </c>
      <c r="D293" s="87" t="s">
        <v>713</v>
      </c>
      <c r="E293" s="87" t="s">
        <v>2162</v>
      </c>
    </row>
    <row r="295" spans="2:6" ht="13.5" customHeight="1" x14ac:dyDescent="0.3">
      <c r="B295" s="93" t="s">
        <v>2163</v>
      </c>
      <c r="C295" s="93"/>
      <c r="D295" s="93"/>
      <c r="E295" s="93"/>
      <c r="F295" s="93"/>
    </row>
    <row r="296" spans="2:6" ht="27" customHeight="1" x14ac:dyDescent="0.3">
      <c r="B296" s="93" t="s">
        <v>2164</v>
      </c>
      <c r="C296" s="93"/>
      <c r="D296" s="93"/>
      <c r="E296" s="93"/>
      <c r="F296" s="93"/>
    </row>
    <row r="297" spans="2:6" ht="27" customHeight="1" x14ac:dyDescent="0.3">
      <c r="B297" s="93" t="s">
        <v>2165</v>
      </c>
      <c r="C297" s="93"/>
      <c r="D297" s="93"/>
      <c r="E297" s="93"/>
      <c r="F297" s="93"/>
    </row>
    <row r="298" spans="2:6" ht="27" customHeight="1" x14ac:dyDescent="0.3">
      <c r="B298" s="93" t="s">
        <v>2166</v>
      </c>
      <c r="C298" s="93"/>
      <c r="D298" s="93"/>
      <c r="E298" s="93"/>
      <c r="F298" s="93"/>
    </row>
    <row r="299" spans="2:6" ht="40.5" customHeight="1" x14ac:dyDescent="0.3">
      <c r="B299" s="95" t="s">
        <v>2167</v>
      </c>
      <c r="C299" s="95"/>
      <c r="D299" s="95"/>
      <c r="E299" s="95"/>
      <c r="F299" s="95"/>
    </row>
    <row r="300" spans="2:6" ht="13.5" customHeight="1" x14ac:dyDescent="0.3">
      <c r="B300" s="93" t="s">
        <v>1825</v>
      </c>
      <c r="C300" s="93"/>
      <c r="D300" s="93"/>
      <c r="E300" s="93"/>
      <c r="F300" s="93"/>
    </row>
    <row r="301" spans="2:6" x14ac:dyDescent="0.3">
      <c r="B301" s="91"/>
      <c r="C301" s="91"/>
      <c r="D301" s="91"/>
      <c r="E301" s="91"/>
      <c r="F301" s="91"/>
    </row>
    <row r="302" spans="2:6" ht="13.5" customHeight="1" x14ac:dyDescent="0.3">
      <c r="B302" s="148" t="s">
        <v>2168</v>
      </c>
      <c r="C302" s="148"/>
      <c r="D302" s="148"/>
      <c r="E302" s="148"/>
      <c r="F302" s="148"/>
    </row>
    <row r="303" spans="2:6" ht="13.5" customHeight="1" x14ac:dyDescent="0.3">
      <c r="B303" s="93" t="s">
        <v>2169</v>
      </c>
      <c r="C303" s="93"/>
      <c r="D303" s="93"/>
      <c r="E303" s="93"/>
      <c r="F303" s="93"/>
    </row>
    <row r="304" spans="2:6" ht="13.5" customHeight="1" x14ac:dyDescent="0.3">
      <c r="B304" s="93" t="s">
        <v>2170</v>
      </c>
      <c r="C304" s="93"/>
      <c r="D304" s="93"/>
      <c r="E304" s="93"/>
      <c r="F304" s="93"/>
    </row>
    <row r="305" spans="2:6" ht="13.5" customHeight="1" x14ac:dyDescent="0.3">
      <c r="B305" s="93" t="s">
        <v>2171</v>
      </c>
      <c r="C305" s="93"/>
      <c r="D305" s="93"/>
      <c r="E305" s="93"/>
      <c r="F305" s="93"/>
    </row>
    <row r="306" spans="2:6" ht="13.5" customHeight="1" x14ac:dyDescent="0.3">
      <c r="B306" s="93" t="s">
        <v>2172</v>
      </c>
      <c r="C306" s="93"/>
      <c r="D306" s="93"/>
      <c r="E306" s="93"/>
      <c r="F306" s="93"/>
    </row>
    <row r="307" spans="2:6" ht="13.5" customHeight="1" x14ac:dyDescent="0.3">
      <c r="B307" s="93" t="s">
        <v>2173</v>
      </c>
      <c r="C307" s="93"/>
      <c r="D307" s="93"/>
      <c r="E307" s="93"/>
      <c r="F307" s="93"/>
    </row>
    <row r="308" spans="2:6" ht="13.5" customHeight="1" x14ac:dyDescent="0.3">
      <c r="B308" s="93" t="s">
        <v>2174</v>
      </c>
      <c r="C308" s="93"/>
      <c r="D308" s="93"/>
      <c r="E308" s="93"/>
      <c r="F308" s="93"/>
    </row>
    <row r="309" spans="2:6" ht="13.5" customHeight="1" x14ac:dyDescent="0.3">
      <c r="B309" s="93" t="s">
        <v>1825</v>
      </c>
      <c r="C309" s="93"/>
      <c r="D309" s="93"/>
      <c r="E309" s="93"/>
      <c r="F309" s="93"/>
    </row>
    <row r="310" spans="2:6" x14ac:dyDescent="0.3">
      <c r="B310" s="91"/>
      <c r="C310" s="91"/>
      <c r="D310" s="91"/>
      <c r="E310" s="91"/>
      <c r="F310" s="91"/>
    </row>
    <row r="311" spans="2:6" ht="13.5" customHeight="1" x14ac:dyDescent="0.3">
      <c r="B311" s="148" t="s">
        <v>2175</v>
      </c>
      <c r="C311" s="148"/>
      <c r="D311" s="148"/>
      <c r="E311" s="148"/>
      <c r="F311" s="148"/>
    </row>
    <row r="312" spans="2:6" ht="27" customHeight="1" x14ac:dyDescent="0.3">
      <c r="B312" s="93" t="s">
        <v>2176</v>
      </c>
      <c r="C312" s="93"/>
      <c r="D312" s="93"/>
      <c r="E312" s="93"/>
      <c r="F312" s="93"/>
    </row>
    <row r="313" spans="2:6" x14ac:dyDescent="0.3">
      <c r="B313" s="85" t="s">
        <v>1827</v>
      </c>
      <c r="C313" s="85" t="s">
        <v>2177</v>
      </c>
      <c r="D313" s="85" t="s">
        <v>2178</v>
      </c>
    </row>
    <row r="314" spans="2:6" ht="26.4" x14ac:dyDescent="0.3">
      <c r="B314" s="87" t="s">
        <v>2179</v>
      </c>
      <c r="C314" s="87" t="s">
        <v>2180</v>
      </c>
      <c r="D314" s="87" t="s">
        <v>2181</v>
      </c>
    </row>
    <row r="315" spans="2:6" ht="52.8" x14ac:dyDescent="0.3">
      <c r="B315" s="87" t="s">
        <v>2182</v>
      </c>
      <c r="C315" s="87">
        <v>1</v>
      </c>
      <c r="D315" s="87" t="s">
        <v>2183</v>
      </c>
    </row>
    <row r="316" spans="2:6" ht="52.8" x14ac:dyDescent="0.3">
      <c r="B316" s="87" t="s">
        <v>1867</v>
      </c>
      <c r="C316" s="87" t="s">
        <v>2184</v>
      </c>
      <c r="D316" s="87" t="s">
        <v>2185</v>
      </c>
    </row>
    <row r="317" spans="2:6" ht="39.6" x14ac:dyDescent="0.3">
      <c r="B317" s="87" t="s">
        <v>2186</v>
      </c>
      <c r="C317" s="87" t="s">
        <v>2187</v>
      </c>
      <c r="D317" s="87" t="s">
        <v>2188</v>
      </c>
    </row>
    <row r="318" spans="2:6" ht="39.6" x14ac:dyDescent="0.3">
      <c r="B318" s="87" t="s">
        <v>2189</v>
      </c>
      <c r="C318" s="87" t="s">
        <v>2190</v>
      </c>
      <c r="D318" s="87" t="s">
        <v>2191</v>
      </c>
    </row>
    <row r="319" spans="2:6" ht="26.4" x14ac:dyDescent="0.3">
      <c r="B319" s="87" t="s">
        <v>2192</v>
      </c>
      <c r="C319" s="87" t="s">
        <v>493</v>
      </c>
      <c r="D319" s="87" t="s">
        <v>2193</v>
      </c>
    </row>
    <row r="320" spans="2:6" ht="39.6" x14ac:dyDescent="0.3">
      <c r="B320" s="87" t="s">
        <v>2194</v>
      </c>
      <c r="C320" s="87" t="s">
        <v>2195</v>
      </c>
      <c r="D320" s="87" t="s">
        <v>2196</v>
      </c>
    </row>
    <row r="321" spans="2:6" ht="52.8" x14ac:dyDescent="0.3">
      <c r="B321" s="87" t="s">
        <v>2197</v>
      </c>
      <c r="C321" s="87" t="s">
        <v>2198</v>
      </c>
      <c r="D321" s="87" t="s">
        <v>2199</v>
      </c>
    </row>
    <row r="323" spans="2:6" ht="40.5" customHeight="1" x14ac:dyDescent="0.3">
      <c r="B323" s="93" t="s">
        <v>2200</v>
      </c>
      <c r="C323" s="93"/>
      <c r="D323" s="93"/>
      <c r="E323" s="93"/>
      <c r="F323" s="93"/>
    </row>
    <row r="324" spans="2:6" ht="40.5" customHeight="1" x14ac:dyDescent="0.3">
      <c r="B324" s="93" t="s">
        <v>2201</v>
      </c>
      <c r="C324" s="93"/>
      <c r="D324" s="93"/>
      <c r="E324" s="93"/>
      <c r="F324" s="93"/>
    </row>
    <row r="325" spans="2:6" ht="40.5" customHeight="1" x14ac:dyDescent="0.3">
      <c r="B325" s="93" t="s">
        <v>2202</v>
      </c>
      <c r="C325" s="93"/>
      <c r="D325" s="93"/>
      <c r="E325" s="93"/>
      <c r="F325" s="93"/>
    </row>
    <row r="326" spans="2:6" x14ac:dyDescent="0.3">
      <c r="B326" s="91"/>
      <c r="C326" s="91"/>
      <c r="D326" s="91"/>
      <c r="E326" s="91"/>
      <c r="F326" s="91"/>
    </row>
    <row r="327" spans="2:6" ht="13.5" customHeight="1" x14ac:dyDescent="0.3">
      <c r="B327" s="148" t="s">
        <v>2203</v>
      </c>
      <c r="C327" s="148"/>
      <c r="D327" s="148"/>
      <c r="E327" s="148"/>
      <c r="F327" s="148"/>
    </row>
    <row r="328" spans="2:6" ht="27" customHeight="1" x14ac:dyDescent="0.3">
      <c r="B328" s="93" t="s">
        <v>2204</v>
      </c>
      <c r="C328" s="93"/>
      <c r="D328" s="93"/>
      <c r="E328" s="93"/>
      <c r="F328" s="93"/>
    </row>
    <row r="329" spans="2:6" ht="54" customHeight="1" x14ac:dyDescent="0.3">
      <c r="B329" s="93" t="s">
        <v>2205</v>
      </c>
      <c r="C329" s="93"/>
      <c r="D329" s="93"/>
      <c r="E329" s="93"/>
      <c r="F329" s="93"/>
    </row>
    <row r="330" spans="2:6" ht="40.5" customHeight="1" x14ac:dyDescent="0.3">
      <c r="B330" s="93" t="s">
        <v>2206</v>
      </c>
      <c r="C330" s="93"/>
      <c r="D330" s="93"/>
      <c r="E330" s="93"/>
      <c r="F330" s="93"/>
    </row>
    <row r="331" spans="2:6" ht="54" customHeight="1" x14ac:dyDescent="0.3">
      <c r="B331" s="93" t="s">
        <v>2207</v>
      </c>
      <c r="C331" s="93"/>
      <c r="D331" s="93"/>
      <c r="E331" s="93"/>
      <c r="F331" s="93"/>
    </row>
    <row r="332" spans="2:6" ht="13.5" customHeight="1" x14ac:dyDescent="0.3">
      <c r="B332" s="93" t="s">
        <v>2208</v>
      </c>
      <c r="C332" s="93"/>
      <c r="D332" s="93"/>
      <c r="E332" s="93"/>
      <c r="F332" s="93"/>
    </row>
    <row r="333" spans="2:6" ht="27" customHeight="1" x14ac:dyDescent="0.3">
      <c r="B333" s="93" t="s">
        <v>2209</v>
      </c>
      <c r="C333" s="93"/>
      <c r="D333" s="93"/>
      <c r="E333" s="93"/>
      <c r="F333" s="93"/>
    </row>
    <row r="334" spans="2:6" ht="13.5" customHeight="1" x14ac:dyDescent="0.3">
      <c r="B334" s="93" t="s">
        <v>2210</v>
      </c>
      <c r="C334" s="93"/>
      <c r="D334" s="93"/>
      <c r="E334" s="93"/>
      <c r="F334" s="93"/>
    </row>
    <row r="335" spans="2:6" ht="27" customHeight="1" x14ac:dyDescent="0.3">
      <c r="B335" s="93" t="s">
        <v>2211</v>
      </c>
      <c r="C335" s="93"/>
      <c r="D335" s="93"/>
      <c r="E335" s="93"/>
      <c r="F335" s="93"/>
    </row>
    <row r="336" spans="2:6" ht="40.5" customHeight="1" x14ac:dyDescent="0.3">
      <c r="B336" s="93" t="s">
        <v>2212</v>
      </c>
      <c r="C336" s="93"/>
      <c r="D336" s="93"/>
      <c r="E336" s="93"/>
      <c r="F336" s="93"/>
    </row>
    <row r="337" spans="2:6" ht="40.5" customHeight="1" x14ac:dyDescent="0.3">
      <c r="B337" s="93" t="s">
        <v>2213</v>
      </c>
      <c r="C337" s="93"/>
      <c r="D337" s="93"/>
      <c r="E337" s="93"/>
      <c r="F337" s="93"/>
    </row>
    <row r="338" spans="2:6" ht="54" customHeight="1" x14ac:dyDescent="0.3">
      <c r="B338" s="93" t="s">
        <v>2214</v>
      </c>
      <c r="C338" s="93"/>
      <c r="D338" s="93"/>
      <c r="E338" s="93"/>
      <c r="F338" s="93"/>
    </row>
    <row r="339" spans="2:6" ht="67.5" customHeight="1" x14ac:dyDescent="0.3">
      <c r="B339" s="93" t="s">
        <v>2215</v>
      </c>
      <c r="C339" s="93"/>
      <c r="D339" s="93"/>
      <c r="E339" s="93"/>
      <c r="F339" s="93"/>
    </row>
    <row r="340" spans="2:6" ht="40.5" customHeight="1" x14ac:dyDescent="0.3">
      <c r="B340" s="93" t="s">
        <v>2216</v>
      </c>
      <c r="C340" s="93"/>
      <c r="D340" s="93"/>
      <c r="E340" s="93"/>
      <c r="F340" s="93"/>
    </row>
    <row r="341" spans="2:6" x14ac:dyDescent="0.3">
      <c r="B341" s="91"/>
      <c r="C341" s="91"/>
      <c r="D341" s="91"/>
      <c r="E341" s="91"/>
      <c r="F341" s="91"/>
    </row>
    <row r="342" spans="2:6" ht="13.5" customHeight="1" x14ac:dyDescent="0.3">
      <c r="B342" s="148" t="s">
        <v>2217</v>
      </c>
      <c r="C342" s="148"/>
      <c r="D342" s="148"/>
      <c r="E342" s="148"/>
      <c r="F342" s="148"/>
    </row>
    <row r="343" spans="2:6" ht="54" customHeight="1" x14ac:dyDescent="0.3">
      <c r="B343" s="93" t="s">
        <v>2218</v>
      </c>
      <c r="C343" s="93"/>
      <c r="D343" s="93"/>
      <c r="E343" s="93"/>
      <c r="F343" s="93"/>
    </row>
    <row r="344" spans="2:6" ht="27" customHeight="1" x14ac:dyDescent="0.3">
      <c r="B344" s="93" t="s">
        <v>2219</v>
      </c>
      <c r="C344" s="93"/>
      <c r="D344" s="93"/>
      <c r="E344" s="93"/>
      <c r="F344" s="93"/>
    </row>
    <row r="345" spans="2:6" ht="40.5" customHeight="1" x14ac:dyDescent="0.3">
      <c r="B345" s="93" t="s">
        <v>2220</v>
      </c>
      <c r="C345" s="93"/>
      <c r="D345" s="93"/>
      <c r="E345" s="93"/>
      <c r="F345" s="93"/>
    </row>
    <row r="346" spans="2:6" ht="13.5" customHeight="1" x14ac:dyDescent="0.3">
      <c r="B346" s="93" t="s">
        <v>2221</v>
      </c>
      <c r="C346" s="93"/>
      <c r="D346" s="93"/>
      <c r="E346" s="93"/>
      <c r="F346" s="93"/>
    </row>
    <row r="347" spans="2:6" ht="67.5" customHeight="1" x14ac:dyDescent="0.3">
      <c r="B347" s="93" t="s">
        <v>2222</v>
      </c>
      <c r="C347" s="93"/>
      <c r="D347" s="93"/>
      <c r="E347" s="93"/>
      <c r="F347" s="93"/>
    </row>
    <row r="348" spans="2:6" ht="40.5" customHeight="1" x14ac:dyDescent="0.3">
      <c r="B348" s="93" t="s">
        <v>2223</v>
      </c>
      <c r="C348" s="93"/>
      <c r="D348" s="93"/>
      <c r="E348" s="93"/>
      <c r="F348" s="93"/>
    </row>
    <row r="349" spans="2:6" ht="67.5" customHeight="1" x14ac:dyDescent="0.3">
      <c r="B349" s="93" t="s">
        <v>2224</v>
      </c>
      <c r="C349" s="93"/>
      <c r="D349" s="93"/>
      <c r="E349" s="93"/>
      <c r="F349" s="93"/>
    </row>
    <row r="350" spans="2:6" ht="27" customHeight="1" x14ac:dyDescent="0.3">
      <c r="B350" s="93" t="s">
        <v>2225</v>
      </c>
      <c r="C350" s="93"/>
      <c r="D350" s="93"/>
      <c r="E350" s="93"/>
      <c r="F350" s="93"/>
    </row>
    <row r="351" spans="2:6" ht="13.5" customHeight="1" x14ac:dyDescent="0.3">
      <c r="B351" s="93" t="s">
        <v>2226</v>
      </c>
      <c r="C351" s="93"/>
      <c r="D351" s="93"/>
      <c r="E351" s="93"/>
      <c r="F351" s="93"/>
    </row>
    <row r="352" spans="2:6" ht="40.5" customHeight="1" x14ac:dyDescent="0.3">
      <c r="B352" s="93" t="s">
        <v>2227</v>
      </c>
      <c r="C352" s="93"/>
      <c r="D352" s="93"/>
      <c r="E352" s="93"/>
      <c r="F352" s="93"/>
    </row>
    <row r="353" spans="2:6" x14ac:dyDescent="0.3">
      <c r="B353" s="91"/>
      <c r="C353" s="91"/>
      <c r="D353" s="91"/>
      <c r="E353" s="91"/>
      <c r="F353" s="91"/>
    </row>
    <row r="354" spans="2:6" ht="13.5" customHeight="1" x14ac:dyDescent="0.3">
      <c r="B354" s="148" t="s">
        <v>2228</v>
      </c>
      <c r="C354" s="148"/>
      <c r="D354" s="148"/>
      <c r="E354" s="148"/>
      <c r="F354" s="148"/>
    </row>
    <row r="355" spans="2:6" ht="27" customHeight="1" x14ac:dyDescent="0.3">
      <c r="B355" s="93" t="s">
        <v>2229</v>
      </c>
      <c r="C355" s="93"/>
      <c r="D355" s="93"/>
      <c r="E355" s="93"/>
      <c r="F355" s="93"/>
    </row>
    <row r="356" spans="2:6" ht="40.5" customHeight="1" x14ac:dyDescent="0.3">
      <c r="B356" s="93" t="s">
        <v>2230</v>
      </c>
      <c r="C356" s="93"/>
      <c r="D356" s="93"/>
      <c r="E356" s="93"/>
      <c r="F356" s="93"/>
    </row>
    <row r="357" spans="2:6" ht="27" customHeight="1" x14ac:dyDescent="0.3">
      <c r="B357" s="93" t="s">
        <v>2231</v>
      </c>
      <c r="C357" s="93"/>
      <c r="D357" s="93"/>
      <c r="E357" s="93"/>
      <c r="F357" s="93"/>
    </row>
    <row r="358" spans="2:6" ht="13.5" customHeight="1" x14ac:dyDescent="0.3">
      <c r="B358" s="93" t="s">
        <v>2232</v>
      </c>
      <c r="C358" s="93"/>
      <c r="D358" s="93"/>
      <c r="E358" s="93"/>
      <c r="F358" s="93"/>
    </row>
    <row r="359" spans="2:6" ht="40.5" customHeight="1" x14ac:dyDescent="0.3">
      <c r="B359" s="93" t="s">
        <v>2233</v>
      </c>
      <c r="C359" s="93"/>
      <c r="D359" s="93"/>
      <c r="E359" s="93"/>
      <c r="F359" s="93"/>
    </row>
    <row r="360" spans="2:6" ht="13.5" customHeight="1" x14ac:dyDescent="0.3">
      <c r="B360" s="93" t="s">
        <v>2234</v>
      </c>
      <c r="C360" s="93"/>
      <c r="D360" s="93"/>
      <c r="E360" s="93"/>
      <c r="F360" s="93"/>
    </row>
    <row r="361" spans="2:6" ht="27" customHeight="1" x14ac:dyDescent="0.3">
      <c r="B361" s="93" t="s">
        <v>2235</v>
      </c>
      <c r="C361" s="93"/>
      <c r="D361" s="93"/>
      <c r="E361" s="93"/>
      <c r="F361" s="93"/>
    </row>
    <row r="362" spans="2:6" ht="13.5" customHeight="1" x14ac:dyDescent="0.3">
      <c r="B362" s="93" t="s">
        <v>2236</v>
      </c>
      <c r="C362" s="93"/>
      <c r="D362" s="93"/>
      <c r="E362" s="93"/>
      <c r="F362" s="93"/>
    </row>
    <row r="363" spans="2:6" x14ac:dyDescent="0.3">
      <c r="B363" s="91"/>
      <c r="C363" s="91"/>
      <c r="D363" s="91"/>
      <c r="E363" s="91"/>
      <c r="F363" s="91"/>
    </row>
    <row r="364" spans="2:6" ht="13.5" customHeight="1" x14ac:dyDescent="0.3">
      <c r="B364" s="148" t="s">
        <v>2237</v>
      </c>
      <c r="C364" s="148"/>
      <c r="D364" s="148"/>
      <c r="E364" s="148"/>
      <c r="F364" s="148"/>
    </row>
    <row r="365" spans="2:6" ht="54" customHeight="1" x14ac:dyDescent="0.3">
      <c r="B365" s="93" t="s">
        <v>2238</v>
      </c>
      <c r="C365" s="93"/>
      <c r="D365" s="93"/>
      <c r="E365" s="93"/>
      <c r="F365" s="93"/>
    </row>
    <row r="366" spans="2:6" ht="67.5" customHeight="1" x14ac:dyDescent="0.3">
      <c r="B366" s="93" t="s">
        <v>2239</v>
      </c>
      <c r="C366" s="93"/>
      <c r="D366" s="93"/>
      <c r="E366" s="93"/>
      <c r="F366" s="93"/>
    </row>
    <row r="367" spans="2:6" ht="13.5" customHeight="1" x14ac:dyDescent="0.3">
      <c r="B367" s="93" t="s">
        <v>2240</v>
      </c>
      <c r="C367" s="93"/>
      <c r="D367" s="93"/>
      <c r="E367" s="93"/>
      <c r="F367" s="93"/>
    </row>
    <row r="368" spans="2:6" ht="40.5" customHeight="1" x14ac:dyDescent="0.3">
      <c r="B368" s="93" t="s">
        <v>2241</v>
      </c>
      <c r="C368" s="93"/>
      <c r="D368" s="93"/>
      <c r="E368" s="93"/>
      <c r="F368" s="93"/>
    </row>
    <row r="369" spans="2:6" ht="54" customHeight="1" x14ac:dyDescent="0.3">
      <c r="B369" s="93" t="s">
        <v>2242</v>
      </c>
      <c r="C369" s="93"/>
      <c r="D369" s="93"/>
      <c r="E369" s="93"/>
      <c r="F369" s="93"/>
    </row>
    <row r="370" spans="2:6" x14ac:dyDescent="0.3">
      <c r="B370" s="91"/>
      <c r="C370" s="91"/>
      <c r="D370" s="91"/>
      <c r="E370" s="91"/>
      <c r="F370" s="91"/>
    </row>
    <row r="371" spans="2:6" ht="13.5" customHeight="1" x14ac:dyDescent="0.3">
      <c r="B371" s="148" t="s">
        <v>2243</v>
      </c>
      <c r="C371" s="148"/>
      <c r="D371" s="148"/>
      <c r="E371" s="148"/>
      <c r="F371" s="148"/>
    </row>
    <row r="372" spans="2:6" ht="27" customHeight="1" x14ac:dyDescent="0.3">
      <c r="B372" s="93" t="s">
        <v>2244</v>
      </c>
      <c r="C372" s="93"/>
      <c r="D372" s="93"/>
      <c r="E372" s="93"/>
      <c r="F372" s="93"/>
    </row>
    <row r="373" spans="2:6" ht="27" customHeight="1" x14ac:dyDescent="0.3">
      <c r="B373" s="93" t="s">
        <v>2245</v>
      </c>
      <c r="C373" s="93"/>
      <c r="D373" s="93"/>
      <c r="E373" s="93"/>
      <c r="F373" s="93"/>
    </row>
    <row r="374" spans="2:6" ht="27" customHeight="1" x14ac:dyDescent="0.3">
      <c r="B374" s="93" t="s">
        <v>2246</v>
      </c>
      <c r="C374" s="93"/>
      <c r="D374" s="93"/>
      <c r="E374" s="93"/>
      <c r="F374" s="93"/>
    </row>
    <row r="375" spans="2:6" ht="13.5" customHeight="1" x14ac:dyDescent="0.3">
      <c r="B375" s="93" t="s">
        <v>2247</v>
      </c>
      <c r="C375" s="93"/>
      <c r="D375" s="93"/>
      <c r="E375" s="93"/>
      <c r="F375" s="93"/>
    </row>
    <row r="376" spans="2:6" ht="13.5" customHeight="1" x14ac:dyDescent="0.3">
      <c r="B376" s="93" t="s">
        <v>2248</v>
      </c>
      <c r="C376" s="93"/>
      <c r="D376" s="93"/>
      <c r="E376" s="93"/>
      <c r="F376" s="93"/>
    </row>
    <row r="377" spans="2:6" ht="27" customHeight="1" x14ac:dyDescent="0.3">
      <c r="B377" s="93" t="s">
        <v>2249</v>
      </c>
      <c r="C377" s="93"/>
      <c r="D377" s="93"/>
      <c r="E377" s="93"/>
      <c r="F377" s="93"/>
    </row>
    <row r="378" spans="2:6" ht="27" customHeight="1" x14ac:dyDescent="0.3">
      <c r="B378" s="93" t="s">
        <v>2250</v>
      </c>
      <c r="C378" s="93"/>
      <c r="D378" s="93"/>
      <c r="E378" s="93"/>
      <c r="F378" s="93"/>
    </row>
  </sheetData>
  <mergeCells count="266">
    <mergeCell ref="B373:F373"/>
    <mergeCell ref="B374:F374"/>
    <mergeCell ref="B375:F375"/>
    <mergeCell ref="B376:F376"/>
    <mergeCell ref="B377:F377"/>
    <mergeCell ref="B378:F378"/>
    <mergeCell ref="B367:F367"/>
    <mergeCell ref="B368:F368"/>
    <mergeCell ref="B369:F369"/>
    <mergeCell ref="B371:F371"/>
    <mergeCell ref="B372:F372"/>
    <mergeCell ref="B361:F361"/>
    <mergeCell ref="B362:F362"/>
    <mergeCell ref="B364:F364"/>
    <mergeCell ref="B365:F365"/>
    <mergeCell ref="B366:F366"/>
    <mergeCell ref="B355:F355"/>
    <mergeCell ref="B356:F356"/>
    <mergeCell ref="B357:F357"/>
    <mergeCell ref="B358:F358"/>
    <mergeCell ref="B359:F359"/>
    <mergeCell ref="B360:F360"/>
    <mergeCell ref="B349:F349"/>
    <mergeCell ref="B350:F350"/>
    <mergeCell ref="B351:F351"/>
    <mergeCell ref="B352:F352"/>
    <mergeCell ref="B354:F354"/>
    <mergeCell ref="B343:F343"/>
    <mergeCell ref="B344:F344"/>
    <mergeCell ref="B345:F345"/>
    <mergeCell ref="B346:F346"/>
    <mergeCell ref="B347:F347"/>
    <mergeCell ref="B348:F348"/>
    <mergeCell ref="B337:F337"/>
    <mergeCell ref="B338:F338"/>
    <mergeCell ref="B339:F339"/>
    <mergeCell ref="B340:F340"/>
    <mergeCell ref="B342:F342"/>
    <mergeCell ref="B331:F331"/>
    <mergeCell ref="B332:F332"/>
    <mergeCell ref="B333:F333"/>
    <mergeCell ref="B334:F334"/>
    <mergeCell ref="B335:F335"/>
    <mergeCell ref="B336:F336"/>
    <mergeCell ref="B325:F325"/>
    <mergeCell ref="B327:F327"/>
    <mergeCell ref="B328:F328"/>
    <mergeCell ref="B329:F329"/>
    <mergeCell ref="B330:F330"/>
    <mergeCell ref="B309:F309"/>
    <mergeCell ref="B311:F311"/>
    <mergeCell ref="B312:F312"/>
    <mergeCell ref="B323:F323"/>
    <mergeCell ref="B324:F324"/>
    <mergeCell ref="B303:F303"/>
    <mergeCell ref="B304:F304"/>
    <mergeCell ref="B305:F305"/>
    <mergeCell ref="B306:F306"/>
    <mergeCell ref="B307:F307"/>
    <mergeCell ref="B308:F308"/>
    <mergeCell ref="B297:F297"/>
    <mergeCell ref="B298:F298"/>
    <mergeCell ref="B299:F299"/>
    <mergeCell ref="B300:F300"/>
    <mergeCell ref="B302:F302"/>
    <mergeCell ref="B282:F282"/>
    <mergeCell ref="B284:F284"/>
    <mergeCell ref="B285:F285"/>
    <mergeCell ref="B295:F295"/>
    <mergeCell ref="B296:F296"/>
    <mergeCell ref="B276:F276"/>
    <mergeCell ref="B277:F277"/>
    <mergeCell ref="B279:F279"/>
    <mergeCell ref="B280:F280"/>
    <mergeCell ref="B281:F281"/>
    <mergeCell ref="B270:F270"/>
    <mergeCell ref="B271:F271"/>
    <mergeCell ref="B272:F272"/>
    <mergeCell ref="B274:F274"/>
    <mergeCell ref="B275:F275"/>
    <mergeCell ref="B264:F264"/>
    <mergeCell ref="B265:F265"/>
    <mergeCell ref="B267:F267"/>
    <mergeCell ref="B268:F268"/>
    <mergeCell ref="B269:F269"/>
    <mergeCell ref="B258:F258"/>
    <mergeCell ref="B259:F259"/>
    <mergeCell ref="B260:F260"/>
    <mergeCell ref="B261:F261"/>
    <mergeCell ref="B262:F262"/>
    <mergeCell ref="B263:F263"/>
    <mergeCell ref="B245:F245"/>
    <mergeCell ref="B253:F253"/>
    <mergeCell ref="B254:F254"/>
    <mergeCell ref="B255:F255"/>
    <mergeCell ref="B256:F256"/>
    <mergeCell ref="B257:F257"/>
    <mergeCell ref="B239:F239"/>
    <mergeCell ref="B240:F240"/>
    <mergeCell ref="B241:F241"/>
    <mergeCell ref="B242:F242"/>
    <mergeCell ref="B244:F244"/>
    <mergeCell ref="B222:F222"/>
    <mergeCell ref="B223:F223"/>
    <mergeCell ref="B224:F224"/>
    <mergeCell ref="B225:F225"/>
    <mergeCell ref="B227:F227"/>
    <mergeCell ref="B216:F216"/>
    <mergeCell ref="B217:F217"/>
    <mergeCell ref="B218:F218"/>
    <mergeCell ref="B219:F219"/>
    <mergeCell ref="B220:F220"/>
    <mergeCell ref="B221:F221"/>
    <mergeCell ref="B210:F210"/>
    <mergeCell ref="B211:F211"/>
    <mergeCell ref="B212:F212"/>
    <mergeCell ref="B213:F213"/>
    <mergeCell ref="B214:F214"/>
    <mergeCell ref="B215:F215"/>
    <mergeCell ref="B204:F204"/>
    <mergeCell ref="B205:F205"/>
    <mergeCell ref="B206:F206"/>
    <mergeCell ref="B207:F207"/>
    <mergeCell ref="B208:F208"/>
    <mergeCell ref="B209:F209"/>
    <mergeCell ref="B198:F198"/>
    <mergeCell ref="B199:F199"/>
    <mergeCell ref="B200:F200"/>
    <mergeCell ref="B201:F201"/>
    <mergeCell ref="B202:F202"/>
    <mergeCell ref="B203:F203"/>
    <mergeCell ref="B182:F182"/>
    <mergeCell ref="B183:F183"/>
    <mergeCell ref="B191:F191"/>
    <mergeCell ref="B192:F192"/>
    <mergeCell ref="B193:F193"/>
    <mergeCell ref="B197:F197"/>
    <mergeCell ref="B176:F176"/>
    <mergeCell ref="B177:F177"/>
    <mergeCell ref="B178:F178"/>
    <mergeCell ref="B179:F179"/>
    <mergeCell ref="B180:F180"/>
    <mergeCell ref="B170:F170"/>
    <mergeCell ref="B171:F171"/>
    <mergeCell ref="B172:F172"/>
    <mergeCell ref="B173:F173"/>
    <mergeCell ref="B174:F174"/>
    <mergeCell ref="B175:F175"/>
    <mergeCell ref="B164:F164"/>
    <mergeCell ref="B165:F165"/>
    <mergeCell ref="B166:F166"/>
    <mergeCell ref="B167:F167"/>
    <mergeCell ref="B168:F168"/>
    <mergeCell ref="B169:F169"/>
    <mergeCell ref="B158:F158"/>
    <mergeCell ref="B159:F159"/>
    <mergeCell ref="B160:F160"/>
    <mergeCell ref="B161:F161"/>
    <mergeCell ref="B162:F162"/>
    <mergeCell ref="B163:F163"/>
    <mergeCell ref="B152:F152"/>
    <mergeCell ref="B153:F153"/>
    <mergeCell ref="B154:F154"/>
    <mergeCell ref="B155:F155"/>
    <mergeCell ref="B156:F156"/>
    <mergeCell ref="B157:F157"/>
    <mergeCell ref="B146:F146"/>
    <mergeCell ref="B147:F147"/>
    <mergeCell ref="B149:F149"/>
    <mergeCell ref="B150:F150"/>
    <mergeCell ref="B151:F151"/>
    <mergeCell ref="B140:F140"/>
    <mergeCell ref="B141:F141"/>
    <mergeCell ref="B142:F142"/>
    <mergeCell ref="B143:F143"/>
    <mergeCell ref="B144:F144"/>
    <mergeCell ref="B145:F145"/>
    <mergeCell ref="B134:F134"/>
    <mergeCell ref="B135:F135"/>
    <mergeCell ref="B136:F136"/>
    <mergeCell ref="B137:F137"/>
    <mergeCell ref="B138:F138"/>
    <mergeCell ref="B139:F139"/>
    <mergeCell ref="B128:F128"/>
    <mergeCell ref="B129:F129"/>
    <mergeCell ref="B130:F130"/>
    <mergeCell ref="B131:F131"/>
    <mergeCell ref="B132:F132"/>
    <mergeCell ref="B122:F122"/>
    <mergeCell ref="B123:F123"/>
    <mergeCell ref="B125:F125"/>
    <mergeCell ref="B126:F126"/>
    <mergeCell ref="B127:F127"/>
    <mergeCell ref="B116:F116"/>
    <mergeCell ref="B117:F117"/>
    <mergeCell ref="B118:F118"/>
    <mergeCell ref="B119:F119"/>
    <mergeCell ref="B120:F120"/>
    <mergeCell ref="B121:F121"/>
    <mergeCell ref="B110:F110"/>
    <mergeCell ref="B111:F111"/>
    <mergeCell ref="B112:F112"/>
    <mergeCell ref="B113:F113"/>
    <mergeCell ref="B114:F114"/>
    <mergeCell ref="B115:F115"/>
    <mergeCell ref="B104:F104"/>
    <mergeCell ref="B105:F105"/>
    <mergeCell ref="B106:F106"/>
    <mergeCell ref="B108:F108"/>
    <mergeCell ref="B109:F109"/>
    <mergeCell ref="B98:F98"/>
    <mergeCell ref="B99:F99"/>
    <mergeCell ref="B100:F100"/>
    <mergeCell ref="B101:F101"/>
    <mergeCell ref="B102:F102"/>
    <mergeCell ref="B103:F103"/>
    <mergeCell ref="B92:F92"/>
    <mergeCell ref="B93:F93"/>
    <mergeCell ref="B94:F94"/>
    <mergeCell ref="B95:F95"/>
    <mergeCell ref="B96:F96"/>
    <mergeCell ref="B97:F97"/>
    <mergeCell ref="B86:F86"/>
    <mergeCell ref="B87:F87"/>
    <mergeCell ref="B88:F88"/>
    <mergeCell ref="B89:F89"/>
    <mergeCell ref="B90:F90"/>
    <mergeCell ref="B91:F91"/>
    <mergeCell ref="B81:F81"/>
    <mergeCell ref="B82:F82"/>
    <mergeCell ref="B83:F83"/>
    <mergeCell ref="B84:F84"/>
    <mergeCell ref="B85:F85"/>
    <mergeCell ref="B74:F74"/>
    <mergeCell ref="B75:F75"/>
    <mergeCell ref="B76:F76"/>
    <mergeCell ref="B77:F77"/>
    <mergeCell ref="B78:F78"/>
    <mergeCell ref="B79:F79"/>
    <mergeCell ref="B68:F68"/>
    <mergeCell ref="B69:F69"/>
    <mergeCell ref="B70:F70"/>
    <mergeCell ref="B71:F71"/>
    <mergeCell ref="B72:F72"/>
    <mergeCell ref="B73:F73"/>
    <mergeCell ref="B62:F62"/>
    <mergeCell ref="B63:F63"/>
    <mergeCell ref="B65:F65"/>
    <mergeCell ref="B66:F66"/>
    <mergeCell ref="B67:F67"/>
    <mergeCell ref="B23:F23"/>
    <mergeCell ref="B46:F46"/>
    <mergeCell ref="B48:F48"/>
    <mergeCell ref="B49:F49"/>
    <mergeCell ref="B50:F50"/>
    <mergeCell ref="B7:F7"/>
    <mergeCell ref="B8:F8"/>
    <mergeCell ref="B9:F9"/>
    <mergeCell ref="B20:F20"/>
    <mergeCell ref="B21:F21"/>
    <mergeCell ref="B1:F1"/>
    <mergeCell ref="B2:F2"/>
    <mergeCell ref="B3:F3"/>
    <mergeCell ref="B4:F4"/>
    <mergeCell ref="B5:F5"/>
    <mergeCell ref="B6:F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A4DD2-CE3E-49FC-9737-C2896BBDF5F2}">
  <sheetPr codeName="Лист15">
    <tabColor rgb="FFA6A6A6"/>
  </sheetPr>
  <dimension ref="A1:CA193"/>
  <sheetViews>
    <sheetView topLeftCell="Z1" zoomScale="70" zoomScaleNormal="70" workbookViewId="0">
      <selection activeCell="AE6" sqref="AE6"/>
    </sheetView>
  </sheetViews>
  <sheetFormatPr defaultRowHeight="14.4" x14ac:dyDescent="0.3"/>
  <cols>
    <col min="13" max="13" width="22" style="20" bestFit="1" customWidth="1"/>
    <col min="14" max="14" width="14" customWidth="1"/>
    <col min="17" max="17" width="38.109375" bestFit="1" customWidth="1"/>
    <col min="18" max="18" width="8.109375" customWidth="1"/>
    <col min="19" max="25" width="17.44140625" customWidth="1"/>
    <col min="26" max="26" width="22" customWidth="1"/>
    <col min="27" max="27" width="17.44140625" customWidth="1"/>
    <col min="28" max="28" width="25.6640625" bestFit="1" customWidth="1"/>
    <col min="31" max="31" width="17.88671875" customWidth="1"/>
    <col min="33" max="33" width="12.6640625" customWidth="1"/>
    <col min="36" max="36" width="28.44140625" customWidth="1"/>
    <col min="43" max="43" width="25.88671875" customWidth="1"/>
    <col min="44" max="44" width="20.33203125" customWidth="1"/>
    <col min="45" max="45" width="24.109375" customWidth="1"/>
    <col min="46" max="46" width="3" customWidth="1"/>
    <col min="47" max="47" width="12" customWidth="1"/>
    <col min="48" max="48" width="26" customWidth="1"/>
    <col min="49" max="49" width="7" customWidth="1"/>
    <col min="50" max="50" width="10" customWidth="1"/>
    <col min="51" max="51" width="12" customWidth="1"/>
    <col min="52" max="52" width="10" customWidth="1"/>
    <col min="53" max="53" width="28" customWidth="1"/>
    <col min="54" max="54" width="30" customWidth="1"/>
    <col min="55" max="55" width="14" customWidth="1"/>
    <col min="56" max="56" width="14.77734375" customWidth="1"/>
    <col min="57" max="57" width="48" customWidth="1"/>
    <col min="58" max="58" width="10" customWidth="1"/>
    <col min="59" max="59" width="3" customWidth="1"/>
    <col min="60" max="60" width="8" customWidth="1"/>
    <col min="61" max="61" width="9" customWidth="1"/>
    <col min="62" max="62" width="14" customWidth="1"/>
    <col min="63" max="63" width="9" customWidth="1"/>
    <col min="64" max="64" width="11" customWidth="1"/>
    <col min="65" max="66" width="10" customWidth="1"/>
    <col min="67" max="67" width="3" customWidth="1"/>
    <col min="68" max="68" width="13" customWidth="1"/>
    <col min="69" max="69" width="8" customWidth="1"/>
    <col min="70" max="70" width="110" customWidth="1"/>
    <col min="71" max="71" width="3" customWidth="1"/>
    <col min="72" max="72" width="40" customWidth="1"/>
    <col min="73" max="73" width="12" customWidth="1"/>
    <col min="74" max="74" width="60" customWidth="1"/>
    <col min="75" max="75" width="3" customWidth="1"/>
    <col min="76" max="76" width="10" customWidth="1"/>
    <col min="77" max="77" width="12" customWidth="1"/>
    <col min="78" max="79" width="16" customWidth="1"/>
  </cols>
  <sheetData>
    <row r="1" spans="1:79" ht="15" thickBot="1" x14ac:dyDescent="0.35">
      <c r="A1" s="152" t="s">
        <v>2271</v>
      </c>
    </row>
    <row r="2" spans="1:79" ht="15" thickBot="1" x14ac:dyDescent="0.35">
      <c r="I2" s="37"/>
      <c r="L2" s="97" t="s">
        <v>50</v>
      </c>
      <c r="M2" s="98"/>
      <c r="N2" s="98"/>
      <c r="O2" s="98"/>
      <c r="P2" s="98"/>
      <c r="Q2" s="98"/>
      <c r="R2" s="98"/>
      <c r="S2" s="98"/>
      <c r="T2" s="98"/>
      <c r="U2" s="98"/>
      <c r="V2" s="98"/>
      <c r="W2" s="98"/>
      <c r="X2" s="98"/>
      <c r="Y2" s="98"/>
      <c r="Z2" s="98"/>
      <c r="AA2" s="98"/>
      <c r="AB2" s="98"/>
      <c r="AC2" s="98"/>
      <c r="AD2" s="98"/>
      <c r="AE2" s="98"/>
      <c r="AF2" s="98"/>
      <c r="AG2" s="99"/>
      <c r="AJ2" s="15" t="s">
        <v>59</v>
      </c>
      <c r="AK2" s="15"/>
      <c r="AQ2" s="100" t="s">
        <v>529</v>
      </c>
      <c r="AR2" s="100"/>
      <c r="AS2" s="100"/>
      <c r="AU2" s="73"/>
      <c r="AZ2" s="35"/>
      <c r="BA2" s="73" t="s">
        <v>539</v>
      </c>
      <c r="BD2" s="78"/>
      <c r="BE2" s="36" t="s">
        <v>540</v>
      </c>
      <c r="BP2" s="36" t="s">
        <v>541</v>
      </c>
      <c r="BT2" s="36"/>
      <c r="BX2" s="36" t="s">
        <v>542</v>
      </c>
    </row>
    <row r="3" spans="1:79" ht="28.05" customHeight="1" x14ac:dyDescent="0.3">
      <c r="B3" s="2" t="s">
        <v>3</v>
      </c>
      <c r="C3" s="2" t="s">
        <v>15</v>
      </c>
      <c r="D3" s="2" t="s">
        <v>543</v>
      </c>
      <c r="F3" s="2" t="s">
        <v>5</v>
      </c>
      <c r="G3" s="2" t="s">
        <v>7</v>
      </c>
      <c r="I3" s="2"/>
      <c r="J3" s="2"/>
      <c r="L3" s="11"/>
      <c r="M3" s="24"/>
      <c r="N3" s="12"/>
      <c r="P3" s="64"/>
      <c r="Q3" s="64"/>
      <c r="R3" s="64"/>
      <c r="S3" s="64"/>
      <c r="T3" s="65"/>
      <c r="U3" s="63"/>
      <c r="V3" s="63"/>
      <c r="W3" s="63"/>
      <c r="X3" s="63"/>
      <c r="Y3" s="63"/>
      <c r="Z3" s="35"/>
      <c r="AA3" s="11" t="s">
        <v>10</v>
      </c>
      <c r="AB3" s="11" t="s">
        <v>181</v>
      </c>
      <c r="AD3" s="11"/>
      <c r="AE3" s="11"/>
      <c r="AF3" s="11"/>
      <c r="AG3" s="12"/>
      <c r="AJ3" s="15" t="s">
        <v>9</v>
      </c>
      <c r="AK3" s="15" t="s">
        <v>60</v>
      </c>
      <c r="AL3" t="s">
        <v>145</v>
      </c>
      <c r="AM3" t="s">
        <v>14</v>
      </c>
      <c r="AN3" t="s">
        <v>3</v>
      </c>
      <c r="AO3" t="s">
        <v>146</v>
      </c>
      <c r="AQ3" s="67" t="s">
        <v>530</v>
      </c>
      <c r="AR3" s="67" t="s">
        <v>6</v>
      </c>
      <c r="AS3" s="67" t="s">
        <v>531</v>
      </c>
      <c r="AU3" s="64"/>
      <c r="AV3" s="64"/>
      <c r="AW3" s="64"/>
      <c r="AX3" s="64"/>
      <c r="AY3" s="64"/>
      <c r="AZ3" s="35"/>
      <c r="BA3" s="64" t="s">
        <v>545</v>
      </c>
      <c r="BB3" s="64" t="s">
        <v>546</v>
      </c>
      <c r="BC3" s="64" t="s">
        <v>547</v>
      </c>
      <c r="BD3" s="78"/>
      <c r="BE3" s="35" t="s">
        <v>548</v>
      </c>
      <c r="BF3" s="35"/>
      <c r="BH3" s="35" t="s">
        <v>549</v>
      </c>
      <c r="BI3" s="35"/>
      <c r="BJ3" s="35"/>
      <c r="BK3" s="35"/>
      <c r="BL3" s="35"/>
      <c r="BM3" s="35"/>
      <c r="BN3" s="35"/>
      <c r="BP3" s="35" t="s">
        <v>550</v>
      </c>
      <c r="BQ3" s="35" t="s">
        <v>538</v>
      </c>
      <c r="BR3" s="35" t="s">
        <v>551</v>
      </c>
      <c r="BT3" s="35"/>
      <c r="BU3" s="35"/>
      <c r="BV3" s="35"/>
      <c r="BX3" s="35" t="s">
        <v>552</v>
      </c>
      <c r="BY3" s="35" t="s">
        <v>553</v>
      </c>
      <c r="BZ3" s="35" t="s">
        <v>554</v>
      </c>
      <c r="CA3" s="35" t="s">
        <v>555</v>
      </c>
    </row>
    <row r="4" spans="1:79" ht="27.6" x14ac:dyDescent="0.3">
      <c r="B4" s="14">
        <v>0.75</v>
      </c>
      <c r="C4" s="14">
        <v>0.13</v>
      </c>
      <c r="D4" s="14">
        <v>2.2499999999999999E-2</v>
      </c>
      <c r="F4" s="14">
        <v>0</v>
      </c>
      <c r="G4" s="14">
        <v>6</v>
      </c>
      <c r="I4" s="14"/>
      <c r="J4" s="14"/>
      <c r="L4" s="16"/>
      <c r="M4" s="16"/>
      <c r="N4" s="16"/>
      <c r="O4" s="17"/>
      <c r="P4" s="26"/>
      <c r="Q4" s="26"/>
      <c r="R4" s="26"/>
      <c r="S4" s="26"/>
      <c r="T4" s="26"/>
      <c r="U4" s="26"/>
      <c r="V4" s="26"/>
      <c r="W4" s="26"/>
      <c r="X4" s="26"/>
      <c r="Y4" s="26"/>
      <c r="Z4" s="74"/>
      <c r="AA4" s="16" t="s">
        <v>182</v>
      </c>
      <c r="AB4" s="16" t="s">
        <v>184</v>
      </c>
      <c r="AC4" s="17"/>
      <c r="AD4" s="18"/>
      <c r="AE4" s="16"/>
      <c r="AF4" s="16"/>
      <c r="AG4" s="16"/>
      <c r="AJ4" s="13" t="str">
        <f>AL4&amp;" ("&amp;AM4&amp;"х"&amp;AN4&amp;") "&amp;AO4</f>
        <v>ВВГнг(А)-LS (2х1,5) 1</v>
      </c>
      <c r="AK4" s="14" t="s">
        <v>61</v>
      </c>
      <c r="AL4" t="s">
        <v>12</v>
      </c>
      <c r="AM4">
        <v>2</v>
      </c>
      <c r="AN4">
        <v>1.5</v>
      </c>
      <c r="AO4">
        <v>1</v>
      </c>
      <c r="AQ4" s="68" t="s">
        <v>524</v>
      </c>
      <c r="AR4" s="68" t="s">
        <v>532</v>
      </c>
      <c r="AS4" s="69"/>
      <c r="AU4" s="26"/>
      <c r="AY4" s="26"/>
      <c r="AZ4" s="74"/>
      <c r="BA4" s="26" t="s">
        <v>557</v>
      </c>
      <c r="BB4" s="26" t="s">
        <v>558</v>
      </c>
      <c r="BC4" s="26" t="s">
        <v>492</v>
      </c>
      <c r="BD4" s="79"/>
      <c r="BE4" s="37" t="s">
        <v>559</v>
      </c>
      <c r="BF4" s="74">
        <v>17</v>
      </c>
      <c r="BH4" s="35" t="s">
        <v>4</v>
      </c>
      <c r="BI4" s="35" t="s">
        <v>441</v>
      </c>
      <c r="BJ4" s="35" t="s">
        <v>489</v>
      </c>
      <c r="BK4" s="35" t="s">
        <v>490</v>
      </c>
      <c r="BL4" s="35" t="s">
        <v>560</v>
      </c>
      <c r="BM4" s="35" t="s">
        <v>561</v>
      </c>
      <c r="BN4" s="35" t="s">
        <v>562</v>
      </c>
      <c r="BP4" s="74">
        <v>0</v>
      </c>
      <c r="BQ4" s="74">
        <v>0.8</v>
      </c>
      <c r="BR4" s="37" t="s">
        <v>563</v>
      </c>
      <c r="BT4" s="74"/>
      <c r="BU4" s="74"/>
      <c r="BV4" s="37"/>
      <c r="BX4" s="74">
        <v>1.5</v>
      </c>
      <c r="BY4" s="74">
        <v>23</v>
      </c>
      <c r="BZ4" s="74">
        <v>19</v>
      </c>
      <c r="CA4" s="74">
        <v>19</v>
      </c>
    </row>
    <row r="5" spans="1:79" x14ac:dyDescent="0.3">
      <c r="B5" s="14">
        <v>1</v>
      </c>
      <c r="C5" s="14">
        <v>0.11</v>
      </c>
      <c r="D5" s="14">
        <v>2.2499999999999999E-2</v>
      </c>
      <c r="F5" s="14">
        <v>5.4</v>
      </c>
      <c r="G5" s="14">
        <v>10</v>
      </c>
      <c r="I5" s="14"/>
      <c r="J5" s="14"/>
      <c r="L5" s="16"/>
      <c r="M5" s="16"/>
      <c r="N5" s="16"/>
      <c r="O5" s="17"/>
      <c r="P5" s="26"/>
      <c r="Q5" s="26"/>
      <c r="R5" s="26"/>
      <c r="S5" s="26"/>
      <c r="T5" s="26"/>
      <c r="U5" s="26"/>
      <c r="V5" s="26"/>
      <c r="W5" s="26"/>
      <c r="X5" s="26"/>
      <c r="Y5" s="26"/>
      <c r="Z5" s="74"/>
      <c r="AA5" s="16" t="s">
        <v>183</v>
      </c>
      <c r="AB5" s="16" t="s">
        <v>185</v>
      </c>
      <c r="AC5" s="17"/>
      <c r="AD5" s="18"/>
      <c r="AE5" s="16"/>
      <c r="AF5" s="16"/>
      <c r="AG5" s="16"/>
      <c r="AJ5" s="13" t="str">
        <f t="shared" ref="AJ5:AJ68" si="0">AL5&amp;" ("&amp;AM5&amp;"х"&amp;AN5&amp;") "&amp;AO5</f>
        <v>ВВГнг(А)-LS (2х1,5) 2</v>
      </c>
      <c r="AK5" s="14" t="s">
        <v>62</v>
      </c>
      <c r="AL5" t="s">
        <v>12</v>
      </c>
      <c r="AM5">
        <v>2</v>
      </c>
      <c r="AN5">
        <v>1.5</v>
      </c>
      <c r="AO5">
        <v>2</v>
      </c>
      <c r="AQ5" s="68" t="s">
        <v>230</v>
      </c>
      <c r="AR5" s="68" t="s">
        <v>230</v>
      </c>
      <c r="AS5" s="70"/>
      <c r="AU5" s="26"/>
      <c r="AY5" s="26"/>
      <c r="AZ5" s="74"/>
      <c r="BA5" s="26" t="s">
        <v>565</v>
      </c>
      <c r="BB5" s="26" t="s">
        <v>566</v>
      </c>
      <c r="BC5" s="26" t="s">
        <v>501</v>
      </c>
      <c r="BD5" s="79"/>
      <c r="BE5" s="37" t="s">
        <v>494</v>
      </c>
      <c r="BF5" s="74">
        <v>10</v>
      </c>
      <c r="BH5" s="38" t="str">
        <f>IFERROR(INDEX(Однолинейка!$A$1:$A$1000,(MATCH(1,Однолинейка!$BS$1:$BS$1000,0))),"")</f>
        <v>ЩБП</v>
      </c>
      <c r="BI5" s="38" t="str">
        <f>IFERROR(INDEX(Однолинейка!$AW$1:$AW$1000,(MATCH(1,Однолинейка!$BS$1:$BS$1000,0))),"")</f>
        <v>Di.1</v>
      </c>
      <c r="BJ5" s="38" t="str">
        <f>IF(BI5="","",INDEX(Однолинейка!$AI$1:$AI$1000,(MATCH(1,Однолинейка!$BS$1:$BS$1000,0))))</f>
        <v>SMART-DALI-104</v>
      </c>
      <c r="BK5" s="38">
        <f t="shared" ref="BK5:BK39" si="1">IF(BI5="","",IFERROR(VLOOKUP(BJ5,Модули_спр,3,FALSE),""))</f>
        <v>4</v>
      </c>
      <c r="BL5" s="38">
        <f>IF(BI5="","",_xlfn.MAXIFS(Однолинейка!$O$3:$O$1000,Однолинейка!$AH$3:$AH$1000,BI5,Однолинейка!$A$3:$A$1000,BH5))</f>
        <v>4</v>
      </c>
      <c r="BM5" s="38">
        <f>IF(BI5="","",COUNTIFS(Однолинейка!$AH$3:$AH$1000,BI5,Однолинейка!$A$3:$A$1000,BH5,Однолинейка!$N$3:$N$1000,"р"))</f>
        <v>0</v>
      </c>
      <c r="BN5" s="38">
        <f t="shared" ref="BN5:BN39" si="2">IF(OR(BI5="",BK5=""),"",BK5-BL5)</f>
        <v>0</v>
      </c>
      <c r="BP5" s="74">
        <v>14</v>
      </c>
      <c r="BQ5" s="74">
        <v>0.8</v>
      </c>
      <c r="BT5" s="74"/>
      <c r="BU5" s="74"/>
      <c r="BV5" s="37"/>
      <c r="BX5" s="74">
        <v>2.5</v>
      </c>
      <c r="BY5" s="74">
        <v>30</v>
      </c>
      <c r="BZ5" s="74">
        <v>27</v>
      </c>
      <c r="CA5" s="74">
        <v>25</v>
      </c>
    </row>
    <row r="6" spans="1:79" x14ac:dyDescent="0.3">
      <c r="B6" s="14">
        <v>1.5</v>
      </c>
      <c r="C6" s="14">
        <v>0.11</v>
      </c>
      <c r="D6" s="14">
        <v>2.2499999999999999E-2</v>
      </c>
      <c r="F6" s="14">
        <v>9</v>
      </c>
      <c r="G6" s="14">
        <v>16</v>
      </c>
      <c r="I6" s="14"/>
      <c r="J6" s="14"/>
      <c r="L6" s="16"/>
      <c r="M6" s="16"/>
      <c r="N6" s="16"/>
      <c r="O6" s="17"/>
      <c r="P6" s="26"/>
      <c r="Q6" s="26"/>
      <c r="R6" s="26"/>
      <c r="S6" s="26"/>
      <c r="T6" s="26"/>
      <c r="U6" s="26"/>
      <c r="V6" s="26"/>
      <c r="W6" s="26"/>
      <c r="X6" s="26"/>
      <c r="Y6" s="26"/>
      <c r="Z6" s="74"/>
      <c r="AA6" s="16" t="s">
        <v>186</v>
      </c>
      <c r="AB6" s="16" t="s">
        <v>187</v>
      </c>
      <c r="AC6" s="17"/>
      <c r="AD6" s="18"/>
      <c r="AE6" s="16"/>
      <c r="AF6" s="16"/>
      <c r="AG6" s="16"/>
      <c r="AJ6" s="13" t="str">
        <f t="shared" si="0"/>
        <v>ВВГнг(А)-LS (2х2,5) 1</v>
      </c>
      <c r="AK6" s="14" t="s">
        <v>63</v>
      </c>
      <c r="AL6" t="s">
        <v>12</v>
      </c>
      <c r="AM6">
        <v>2</v>
      </c>
      <c r="AN6">
        <v>2.5</v>
      </c>
      <c r="AO6">
        <v>1</v>
      </c>
      <c r="AQ6" s="68" t="s">
        <v>533</v>
      </c>
      <c r="AR6" s="68" t="s">
        <v>534</v>
      </c>
      <c r="AS6" s="71"/>
      <c r="AU6" s="26"/>
      <c r="AY6" s="26"/>
      <c r="AZ6" s="74"/>
      <c r="BA6" s="26" t="s">
        <v>567</v>
      </c>
      <c r="BB6" s="26" t="s">
        <v>568</v>
      </c>
      <c r="BC6" s="26" t="s">
        <v>515</v>
      </c>
      <c r="BD6" s="79"/>
      <c r="BH6" s="38" t="str">
        <f>IFERROR(INDEX(Однолинейка!$A$1:$A$1000,(MATCH(2,Однолинейка!$BS$1:$BS$1000,0))),"")</f>
        <v>ЩР-1</v>
      </c>
      <c r="BI6" s="38" t="str">
        <f>IFERROR(INDEX(Однолинейка!$AW$1:$AW$1000,(MATCH(2,Однолинейка!$BS$1:$BS$1000,0))),"")</f>
        <v>R.1</v>
      </c>
      <c r="BJ6" s="38" t="str">
        <f>IF(BI6="","",INDEX(Однолинейка!$AI$1:$AI$1000,(MATCH(2,Однолинейка!$BS$1:$BS$1000,0))))</f>
        <v>ZIOMB16V3</v>
      </c>
      <c r="BK6" s="38">
        <f t="shared" si="1"/>
        <v>16</v>
      </c>
      <c r="BL6" s="38">
        <f>IF(BI6="","",_xlfn.MAXIFS(Однолинейка!$O$3:$O$1000,Однолинейка!$AH$3:$AH$1000,BI6,Однолинейка!$A$3:$A$1000,BH6))</f>
        <v>4</v>
      </c>
      <c r="BM6" s="38">
        <f>IF(BI6="","",COUNTIFS(Однолинейка!$AH$3:$AH$1000,BI6,Однолинейка!$A$3:$A$1000,BH6,Однолинейка!$N$3:$N$1000,"р"))</f>
        <v>1</v>
      </c>
      <c r="BN6" s="38">
        <f t="shared" si="2"/>
        <v>12</v>
      </c>
      <c r="BP6" s="74">
        <v>20</v>
      </c>
      <c r="BQ6" s="74">
        <v>0.65</v>
      </c>
      <c r="BT6" s="74"/>
      <c r="BU6" s="74"/>
      <c r="BX6" s="74">
        <v>4</v>
      </c>
      <c r="BY6" s="74">
        <v>41</v>
      </c>
      <c r="BZ6" s="74">
        <v>38</v>
      </c>
      <c r="CA6" s="74">
        <v>35</v>
      </c>
    </row>
    <row r="7" spans="1:79" ht="31.2" customHeight="1" x14ac:dyDescent="0.3">
      <c r="B7" s="14">
        <v>2.5</v>
      </c>
      <c r="C7" s="14">
        <v>0.1</v>
      </c>
      <c r="D7" s="14">
        <v>2.2499999999999999E-2</v>
      </c>
      <c r="F7" s="14">
        <v>14.4</v>
      </c>
      <c r="G7" s="14">
        <v>20</v>
      </c>
      <c r="I7" s="14"/>
      <c r="J7" s="14"/>
      <c r="L7" s="16"/>
      <c r="M7" s="16"/>
      <c r="N7" s="16"/>
      <c r="O7" s="17"/>
      <c r="P7" s="26"/>
      <c r="Q7" s="26"/>
      <c r="R7" s="26"/>
      <c r="S7" s="26"/>
      <c r="T7" s="26"/>
      <c r="U7" s="26"/>
      <c r="V7" s="26"/>
      <c r="W7" s="26"/>
      <c r="X7" s="26"/>
      <c r="Y7" s="26"/>
      <c r="Z7" s="74"/>
      <c r="AA7" s="16" t="s">
        <v>188</v>
      </c>
      <c r="AB7" s="16" t="s">
        <v>189</v>
      </c>
      <c r="AC7" s="17"/>
      <c r="AD7" s="18"/>
      <c r="AE7" s="16"/>
      <c r="AF7" s="16"/>
      <c r="AG7" s="16"/>
      <c r="AJ7" s="13" t="str">
        <f t="shared" si="0"/>
        <v>ВВГнг(А)-LS (2х2,5) 2</v>
      </c>
      <c r="AK7" s="14" t="s">
        <v>64</v>
      </c>
      <c r="AL7" t="s">
        <v>12</v>
      </c>
      <c r="AM7">
        <v>2</v>
      </c>
      <c r="AN7">
        <v>2.5</v>
      </c>
      <c r="AO7">
        <v>2</v>
      </c>
      <c r="AQ7" s="101" t="s">
        <v>535</v>
      </c>
      <c r="AR7" s="101"/>
      <c r="AS7" s="101"/>
      <c r="AU7" s="26"/>
      <c r="AV7" s="26"/>
      <c r="AW7" s="26"/>
      <c r="AX7" s="26"/>
      <c r="AY7" s="26"/>
      <c r="AZ7" s="74"/>
      <c r="BA7" s="26" t="s">
        <v>571</v>
      </c>
      <c r="BB7" s="26" t="s">
        <v>572</v>
      </c>
      <c r="BC7" s="26" t="s">
        <v>512</v>
      </c>
      <c r="BD7" s="79"/>
      <c r="BE7" s="35" t="s">
        <v>573</v>
      </c>
      <c r="BF7" s="35"/>
      <c r="BH7" s="38" t="str">
        <f>IFERROR(INDEX(Однолинейка!$A$1:$A$1000,(MATCH(3,Однолинейка!$BS$1:$BS$1000,0))),"")</f>
        <v/>
      </c>
      <c r="BI7" s="38" t="str">
        <f>IFERROR(INDEX(Однолинейка!$AW$1:$AW$1000,(MATCH(3,Однолинейка!$BS$1:$BS$1000,0))),"")</f>
        <v/>
      </c>
      <c r="BJ7" s="38" t="str">
        <f>IF(BI7="","",INDEX(Однолинейка!$AI$1:$AI$1000,(MATCH(3,Однолинейка!$BS$1:$BS$1000,0))))</f>
        <v/>
      </c>
      <c r="BK7" s="38" t="str">
        <f t="shared" si="1"/>
        <v/>
      </c>
      <c r="BL7" s="38" t="str">
        <f>IF(BI7="","",_xlfn.MAXIFS(Однолинейка!$O$3:$O$1000,Однолинейка!$AH$3:$AH$1000,BI7,Однолинейка!$A$3:$A$1000,BH7))</f>
        <v/>
      </c>
      <c r="BM7" s="38" t="str">
        <f>IF(BI7="","",COUNTIFS(Однолинейка!$AH$3:$AH$1000,BI7,Однолинейка!$A$3:$A$1000,BH7,Однолинейка!$N$3:$N$1000,"р"))</f>
        <v/>
      </c>
      <c r="BN7" s="38" t="str">
        <f t="shared" si="2"/>
        <v/>
      </c>
      <c r="BP7" s="74">
        <v>30</v>
      </c>
      <c r="BQ7" s="74">
        <v>0.6</v>
      </c>
      <c r="BT7" s="74"/>
      <c r="BU7" s="74"/>
      <c r="BX7" s="74">
        <v>6</v>
      </c>
      <c r="BY7" s="74">
        <v>50</v>
      </c>
      <c r="BZ7" s="74">
        <v>50</v>
      </c>
      <c r="CA7" s="74">
        <v>42</v>
      </c>
    </row>
    <row r="8" spans="1:79" x14ac:dyDescent="0.3">
      <c r="B8" s="14">
        <v>4</v>
      </c>
      <c r="C8" s="14">
        <v>9.5000000000000001E-2</v>
      </c>
      <c r="D8" s="14">
        <v>2.2499999999999999E-2</v>
      </c>
      <c r="F8" s="14">
        <v>18</v>
      </c>
      <c r="G8" s="14">
        <v>25</v>
      </c>
      <c r="I8" s="14"/>
      <c r="J8" s="14"/>
      <c r="L8" s="16"/>
      <c r="M8" s="16"/>
      <c r="N8" s="16"/>
      <c r="O8" s="17"/>
      <c r="P8" s="26"/>
      <c r="Q8" s="26"/>
      <c r="R8" s="26"/>
      <c r="S8" s="26"/>
      <c r="T8" s="26"/>
      <c r="U8" s="26"/>
      <c r="V8" s="26"/>
      <c r="W8" s="26"/>
      <c r="X8" s="26"/>
      <c r="Y8" s="26"/>
      <c r="Z8" s="74"/>
      <c r="AA8" s="16"/>
      <c r="AB8" s="16"/>
      <c r="AC8" s="17"/>
      <c r="AD8" s="18"/>
      <c r="AE8" s="16"/>
      <c r="AF8" s="16"/>
      <c r="AG8" s="16"/>
      <c r="AJ8" s="13" t="str">
        <f t="shared" si="0"/>
        <v>ВВГнг(А)-LS (3х1,5) 1</v>
      </c>
      <c r="AK8" s="14" t="s">
        <v>65</v>
      </c>
      <c r="AL8" t="s">
        <v>12</v>
      </c>
      <c r="AM8">
        <v>3</v>
      </c>
      <c r="AN8">
        <v>1.5</v>
      </c>
      <c r="AO8">
        <v>1</v>
      </c>
      <c r="AQ8" s="72"/>
      <c r="AR8" s="72"/>
      <c r="AS8" s="72"/>
      <c r="AU8" s="26"/>
      <c r="AV8" s="26"/>
      <c r="AW8" s="26"/>
      <c r="AX8" s="26"/>
      <c r="AY8" s="26"/>
      <c r="AZ8" s="74"/>
      <c r="BA8" s="26" t="s">
        <v>574</v>
      </c>
      <c r="BB8" s="26" t="s">
        <v>575</v>
      </c>
      <c r="BC8" s="26" t="s">
        <v>507</v>
      </c>
      <c r="BD8" s="79"/>
      <c r="BE8" s="37" t="s">
        <v>498</v>
      </c>
      <c r="BF8" s="38">
        <f>COUNTIF(Однолинейка!$E$3:$E$1000,"?*")</f>
        <v>44</v>
      </c>
      <c r="BH8" s="38" t="str">
        <f>IFERROR(INDEX(Однолинейка!$A$1:$A$1000,(MATCH(4,Однолинейка!$BS$1:$BS$1000,0))),"")</f>
        <v/>
      </c>
      <c r="BI8" s="38" t="str">
        <f>IFERROR(INDEX(Однолинейка!$AW$1:$AW$1000,(MATCH(4,Однолинейка!$BS$1:$BS$1000,0))),"")</f>
        <v/>
      </c>
      <c r="BJ8" s="38" t="str">
        <f>IF(BI8="","",INDEX(Однолинейка!$AI$1:$AI$1000,(MATCH(4,Однолинейка!$BS$1:$BS$1000,0))))</f>
        <v/>
      </c>
      <c r="BK8" s="38" t="str">
        <f t="shared" si="1"/>
        <v/>
      </c>
      <c r="BL8" s="38" t="str">
        <f>IF(BI8="","",_xlfn.MAXIFS(Однолинейка!$O$3:$O$1000,Однолинейка!$AH$3:$AH$1000,BI8,Однолинейка!$A$3:$A$1000,BH8))</f>
        <v/>
      </c>
      <c r="BM8" s="38" t="str">
        <f>IF(BI8="","",COUNTIFS(Однолинейка!$AH$3:$AH$1000,BI8,Однолинейка!$A$3:$A$1000,BH8,Однолинейка!$N$3:$N$1000,"р"))</f>
        <v/>
      </c>
      <c r="BN8" s="38" t="str">
        <f t="shared" si="2"/>
        <v/>
      </c>
      <c r="BP8" s="74">
        <v>40</v>
      </c>
      <c r="BQ8" s="74">
        <v>0.55000000000000004</v>
      </c>
      <c r="BT8" s="74"/>
      <c r="BU8" s="74"/>
      <c r="BX8" s="74">
        <v>10</v>
      </c>
      <c r="BY8" s="74">
        <v>80</v>
      </c>
      <c r="BZ8" s="74">
        <v>70</v>
      </c>
      <c r="CA8" s="74">
        <v>55</v>
      </c>
    </row>
    <row r="9" spans="1:79" x14ac:dyDescent="0.3">
      <c r="B9" s="14">
        <v>6</v>
      </c>
      <c r="C9" s="14">
        <v>0.09</v>
      </c>
      <c r="D9" s="14">
        <v>2.2499999999999999E-2</v>
      </c>
      <c r="F9" s="14">
        <v>22.5</v>
      </c>
      <c r="G9" s="14">
        <v>32</v>
      </c>
      <c r="I9" s="14"/>
      <c r="J9" s="14"/>
      <c r="L9" s="16"/>
      <c r="M9" s="16"/>
      <c r="N9" s="16"/>
      <c r="O9" s="17"/>
      <c r="P9" s="26"/>
      <c r="Q9" s="26"/>
      <c r="R9" s="26"/>
      <c r="S9" s="26"/>
      <c r="T9" s="26"/>
      <c r="U9" s="26"/>
      <c r="V9" s="26"/>
      <c r="W9" s="26"/>
      <c r="X9" s="26"/>
      <c r="Y9" s="26"/>
      <c r="Z9" s="74"/>
      <c r="AA9" s="16"/>
      <c r="AB9" s="16"/>
      <c r="AC9" s="17"/>
      <c r="AD9" s="18"/>
      <c r="AE9" s="16"/>
      <c r="AF9" s="16"/>
      <c r="AG9" s="16"/>
      <c r="AJ9" s="13" t="str">
        <f t="shared" si="0"/>
        <v>ВВГнг(А)-LS (3х1,5) 2</v>
      </c>
      <c r="AK9" s="14" t="s">
        <v>66</v>
      </c>
      <c r="AL9" t="s">
        <v>12</v>
      </c>
      <c r="AM9">
        <v>3</v>
      </c>
      <c r="AN9">
        <v>1.5</v>
      </c>
      <c r="AO9">
        <v>2</v>
      </c>
      <c r="AQ9" s="72"/>
      <c r="AR9" s="72"/>
      <c r="AS9" s="72"/>
      <c r="AU9" s="26"/>
      <c r="AV9" s="26"/>
      <c r="AW9" s="26"/>
      <c r="AX9" s="26"/>
      <c r="AY9" s="26"/>
      <c r="AZ9" s="74"/>
      <c r="BA9" s="26" t="s">
        <v>577</v>
      </c>
      <c r="BB9" s="26" t="s">
        <v>578</v>
      </c>
      <c r="BC9" s="26" t="s">
        <v>510</v>
      </c>
      <c r="BD9" s="79"/>
      <c r="BE9" s="37" t="s">
        <v>502</v>
      </c>
      <c r="BF9" s="38">
        <f>COUNTIF(Однолинейка!$AJ$3:$AJ$1000,"QFD*")</f>
        <v>7</v>
      </c>
      <c r="BH9" s="38" t="str">
        <f>IFERROR(INDEX(Однолинейка!$A$1:$A$1000,(MATCH(5,Однолинейка!$BS$1:$BS$1000,0))),"")</f>
        <v/>
      </c>
      <c r="BI9" s="38" t="str">
        <f>IFERROR(INDEX(Однолинейка!$AW$1:$AW$1000,(MATCH(5,Однолинейка!$BS$1:$BS$1000,0))),"")</f>
        <v/>
      </c>
      <c r="BJ9" s="38" t="str">
        <f>IF(BI9="","",INDEX(Однолинейка!$AI$1:$AI$1000,(MATCH(5,Однолинейка!$BS$1:$BS$1000,0))))</f>
        <v/>
      </c>
      <c r="BK9" s="38" t="str">
        <f t="shared" si="1"/>
        <v/>
      </c>
      <c r="BL9" s="38" t="str">
        <f>IF(BI9="","",_xlfn.MAXIFS(Однолинейка!$O$3:$O$1000,Однолинейка!$AH$3:$AH$1000,BI9,Однолинейка!$A$3:$A$1000,BH9))</f>
        <v/>
      </c>
      <c r="BM9" s="38" t="str">
        <f>IF(BI9="","",COUNTIFS(Однолинейка!$AH$3:$AH$1000,BI9,Однолинейка!$A$3:$A$1000,BH9,Однолинейка!$N$3:$N$1000,"р"))</f>
        <v/>
      </c>
      <c r="BN9" s="38" t="str">
        <f t="shared" si="2"/>
        <v/>
      </c>
      <c r="BP9" s="74">
        <v>50</v>
      </c>
      <c r="BQ9" s="74">
        <v>0.5</v>
      </c>
      <c r="BT9" s="74"/>
      <c r="BU9" s="74"/>
      <c r="BX9" s="74">
        <v>16</v>
      </c>
      <c r="BY9" s="74">
        <v>100</v>
      </c>
      <c r="BZ9" s="74">
        <v>90</v>
      </c>
      <c r="CA9" s="74">
        <v>75</v>
      </c>
    </row>
    <row r="10" spans="1:79" x14ac:dyDescent="0.3">
      <c r="B10" s="14">
        <v>10</v>
      </c>
      <c r="C10" s="14">
        <v>7.2999999999999995E-2</v>
      </c>
      <c r="D10" s="14">
        <v>2.2499999999999999E-2</v>
      </c>
      <c r="F10" s="14">
        <v>28.8</v>
      </c>
      <c r="G10" s="14">
        <v>40</v>
      </c>
      <c r="I10" s="14"/>
      <c r="J10" s="14"/>
      <c r="L10" s="16"/>
      <c r="M10" s="16"/>
      <c r="N10" s="16"/>
      <c r="O10" s="17"/>
      <c r="P10" s="26"/>
      <c r="Q10" s="26"/>
      <c r="R10" s="26"/>
      <c r="S10" s="26"/>
      <c r="T10" s="26"/>
      <c r="U10" s="26"/>
      <c r="V10" s="26"/>
      <c r="W10" s="26"/>
      <c r="X10" s="26"/>
      <c r="Y10" s="26"/>
      <c r="Z10" s="74"/>
      <c r="AA10" s="16"/>
      <c r="AB10" s="16"/>
      <c r="AC10" s="17"/>
      <c r="AD10" s="18"/>
      <c r="AE10" s="16"/>
      <c r="AF10" s="16"/>
      <c r="AG10" s="16"/>
      <c r="AJ10" s="13" t="str">
        <f t="shared" si="0"/>
        <v>ВВГнг(А)-LS (3х2,5) 1</v>
      </c>
      <c r="AK10" s="14" t="s">
        <v>67</v>
      </c>
      <c r="AL10" t="s">
        <v>12</v>
      </c>
      <c r="AM10">
        <v>3</v>
      </c>
      <c r="AN10">
        <v>2.5</v>
      </c>
      <c r="AO10">
        <v>1</v>
      </c>
      <c r="AU10" s="26"/>
      <c r="AV10" s="26"/>
      <c r="AW10" s="26"/>
      <c r="AX10" s="26"/>
      <c r="AY10" s="26"/>
      <c r="AZ10" s="74"/>
      <c r="BA10" s="26" t="s">
        <v>582</v>
      </c>
      <c r="BB10" s="26" t="s">
        <v>578</v>
      </c>
      <c r="BC10" s="26" t="s">
        <v>517</v>
      </c>
      <c r="BD10" s="79"/>
      <c r="BE10" s="37" t="s">
        <v>583</v>
      </c>
      <c r="BF10" s="38">
        <f>COUNTIF(Однолинейка!$AY$3:$AY$1000,1)</f>
        <v>43</v>
      </c>
      <c r="BH10" s="38" t="str">
        <f>IFERROR(INDEX(Однолинейка!$A$1:$A$1000,(MATCH(6,Однолинейка!$BS$1:$BS$1000,0))),"")</f>
        <v/>
      </c>
      <c r="BI10" s="38" t="str">
        <f>IFERROR(INDEX(Однолинейка!$AW$1:$AW$1000,(MATCH(6,Однолинейка!$BS$1:$BS$1000,0))),"")</f>
        <v/>
      </c>
      <c r="BJ10" s="38" t="str">
        <f>IF(BI10="","",INDEX(Однолинейка!$AI$1:$AI$1000,(MATCH(6,Однолинейка!$BS$1:$BS$1000,0))))</f>
        <v/>
      </c>
      <c r="BK10" s="38" t="str">
        <f t="shared" si="1"/>
        <v/>
      </c>
      <c r="BL10" s="38" t="str">
        <f>IF(BI10="","",_xlfn.MAXIFS(Однолинейка!$O$3:$O$1000,Однолинейка!$AH$3:$AH$1000,BI10,Однолинейка!$A$3:$A$1000,BH10))</f>
        <v/>
      </c>
      <c r="BM10" s="38" t="str">
        <f>IF(BI10="","",COUNTIFS(Однолинейка!$AH$3:$AH$1000,BI10,Однолинейка!$A$3:$A$1000,BH10,Однолинейка!$N$3:$N$1000,"р"))</f>
        <v/>
      </c>
      <c r="BN10" s="38" t="str">
        <f t="shared" si="2"/>
        <v/>
      </c>
      <c r="BP10" s="74">
        <v>60</v>
      </c>
      <c r="BQ10" s="74">
        <v>0.48</v>
      </c>
      <c r="BT10" s="74"/>
      <c r="BU10" s="74"/>
      <c r="BX10" s="74">
        <v>25</v>
      </c>
      <c r="BY10" s="74">
        <v>140</v>
      </c>
      <c r="BZ10" s="74">
        <v>115</v>
      </c>
      <c r="CA10" s="74">
        <v>95</v>
      </c>
    </row>
    <row r="11" spans="1:79" x14ac:dyDescent="0.3">
      <c r="B11" s="14">
        <v>16</v>
      </c>
      <c r="C11" s="14">
        <v>6.7500000000000004E-2</v>
      </c>
      <c r="D11" s="14">
        <v>2.2499999999999999E-2</v>
      </c>
      <c r="F11" s="14">
        <v>36</v>
      </c>
      <c r="G11" s="14">
        <v>50</v>
      </c>
      <c r="I11" s="14"/>
      <c r="J11" s="14"/>
      <c r="L11" s="16"/>
      <c r="M11" s="16"/>
      <c r="N11" s="16"/>
      <c r="O11" s="17"/>
      <c r="P11" s="26"/>
      <c r="Q11" s="26"/>
      <c r="R11" s="26"/>
      <c r="S11" s="26"/>
      <c r="T11" s="26"/>
      <c r="U11" s="26"/>
      <c r="V11" s="26"/>
      <c r="W11" s="26"/>
      <c r="X11" s="26"/>
      <c r="Y11" s="26"/>
      <c r="Z11" s="74"/>
      <c r="AA11" s="16"/>
      <c r="AB11" s="16"/>
      <c r="AC11" s="17"/>
      <c r="AD11" s="18"/>
      <c r="AE11" s="16"/>
      <c r="AF11" s="16"/>
      <c r="AG11" s="16"/>
      <c r="AJ11" s="13" t="str">
        <f t="shared" si="0"/>
        <v>ВВГнг(А)-LS (3х2,5) 2</v>
      </c>
      <c r="AK11" s="14" t="s">
        <v>68</v>
      </c>
      <c r="AL11" t="s">
        <v>12</v>
      </c>
      <c r="AM11">
        <v>3</v>
      </c>
      <c r="AN11">
        <v>2.5</v>
      </c>
      <c r="AO11">
        <v>2</v>
      </c>
      <c r="AU11" s="26"/>
      <c r="AV11" s="26"/>
      <c r="AW11" s="26"/>
      <c r="AX11" s="26"/>
      <c r="AY11" s="26"/>
      <c r="AZ11" s="74"/>
      <c r="BA11" s="26"/>
      <c r="BB11" s="26"/>
      <c r="BC11" s="26"/>
      <c r="BD11" s="79"/>
      <c r="BE11" s="37" t="s">
        <v>586</v>
      </c>
      <c r="BF11" s="38">
        <f>SUM(Однолинейка!$BW$3:$BW$1000)</f>
        <v>43</v>
      </c>
      <c r="BH11" s="38" t="str">
        <f>IFERROR(INDEX(Однолинейка!$A$1:$A$1000,(MATCH(7,Однолинейка!$BS$1:$BS$1000,0))),"")</f>
        <v/>
      </c>
      <c r="BI11" s="38" t="str">
        <f>IFERROR(INDEX(Однолинейка!$AW$1:$AW$1000,(MATCH(7,Однолинейка!$BS$1:$BS$1000,0))),"")</f>
        <v/>
      </c>
      <c r="BJ11" s="38" t="str">
        <f>IF(BI11="","",INDEX(Однолинейка!$AI$1:$AI$1000,(MATCH(7,Однолинейка!$BS$1:$BS$1000,0))))</f>
        <v/>
      </c>
      <c r="BK11" s="38" t="str">
        <f t="shared" si="1"/>
        <v/>
      </c>
      <c r="BL11" s="38" t="str">
        <f>IF(BI11="","",_xlfn.MAXIFS(Однолинейка!$O$3:$O$1000,Однолинейка!$AH$3:$AH$1000,BI11,Однолинейка!$A$3:$A$1000,BH11))</f>
        <v/>
      </c>
      <c r="BM11" s="38" t="str">
        <f>IF(BI11="","",COUNTIFS(Однолинейка!$AH$3:$AH$1000,BI11,Однолинейка!$A$3:$A$1000,BH11,Однолинейка!$N$3:$N$1000,"р"))</f>
        <v/>
      </c>
      <c r="BN11" s="38" t="str">
        <f t="shared" si="2"/>
        <v/>
      </c>
      <c r="BP11" s="74">
        <v>70</v>
      </c>
      <c r="BQ11" s="74">
        <v>0.45</v>
      </c>
      <c r="BR11" s="37" t="s">
        <v>587</v>
      </c>
      <c r="BT11" s="74"/>
      <c r="BU11" s="74"/>
      <c r="BX11" s="74">
        <v>35</v>
      </c>
      <c r="BY11" s="74">
        <v>170</v>
      </c>
      <c r="BZ11" s="74">
        <v>140</v>
      </c>
      <c r="CA11" s="74">
        <v>120</v>
      </c>
    </row>
    <row r="12" spans="1:79" x14ac:dyDescent="0.3">
      <c r="B12" s="14">
        <v>25</v>
      </c>
      <c r="C12" s="14">
        <v>6.6199999999999995E-2</v>
      </c>
      <c r="D12" s="14">
        <v>2.2499999999999999E-2</v>
      </c>
      <c r="F12" s="14">
        <v>45</v>
      </c>
      <c r="G12" s="14">
        <v>63</v>
      </c>
      <c r="I12" s="14"/>
      <c r="J12" s="14"/>
      <c r="L12" s="16"/>
      <c r="M12" s="16"/>
      <c r="N12" s="16"/>
      <c r="O12" s="17"/>
      <c r="P12" s="26"/>
      <c r="Q12" s="26"/>
      <c r="R12" s="26"/>
      <c r="S12" s="26"/>
      <c r="T12" s="26"/>
      <c r="U12" s="26"/>
      <c r="V12" s="26"/>
      <c r="W12" s="26"/>
      <c r="X12" s="26"/>
      <c r="Y12" s="26"/>
      <c r="Z12" s="74"/>
      <c r="AA12" s="16"/>
      <c r="AB12" s="16"/>
      <c r="AC12" s="17"/>
      <c r="AD12" s="18"/>
      <c r="AE12" s="16"/>
      <c r="AF12" s="16"/>
      <c r="AG12" s="16"/>
      <c r="AJ12" s="13" t="str">
        <f t="shared" si="0"/>
        <v>ВВГнг(А)-LS (3х4) 1</v>
      </c>
      <c r="AK12" s="14" t="s">
        <v>69</v>
      </c>
      <c r="AL12" t="s">
        <v>12</v>
      </c>
      <c r="AM12">
        <v>3</v>
      </c>
      <c r="AN12">
        <v>4</v>
      </c>
      <c r="AO12">
        <v>1</v>
      </c>
      <c r="AU12" s="26"/>
      <c r="AV12" s="26"/>
      <c r="AW12" s="26"/>
      <c r="AY12" s="26"/>
      <c r="AZ12" s="74"/>
      <c r="BA12" s="26"/>
      <c r="BB12" s="26"/>
      <c r="BC12" s="26"/>
      <c r="BD12" s="79"/>
      <c r="BE12" s="37" t="s">
        <v>589</v>
      </c>
      <c r="BF12" s="38">
        <f>SUM(Однолинейка!$BX$3:$BX$1000)</f>
        <v>14</v>
      </c>
      <c r="BH12" s="38" t="str">
        <f>IFERROR(INDEX(Однолинейка!$A$1:$A$1000,(MATCH(8,Однолинейка!$BS$1:$BS$1000,0))),"")</f>
        <v/>
      </c>
      <c r="BI12" s="38" t="str">
        <f>IFERROR(INDEX(Однолинейка!$AW$1:$AW$1000,(MATCH(8,Однолинейка!$BS$1:$BS$1000,0))),"")</f>
        <v/>
      </c>
      <c r="BJ12" s="38" t="str">
        <f>IF(BI12="","",INDEX(Однолинейка!$AI$1:$AI$1000,(MATCH(8,Однолинейка!$BS$1:$BS$1000,0))))</f>
        <v/>
      </c>
      <c r="BK12" s="38" t="str">
        <f t="shared" si="1"/>
        <v/>
      </c>
      <c r="BL12" s="38" t="str">
        <f>IF(BI12="","",_xlfn.MAXIFS(Однолинейка!$O$3:$O$1000,Однолинейка!$AH$3:$AH$1000,BI12,Однолинейка!$A$3:$A$1000,BH12))</f>
        <v/>
      </c>
      <c r="BM12" s="38" t="str">
        <f>IF(BI12="","",COUNTIFS(Однолинейка!$AH$3:$AH$1000,BI12,Однолинейка!$A$3:$A$1000,BH12,Однолинейка!$N$3:$N$1000,"р"))</f>
        <v/>
      </c>
      <c r="BN12" s="38" t="str">
        <f t="shared" si="2"/>
        <v/>
      </c>
      <c r="BT12" s="74"/>
      <c r="BU12" s="74"/>
      <c r="BX12" s="74">
        <v>50</v>
      </c>
      <c r="BY12" s="74">
        <v>215</v>
      </c>
      <c r="BZ12" s="74">
        <v>175</v>
      </c>
      <c r="CA12" s="74">
        <v>145</v>
      </c>
    </row>
    <row r="13" spans="1:79" x14ac:dyDescent="0.3">
      <c r="B13" s="14">
        <v>35</v>
      </c>
      <c r="C13" s="14">
        <v>6.3700000000000007E-2</v>
      </c>
      <c r="D13" s="14">
        <v>2.2499999999999999E-2</v>
      </c>
      <c r="F13" s="14">
        <v>56.7</v>
      </c>
      <c r="G13" s="14">
        <v>80</v>
      </c>
      <c r="I13" s="14"/>
      <c r="J13" s="14"/>
      <c r="L13" s="16"/>
      <c r="M13" s="3"/>
      <c r="N13" s="16"/>
      <c r="O13" s="17"/>
      <c r="P13" s="26"/>
      <c r="Q13" s="19"/>
      <c r="R13" s="26"/>
      <c r="S13" s="26"/>
      <c r="T13" s="26"/>
      <c r="U13" s="26"/>
      <c r="V13" s="26"/>
      <c r="W13" s="26"/>
      <c r="X13" s="26"/>
      <c r="Y13" s="26"/>
      <c r="Z13" s="74"/>
      <c r="AA13" s="16"/>
      <c r="AB13" s="16"/>
      <c r="AC13" s="17"/>
      <c r="AD13" s="18"/>
      <c r="AE13" s="16"/>
      <c r="AF13" s="16"/>
      <c r="AG13" s="16"/>
      <c r="AJ13" s="13" t="str">
        <f t="shared" si="0"/>
        <v>ВВГнг(А)-LS (3х4) 2</v>
      </c>
      <c r="AK13" s="14" t="s">
        <v>70</v>
      </c>
      <c r="AL13" t="s">
        <v>12</v>
      </c>
      <c r="AM13">
        <v>3</v>
      </c>
      <c r="AN13">
        <v>4</v>
      </c>
      <c r="AO13">
        <v>2</v>
      </c>
      <c r="AU13" s="26"/>
      <c r="AY13" s="26"/>
      <c r="AZ13" s="74"/>
      <c r="BA13" s="26"/>
      <c r="BB13" s="26"/>
      <c r="BC13" s="26"/>
      <c r="BD13" s="79"/>
      <c r="BE13" s="37" t="s">
        <v>508</v>
      </c>
      <c r="BF13" s="38">
        <f>COUNTIF(Однолинейка!$AW$3:$AW$1000,"?*")</f>
        <v>2</v>
      </c>
      <c r="BH13" s="38" t="str">
        <f>IFERROR(INDEX(Однолинейка!$A$1:$A$1000,(MATCH(9,Однолинейка!$BS$1:$BS$1000,0))),"")</f>
        <v/>
      </c>
      <c r="BI13" s="38" t="str">
        <f>IFERROR(INDEX(Однолинейка!$AW$1:$AW$1000,(MATCH(9,Однолинейка!$BS$1:$BS$1000,0))),"")</f>
        <v/>
      </c>
      <c r="BJ13" s="38" t="str">
        <f>IF(BI13="","",INDEX(Однолинейка!$AI$1:$AI$1000,(MATCH(9,Однолинейка!$BS$1:$BS$1000,0))))</f>
        <v/>
      </c>
      <c r="BK13" s="38" t="str">
        <f t="shared" si="1"/>
        <v/>
      </c>
      <c r="BL13" s="38" t="str">
        <f>IF(BI13="","",_xlfn.MAXIFS(Однолинейка!$O$3:$O$1000,Однолинейка!$AH$3:$AH$1000,BI13,Однолинейка!$A$3:$A$1000,BH13))</f>
        <v/>
      </c>
      <c r="BM13" s="38" t="str">
        <f>IF(BI13="","",COUNTIFS(Однолинейка!$AH$3:$AH$1000,BI13,Однолинейка!$A$3:$A$1000,BH13,Однолинейка!$N$3:$N$1000,"р"))</f>
        <v/>
      </c>
      <c r="BN13" s="38" t="str">
        <f t="shared" si="2"/>
        <v/>
      </c>
      <c r="BP13" s="35" t="s">
        <v>591</v>
      </c>
      <c r="BQ13" s="35"/>
      <c r="BT13" s="74"/>
      <c r="BU13" s="74"/>
      <c r="BX13" s="74">
        <v>70</v>
      </c>
      <c r="BY13" s="74">
        <v>270</v>
      </c>
      <c r="BZ13" s="74">
        <v>215</v>
      </c>
      <c r="CA13" s="74">
        <v>180</v>
      </c>
    </row>
    <row r="14" spans="1:79" x14ac:dyDescent="0.3">
      <c r="B14" s="14">
        <v>50</v>
      </c>
      <c r="C14" s="14">
        <v>6.25E-2</v>
      </c>
      <c r="D14" s="14">
        <v>2.2499999999999999E-2</v>
      </c>
      <c r="F14" s="14">
        <v>72</v>
      </c>
      <c r="G14" s="14">
        <v>100</v>
      </c>
      <c r="I14" s="14"/>
      <c r="J14" s="14"/>
      <c r="L14" s="16"/>
      <c r="M14" s="16"/>
      <c r="N14" s="16"/>
      <c r="O14" s="17"/>
      <c r="P14" s="26"/>
      <c r="Q14" s="26"/>
      <c r="R14" s="26"/>
      <c r="S14" s="26"/>
      <c r="T14" s="26"/>
      <c r="U14" s="26"/>
      <c r="V14" s="26"/>
      <c r="W14" s="26"/>
      <c r="X14" s="26"/>
      <c r="Y14" s="26"/>
      <c r="Z14" s="74"/>
      <c r="AA14" s="16"/>
      <c r="AB14" s="16"/>
      <c r="AC14" s="17"/>
      <c r="AD14" s="18"/>
      <c r="AE14" s="16"/>
      <c r="AF14" s="16"/>
      <c r="AG14" s="16"/>
      <c r="AJ14" s="13" t="str">
        <f t="shared" si="0"/>
        <v>ВВГнг(А)-LS (3х6) 1</v>
      </c>
      <c r="AK14" s="14" t="s">
        <v>71</v>
      </c>
      <c r="AL14" t="s">
        <v>12</v>
      </c>
      <c r="AM14">
        <v>3</v>
      </c>
      <c r="AN14">
        <v>6</v>
      </c>
      <c r="AO14">
        <v>1</v>
      </c>
      <c r="AU14" s="26"/>
      <c r="AV14" s="26"/>
      <c r="AW14" s="26"/>
      <c r="AY14" s="26"/>
      <c r="AZ14" s="74"/>
      <c r="BA14" s="26"/>
      <c r="BB14" s="26"/>
      <c r="BC14" s="26"/>
      <c r="BD14" s="79"/>
      <c r="BE14" s="37" t="s">
        <v>593</v>
      </c>
      <c r="BF14" s="38">
        <f>COUNTIF(Однолинейка!$BU$3:$BU$1000,2)</f>
        <v>1</v>
      </c>
      <c r="BH14" s="38" t="str">
        <f>IFERROR(INDEX(Однолинейка!$A$1:$A$1000,(MATCH(10,Однолинейка!$BS$1:$BS$1000,0))),"")</f>
        <v/>
      </c>
      <c r="BI14" s="38" t="str">
        <f>IFERROR(INDEX(Однолинейка!$AW$1:$AW$1000,(MATCH(10,Однолинейка!$BS$1:$BS$1000,0))),"")</f>
        <v/>
      </c>
      <c r="BJ14" s="38" t="str">
        <f>IF(BI14="","",INDEX(Однолинейка!$AI$1:$AI$1000,(MATCH(10,Однолинейка!$BS$1:$BS$1000,0))))</f>
        <v/>
      </c>
      <c r="BK14" s="38" t="str">
        <f t="shared" si="1"/>
        <v/>
      </c>
      <c r="BL14" s="38" t="str">
        <f>IF(BI14="","",_xlfn.MAXIFS(Однолинейка!$O$3:$O$1000,Однолинейка!$AH$3:$AH$1000,BI14,Однолинейка!$A$3:$A$1000,BH14))</f>
        <v/>
      </c>
      <c r="BM14" s="38" t="str">
        <f>IF(BI14="","",COUNTIFS(Однолинейка!$AH$3:$AH$1000,BI14,Однолинейка!$A$3:$A$1000,BH14,Однолинейка!$N$3:$N$1000,"р"))</f>
        <v/>
      </c>
      <c r="BN14" s="38" t="str">
        <f t="shared" si="2"/>
        <v/>
      </c>
      <c r="BP14" s="37" t="s">
        <v>594</v>
      </c>
      <c r="BQ14" s="74">
        <v>0.9</v>
      </c>
      <c r="BR14" s="37" t="s">
        <v>595</v>
      </c>
      <c r="BT14" s="74"/>
      <c r="BU14" s="74"/>
      <c r="BX14" s="74">
        <v>95</v>
      </c>
      <c r="BY14" s="74">
        <v>325</v>
      </c>
      <c r="BZ14" s="74">
        <v>260</v>
      </c>
      <c r="CA14" s="74">
        <v>220</v>
      </c>
    </row>
    <row r="15" spans="1:79" x14ac:dyDescent="0.3">
      <c r="B15" s="14">
        <v>70</v>
      </c>
      <c r="C15" s="14">
        <v>6.1199999999999997E-2</v>
      </c>
      <c r="D15" s="14">
        <v>2.2499999999999999E-2</v>
      </c>
      <c r="F15" s="14">
        <v>90</v>
      </c>
      <c r="G15" s="14">
        <v>125</v>
      </c>
      <c r="I15" s="14"/>
      <c r="J15" s="14"/>
      <c r="L15" s="16"/>
      <c r="M15" s="16"/>
      <c r="N15" s="16"/>
      <c r="O15" s="17"/>
      <c r="P15" s="26"/>
      <c r="Q15" s="26"/>
      <c r="R15" s="26"/>
      <c r="S15" s="26"/>
      <c r="T15" s="26"/>
      <c r="U15" s="26"/>
      <c r="V15" s="26"/>
      <c r="W15" s="26"/>
      <c r="X15" s="26"/>
      <c r="Y15" s="26"/>
      <c r="Z15" s="74"/>
      <c r="AA15" s="16"/>
      <c r="AB15" s="16"/>
      <c r="AC15" s="17"/>
      <c r="AD15" s="18"/>
      <c r="AE15" s="16"/>
      <c r="AF15" s="16"/>
      <c r="AG15" s="16"/>
      <c r="AJ15" s="13" t="str">
        <f t="shared" si="0"/>
        <v>ВВГнг(А)-LS (3х6) 2</v>
      </c>
      <c r="AK15" s="14" t="s">
        <v>72</v>
      </c>
      <c r="AL15" t="s">
        <v>12</v>
      </c>
      <c r="AM15">
        <v>3</v>
      </c>
      <c r="AN15">
        <v>6</v>
      </c>
      <c r="AO15">
        <v>2</v>
      </c>
      <c r="AU15" s="26"/>
      <c r="AV15" s="26"/>
      <c r="AW15" s="26"/>
      <c r="AY15" s="26"/>
      <c r="AZ15" s="74"/>
      <c r="BA15" s="26"/>
      <c r="BB15" s="26"/>
      <c r="BC15" s="26"/>
      <c r="BD15" s="79"/>
      <c r="BE15" s="37" t="s">
        <v>596</v>
      </c>
      <c r="BF15" s="38">
        <f>COUNTIF(Однолинейка!$BU$3:$BU$1000,1)</f>
        <v>3</v>
      </c>
      <c r="BH15" s="38" t="str">
        <f>IFERROR(INDEX(Однолинейка!$A$1:$A$1000,(MATCH(11,Однолинейка!$BS$1:$BS$1000,0))),"")</f>
        <v/>
      </c>
      <c r="BI15" s="38" t="str">
        <f>IFERROR(INDEX(Однолинейка!$AW$1:$AW$1000,(MATCH(11,Однолинейка!$BS$1:$BS$1000,0))),"")</f>
        <v/>
      </c>
      <c r="BJ15" s="38" t="str">
        <f>IF(BI15="","",INDEX(Однолинейка!$AI$1:$AI$1000,(MATCH(11,Однолинейка!$BS$1:$BS$1000,0))))</f>
        <v/>
      </c>
      <c r="BK15" s="38" t="str">
        <f t="shared" si="1"/>
        <v/>
      </c>
      <c r="BL15" s="38" t="str">
        <f>IF(BI15="","",_xlfn.MAXIFS(Однолинейка!$O$3:$O$1000,Однолинейка!$AH$3:$AH$1000,BI15,Однолинейка!$A$3:$A$1000,BH15))</f>
        <v/>
      </c>
      <c r="BM15" s="38" t="str">
        <f>IF(BI15="","",COUNTIFS(Однолинейка!$AH$3:$AH$1000,BI15,Однолинейка!$A$3:$A$1000,BH15,Однолинейка!$N$3:$N$1000,"р"))</f>
        <v/>
      </c>
      <c r="BN15" s="38" t="str">
        <f t="shared" si="2"/>
        <v/>
      </c>
      <c r="BT15" s="74"/>
      <c r="BU15" s="74"/>
      <c r="BX15" s="74">
        <v>120</v>
      </c>
      <c r="BY15" s="74">
        <v>385</v>
      </c>
      <c r="BZ15" s="74">
        <v>300</v>
      </c>
      <c r="CA15" s="74">
        <v>260</v>
      </c>
    </row>
    <row r="16" spans="1:79" x14ac:dyDescent="0.3">
      <c r="B16" s="14">
        <v>95</v>
      </c>
      <c r="C16" s="14">
        <v>6.0199999999999997E-2</v>
      </c>
      <c r="D16" s="14">
        <v>2.2499999999999999E-2</v>
      </c>
      <c r="F16" s="14">
        <v>112.5</v>
      </c>
      <c r="G16" s="14">
        <v>160</v>
      </c>
      <c r="I16" s="14"/>
      <c r="J16" s="14"/>
      <c r="L16" s="16"/>
      <c r="M16" s="21"/>
      <c r="N16" s="16"/>
      <c r="O16" s="17"/>
      <c r="P16" s="26"/>
      <c r="Q16" s="26"/>
      <c r="R16" s="26"/>
      <c r="S16" s="26"/>
      <c r="T16" s="26"/>
      <c r="U16" s="26"/>
      <c r="V16" s="26"/>
      <c r="W16" s="26"/>
      <c r="X16" s="26"/>
      <c r="Y16" s="26"/>
      <c r="Z16" s="74"/>
      <c r="AA16" s="16"/>
      <c r="AB16" s="16"/>
      <c r="AC16" s="17"/>
      <c r="AD16" s="18"/>
      <c r="AE16" s="16"/>
      <c r="AF16" s="16"/>
      <c r="AG16" s="16"/>
      <c r="AJ16" s="13" t="str">
        <f t="shared" si="0"/>
        <v>ВВГнг(А)-LS (5х1,5) 1</v>
      </c>
      <c r="AK16" s="14" t="s">
        <v>73</v>
      </c>
      <c r="AL16" t="s">
        <v>12</v>
      </c>
      <c r="AM16">
        <v>5</v>
      </c>
      <c r="AN16">
        <v>1.5</v>
      </c>
      <c r="AO16">
        <v>1</v>
      </c>
      <c r="AU16" s="26"/>
      <c r="AV16" s="26"/>
      <c r="AW16" s="26"/>
      <c r="AY16" s="26"/>
      <c r="AZ16" s="74"/>
      <c r="BA16" s="26"/>
      <c r="BB16" s="26"/>
      <c r="BC16" s="26"/>
      <c r="BD16" s="79"/>
      <c r="BE16" s="37" t="s">
        <v>784</v>
      </c>
      <c r="BF16" s="38" t="e">
        <f>COUNTIF(#REF!,"НЕ ОБЕСПЕЧЕНА")</f>
        <v>#REF!</v>
      </c>
      <c r="BH16" s="38" t="str">
        <f>IFERROR(INDEX(Однолинейка!$A$1:$A$1000,(MATCH(12,Однолинейка!$BS$1:$BS$1000,0))),"")</f>
        <v/>
      </c>
      <c r="BI16" s="38" t="str">
        <f>IFERROR(INDEX(Однолинейка!$AW$1:$AW$1000,(MATCH(12,Однолинейка!$BS$1:$BS$1000,0))),"")</f>
        <v/>
      </c>
      <c r="BJ16" s="38" t="str">
        <f>IF(BI16="","",INDEX(Однолинейка!$AI$1:$AI$1000,(MATCH(12,Однолинейка!$BS$1:$BS$1000,0))))</f>
        <v/>
      </c>
      <c r="BK16" s="38" t="str">
        <f t="shared" si="1"/>
        <v/>
      </c>
      <c r="BL16" s="38" t="str">
        <f>IF(BI16="","",_xlfn.MAXIFS(Однолинейка!$O$3:$O$1000,Однолинейка!$AH$3:$AH$1000,BI16,Однолинейка!$A$3:$A$1000,BH16))</f>
        <v/>
      </c>
      <c r="BM16" s="38" t="str">
        <f>IF(BI16="","",COUNTIFS(Однолинейка!$AH$3:$AH$1000,BI16,Однолинейка!$A$3:$A$1000,BH16,Однолинейка!$N$3:$N$1000,"р"))</f>
        <v/>
      </c>
      <c r="BN16" s="38" t="str">
        <f t="shared" si="2"/>
        <v/>
      </c>
      <c r="BP16" s="35" t="s">
        <v>597</v>
      </c>
      <c r="BQ16" s="35"/>
      <c r="BR16" s="35" t="s">
        <v>598</v>
      </c>
      <c r="BT16" s="74"/>
      <c r="BU16" s="74"/>
      <c r="BX16" s="74">
        <v>150</v>
      </c>
      <c r="BY16" s="74">
        <v>440</v>
      </c>
      <c r="BZ16" s="74">
        <v>350</v>
      </c>
      <c r="CA16" s="74">
        <v>305</v>
      </c>
    </row>
    <row r="17" spans="2:79" x14ac:dyDescent="0.3">
      <c r="B17" s="14">
        <v>150</v>
      </c>
      <c r="C17" s="14">
        <v>5.96E-2</v>
      </c>
      <c r="D17" s="14">
        <v>2.2499999999999999E-2</v>
      </c>
      <c r="F17" s="14">
        <v>144</v>
      </c>
      <c r="G17" s="14">
        <v>200</v>
      </c>
      <c r="I17" s="14"/>
      <c r="J17" s="14"/>
      <c r="L17" s="16"/>
      <c r="M17" s="16"/>
      <c r="N17" s="16"/>
      <c r="O17" s="17"/>
      <c r="P17" s="26"/>
      <c r="Q17" s="26"/>
      <c r="R17" s="26"/>
      <c r="S17" s="26"/>
      <c r="T17" s="26"/>
      <c r="U17" s="26"/>
      <c r="V17" s="26"/>
      <c r="W17" s="26"/>
      <c r="X17" s="26"/>
      <c r="Y17" s="26"/>
      <c r="Z17" s="74"/>
      <c r="AA17" s="23"/>
      <c r="AB17" s="23"/>
      <c r="AC17" s="17"/>
      <c r="AD17" s="18"/>
      <c r="AE17" s="16"/>
      <c r="AF17" s="16"/>
      <c r="AG17" s="16"/>
      <c r="AJ17" s="13" t="str">
        <f t="shared" si="0"/>
        <v>ВВГнг(А)-LS (5х1,5) 2</v>
      </c>
      <c r="AK17" s="14" t="s">
        <v>74</v>
      </c>
      <c r="AL17" t="s">
        <v>12</v>
      </c>
      <c r="AM17">
        <v>5</v>
      </c>
      <c r="AN17">
        <v>1.5</v>
      </c>
      <c r="AO17">
        <v>2</v>
      </c>
      <c r="AU17" s="26"/>
      <c r="AY17" s="26"/>
      <c r="AZ17" s="74"/>
      <c r="BA17" s="26"/>
      <c r="BB17" s="26"/>
      <c r="BC17" s="26"/>
      <c r="BD17" s="79"/>
      <c r="BH17" s="38" t="str">
        <f>IFERROR(INDEX(Однолинейка!$A$1:$A$1000,(MATCH(13,Однолинейка!$BS$1:$BS$1000,0))),"")</f>
        <v/>
      </c>
      <c r="BI17" s="38" t="str">
        <f>IFERROR(INDEX(Однолинейка!$AW$1:$AW$1000,(MATCH(13,Однолинейка!$BS$1:$BS$1000,0))),"")</f>
        <v/>
      </c>
      <c r="BJ17" s="38" t="str">
        <f>IF(BI17="","",INDEX(Однолинейка!$AI$1:$AI$1000,(MATCH(13,Однолинейка!$BS$1:$BS$1000,0))))</f>
        <v/>
      </c>
      <c r="BK17" s="38" t="str">
        <f t="shared" si="1"/>
        <v/>
      </c>
      <c r="BL17" s="38" t="str">
        <f>IF(BI17="","",_xlfn.MAXIFS(Однолинейка!$O$3:$O$1000,Однолинейка!$AH$3:$AH$1000,BI17,Однолинейка!$A$3:$A$1000,BH17))</f>
        <v/>
      </c>
      <c r="BM17" s="38" t="str">
        <f>IF(BI17="","",COUNTIFS(Однолинейка!$AH$3:$AH$1000,BI17,Однолинейка!$A$3:$A$1000,BH17,Однолинейка!$N$3:$N$1000,"р"))</f>
        <v/>
      </c>
      <c r="BN17" s="38" t="str">
        <f t="shared" si="2"/>
        <v/>
      </c>
      <c r="BP17" s="38" t="s">
        <v>570</v>
      </c>
      <c r="BR17" s="37" t="s">
        <v>599</v>
      </c>
      <c r="BT17" s="74"/>
      <c r="BU17" s="74"/>
      <c r="BX17" s="74">
        <v>185</v>
      </c>
      <c r="BY17" s="74">
        <v>510</v>
      </c>
      <c r="BZ17" s="74">
        <v>405</v>
      </c>
      <c r="CA17" s="74">
        <v>350</v>
      </c>
    </row>
    <row r="18" spans="2:79" x14ac:dyDescent="0.3">
      <c r="B18" s="14">
        <v>185</v>
      </c>
      <c r="C18" s="14">
        <v>5.96E-2</v>
      </c>
      <c r="D18" s="14">
        <v>2.2499999999999999E-2</v>
      </c>
      <c r="F18" s="14">
        <v>180</v>
      </c>
      <c r="G18" s="14">
        <v>250</v>
      </c>
      <c r="I18" s="14"/>
      <c r="J18" s="14"/>
      <c r="L18" s="16"/>
      <c r="M18" s="16"/>
      <c r="N18" s="16"/>
      <c r="O18" s="17"/>
      <c r="P18" s="26"/>
      <c r="Q18" s="26"/>
      <c r="R18" s="26"/>
      <c r="S18" s="26"/>
      <c r="T18" s="26"/>
      <c r="U18" s="26"/>
      <c r="V18" s="26"/>
      <c r="W18" s="26"/>
      <c r="X18" s="26"/>
      <c r="Y18" s="26"/>
      <c r="Z18" s="74"/>
      <c r="AA18" s="23"/>
      <c r="AB18" s="23"/>
      <c r="AC18" s="17"/>
      <c r="AD18" s="18"/>
      <c r="AE18" s="16"/>
      <c r="AF18" s="16"/>
      <c r="AG18" s="16"/>
      <c r="AJ18" s="13" t="str">
        <f t="shared" si="0"/>
        <v>ВВГнг(А)-LS (5х2,5) 1</v>
      </c>
      <c r="AK18" s="14" t="s">
        <v>75</v>
      </c>
      <c r="AL18" t="s">
        <v>12</v>
      </c>
      <c r="AM18">
        <v>5</v>
      </c>
      <c r="AN18">
        <v>2.5</v>
      </c>
      <c r="AO18">
        <v>1</v>
      </c>
      <c r="AU18" s="26"/>
      <c r="AV18" s="26"/>
      <c r="AW18" s="26"/>
      <c r="AY18" s="26"/>
      <c r="AZ18" s="74"/>
      <c r="BA18" s="26"/>
      <c r="BB18" s="26"/>
      <c r="BC18" s="26"/>
      <c r="BD18" s="79"/>
      <c r="BE18" s="35" t="s">
        <v>600</v>
      </c>
      <c r="BF18" s="35"/>
      <c r="BH18" s="38" t="str">
        <f>IFERROR(INDEX(Однолинейка!$A$1:$A$1000,(MATCH(14,Однолинейка!$BS$1:$BS$1000,0))),"")</f>
        <v/>
      </c>
      <c r="BI18" s="38" t="str">
        <f>IFERROR(INDEX(Однолинейка!$AW$1:$AW$1000,(MATCH(14,Однолинейка!$BS$1:$BS$1000,0))),"")</f>
        <v/>
      </c>
      <c r="BJ18" s="38" t="str">
        <f>IF(BI18="","",INDEX(Однолинейка!$AI$1:$AI$1000,(MATCH(14,Однолинейка!$BS$1:$BS$1000,0))))</f>
        <v/>
      </c>
      <c r="BK18" s="38" t="str">
        <f t="shared" si="1"/>
        <v/>
      </c>
      <c r="BL18" s="38" t="str">
        <f>IF(BI18="","",_xlfn.MAXIFS(Однолинейка!$O$3:$O$1000,Однолинейка!$AH$3:$AH$1000,BI18,Однолинейка!$A$3:$A$1000,BH18))</f>
        <v/>
      </c>
      <c r="BM18" s="38" t="str">
        <f>IF(BI18="","",COUNTIFS(Однолинейка!$AH$3:$AH$1000,BI18,Однолинейка!$A$3:$A$1000,BH18,Однолинейка!$N$3:$N$1000,"р"))</f>
        <v/>
      </c>
      <c r="BN18" s="38" t="str">
        <f t="shared" si="2"/>
        <v/>
      </c>
      <c r="BP18" s="38" t="s">
        <v>601</v>
      </c>
      <c r="BR18" s="37" t="s">
        <v>602</v>
      </c>
      <c r="BT18" s="74"/>
      <c r="BU18" s="74"/>
      <c r="BX18" s="74">
        <v>240</v>
      </c>
      <c r="BY18" s="74">
        <v>605</v>
      </c>
      <c r="BZ18" s="74"/>
      <c r="CA18" s="74"/>
    </row>
    <row r="19" spans="2:79" x14ac:dyDescent="0.3">
      <c r="B19" s="14">
        <v>240</v>
      </c>
      <c r="C19" s="14">
        <v>5.8700000000000002E-2</v>
      </c>
      <c r="D19" s="14">
        <v>2.2499999999999999E-2</v>
      </c>
      <c r="F19" s="14">
        <v>225</v>
      </c>
      <c r="G19" s="14">
        <v>315</v>
      </c>
      <c r="I19" s="14"/>
      <c r="J19" s="14"/>
      <c r="L19" s="16"/>
      <c r="M19" s="16"/>
      <c r="N19" s="16"/>
      <c r="O19" s="17"/>
      <c r="P19" s="26"/>
      <c r="Q19" s="26"/>
      <c r="R19" s="26"/>
      <c r="S19" s="26"/>
      <c r="T19" s="26"/>
      <c r="U19" s="26"/>
      <c r="V19" s="26"/>
      <c r="W19" s="26"/>
      <c r="X19" s="26"/>
      <c r="Y19" s="26"/>
      <c r="Z19" s="74"/>
      <c r="AA19" s="23"/>
      <c r="AB19" s="23"/>
      <c r="AC19" s="17"/>
      <c r="AD19" s="18"/>
      <c r="AE19" s="16"/>
      <c r="AF19" s="16"/>
      <c r="AG19" s="16"/>
      <c r="AJ19" s="13" t="str">
        <f t="shared" si="0"/>
        <v>ВВГнг(А)-LS (5х2,5) 2</v>
      </c>
      <c r="AK19" s="14" t="s">
        <v>76</v>
      </c>
      <c r="AL19" t="s">
        <v>12</v>
      </c>
      <c r="AM19">
        <v>5</v>
      </c>
      <c r="AN19">
        <v>2.5</v>
      </c>
      <c r="AO19">
        <v>2</v>
      </c>
      <c r="AU19" s="26"/>
      <c r="AV19" s="26"/>
      <c r="AW19" s="26"/>
      <c r="AX19" s="26"/>
      <c r="AY19" s="26"/>
      <c r="AZ19" s="74"/>
      <c r="BA19" s="26"/>
      <c r="BB19" s="26"/>
      <c r="BC19" s="26"/>
      <c r="BD19" s="79"/>
      <c r="BE19" s="37" t="s">
        <v>511</v>
      </c>
      <c r="BH19" s="38" t="str">
        <f>IFERROR(INDEX(Однолинейка!$A$1:$A$1000,(MATCH(15,Однолинейка!$BS$1:$BS$1000,0))),"")</f>
        <v/>
      </c>
      <c r="BI19" s="38" t="str">
        <f>IFERROR(INDEX(Однолинейка!$AW$1:$AW$1000,(MATCH(15,Однолинейка!$BS$1:$BS$1000,0))),"")</f>
        <v/>
      </c>
      <c r="BJ19" s="38" t="str">
        <f>IF(BI19="","",INDEX(Однолинейка!$AI$1:$AI$1000,(MATCH(15,Однолинейка!$BS$1:$BS$1000,0))))</f>
        <v/>
      </c>
      <c r="BK19" s="38" t="str">
        <f t="shared" si="1"/>
        <v/>
      </c>
      <c r="BL19" s="38" t="str">
        <f>IF(BI19="","",_xlfn.MAXIFS(Однолинейка!$O$3:$O$1000,Однолинейка!$AH$3:$AH$1000,BI19,Однолинейка!$A$3:$A$1000,BH19))</f>
        <v/>
      </c>
      <c r="BM19" s="38" t="str">
        <f>IF(BI19="","",COUNTIFS(Однолинейка!$AH$3:$AH$1000,BI19,Однолинейка!$A$3:$A$1000,BH19,Однолинейка!$N$3:$N$1000,"р"))</f>
        <v/>
      </c>
      <c r="BN19" s="38" t="str">
        <f t="shared" si="2"/>
        <v/>
      </c>
      <c r="BP19" s="38" t="s">
        <v>581</v>
      </c>
      <c r="BR19" s="37" t="s">
        <v>603</v>
      </c>
      <c r="BT19" s="74"/>
      <c r="BU19" s="74"/>
    </row>
    <row r="20" spans="2:79" x14ac:dyDescent="0.3">
      <c r="F20" s="14">
        <v>283.5</v>
      </c>
      <c r="G20" s="14">
        <v>400</v>
      </c>
      <c r="L20" s="16"/>
      <c r="M20" s="16"/>
      <c r="N20" s="16"/>
      <c r="O20" s="17"/>
      <c r="P20" s="26"/>
      <c r="Q20" s="26"/>
      <c r="R20" s="26"/>
      <c r="S20" s="26"/>
      <c r="T20" s="26"/>
      <c r="U20" s="26"/>
      <c r="V20" s="26"/>
      <c r="W20" s="26"/>
      <c r="X20" s="26"/>
      <c r="Y20" s="26"/>
      <c r="Z20" s="74"/>
      <c r="AA20" s="23"/>
      <c r="AB20" s="23"/>
      <c r="AC20" s="17"/>
      <c r="AD20" s="18"/>
      <c r="AE20" s="16"/>
      <c r="AF20" s="16"/>
      <c r="AG20" s="16"/>
      <c r="AJ20" s="13" t="str">
        <f t="shared" si="0"/>
        <v>ВВГнг(А)-LS (5х4) 1</v>
      </c>
      <c r="AK20" s="14" t="s">
        <v>77</v>
      </c>
      <c r="AL20" t="s">
        <v>12</v>
      </c>
      <c r="AM20">
        <v>5</v>
      </c>
      <c r="AN20">
        <v>4</v>
      </c>
      <c r="AO20">
        <v>1</v>
      </c>
      <c r="AU20" s="26"/>
      <c r="AV20" s="26"/>
      <c r="AW20" s="26"/>
      <c r="AX20" s="26"/>
      <c r="AY20" s="26"/>
      <c r="AZ20" s="74"/>
      <c r="BA20" s="26"/>
      <c r="BB20" s="26"/>
      <c r="BC20" s="26"/>
      <c r="BD20" s="79"/>
      <c r="BE20" s="37" t="s">
        <v>605</v>
      </c>
      <c r="BH20" s="38" t="str">
        <f>IFERROR(INDEX(Однолинейка!$A$1:$A$1000,(MATCH(16,Однолинейка!$BS$1:$BS$1000,0))),"")</f>
        <v/>
      </c>
      <c r="BI20" s="38" t="str">
        <f>IFERROR(INDEX(Однолинейка!$AW$1:$AW$1000,(MATCH(16,Однолинейка!$BS$1:$BS$1000,0))),"")</f>
        <v/>
      </c>
      <c r="BJ20" s="38" t="str">
        <f>IF(BI20="","",INDEX(Однолинейка!$AI$1:$AI$1000,(MATCH(16,Однолинейка!$BS$1:$BS$1000,0))))</f>
        <v/>
      </c>
      <c r="BK20" s="38" t="str">
        <f t="shared" si="1"/>
        <v/>
      </c>
      <c r="BL20" s="38" t="str">
        <f>IF(BI20="","",_xlfn.MAXIFS(Однолинейка!$O$3:$O$1000,Однолинейка!$AH$3:$AH$1000,BI20,Однолинейка!$A$3:$A$1000,BH20))</f>
        <v/>
      </c>
      <c r="BM20" s="38" t="str">
        <f>IF(BI20="","",COUNTIFS(Однолинейка!$AH$3:$AH$1000,BI20,Однолинейка!$A$3:$A$1000,BH20,Однолинейка!$N$3:$N$1000,"р"))</f>
        <v/>
      </c>
      <c r="BN20" s="38" t="str">
        <f t="shared" si="2"/>
        <v/>
      </c>
      <c r="BP20" s="38" t="s">
        <v>556</v>
      </c>
      <c r="BR20" s="37" t="s">
        <v>606</v>
      </c>
      <c r="BT20" s="74"/>
      <c r="BU20" s="74"/>
      <c r="BX20" s="37" t="s">
        <v>607</v>
      </c>
    </row>
    <row r="21" spans="2:79" x14ac:dyDescent="0.3">
      <c r="F21" s="14">
        <v>360</v>
      </c>
      <c r="G21" s="14">
        <v>500</v>
      </c>
      <c r="L21" s="16"/>
      <c r="M21" s="16"/>
      <c r="N21" s="16"/>
      <c r="O21" s="17"/>
      <c r="P21" s="26"/>
      <c r="Q21" s="26"/>
      <c r="R21" s="26"/>
      <c r="S21" s="26"/>
      <c r="T21" s="26"/>
      <c r="U21" s="26"/>
      <c r="V21" s="26"/>
      <c r="W21" s="26"/>
      <c r="X21" s="26"/>
      <c r="Y21" s="26"/>
      <c r="Z21" s="74"/>
      <c r="AA21" s="23"/>
      <c r="AB21" s="23"/>
      <c r="AC21" s="17"/>
      <c r="AD21" s="18"/>
      <c r="AE21" s="16"/>
      <c r="AF21" s="16"/>
      <c r="AG21" s="16"/>
      <c r="AJ21" s="13" t="str">
        <f t="shared" si="0"/>
        <v>ВВГнг(А)-LS (5х4) 2</v>
      </c>
      <c r="AK21" s="14" t="s">
        <v>78</v>
      </c>
      <c r="AL21" t="s">
        <v>12</v>
      </c>
      <c r="AM21">
        <v>5</v>
      </c>
      <c r="AN21">
        <v>4</v>
      </c>
      <c r="AO21">
        <v>2</v>
      </c>
      <c r="AU21" s="26"/>
      <c r="AY21" s="26"/>
      <c r="AZ21" s="74"/>
      <c r="BA21" s="26"/>
      <c r="BB21" s="26"/>
      <c r="BC21" s="26"/>
      <c r="BD21" s="79"/>
      <c r="BE21" s="37" t="s">
        <v>608</v>
      </c>
      <c r="BH21" s="38" t="str">
        <f>IFERROR(INDEX(Однолинейка!$A$1:$A$1000,(MATCH(17,Однолинейка!$BS$1:$BS$1000,0))),"")</f>
        <v/>
      </c>
      <c r="BI21" s="38" t="str">
        <f>IFERROR(INDEX(Однолинейка!$AW$1:$AW$1000,(MATCH(17,Однолинейка!$BS$1:$BS$1000,0))),"")</f>
        <v/>
      </c>
      <c r="BJ21" s="38" t="str">
        <f>IF(BI21="","",INDEX(Однолинейка!$AI$1:$AI$1000,(MATCH(17,Однолинейка!$BS$1:$BS$1000,0))))</f>
        <v/>
      </c>
      <c r="BK21" s="38" t="str">
        <f t="shared" si="1"/>
        <v/>
      </c>
      <c r="BL21" s="38" t="str">
        <f>IF(BI21="","",_xlfn.MAXIFS(Однолинейка!$O$3:$O$1000,Однолинейка!$AH$3:$AH$1000,BI21,Однолинейка!$A$3:$A$1000,BH21))</f>
        <v/>
      </c>
      <c r="BM21" s="38" t="str">
        <f>IF(BI21="","",COUNTIFS(Однолинейка!$AH$3:$AH$1000,BI21,Однолинейка!$A$3:$A$1000,BH21,Однолинейка!$N$3:$N$1000,"р"))</f>
        <v/>
      </c>
      <c r="BN21" s="38" t="str">
        <f t="shared" si="2"/>
        <v/>
      </c>
      <c r="BT21" s="74"/>
      <c r="BU21" s="74"/>
    </row>
    <row r="22" spans="2:79" x14ac:dyDescent="0.3">
      <c r="F22" s="14">
        <v>450</v>
      </c>
      <c r="G22" s="14">
        <v>630</v>
      </c>
      <c r="L22" s="16"/>
      <c r="M22" s="16"/>
      <c r="N22" s="16"/>
      <c r="O22" s="17"/>
      <c r="P22" s="26"/>
      <c r="Q22" s="26"/>
      <c r="R22" s="26"/>
      <c r="S22" s="26"/>
      <c r="T22" s="26"/>
      <c r="U22" s="26"/>
      <c r="V22" s="26"/>
      <c r="W22" s="26"/>
      <c r="X22" s="26"/>
      <c r="Y22" s="26"/>
      <c r="Z22" s="74"/>
      <c r="AA22" s="23"/>
      <c r="AB22" s="23"/>
      <c r="AC22" s="17"/>
      <c r="AD22" s="18"/>
      <c r="AE22" s="16"/>
      <c r="AF22" s="16"/>
      <c r="AG22" s="16"/>
      <c r="AJ22" s="13" t="str">
        <f t="shared" si="0"/>
        <v>ВВГнг(А)-LS (5х6) 1</v>
      </c>
      <c r="AK22" s="14" t="s">
        <v>79</v>
      </c>
      <c r="AL22" t="s">
        <v>12</v>
      </c>
      <c r="AM22">
        <v>5</v>
      </c>
      <c r="AN22">
        <v>6</v>
      </c>
      <c r="AO22">
        <v>1</v>
      </c>
      <c r="AU22" s="26"/>
      <c r="AV22" s="26"/>
      <c r="AW22" s="26"/>
      <c r="AY22" s="26"/>
      <c r="AZ22" s="74"/>
      <c r="BA22" s="26"/>
      <c r="BB22" s="26"/>
      <c r="BC22" s="26"/>
      <c r="BD22" s="79"/>
      <c r="BE22" s="37" t="s">
        <v>609</v>
      </c>
      <c r="BH22" s="38" t="str">
        <f>IFERROR(INDEX(Однолинейка!$A$1:$A$1000,(MATCH(18,Однолинейка!$BS$1:$BS$1000,0))),"")</f>
        <v/>
      </c>
      <c r="BI22" s="38" t="str">
        <f>IFERROR(INDEX(Однолинейка!$AW$1:$AW$1000,(MATCH(18,Однолинейка!$BS$1:$BS$1000,0))),"")</f>
        <v/>
      </c>
      <c r="BJ22" s="38" t="str">
        <f>IF(BI22="","",INDEX(Однолинейка!$AI$1:$AI$1000,(MATCH(18,Однолинейка!$BS$1:$BS$1000,0))))</f>
        <v/>
      </c>
      <c r="BK22" s="38" t="str">
        <f t="shared" si="1"/>
        <v/>
      </c>
      <c r="BL22" s="38" t="str">
        <f>IF(BI22="","",_xlfn.MAXIFS(Однолинейка!$O$3:$O$1000,Однолинейка!$AH$3:$AH$1000,BI22,Однолинейка!$A$3:$A$1000,BH22))</f>
        <v/>
      </c>
      <c r="BM22" s="38" t="str">
        <f>IF(BI22="","",COUNTIFS(Однолинейка!$AH$3:$AH$1000,BI22,Однолинейка!$A$3:$A$1000,BH22,Однолинейка!$N$3:$N$1000,"р"))</f>
        <v/>
      </c>
      <c r="BN22" s="38" t="str">
        <f t="shared" si="2"/>
        <v/>
      </c>
      <c r="BP22" s="35" t="s">
        <v>610</v>
      </c>
      <c r="BQ22" s="35"/>
      <c r="BT22" s="74"/>
      <c r="BU22" s="74"/>
    </row>
    <row r="23" spans="2:79" x14ac:dyDescent="0.3">
      <c r="F23" s="14">
        <v>567</v>
      </c>
      <c r="G23" s="14" t="s">
        <v>8</v>
      </c>
      <c r="L23" s="16"/>
      <c r="M23" s="16"/>
      <c r="N23" s="16"/>
      <c r="O23" s="17"/>
      <c r="P23" s="26"/>
      <c r="Q23" s="26"/>
      <c r="R23" s="26"/>
      <c r="S23" s="26"/>
      <c r="T23" s="26"/>
      <c r="U23" s="26"/>
      <c r="V23" s="26"/>
      <c r="W23" s="26"/>
      <c r="X23" s="26"/>
      <c r="Y23" s="26"/>
      <c r="Z23" s="74"/>
      <c r="AA23" s="23"/>
      <c r="AB23" s="23"/>
      <c r="AC23" s="17"/>
      <c r="AD23" s="18"/>
      <c r="AE23" s="16"/>
      <c r="AF23" s="16"/>
      <c r="AG23" s="16"/>
      <c r="AJ23" s="13" t="str">
        <f t="shared" si="0"/>
        <v>ВВГнг(А)-LS (5х6) 2</v>
      </c>
      <c r="AK23" s="14" t="s">
        <v>80</v>
      </c>
      <c r="AL23" t="s">
        <v>12</v>
      </c>
      <c r="AM23">
        <v>5</v>
      </c>
      <c r="AN23">
        <v>6</v>
      </c>
      <c r="AO23">
        <v>2</v>
      </c>
      <c r="AU23" s="26"/>
      <c r="AY23" s="26"/>
      <c r="AZ23" s="74"/>
      <c r="BA23" s="26"/>
      <c r="BB23" s="26"/>
      <c r="BC23" s="26"/>
      <c r="BD23" s="79"/>
      <c r="BE23" s="37" t="s">
        <v>611</v>
      </c>
      <c r="BH23" s="38" t="str">
        <f>IFERROR(INDEX(Однолинейка!$A$1:$A$1000,(MATCH(19,Однолинейка!$BS$1:$BS$1000,0))),"")</f>
        <v/>
      </c>
      <c r="BI23" s="38" t="str">
        <f>IFERROR(INDEX(Однолинейка!$AW$1:$AW$1000,(MATCH(19,Однолинейка!$BS$1:$BS$1000,0))),"")</f>
        <v/>
      </c>
      <c r="BJ23" s="38" t="str">
        <f>IF(BI23="","",INDEX(Однолинейка!$AI$1:$AI$1000,(MATCH(19,Однолинейка!$BS$1:$BS$1000,0))))</f>
        <v/>
      </c>
      <c r="BK23" s="38" t="str">
        <f t="shared" si="1"/>
        <v/>
      </c>
      <c r="BL23" s="38" t="str">
        <f>IF(BI23="","",_xlfn.MAXIFS(Однолинейка!$O$3:$O$1000,Однолинейка!$AH$3:$AH$1000,BI23,Однолинейка!$A$3:$A$1000,BH23))</f>
        <v/>
      </c>
      <c r="BM23" s="38" t="str">
        <f>IF(BI23="","",COUNTIFS(Однолинейка!$AH$3:$AH$1000,BI23,Однолинейка!$A$3:$A$1000,BH23,Однолинейка!$N$3:$N$1000,"р"))</f>
        <v/>
      </c>
      <c r="BN23" s="38" t="str">
        <f t="shared" si="2"/>
        <v/>
      </c>
      <c r="BR23" s="37" t="s">
        <v>612</v>
      </c>
      <c r="BT23" s="74"/>
      <c r="BU23" s="74"/>
    </row>
    <row r="24" spans="2:79" x14ac:dyDescent="0.3">
      <c r="L24" s="16"/>
      <c r="M24" s="16"/>
      <c r="N24" s="16"/>
      <c r="O24" s="17"/>
      <c r="P24" s="26"/>
      <c r="Q24" s="26"/>
      <c r="R24" s="26"/>
      <c r="S24" s="26"/>
      <c r="T24" s="26"/>
      <c r="U24" s="26"/>
      <c r="V24" s="26"/>
      <c r="W24" s="26"/>
      <c r="X24" s="26"/>
      <c r="Y24" s="26"/>
      <c r="Z24" s="74"/>
      <c r="AA24" s="23"/>
      <c r="AB24" s="23"/>
      <c r="AC24" s="17"/>
      <c r="AD24" s="18"/>
      <c r="AE24" s="16"/>
      <c r="AF24" s="16"/>
      <c r="AG24" s="16"/>
      <c r="AJ24" s="13" t="str">
        <f t="shared" si="0"/>
        <v>ВВГнг(А)-LS (5х10) 1</v>
      </c>
      <c r="AK24" s="14" t="s">
        <v>81</v>
      </c>
      <c r="AL24" t="s">
        <v>12</v>
      </c>
      <c r="AM24">
        <v>5</v>
      </c>
      <c r="AN24">
        <v>10</v>
      </c>
      <c r="AO24">
        <v>1</v>
      </c>
      <c r="AU24" s="26"/>
      <c r="AV24" s="26"/>
      <c r="AW24" s="26"/>
      <c r="AY24" s="26"/>
      <c r="AZ24" s="74"/>
      <c r="BA24" s="26"/>
      <c r="BB24" s="26"/>
      <c r="BC24" s="26"/>
      <c r="BD24" s="79"/>
      <c r="BE24" s="37" t="s">
        <v>614</v>
      </c>
      <c r="BH24" s="38" t="str">
        <f>IFERROR(INDEX(Однолинейка!$A$1:$A$1000,(MATCH(20,Однолинейка!$BS$1:$BS$1000,0))),"")</f>
        <v/>
      </c>
      <c r="BI24" s="38" t="str">
        <f>IFERROR(INDEX(Однолинейка!$AW$1:$AW$1000,(MATCH(20,Однолинейка!$BS$1:$BS$1000,0))),"")</f>
        <v/>
      </c>
      <c r="BJ24" s="38" t="str">
        <f>IF(BI24="","",INDEX(Однолинейка!$AI$1:$AI$1000,(MATCH(20,Однолинейка!$BS$1:$BS$1000,0))))</f>
        <v/>
      </c>
      <c r="BK24" s="38" t="str">
        <f t="shared" si="1"/>
        <v/>
      </c>
      <c r="BL24" s="38" t="str">
        <f>IF(BI24="","",_xlfn.MAXIFS(Однолинейка!$O$3:$O$1000,Однолинейка!$AH$3:$AH$1000,BI24,Однолинейка!$A$3:$A$1000,BH24))</f>
        <v/>
      </c>
      <c r="BM24" s="38" t="str">
        <f>IF(BI24="","",COUNTIFS(Однолинейка!$AH$3:$AH$1000,BI24,Однолинейка!$A$3:$A$1000,BH24,Однолинейка!$N$3:$N$1000,"р"))</f>
        <v/>
      </c>
      <c r="BN24" s="38" t="str">
        <f t="shared" si="2"/>
        <v/>
      </c>
      <c r="BR24" s="37" t="s">
        <v>615</v>
      </c>
      <c r="BT24" s="74"/>
      <c r="BU24" s="74"/>
    </row>
    <row r="25" spans="2:79" x14ac:dyDescent="0.3">
      <c r="L25" s="16"/>
      <c r="M25" s="16"/>
      <c r="N25" s="16"/>
      <c r="O25" s="17"/>
      <c r="P25" s="26"/>
      <c r="Q25" s="26"/>
      <c r="R25" s="26"/>
      <c r="S25" s="26"/>
      <c r="T25" s="26"/>
      <c r="U25" s="26"/>
      <c r="V25" s="26"/>
      <c r="W25" s="26"/>
      <c r="X25" s="26"/>
      <c r="Y25" s="26"/>
      <c r="Z25" s="74"/>
      <c r="AA25" s="23"/>
      <c r="AB25" s="23"/>
      <c r="AC25" s="17"/>
      <c r="AD25" s="18"/>
      <c r="AE25" s="16"/>
      <c r="AF25" s="16"/>
      <c r="AG25" s="16"/>
      <c r="AJ25" s="13" t="str">
        <f t="shared" si="0"/>
        <v>ВВГнг(А)-LS (5х10) 2</v>
      </c>
      <c r="AK25" s="14" t="s">
        <v>82</v>
      </c>
      <c r="AL25" t="s">
        <v>12</v>
      </c>
      <c r="AM25">
        <v>5</v>
      </c>
      <c r="AN25">
        <v>10</v>
      </c>
      <c r="AO25">
        <v>2</v>
      </c>
      <c r="AU25" s="26"/>
      <c r="AV25" s="26"/>
      <c r="AW25" s="26"/>
      <c r="AY25" s="26"/>
      <c r="AZ25" s="74"/>
      <c r="BA25" s="26"/>
      <c r="BB25" s="26"/>
      <c r="BC25" s="26"/>
      <c r="BD25" s="79"/>
      <c r="BE25" s="37" t="s">
        <v>616</v>
      </c>
      <c r="BH25" s="38" t="str">
        <f>IFERROR(INDEX(Однолинейка!$A$1:$A$1000,(MATCH(21,Однолинейка!$BS$1:$BS$1000,0))),"")</f>
        <v/>
      </c>
      <c r="BI25" s="38" t="str">
        <f>IFERROR(INDEX(Однолинейка!$AW$1:$AW$1000,(MATCH(21,Однолинейка!$BS$1:$BS$1000,0))),"")</f>
        <v/>
      </c>
      <c r="BJ25" s="38" t="str">
        <f>IF(BI25="","",INDEX(Однолинейка!$AI$1:$AI$1000,(MATCH(21,Однолинейка!$BS$1:$BS$1000,0))))</f>
        <v/>
      </c>
      <c r="BK25" s="38" t="str">
        <f t="shared" si="1"/>
        <v/>
      </c>
      <c r="BL25" s="38" t="str">
        <f>IF(BI25="","",_xlfn.MAXIFS(Однолинейка!$O$3:$O$1000,Однолинейка!$AH$3:$AH$1000,BI25,Однолинейка!$A$3:$A$1000,BH25))</f>
        <v/>
      </c>
      <c r="BM25" s="38" t="str">
        <f>IF(BI25="","",COUNTIFS(Однолинейка!$AH$3:$AH$1000,BI25,Однолинейка!$A$3:$A$1000,BH25,Однолинейка!$N$3:$N$1000,"р"))</f>
        <v/>
      </c>
      <c r="BN25" s="38" t="str">
        <f t="shared" si="2"/>
        <v/>
      </c>
      <c r="BR25" s="37" t="s">
        <v>617</v>
      </c>
      <c r="BT25" s="74"/>
      <c r="BU25" s="74"/>
    </row>
    <row r="26" spans="2:79" x14ac:dyDescent="0.3">
      <c r="L26" s="16"/>
      <c r="M26" s="16"/>
      <c r="N26" s="16"/>
      <c r="O26" s="17"/>
      <c r="P26" s="26"/>
      <c r="Q26" s="26"/>
      <c r="R26" s="26"/>
      <c r="S26" s="26"/>
      <c r="T26" s="26"/>
      <c r="U26" s="26"/>
      <c r="V26" s="26"/>
      <c r="W26" s="26"/>
      <c r="X26" s="26"/>
      <c r="Y26" s="26"/>
      <c r="Z26" s="74"/>
      <c r="AA26" s="23"/>
      <c r="AB26" s="23"/>
      <c r="AC26" s="17"/>
      <c r="AD26" s="17"/>
      <c r="AE26" s="17"/>
      <c r="AF26" s="17"/>
      <c r="AG26" s="17"/>
      <c r="AJ26" s="13" t="str">
        <f t="shared" si="0"/>
        <v>ВВГнг(А)-LS (5х16) 1</v>
      </c>
      <c r="AK26" s="14" t="s">
        <v>83</v>
      </c>
      <c r="AL26" t="s">
        <v>12</v>
      </c>
      <c r="AM26">
        <v>5</v>
      </c>
      <c r="AN26">
        <v>16</v>
      </c>
      <c r="AO26">
        <v>1</v>
      </c>
      <c r="AU26" s="26"/>
      <c r="AY26" s="26"/>
      <c r="AZ26" s="74"/>
      <c r="BA26" s="26"/>
      <c r="BB26" s="26"/>
      <c r="BC26" s="26"/>
      <c r="BD26" s="79"/>
      <c r="BE26" s="37" t="s">
        <v>618</v>
      </c>
      <c r="BH26" s="38" t="str">
        <f>IFERROR(INDEX(Однолинейка!$A$1:$A$1000,(MATCH(22,Однолинейка!$BS$1:$BS$1000,0))),"")</f>
        <v/>
      </c>
      <c r="BI26" s="38" t="str">
        <f>IFERROR(INDEX(Однолинейка!$AW$1:$AW$1000,(MATCH(22,Однолинейка!$BS$1:$BS$1000,0))),"")</f>
        <v/>
      </c>
      <c r="BJ26" s="38" t="str">
        <f>IF(BI26="","",INDEX(Однолинейка!$AI$1:$AI$1000,(MATCH(22,Однолинейка!$BS$1:$BS$1000,0))))</f>
        <v/>
      </c>
      <c r="BK26" s="38" t="str">
        <f t="shared" si="1"/>
        <v/>
      </c>
      <c r="BL26" s="38" t="str">
        <f>IF(BI26="","",_xlfn.MAXIFS(Однолинейка!$O$3:$O$1000,Однолинейка!$AH$3:$AH$1000,BI26,Однолинейка!$A$3:$A$1000,BH26))</f>
        <v/>
      </c>
      <c r="BM26" s="38" t="str">
        <f>IF(BI26="","",COUNTIFS(Однолинейка!$AH$3:$AH$1000,BI26,Однолинейка!$A$3:$A$1000,BH26,Однолинейка!$N$3:$N$1000,"р"))</f>
        <v/>
      </c>
      <c r="BN26" s="38" t="str">
        <f t="shared" si="2"/>
        <v/>
      </c>
      <c r="BR26" s="37" t="s">
        <v>619</v>
      </c>
      <c r="BT26" s="74"/>
      <c r="BU26" s="74"/>
    </row>
    <row r="27" spans="2:79" x14ac:dyDescent="0.3">
      <c r="L27" s="16"/>
      <c r="M27" s="16"/>
      <c r="N27" s="16"/>
      <c r="O27" s="17"/>
      <c r="P27" s="26"/>
      <c r="Q27" s="26"/>
      <c r="R27" s="26"/>
      <c r="S27" s="26"/>
      <c r="T27" s="26"/>
      <c r="U27" s="26"/>
      <c r="V27" s="26"/>
      <c r="W27" s="26"/>
      <c r="X27" s="26"/>
      <c r="Y27" s="26"/>
      <c r="Z27" s="74"/>
      <c r="AA27" s="23"/>
      <c r="AB27" s="23"/>
      <c r="AC27" s="17"/>
      <c r="AD27" s="17"/>
      <c r="AE27" s="17"/>
      <c r="AF27" s="17"/>
      <c r="AG27" s="17"/>
      <c r="AJ27" s="13" t="str">
        <f t="shared" si="0"/>
        <v>ВВГнг(А)-LS (5х16) 2</v>
      </c>
      <c r="AK27" s="14" t="s">
        <v>84</v>
      </c>
      <c r="AL27" t="s">
        <v>12</v>
      </c>
      <c r="AM27">
        <v>5</v>
      </c>
      <c r="AN27">
        <v>16</v>
      </c>
      <c r="AO27">
        <v>2</v>
      </c>
      <c r="AU27" s="26"/>
      <c r="AY27" s="26"/>
      <c r="AZ27" s="74"/>
      <c r="BA27" s="26"/>
      <c r="BB27" s="26"/>
      <c r="BC27" s="26"/>
      <c r="BD27" s="79"/>
      <c r="BH27" s="38" t="str">
        <f>IFERROR(INDEX(Однолинейка!$A$1:$A$1000,(MATCH(23,Однолинейка!$BS$1:$BS$1000,0))),"")</f>
        <v/>
      </c>
      <c r="BI27" s="38" t="str">
        <f>IFERROR(INDEX(Однолинейка!$AW$1:$AW$1000,(MATCH(23,Однолинейка!$BS$1:$BS$1000,0))),"")</f>
        <v/>
      </c>
      <c r="BJ27" s="38" t="str">
        <f>IF(BI27="","",INDEX(Однолинейка!$AI$1:$AI$1000,(MATCH(23,Однолинейка!$BS$1:$BS$1000,0))))</f>
        <v/>
      </c>
      <c r="BK27" s="38" t="str">
        <f t="shared" si="1"/>
        <v/>
      </c>
      <c r="BL27" s="38" t="str">
        <f>IF(BI27="","",_xlfn.MAXIFS(Однолинейка!$O$3:$O$1000,Однолинейка!$AH$3:$AH$1000,BI27,Однолинейка!$A$3:$A$1000,BH27))</f>
        <v/>
      </c>
      <c r="BM27" s="38" t="str">
        <f>IF(BI27="","",COUNTIFS(Однолинейка!$AH$3:$AH$1000,BI27,Однолинейка!$A$3:$A$1000,BH27,Однолинейка!$N$3:$N$1000,"р"))</f>
        <v/>
      </c>
      <c r="BN27" s="38" t="str">
        <f t="shared" si="2"/>
        <v/>
      </c>
      <c r="BT27" s="74"/>
      <c r="BU27" s="74"/>
    </row>
    <row r="28" spans="2:79" ht="27.6" x14ac:dyDescent="0.3">
      <c r="L28" s="16"/>
      <c r="M28" s="16"/>
      <c r="N28" s="16"/>
      <c r="O28" s="17"/>
      <c r="P28" s="26"/>
      <c r="Q28" s="26"/>
      <c r="R28" s="26"/>
      <c r="S28" s="26"/>
      <c r="T28" s="26"/>
      <c r="U28" s="26"/>
      <c r="V28" s="26"/>
      <c r="W28" s="26"/>
      <c r="X28" s="26"/>
      <c r="Y28" s="26"/>
      <c r="Z28" s="74"/>
      <c r="AA28" s="23"/>
      <c r="AB28" s="23"/>
      <c r="AC28" s="17"/>
      <c r="AD28" s="17"/>
      <c r="AE28" s="17"/>
      <c r="AF28" s="17"/>
      <c r="AG28" s="17"/>
      <c r="AJ28" s="13" t="str">
        <f t="shared" si="0"/>
        <v>ВВГнг(А)-LS (5х25) 1</v>
      </c>
      <c r="AK28" s="14" t="s">
        <v>85</v>
      </c>
      <c r="AL28" t="s">
        <v>12</v>
      </c>
      <c r="AM28">
        <v>5</v>
      </c>
      <c r="AN28">
        <v>25</v>
      </c>
      <c r="AO28">
        <v>1</v>
      </c>
      <c r="AU28" s="26"/>
      <c r="AY28" s="26"/>
      <c r="AZ28" s="74"/>
      <c r="BA28" s="26"/>
      <c r="BB28" s="26"/>
      <c r="BC28" s="26"/>
      <c r="BD28" s="79"/>
      <c r="BH28" s="38" t="str">
        <f>IFERROR(INDEX(Однолинейка!$A$1:$A$1000,(MATCH(24,Однолинейка!$BS$1:$BS$1000,0))),"")</f>
        <v/>
      </c>
      <c r="BI28" s="38" t="str">
        <f>IFERROR(INDEX(Однолинейка!$AW$1:$AW$1000,(MATCH(24,Однолинейка!$BS$1:$BS$1000,0))),"")</f>
        <v/>
      </c>
      <c r="BJ28" s="38" t="str">
        <f>IF(BI28="","",INDEX(Однолинейка!$AI$1:$AI$1000,(MATCH(24,Однолинейка!$BS$1:$BS$1000,0))))</f>
        <v/>
      </c>
      <c r="BK28" s="38" t="str">
        <f t="shared" si="1"/>
        <v/>
      </c>
      <c r="BL28" s="38" t="str">
        <f>IF(BI28="","",_xlfn.MAXIFS(Однолинейка!$O$3:$O$1000,Однолинейка!$AH$3:$AH$1000,BI28,Однолинейка!$A$3:$A$1000,BH28))</f>
        <v/>
      </c>
      <c r="BM28" s="38" t="str">
        <f>IF(BI28="","",COUNTIFS(Однолинейка!$AH$3:$AH$1000,BI28,Однолинейка!$A$3:$A$1000,BH28,Однолинейка!$N$3:$N$1000,"р"))</f>
        <v/>
      </c>
      <c r="BN28" s="38" t="str">
        <f t="shared" si="2"/>
        <v/>
      </c>
      <c r="BP28" s="35" t="s">
        <v>620</v>
      </c>
      <c r="BQ28" s="35"/>
      <c r="BT28" s="74"/>
      <c r="BU28" s="74"/>
    </row>
    <row r="29" spans="2:79" x14ac:dyDescent="0.3">
      <c r="L29" s="16"/>
      <c r="M29" s="16"/>
      <c r="N29" s="16"/>
      <c r="O29" s="17"/>
      <c r="P29" s="26"/>
      <c r="Q29" s="26"/>
      <c r="R29" s="26"/>
      <c r="S29" s="26"/>
      <c r="T29" s="26"/>
      <c r="U29" s="26"/>
      <c r="V29" s="26"/>
      <c r="W29" s="26"/>
      <c r="X29" s="26"/>
      <c r="Y29" s="26"/>
      <c r="Z29" s="74"/>
      <c r="AA29" s="23"/>
      <c r="AB29" s="23"/>
      <c r="AC29" s="17"/>
      <c r="AD29" s="17"/>
      <c r="AE29" s="17"/>
      <c r="AF29" s="17"/>
      <c r="AG29" s="17"/>
      <c r="AJ29" s="13" t="str">
        <f t="shared" si="0"/>
        <v>ВВГнг(А)-LS (5х25) 2</v>
      </c>
      <c r="AK29" s="14" t="s">
        <v>86</v>
      </c>
      <c r="AL29" t="s">
        <v>12</v>
      </c>
      <c r="AM29">
        <v>5</v>
      </c>
      <c r="AN29">
        <v>25</v>
      </c>
      <c r="AO29">
        <v>2</v>
      </c>
      <c r="AU29" s="26"/>
      <c r="AY29" s="26"/>
      <c r="AZ29" s="74"/>
      <c r="BA29" s="26"/>
      <c r="BB29" s="26"/>
      <c r="BC29" s="26"/>
      <c r="BD29" s="79"/>
      <c r="BH29" s="38" t="str">
        <f>IFERROR(INDEX(Однолинейка!$A$1:$A$1000,(MATCH(25,Однолинейка!$BS$1:$BS$1000,0))),"")</f>
        <v/>
      </c>
      <c r="BI29" s="38" t="str">
        <f>IFERROR(INDEX(Однолинейка!$AW$1:$AW$1000,(MATCH(25,Однолинейка!$BS$1:$BS$1000,0))),"")</f>
        <v/>
      </c>
      <c r="BJ29" s="38" t="str">
        <f>IF(BI29="","",INDEX(Однолинейка!$AI$1:$AI$1000,(MATCH(25,Однолинейка!$BS$1:$BS$1000,0))))</f>
        <v/>
      </c>
      <c r="BK29" s="38" t="str">
        <f t="shared" si="1"/>
        <v/>
      </c>
      <c r="BL29" s="38" t="str">
        <f>IF(BI29="","",_xlfn.MAXIFS(Однолинейка!$O$3:$O$1000,Однолинейка!$AH$3:$AH$1000,BI29,Однолинейка!$A$3:$A$1000,BH29))</f>
        <v/>
      </c>
      <c r="BM29" s="38" t="str">
        <f>IF(BI29="","",COUNTIFS(Однолинейка!$AH$3:$AH$1000,BI29,Однолинейка!$A$3:$A$1000,BH29,Однолинейка!$N$3:$N$1000,"р"))</f>
        <v/>
      </c>
      <c r="BN29" s="38" t="str">
        <f t="shared" si="2"/>
        <v/>
      </c>
      <c r="BP29" s="37" t="s">
        <v>621</v>
      </c>
      <c r="BQ29" s="74">
        <v>0.4</v>
      </c>
      <c r="BR29" s="37" t="s">
        <v>622</v>
      </c>
      <c r="BT29" s="74"/>
      <c r="BU29" s="74"/>
    </row>
    <row r="30" spans="2:79" x14ac:dyDescent="0.3">
      <c r="L30" s="16"/>
      <c r="M30" s="16"/>
      <c r="N30" s="16"/>
      <c r="O30" s="17"/>
      <c r="P30" s="26"/>
      <c r="Q30" s="26"/>
      <c r="R30" s="26"/>
      <c r="S30" s="26"/>
      <c r="T30" s="26"/>
      <c r="U30" s="26"/>
      <c r="V30" s="26"/>
      <c r="W30" s="26"/>
      <c r="X30" s="26"/>
      <c r="Y30" s="26"/>
      <c r="Z30" s="74"/>
      <c r="AA30" s="23"/>
      <c r="AB30" s="23"/>
      <c r="AC30" s="17"/>
      <c r="AD30" s="17"/>
      <c r="AE30" s="17"/>
      <c r="AF30" s="17"/>
      <c r="AG30" s="17"/>
      <c r="AJ30" s="13" t="str">
        <f t="shared" si="0"/>
        <v>ВВГнг(А)-LS (5х35) 1</v>
      </c>
      <c r="AK30" s="14" t="s">
        <v>87</v>
      </c>
      <c r="AL30" t="s">
        <v>12</v>
      </c>
      <c r="AM30">
        <v>5</v>
      </c>
      <c r="AN30">
        <v>35</v>
      </c>
      <c r="AO30">
        <v>1</v>
      </c>
      <c r="AU30" s="26"/>
      <c r="AV30" s="26"/>
      <c r="AW30" s="26"/>
      <c r="AX30" s="26"/>
      <c r="AY30" s="26"/>
      <c r="AZ30" s="74"/>
      <c r="BA30" s="26"/>
      <c r="BB30" s="26"/>
      <c r="BC30" s="26"/>
      <c r="BD30" s="79"/>
      <c r="BH30" s="38" t="str">
        <f>IFERROR(INDEX(Однолинейка!$A$1:$A$1000,(MATCH(26,Однолинейка!$BS$1:$BS$1000,0))),"")</f>
        <v/>
      </c>
      <c r="BI30" s="38" t="str">
        <f>IFERROR(INDEX(Однолинейка!$AW$1:$AW$1000,(MATCH(26,Однолинейка!$BS$1:$BS$1000,0))),"")</f>
        <v/>
      </c>
      <c r="BJ30" s="38" t="str">
        <f>IF(BI30="","",INDEX(Однолинейка!$AI$1:$AI$1000,(MATCH(26,Однолинейка!$BS$1:$BS$1000,0))))</f>
        <v/>
      </c>
      <c r="BK30" s="38" t="str">
        <f t="shared" si="1"/>
        <v/>
      </c>
      <c r="BL30" s="38" t="str">
        <f>IF(BI30="","",_xlfn.MAXIFS(Однолинейка!$O$3:$O$1000,Однолинейка!$AH$3:$AH$1000,BI30,Однолинейка!$A$3:$A$1000,BH30))</f>
        <v/>
      </c>
      <c r="BM30" s="38" t="str">
        <f>IF(BI30="","",COUNTIFS(Однолинейка!$AH$3:$AH$1000,BI30,Однолинейка!$A$3:$A$1000,BH30,Однолинейка!$N$3:$N$1000,"р"))</f>
        <v/>
      </c>
      <c r="BN30" s="38" t="str">
        <f t="shared" si="2"/>
        <v/>
      </c>
      <c r="BP30" s="37" t="s">
        <v>623</v>
      </c>
      <c r="BQ30" s="74">
        <v>1</v>
      </c>
      <c r="BR30" s="37" t="s">
        <v>624</v>
      </c>
      <c r="BT30" s="74"/>
      <c r="BU30" s="74"/>
    </row>
    <row r="31" spans="2:79" x14ac:dyDescent="0.3">
      <c r="L31" s="16"/>
      <c r="M31" s="16"/>
      <c r="N31" s="16"/>
      <c r="O31" s="17"/>
      <c r="P31" s="26"/>
      <c r="Q31" s="26"/>
      <c r="R31" s="26"/>
      <c r="S31" s="26"/>
      <c r="T31" s="26"/>
      <c r="U31" s="26"/>
      <c r="V31" s="26"/>
      <c r="W31" s="26"/>
      <c r="X31" s="26"/>
      <c r="Y31" s="26"/>
      <c r="Z31" s="74"/>
      <c r="AA31" s="23"/>
      <c r="AB31" s="23"/>
      <c r="AC31" s="17"/>
      <c r="AD31" s="17"/>
      <c r="AE31" s="17"/>
      <c r="AF31" s="17"/>
      <c r="AG31" s="17"/>
      <c r="AJ31" s="13" t="str">
        <f t="shared" si="0"/>
        <v>ВВГнг(А)-LS (5х35) 2</v>
      </c>
      <c r="AK31" s="14" t="s">
        <v>88</v>
      </c>
      <c r="AL31" t="s">
        <v>12</v>
      </c>
      <c r="AM31">
        <v>5</v>
      </c>
      <c r="AN31">
        <v>35</v>
      </c>
      <c r="AO31">
        <v>2</v>
      </c>
      <c r="AU31" s="26"/>
      <c r="AY31" s="26"/>
      <c r="AZ31" s="74"/>
      <c r="BD31" s="79"/>
      <c r="BH31" s="38" t="str">
        <f>IFERROR(INDEX(Однолинейка!$A$1:$A$1000,(MATCH(27,Однолинейка!$BS$1:$BS$1000,0))),"")</f>
        <v/>
      </c>
      <c r="BI31" s="38" t="str">
        <f>IFERROR(INDEX(Однолинейка!$AW$1:$AW$1000,(MATCH(27,Однолинейка!$BS$1:$BS$1000,0))),"")</f>
        <v/>
      </c>
      <c r="BJ31" s="38" t="str">
        <f>IF(BI31="","",INDEX(Однолинейка!$AI$1:$AI$1000,(MATCH(27,Однолинейка!$BS$1:$BS$1000,0))))</f>
        <v/>
      </c>
      <c r="BK31" s="38" t="str">
        <f t="shared" si="1"/>
        <v/>
      </c>
      <c r="BL31" s="38" t="str">
        <f>IF(BI31="","",_xlfn.MAXIFS(Однолинейка!$O$3:$O$1000,Однолинейка!$AH$3:$AH$1000,BI31,Однолинейка!$A$3:$A$1000,BH31))</f>
        <v/>
      </c>
      <c r="BM31" s="38" t="str">
        <f>IF(BI31="","",COUNTIFS(Однолинейка!$AH$3:$AH$1000,BI31,Однолинейка!$A$3:$A$1000,BH31,Однолинейка!$N$3:$N$1000,"р"))</f>
        <v/>
      </c>
      <c r="BN31" s="38" t="str">
        <f t="shared" si="2"/>
        <v/>
      </c>
      <c r="BP31" s="37"/>
      <c r="BQ31" s="74"/>
      <c r="BR31" s="37" t="s">
        <v>625</v>
      </c>
      <c r="BT31" s="74"/>
      <c r="BU31" s="74"/>
    </row>
    <row r="32" spans="2:79" x14ac:dyDescent="0.3">
      <c r="L32" s="16"/>
      <c r="M32" s="16"/>
      <c r="N32" s="16"/>
      <c r="O32" s="17"/>
      <c r="P32" s="26"/>
      <c r="Q32" s="26"/>
      <c r="R32" s="26"/>
      <c r="S32" s="26"/>
      <c r="T32" s="26"/>
      <c r="U32" s="26"/>
      <c r="V32" s="26"/>
      <c r="W32" s="26"/>
      <c r="X32" s="26"/>
      <c r="Y32" s="26"/>
      <c r="Z32" s="74"/>
      <c r="AA32" s="23"/>
      <c r="AB32" s="23"/>
      <c r="AC32" s="17"/>
      <c r="AD32" s="17"/>
      <c r="AE32" s="17"/>
      <c r="AF32" s="17"/>
      <c r="AG32" s="17"/>
      <c r="AJ32" s="13" t="str">
        <f t="shared" si="0"/>
        <v>ВВГнг(А)-LS (5х50) 1</v>
      </c>
      <c r="AK32" s="14" t="s">
        <v>89</v>
      </c>
      <c r="AL32" t="s">
        <v>12</v>
      </c>
      <c r="AM32">
        <v>5</v>
      </c>
      <c r="AN32">
        <v>50</v>
      </c>
      <c r="AO32">
        <v>1</v>
      </c>
      <c r="AU32" s="26"/>
      <c r="AV32" s="26"/>
      <c r="AW32" s="26"/>
      <c r="AY32" s="26"/>
      <c r="AZ32" s="74"/>
      <c r="BA32" s="26" t="s">
        <v>626</v>
      </c>
      <c r="BD32" s="79"/>
      <c r="BH32" s="38" t="str">
        <f>IFERROR(INDEX(Однолинейка!$A$1:$A$1000,(MATCH(28,Однолинейка!$BS$1:$BS$1000,0))),"")</f>
        <v/>
      </c>
      <c r="BI32" s="38" t="str">
        <f>IFERROR(INDEX(Однолинейка!$AW$1:$AW$1000,(MATCH(28,Однолинейка!$BS$1:$BS$1000,0))),"")</f>
        <v/>
      </c>
      <c r="BJ32" s="38" t="str">
        <f>IF(BI32="","",INDEX(Однолинейка!$AI$1:$AI$1000,(MATCH(28,Однолинейка!$BS$1:$BS$1000,0))))</f>
        <v/>
      </c>
      <c r="BK32" s="38" t="str">
        <f t="shared" si="1"/>
        <v/>
      </c>
      <c r="BL32" s="38" t="str">
        <f>IF(BI32="","",_xlfn.MAXIFS(Однолинейка!$O$3:$O$1000,Однолинейка!$AH$3:$AH$1000,BI32,Однолинейка!$A$3:$A$1000,BH32))</f>
        <v/>
      </c>
      <c r="BM32" s="38" t="str">
        <f>IF(BI32="","",COUNTIFS(Однолинейка!$AH$3:$AH$1000,BI32,Однолинейка!$A$3:$A$1000,BH32,Однолинейка!$N$3:$N$1000,"р"))</f>
        <v/>
      </c>
      <c r="BN32" s="38" t="str">
        <f t="shared" si="2"/>
        <v/>
      </c>
      <c r="BT32" s="74"/>
      <c r="BU32" s="74"/>
    </row>
    <row r="33" spans="12:73" x14ac:dyDescent="0.3">
      <c r="L33" s="16"/>
      <c r="M33" s="16"/>
      <c r="N33" s="16"/>
      <c r="O33" s="17"/>
      <c r="P33" s="26"/>
      <c r="Q33" s="26"/>
      <c r="R33" s="26"/>
      <c r="S33" s="26"/>
      <c r="T33" s="26"/>
      <c r="U33" s="26"/>
      <c r="V33" s="26"/>
      <c r="W33" s="26"/>
      <c r="X33" s="26"/>
      <c r="Y33" s="26"/>
      <c r="Z33" s="74"/>
      <c r="AA33" s="23"/>
      <c r="AB33" s="23"/>
      <c r="AC33" s="17"/>
      <c r="AD33" s="17"/>
      <c r="AE33" s="17"/>
      <c r="AF33" s="17"/>
      <c r="AG33" s="17"/>
      <c r="AJ33" s="13" t="str">
        <f t="shared" si="0"/>
        <v>ВВГнг(А)-LS (5х50) 2</v>
      </c>
      <c r="AK33" s="14" t="s">
        <v>90</v>
      </c>
      <c r="AL33" t="s">
        <v>12</v>
      </c>
      <c r="AM33">
        <v>5</v>
      </c>
      <c r="AN33">
        <v>50</v>
      </c>
      <c r="AO33">
        <v>2</v>
      </c>
      <c r="AU33" s="26"/>
      <c r="AV33" s="26"/>
      <c r="AW33" s="26"/>
      <c r="AX33" s="26"/>
      <c r="AY33" s="26"/>
      <c r="AZ33" s="74"/>
      <c r="BD33" s="79"/>
      <c r="BH33" s="38" t="str">
        <f>IFERROR(INDEX(Однолинейка!$A$1:$A$1000,(MATCH(29,Однолинейка!$BS$1:$BS$1000,0))),"")</f>
        <v/>
      </c>
      <c r="BI33" s="38" t="str">
        <f>IFERROR(INDEX(Однолинейка!$AW$1:$AW$1000,(MATCH(29,Однолинейка!$BS$1:$BS$1000,0))),"")</f>
        <v/>
      </c>
      <c r="BJ33" s="38" t="str">
        <f>IF(BI33="","",INDEX(Однолинейка!$AI$1:$AI$1000,(MATCH(29,Однолинейка!$BS$1:$BS$1000,0))))</f>
        <v/>
      </c>
      <c r="BK33" s="38" t="str">
        <f t="shared" si="1"/>
        <v/>
      </c>
      <c r="BL33" s="38" t="str">
        <f>IF(BI33="","",_xlfn.MAXIFS(Однолинейка!$O$3:$O$1000,Однолинейка!$AH$3:$AH$1000,BI33,Однолинейка!$A$3:$A$1000,BH33))</f>
        <v/>
      </c>
      <c r="BM33" s="38" t="str">
        <f>IF(BI33="","",COUNTIFS(Однолинейка!$AH$3:$AH$1000,BI33,Однолинейка!$A$3:$A$1000,BH33,Однолинейка!$N$3:$N$1000,"р"))</f>
        <v/>
      </c>
      <c r="BN33" s="38" t="str">
        <f t="shared" si="2"/>
        <v/>
      </c>
      <c r="BT33" s="74"/>
      <c r="BU33" s="74"/>
    </row>
    <row r="34" spans="12:73" x14ac:dyDescent="0.3">
      <c r="L34" s="16"/>
      <c r="M34" s="16"/>
      <c r="N34" s="16"/>
      <c r="O34" s="17"/>
      <c r="P34" s="26"/>
      <c r="Q34" s="26"/>
      <c r="R34" s="26"/>
      <c r="S34" s="26"/>
      <c r="T34" s="26"/>
      <c r="U34" s="26"/>
      <c r="V34" s="26"/>
      <c r="W34" s="26"/>
      <c r="X34" s="26"/>
      <c r="Y34" s="26"/>
      <c r="Z34" s="74"/>
      <c r="AA34" s="23"/>
      <c r="AB34" s="23"/>
      <c r="AC34" s="17"/>
      <c r="AD34" s="17"/>
      <c r="AE34" s="17"/>
      <c r="AF34" s="17"/>
      <c r="AG34" s="17"/>
      <c r="AJ34" s="13" t="str">
        <f t="shared" si="0"/>
        <v>ВВГнг(А)-LS (5х95) 1</v>
      </c>
      <c r="AK34" s="14" t="s">
        <v>91</v>
      </c>
      <c r="AL34" t="s">
        <v>12</v>
      </c>
      <c r="AM34">
        <v>5</v>
      </c>
      <c r="AN34">
        <v>95</v>
      </c>
      <c r="AO34">
        <v>1</v>
      </c>
      <c r="AU34" s="26"/>
      <c r="AV34" s="26"/>
      <c r="AW34" s="26"/>
      <c r="AY34" s="26"/>
      <c r="AZ34" s="74"/>
      <c r="BD34" s="79"/>
      <c r="BH34" s="38" t="str">
        <f>IFERROR(INDEX(Однолинейка!$A$1:$A$1000,(MATCH(30,Однолинейка!$BS$1:$BS$1000,0))),"")</f>
        <v/>
      </c>
      <c r="BI34" s="38" t="str">
        <f>IFERROR(INDEX(Однолинейка!$AW$1:$AW$1000,(MATCH(30,Однолинейка!$BS$1:$BS$1000,0))),"")</f>
        <v/>
      </c>
      <c r="BJ34" s="38" t="str">
        <f>IF(BI34="","",INDEX(Однолинейка!$AI$1:$AI$1000,(MATCH(30,Однолинейка!$BS$1:$BS$1000,0))))</f>
        <v/>
      </c>
      <c r="BK34" s="38" t="str">
        <f t="shared" si="1"/>
        <v/>
      </c>
      <c r="BL34" s="38" t="str">
        <f>IF(BI34="","",_xlfn.MAXIFS(Однолинейка!$O$3:$O$1000,Однолинейка!$AH$3:$AH$1000,BI34,Однолинейка!$A$3:$A$1000,BH34))</f>
        <v/>
      </c>
      <c r="BM34" s="38" t="str">
        <f>IF(BI34="","",COUNTIFS(Однолинейка!$AH$3:$AH$1000,BI34,Однолинейка!$A$3:$A$1000,BH34,Однолинейка!$N$3:$N$1000,"р"))</f>
        <v/>
      </c>
      <c r="BN34" s="38" t="str">
        <f t="shared" si="2"/>
        <v/>
      </c>
    </row>
    <row r="35" spans="12:73" x14ac:dyDescent="0.3">
      <c r="L35" s="16"/>
      <c r="M35" s="16"/>
      <c r="N35" s="16"/>
      <c r="O35" s="17"/>
      <c r="P35" s="26"/>
      <c r="Q35" s="26"/>
      <c r="R35" s="26"/>
      <c r="S35" s="26"/>
      <c r="T35" s="26"/>
      <c r="U35" s="26"/>
      <c r="V35" s="26"/>
      <c r="W35" s="26"/>
      <c r="X35" s="26"/>
      <c r="Y35" s="26"/>
      <c r="Z35" s="74"/>
      <c r="AA35" s="23"/>
      <c r="AB35" s="23"/>
      <c r="AC35" s="17"/>
      <c r="AD35" s="17"/>
      <c r="AE35" s="17"/>
      <c r="AF35" s="17"/>
      <c r="AG35" s="17"/>
      <c r="AJ35" s="13" t="str">
        <f t="shared" si="0"/>
        <v>ВВГнг(А)-LS (5х95) 2</v>
      </c>
      <c r="AK35" s="14" t="s">
        <v>92</v>
      </c>
      <c r="AL35" t="s">
        <v>12</v>
      </c>
      <c r="AM35">
        <v>5</v>
      </c>
      <c r="AN35">
        <v>95</v>
      </c>
      <c r="AO35">
        <v>2</v>
      </c>
      <c r="AU35" s="26"/>
      <c r="AY35" s="26"/>
      <c r="AZ35" s="74"/>
      <c r="BD35" s="79"/>
      <c r="BH35" s="38" t="str">
        <f>IFERROR(INDEX(Однолинейка!$A$1:$A$1000,(MATCH(31,Однолинейка!$BS$1:$BS$1000,0))),"")</f>
        <v/>
      </c>
      <c r="BI35" s="38" t="str">
        <f>IFERROR(INDEX(Однолинейка!$AW$1:$AW$1000,(MATCH(31,Однолинейка!$BS$1:$BS$1000,0))),"")</f>
        <v/>
      </c>
      <c r="BJ35" s="38" t="str">
        <f>IF(BI35="","",INDEX(Однолинейка!$AI$1:$AI$1000,(MATCH(31,Однолинейка!$BS$1:$BS$1000,0))))</f>
        <v/>
      </c>
      <c r="BK35" s="38" t="str">
        <f t="shared" si="1"/>
        <v/>
      </c>
      <c r="BL35" s="38" t="str">
        <f>IF(BI35="","",_xlfn.MAXIFS(Однолинейка!$O$3:$O$1000,Однолинейка!$AH$3:$AH$1000,BI35,Однолинейка!$A$3:$A$1000,BH35))</f>
        <v/>
      </c>
      <c r="BM35" s="38" t="str">
        <f>IF(BI35="","",COUNTIFS(Однолинейка!$AH$3:$AH$1000,BI35,Однолинейка!$A$3:$A$1000,BH35,Однолинейка!$N$3:$N$1000,"р"))</f>
        <v/>
      </c>
      <c r="BN35" s="38" t="str">
        <f t="shared" si="2"/>
        <v/>
      </c>
    </row>
    <row r="36" spans="12:73" x14ac:dyDescent="0.3">
      <c r="L36" s="16"/>
      <c r="M36" s="16"/>
      <c r="N36" s="16"/>
      <c r="O36" s="17"/>
      <c r="P36" s="26"/>
      <c r="Q36" s="26"/>
      <c r="R36" s="26"/>
      <c r="S36" s="26"/>
      <c r="T36" s="26"/>
      <c r="U36" s="26"/>
      <c r="V36" s="26"/>
      <c r="W36" s="26"/>
      <c r="X36" s="26"/>
      <c r="Y36" s="26"/>
      <c r="Z36" s="74"/>
      <c r="AA36" s="23"/>
      <c r="AB36" s="23"/>
      <c r="AC36" s="17"/>
      <c r="AD36" s="17"/>
      <c r="AE36" s="17"/>
      <c r="AF36" s="17"/>
      <c r="AG36" s="17"/>
      <c r="AJ36" s="13" t="str">
        <f t="shared" si="0"/>
        <v>ВВГнг(А)-LS (5х120) 1</v>
      </c>
      <c r="AK36" s="14" t="s">
        <v>93</v>
      </c>
      <c r="AL36" t="s">
        <v>12</v>
      </c>
      <c r="AM36">
        <v>5</v>
      </c>
      <c r="AN36">
        <v>120</v>
      </c>
      <c r="AO36">
        <v>1</v>
      </c>
      <c r="AU36" s="26"/>
      <c r="AY36" s="26"/>
      <c r="AZ36" s="74"/>
      <c r="BD36" s="79"/>
      <c r="BH36" s="38" t="str">
        <f>IFERROR(INDEX(Однолинейка!$A$1:$A$1000,(MATCH(32,Однолинейка!$BS$1:$BS$1000,0))),"")</f>
        <v/>
      </c>
      <c r="BI36" s="38" t="str">
        <f>IFERROR(INDEX(Однолинейка!$AW$1:$AW$1000,(MATCH(32,Однолинейка!$BS$1:$BS$1000,0))),"")</f>
        <v/>
      </c>
      <c r="BJ36" s="38" t="str">
        <f>IF(BI36="","",INDEX(Однолинейка!$AI$1:$AI$1000,(MATCH(32,Однолинейка!$BS$1:$BS$1000,0))))</f>
        <v/>
      </c>
      <c r="BK36" s="38" t="str">
        <f t="shared" si="1"/>
        <v/>
      </c>
      <c r="BL36" s="38" t="str">
        <f>IF(BI36="","",_xlfn.MAXIFS(Однолинейка!$O$3:$O$1000,Однолинейка!$AH$3:$AH$1000,BI36,Однолинейка!$A$3:$A$1000,BH36))</f>
        <v/>
      </c>
      <c r="BM36" s="38" t="str">
        <f>IF(BI36="","",COUNTIFS(Однолинейка!$AH$3:$AH$1000,BI36,Однолинейка!$A$3:$A$1000,BH36,Однолинейка!$N$3:$N$1000,"р"))</f>
        <v/>
      </c>
      <c r="BN36" s="38" t="str">
        <f t="shared" si="2"/>
        <v/>
      </c>
    </row>
    <row r="37" spans="12:73" x14ac:dyDescent="0.3">
      <c r="L37" s="16"/>
      <c r="M37" s="16"/>
      <c r="N37" s="16"/>
      <c r="O37" s="17"/>
      <c r="P37" s="26"/>
      <c r="Q37" s="26"/>
      <c r="R37" s="26"/>
      <c r="S37" s="26"/>
      <c r="T37" s="26"/>
      <c r="U37" s="26"/>
      <c r="V37" s="26"/>
      <c r="W37" s="26"/>
      <c r="X37" s="26"/>
      <c r="Y37" s="26"/>
      <c r="Z37" s="74"/>
      <c r="AA37" s="23"/>
      <c r="AB37" s="23"/>
      <c r="AC37" s="17"/>
      <c r="AD37" s="17"/>
      <c r="AE37" s="17"/>
      <c r="AF37" s="17"/>
      <c r="AG37" s="17"/>
      <c r="AJ37" s="13" t="str">
        <f t="shared" si="0"/>
        <v>ВВГнг(А)-LS (5х120) 2</v>
      </c>
      <c r="AK37" s="14" t="s">
        <v>94</v>
      </c>
      <c r="AL37" t="s">
        <v>12</v>
      </c>
      <c r="AM37">
        <v>5</v>
      </c>
      <c r="AN37">
        <v>120</v>
      </c>
      <c r="AO37">
        <v>2</v>
      </c>
      <c r="AU37" s="26"/>
      <c r="AY37" s="26"/>
      <c r="AZ37" s="74"/>
      <c r="BD37" s="79"/>
      <c r="BH37" s="38" t="str">
        <f>IFERROR(INDEX(Однолинейка!$A$1:$A$1000,(MATCH(33,Однолинейка!$BS$1:$BS$1000,0))),"")</f>
        <v/>
      </c>
      <c r="BI37" s="38" t="str">
        <f>IFERROR(INDEX(Однолинейка!$AW$1:$AW$1000,(MATCH(33,Однолинейка!$BS$1:$BS$1000,0))),"")</f>
        <v/>
      </c>
      <c r="BJ37" s="38" t="str">
        <f>IF(BI37="","",INDEX(Однолинейка!$AI$1:$AI$1000,(MATCH(33,Однолинейка!$BS$1:$BS$1000,0))))</f>
        <v/>
      </c>
      <c r="BK37" s="38" t="str">
        <f t="shared" si="1"/>
        <v/>
      </c>
      <c r="BL37" s="38" t="str">
        <f>IF(BI37="","",_xlfn.MAXIFS(Однолинейка!$O$3:$O$1000,Однолинейка!$AH$3:$AH$1000,BI37,Однолинейка!$A$3:$A$1000,BH37))</f>
        <v/>
      </c>
      <c r="BM37" s="38" t="str">
        <f>IF(BI37="","",COUNTIFS(Однолинейка!$AH$3:$AH$1000,BI37,Однолинейка!$A$3:$A$1000,BH37,Однолинейка!$N$3:$N$1000,"р"))</f>
        <v/>
      </c>
      <c r="BN37" s="38" t="str">
        <f t="shared" si="2"/>
        <v/>
      </c>
    </row>
    <row r="38" spans="12:73" x14ac:dyDescent="0.3">
      <c r="L38" s="16"/>
      <c r="M38" s="16"/>
      <c r="N38" s="16"/>
      <c r="O38" s="17"/>
      <c r="P38" s="26"/>
      <c r="Q38" s="26"/>
      <c r="R38" s="26"/>
      <c r="S38" s="26"/>
      <c r="T38" s="26"/>
      <c r="U38" s="26"/>
      <c r="V38" s="26"/>
      <c r="W38" s="26"/>
      <c r="X38" s="26"/>
      <c r="Y38" s="26"/>
      <c r="Z38" s="74"/>
      <c r="AA38" s="23"/>
      <c r="AB38" s="23"/>
      <c r="AC38" s="17"/>
      <c r="AD38" s="17"/>
      <c r="AE38" s="17"/>
      <c r="AF38" s="17"/>
      <c r="AG38" s="17"/>
      <c r="AJ38" s="13" t="str">
        <f t="shared" si="0"/>
        <v>ВВГнг(А)-LS (5х95) 1</v>
      </c>
      <c r="AK38" s="14" t="s">
        <v>95</v>
      </c>
      <c r="AL38" t="s">
        <v>12</v>
      </c>
      <c r="AM38">
        <v>5</v>
      </c>
      <c r="AN38">
        <v>95</v>
      </c>
      <c r="AO38">
        <v>1</v>
      </c>
      <c r="AU38" s="26"/>
      <c r="AY38" s="26"/>
      <c r="AZ38" s="74"/>
      <c r="BD38" s="79"/>
      <c r="BH38" s="38" t="str">
        <f>IFERROR(INDEX(Однолинейка!$A$1:$A$1000,(MATCH(34,Однолинейка!$BS$1:$BS$1000,0))),"")</f>
        <v/>
      </c>
      <c r="BI38" s="38" t="str">
        <f>IFERROR(INDEX(Однолинейка!$AW$1:$AW$1000,(MATCH(34,Однолинейка!$BS$1:$BS$1000,0))),"")</f>
        <v/>
      </c>
      <c r="BJ38" s="38" t="str">
        <f>IF(BI38="","",INDEX(Однолинейка!$AI$1:$AI$1000,(MATCH(34,Однолинейка!$BS$1:$BS$1000,0))))</f>
        <v/>
      </c>
      <c r="BK38" s="38" t="str">
        <f t="shared" si="1"/>
        <v/>
      </c>
      <c r="BL38" s="38" t="str">
        <f>IF(BI38="","",_xlfn.MAXIFS(Однолинейка!$O$3:$O$1000,Однолинейка!$AH$3:$AH$1000,BI38,Однолинейка!$A$3:$A$1000,BH38))</f>
        <v/>
      </c>
      <c r="BM38" s="38" t="str">
        <f>IF(BI38="","",COUNTIFS(Однолинейка!$AH$3:$AH$1000,BI38,Однолинейка!$A$3:$A$1000,BH38,Однолинейка!$N$3:$N$1000,"р"))</f>
        <v/>
      </c>
      <c r="BN38" s="38" t="str">
        <f t="shared" si="2"/>
        <v/>
      </c>
    </row>
    <row r="39" spans="12:73" x14ac:dyDescent="0.3">
      <c r="L39" s="16"/>
      <c r="M39" s="16"/>
      <c r="N39" s="16"/>
      <c r="O39" s="17"/>
      <c r="P39" s="26"/>
      <c r="Q39" s="26"/>
      <c r="R39" s="26"/>
      <c r="S39" s="26"/>
      <c r="T39" s="26"/>
      <c r="U39" s="26"/>
      <c r="V39" s="26"/>
      <c r="W39" s="26"/>
      <c r="X39" s="26"/>
      <c r="Y39" s="26"/>
      <c r="Z39" s="74"/>
      <c r="AA39" s="23"/>
      <c r="AB39" s="23"/>
      <c r="AC39" s="17"/>
      <c r="AD39" s="17"/>
      <c r="AE39" s="17"/>
      <c r="AF39" s="17"/>
      <c r="AG39" s="17"/>
      <c r="AJ39" s="13" t="str">
        <f t="shared" si="0"/>
        <v>ВВГнг(А)-LS (5х95) 2</v>
      </c>
      <c r="AK39" s="14" t="s">
        <v>96</v>
      </c>
      <c r="AL39" t="s">
        <v>12</v>
      </c>
      <c r="AM39">
        <v>5</v>
      </c>
      <c r="AN39">
        <v>95</v>
      </c>
      <c r="AO39">
        <v>2</v>
      </c>
      <c r="AU39" s="26"/>
      <c r="AY39" s="26"/>
      <c r="AZ39" s="74"/>
      <c r="BD39" s="79"/>
      <c r="BH39" s="38" t="str">
        <f>IFERROR(INDEX(Однолинейка!$A$1:$A$1000,(MATCH(35,Однолинейка!$BS$1:$BS$1000,0))),"")</f>
        <v/>
      </c>
      <c r="BI39" s="38" t="str">
        <f>IFERROR(INDEX(Однолинейка!$AW$1:$AW$1000,(MATCH(35,Однолинейка!$BS$1:$BS$1000,0))),"")</f>
        <v/>
      </c>
      <c r="BJ39" s="38" t="str">
        <f>IF(BI39="","",INDEX(Однолинейка!$AI$1:$AI$1000,(MATCH(35,Однолинейка!$BS$1:$BS$1000,0))))</f>
        <v/>
      </c>
      <c r="BK39" s="38" t="str">
        <f t="shared" si="1"/>
        <v/>
      </c>
      <c r="BL39" s="38" t="str">
        <f>IF(BI39="","",_xlfn.MAXIFS(Однолинейка!$O$3:$O$1000,Однолинейка!$AH$3:$AH$1000,BI39,Однолинейка!$A$3:$A$1000,BH39))</f>
        <v/>
      </c>
      <c r="BM39" s="38" t="str">
        <f>IF(BI39="","",COUNTIFS(Однолинейка!$AH$3:$AH$1000,BI39,Однолинейка!$A$3:$A$1000,BH39,Однолинейка!$N$3:$N$1000,"р"))</f>
        <v/>
      </c>
      <c r="BN39" s="38" t="str">
        <f t="shared" si="2"/>
        <v/>
      </c>
    </row>
    <row r="40" spans="12:73" x14ac:dyDescent="0.3">
      <c r="L40" s="16"/>
      <c r="M40" s="16"/>
      <c r="N40" s="16"/>
      <c r="O40" s="17"/>
      <c r="P40" s="26"/>
      <c r="Q40" s="26"/>
      <c r="R40" s="26"/>
      <c r="S40" s="26"/>
      <c r="T40" s="26"/>
      <c r="U40" s="26"/>
      <c r="V40" s="26"/>
      <c r="W40" s="26"/>
      <c r="X40" s="26"/>
      <c r="Y40" s="26"/>
      <c r="Z40" s="74"/>
      <c r="AA40" s="23"/>
      <c r="AB40" s="23"/>
      <c r="AC40" s="17"/>
      <c r="AD40" s="17"/>
      <c r="AE40" s="17"/>
      <c r="AF40" s="17"/>
      <c r="AG40" s="17"/>
      <c r="AJ40" s="13" t="str">
        <f t="shared" si="0"/>
        <v>ВВГнг(А)-LS (5х120) 1</v>
      </c>
      <c r="AK40" s="14" t="s">
        <v>97</v>
      </c>
      <c r="AL40" t="s">
        <v>12</v>
      </c>
      <c r="AM40">
        <v>5</v>
      </c>
      <c r="AN40">
        <v>120</v>
      </c>
      <c r="AO40">
        <v>1</v>
      </c>
      <c r="AU40" s="26"/>
      <c r="AY40" s="26"/>
      <c r="AZ40" s="74"/>
      <c r="BD40" s="79"/>
    </row>
    <row r="41" spans="12:73" ht="55.2" x14ac:dyDescent="0.3">
      <c r="L41" s="16"/>
      <c r="M41" s="16"/>
      <c r="N41" s="16"/>
      <c r="O41" s="17"/>
      <c r="P41" s="26"/>
      <c r="Q41" s="26"/>
      <c r="R41" s="26"/>
      <c r="S41" s="26"/>
      <c r="T41" s="26"/>
      <c r="U41" s="26"/>
      <c r="V41" s="26"/>
      <c r="W41" s="26"/>
      <c r="X41" s="26"/>
      <c r="Y41" s="26"/>
      <c r="Z41" s="74"/>
      <c r="AA41" s="23"/>
      <c r="AB41" s="23"/>
      <c r="AC41" s="17"/>
      <c r="AD41" s="17"/>
      <c r="AE41" s="17"/>
      <c r="AF41" s="17"/>
      <c r="AG41" s="17"/>
      <c r="AJ41" s="13" t="str">
        <f t="shared" si="0"/>
        <v>ВВГнг(А)-LS (5х120) 2</v>
      </c>
      <c r="AK41" s="14" t="s">
        <v>98</v>
      </c>
      <c r="AL41" t="s">
        <v>12</v>
      </c>
      <c r="AM41">
        <v>5</v>
      </c>
      <c r="AN41">
        <v>120</v>
      </c>
      <c r="AO41">
        <v>2</v>
      </c>
      <c r="AU41" s="26"/>
      <c r="AY41" s="26"/>
      <c r="AZ41" s="74"/>
      <c r="BD41" s="79"/>
      <c r="BH41" s="35" t="s">
        <v>627</v>
      </c>
      <c r="BI41" s="35"/>
      <c r="BJ41" s="35"/>
      <c r="BK41" s="35"/>
      <c r="BL41" s="35"/>
      <c r="BM41" s="35"/>
      <c r="BN41" s="35">
        <f>SUM(BN5:BN39)</f>
        <v>12</v>
      </c>
    </row>
    <row r="42" spans="12:73" x14ac:dyDescent="0.3">
      <c r="L42" s="16"/>
      <c r="M42" s="16"/>
      <c r="N42" s="16"/>
      <c r="O42" s="17"/>
      <c r="P42" s="26"/>
      <c r="Q42" s="26"/>
      <c r="R42" s="26"/>
      <c r="S42" s="26"/>
      <c r="T42" s="26"/>
      <c r="U42" s="26"/>
      <c r="V42" s="26"/>
      <c r="W42" s="26"/>
      <c r="X42" s="26"/>
      <c r="Y42" s="26"/>
      <c r="Z42" s="74"/>
      <c r="AA42" s="23"/>
      <c r="AB42" s="23"/>
      <c r="AC42" s="17"/>
      <c r="AD42" s="17"/>
      <c r="AE42" s="17"/>
      <c r="AF42" s="17"/>
      <c r="AG42" s="17"/>
      <c r="AJ42" s="13" t="str">
        <f t="shared" si="0"/>
        <v>ВБШВнг(А)-LS (5х10) 1</v>
      </c>
      <c r="AK42" s="14" t="s">
        <v>136</v>
      </c>
      <c r="AL42" t="s">
        <v>148</v>
      </c>
      <c r="AM42">
        <v>5</v>
      </c>
      <c r="AN42">
        <v>10</v>
      </c>
      <c r="AO42">
        <v>1</v>
      </c>
      <c r="AU42" s="26"/>
      <c r="AY42" s="26"/>
      <c r="AZ42" s="74"/>
      <c r="BD42" s="79"/>
    </row>
    <row r="43" spans="12:73" x14ac:dyDescent="0.3">
      <c r="L43" s="16"/>
      <c r="M43" s="16"/>
      <c r="N43" s="16"/>
      <c r="O43" s="17"/>
      <c r="P43" s="26"/>
      <c r="Q43" s="26"/>
      <c r="R43" s="26"/>
      <c r="S43" s="26"/>
      <c r="T43" s="26"/>
      <c r="U43" s="26"/>
      <c r="V43" s="26"/>
      <c r="W43" s="26"/>
      <c r="X43" s="26"/>
      <c r="Y43" s="26"/>
      <c r="Z43" s="74"/>
      <c r="AA43" s="23"/>
      <c r="AB43" s="23"/>
      <c r="AC43" s="17"/>
      <c r="AD43" s="17"/>
      <c r="AE43" s="17"/>
      <c r="AF43" s="17"/>
      <c r="AG43" s="17"/>
      <c r="AJ43" s="13" t="str">
        <f t="shared" si="0"/>
        <v>ВБШВнг(А)-LS (5х10) 2</v>
      </c>
      <c r="AK43" s="14" t="s">
        <v>99</v>
      </c>
      <c r="AL43" t="s">
        <v>148</v>
      </c>
      <c r="AM43">
        <v>5</v>
      </c>
      <c r="AN43">
        <v>10</v>
      </c>
      <c r="AO43">
        <v>2</v>
      </c>
      <c r="AU43" s="26"/>
      <c r="AY43" s="26"/>
      <c r="AZ43" s="74"/>
      <c r="BD43" s="79"/>
    </row>
    <row r="44" spans="12:73" x14ac:dyDescent="0.3">
      <c r="L44" s="16"/>
      <c r="M44" s="16"/>
      <c r="N44" s="16"/>
      <c r="O44" s="17"/>
      <c r="P44" s="26"/>
      <c r="Q44" s="26"/>
      <c r="R44" s="26"/>
      <c r="S44" s="26"/>
      <c r="T44" s="26"/>
      <c r="U44" s="26"/>
      <c r="V44" s="26"/>
      <c r="W44" s="26"/>
      <c r="X44" s="26"/>
      <c r="Y44" s="26"/>
      <c r="Z44" s="74"/>
      <c r="AA44" s="23"/>
      <c r="AB44" s="23"/>
      <c r="AC44" s="17"/>
      <c r="AD44" s="17"/>
      <c r="AE44" s="17"/>
      <c r="AF44" s="17"/>
      <c r="AG44" s="17"/>
      <c r="AJ44" s="13" t="str">
        <f t="shared" si="0"/>
        <v>ВБШВнг(А)-LS (5х16) 1</v>
      </c>
      <c r="AK44" s="14" t="s">
        <v>100</v>
      </c>
      <c r="AL44" t="s">
        <v>148</v>
      </c>
      <c r="AM44">
        <v>5</v>
      </c>
      <c r="AN44">
        <v>16</v>
      </c>
      <c r="AO44">
        <v>1</v>
      </c>
      <c r="AU44" s="26"/>
      <c r="AY44" s="26"/>
      <c r="AZ44" s="74"/>
      <c r="BD44" s="79"/>
    </row>
    <row r="45" spans="12:73" x14ac:dyDescent="0.3">
      <c r="L45" s="16"/>
      <c r="M45" s="16"/>
      <c r="N45" s="16"/>
      <c r="O45" s="17"/>
      <c r="P45" s="26"/>
      <c r="Q45" s="26"/>
      <c r="R45" s="26"/>
      <c r="S45" s="26"/>
      <c r="T45" s="26"/>
      <c r="U45" s="26"/>
      <c r="V45" s="26"/>
      <c r="W45" s="26"/>
      <c r="X45" s="26"/>
      <c r="Y45" s="26"/>
      <c r="Z45" s="74"/>
      <c r="AA45" s="23"/>
      <c r="AB45" s="23"/>
      <c r="AC45" s="17"/>
      <c r="AD45" s="17"/>
      <c r="AE45" s="17"/>
      <c r="AF45" s="17"/>
      <c r="AG45" s="17"/>
      <c r="AJ45" s="13" t="str">
        <f t="shared" si="0"/>
        <v>ВБШВнг(А)-LS (5х16) 2</v>
      </c>
      <c r="AK45" s="14" t="s">
        <v>101</v>
      </c>
      <c r="AL45" t="s">
        <v>148</v>
      </c>
      <c r="AM45">
        <v>5</v>
      </c>
      <c r="AN45">
        <v>16</v>
      </c>
      <c r="AO45">
        <v>2</v>
      </c>
      <c r="AU45" s="26"/>
      <c r="AY45" s="26"/>
      <c r="AZ45" s="74"/>
      <c r="BD45" s="79"/>
    </row>
    <row r="46" spans="12:73" x14ac:dyDescent="0.3">
      <c r="L46" s="16"/>
      <c r="M46" s="16"/>
      <c r="N46" s="16"/>
      <c r="O46" s="17"/>
      <c r="P46" s="26"/>
      <c r="Q46" s="26"/>
      <c r="R46" s="26"/>
      <c r="S46" s="26"/>
      <c r="T46" s="26"/>
      <c r="U46" s="26"/>
      <c r="V46" s="26"/>
      <c r="W46" s="26"/>
      <c r="X46" s="26"/>
      <c r="Y46" s="26"/>
      <c r="Z46" s="74"/>
      <c r="AA46" s="23"/>
      <c r="AB46" s="23"/>
      <c r="AC46" s="17"/>
      <c r="AD46" s="17"/>
      <c r="AE46" s="17"/>
      <c r="AF46" s="17"/>
      <c r="AG46" s="17"/>
      <c r="AJ46" s="13" t="str">
        <f t="shared" si="0"/>
        <v>ВБШВнг(А)-LS (5х25) 1</v>
      </c>
      <c r="AK46" s="14" t="s">
        <v>102</v>
      </c>
      <c r="AL46" t="s">
        <v>148</v>
      </c>
      <c r="AM46">
        <v>5</v>
      </c>
      <c r="AN46">
        <v>25</v>
      </c>
      <c r="AO46">
        <v>1</v>
      </c>
      <c r="AU46" s="26"/>
      <c r="AY46" s="26"/>
      <c r="AZ46" s="74"/>
      <c r="BD46" s="79"/>
    </row>
    <row r="47" spans="12:73" x14ac:dyDescent="0.3">
      <c r="L47" s="16"/>
      <c r="M47" s="16"/>
      <c r="N47" s="16"/>
      <c r="O47" s="17"/>
      <c r="P47" s="26"/>
      <c r="Q47" s="26"/>
      <c r="R47" s="26"/>
      <c r="S47" s="26"/>
      <c r="T47" s="26"/>
      <c r="U47" s="26"/>
      <c r="V47" s="26"/>
      <c r="W47" s="26"/>
      <c r="X47" s="26"/>
      <c r="Y47" s="26"/>
      <c r="Z47" s="74"/>
      <c r="AA47" s="23"/>
      <c r="AB47" s="23"/>
      <c r="AC47" s="17"/>
      <c r="AD47" s="17"/>
      <c r="AE47" s="17"/>
      <c r="AF47" s="17"/>
      <c r="AG47" s="17"/>
      <c r="AJ47" s="13" t="str">
        <f t="shared" si="0"/>
        <v>ВБШВнг(А)-LS (5х25) 2</v>
      </c>
      <c r="AK47" s="14" t="s">
        <v>103</v>
      </c>
      <c r="AL47" t="s">
        <v>148</v>
      </c>
      <c r="AM47">
        <v>5</v>
      </c>
      <c r="AN47">
        <v>25</v>
      </c>
      <c r="AO47">
        <v>2</v>
      </c>
      <c r="AU47" s="26"/>
      <c r="AY47" s="26"/>
      <c r="AZ47" s="74"/>
      <c r="BD47" s="79"/>
    </row>
    <row r="48" spans="12:73" x14ac:dyDescent="0.3">
      <c r="L48" s="16"/>
      <c r="M48" s="16"/>
      <c r="N48" s="16"/>
      <c r="O48" s="17"/>
      <c r="P48" s="26"/>
      <c r="Q48" s="26"/>
      <c r="R48" s="26"/>
      <c r="S48" s="26"/>
      <c r="T48" s="26"/>
      <c r="U48" s="26"/>
      <c r="V48" s="26"/>
      <c r="W48" s="26"/>
      <c r="X48" s="26"/>
      <c r="Y48" s="26"/>
      <c r="Z48" s="74"/>
      <c r="AA48" s="23"/>
      <c r="AB48" s="23"/>
      <c r="AC48" s="17"/>
      <c r="AD48" s="17"/>
      <c r="AE48" s="17"/>
      <c r="AF48" s="17"/>
      <c r="AG48" s="17"/>
      <c r="AJ48" s="13" t="str">
        <f t="shared" si="0"/>
        <v>ВБШВнг(А)-LS (5х35) 1</v>
      </c>
      <c r="AK48" s="14" t="s">
        <v>104</v>
      </c>
      <c r="AL48" t="s">
        <v>148</v>
      </c>
      <c r="AM48">
        <v>5</v>
      </c>
      <c r="AN48">
        <v>35</v>
      </c>
      <c r="AO48">
        <v>1</v>
      </c>
      <c r="AU48" s="26"/>
      <c r="AY48" s="26"/>
      <c r="AZ48" s="74"/>
      <c r="BD48" s="79"/>
    </row>
    <row r="49" spans="12:56" x14ac:dyDescent="0.3">
      <c r="L49" s="16"/>
      <c r="M49" s="16"/>
      <c r="N49" s="16"/>
      <c r="O49" s="17"/>
      <c r="P49" s="26"/>
      <c r="Q49" s="26"/>
      <c r="R49" s="26"/>
      <c r="S49" s="26"/>
      <c r="T49" s="26"/>
      <c r="U49" s="26"/>
      <c r="V49" s="26"/>
      <c r="W49" s="26"/>
      <c r="X49" s="26"/>
      <c r="Y49" s="26"/>
      <c r="Z49" s="74"/>
      <c r="AA49" s="23"/>
      <c r="AB49" s="23"/>
      <c r="AC49" s="17"/>
      <c r="AD49" s="17"/>
      <c r="AE49" s="17"/>
      <c r="AF49" s="17"/>
      <c r="AG49" s="17"/>
      <c r="AJ49" s="13" t="str">
        <f t="shared" si="0"/>
        <v>ВБШВнг(А)-LS (5х35) 2</v>
      </c>
      <c r="AK49" s="14" t="s">
        <v>105</v>
      </c>
      <c r="AL49" t="s">
        <v>148</v>
      </c>
      <c r="AM49">
        <v>5</v>
      </c>
      <c r="AN49">
        <v>35</v>
      </c>
      <c r="AO49">
        <v>2</v>
      </c>
      <c r="AU49" s="26"/>
      <c r="AY49" s="26"/>
      <c r="AZ49" s="74"/>
      <c r="BD49" s="79"/>
    </row>
    <row r="50" spans="12:56" x14ac:dyDescent="0.3">
      <c r="L50" s="16"/>
      <c r="M50" s="16"/>
      <c r="N50" s="16"/>
      <c r="O50" s="17"/>
      <c r="P50" s="26"/>
      <c r="Q50" s="26"/>
      <c r="R50" s="26"/>
      <c r="S50" s="26"/>
      <c r="T50" s="26"/>
      <c r="U50" s="26"/>
      <c r="V50" s="26"/>
      <c r="W50" s="26"/>
      <c r="X50" s="26"/>
      <c r="Y50" s="26"/>
      <c r="Z50" s="74"/>
      <c r="AA50" s="23"/>
      <c r="AB50" s="23"/>
      <c r="AC50" s="17"/>
      <c r="AD50" s="17"/>
      <c r="AE50" s="17"/>
      <c r="AF50" s="17"/>
      <c r="AG50" s="17"/>
      <c r="AJ50" s="13" t="str">
        <f t="shared" si="0"/>
        <v>ВБШВнг(А)-LS (5х50) 1</v>
      </c>
      <c r="AK50" s="14" t="s">
        <v>106</v>
      </c>
      <c r="AL50" t="s">
        <v>148</v>
      </c>
      <c r="AM50">
        <v>5</v>
      </c>
      <c r="AN50">
        <v>50</v>
      </c>
      <c r="AO50">
        <v>1</v>
      </c>
      <c r="AU50" s="26"/>
      <c r="AY50" s="26"/>
      <c r="AZ50" s="74"/>
      <c r="BD50" s="79"/>
    </row>
    <row r="51" spans="12:56" x14ac:dyDescent="0.3">
      <c r="L51" s="16"/>
      <c r="M51" s="16"/>
      <c r="N51" s="16"/>
      <c r="O51" s="17"/>
      <c r="P51" s="26"/>
      <c r="Q51" s="26"/>
      <c r="R51" s="26"/>
      <c r="S51" s="26"/>
      <c r="T51" s="26"/>
      <c r="U51" s="26"/>
      <c r="V51" s="26"/>
      <c r="W51" s="26"/>
      <c r="X51" s="26"/>
      <c r="Y51" s="26"/>
      <c r="Z51" s="74"/>
      <c r="AA51" s="23"/>
      <c r="AB51" s="23"/>
      <c r="AC51" s="17"/>
      <c r="AD51" s="17"/>
      <c r="AE51" s="17"/>
      <c r="AF51" s="17"/>
      <c r="AG51" s="17"/>
      <c r="AJ51" s="13" t="str">
        <f t="shared" si="0"/>
        <v>ВБШВнг(А)-LS (5х50) 2</v>
      </c>
      <c r="AK51" s="14" t="s">
        <v>107</v>
      </c>
      <c r="AL51" t="s">
        <v>148</v>
      </c>
      <c r="AM51">
        <v>5</v>
      </c>
      <c r="AN51">
        <v>50</v>
      </c>
      <c r="AO51">
        <v>2</v>
      </c>
      <c r="AU51" s="26"/>
      <c r="AY51" s="26"/>
      <c r="AZ51" s="74"/>
      <c r="BD51" s="79"/>
    </row>
    <row r="52" spans="12:56" x14ac:dyDescent="0.3">
      <c r="AJ52" s="13" t="str">
        <f t="shared" si="0"/>
        <v>ВБШВнг(А)-LS (5х95) 1</v>
      </c>
      <c r="AK52" s="14" t="s">
        <v>108</v>
      </c>
      <c r="AL52" t="s">
        <v>148</v>
      </c>
      <c r="AM52">
        <v>5</v>
      </c>
      <c r="AN52">
        <v>95</v>
      </c>
      <c r="AO52">
        <v>1</v>
      </c>
      <c r="AY52" s="26"/>
      <c r="BD52" s="80"/>
    </row>
    <row r="53" spans="12:56" x14ac:dyDescent="0.3">
      <c r="AJ53" s="13" t="str">
        <f t="shared" si="0"/>
        <v>ВБШВнг(А)-LS (5х95) 2</v>
      </c>
      <c r="AK53" s="14" t="s">
        <v>109</v>
      </c>
      <c r="AL53" t="s">
        <v>148</v>
      </c>
      <c r="AM53">
        <v>5</v>
      </c>
      <c r="AN53">
        <v>95</v>
      </c>
      <c r="AO53">
        <v>2</v>
      </c>
      <c r="AU53" s="64"/>
    </row>
    <row r="54" spans="12:56" x14ac:dyDescent="0.3">
      <c r="AJ54" s="13" t="str">
        <f t="shared" si="0"/>
        <v>ВБШВнг(А)-LS (5х120) 1</v>
      </c>
      <c r="AK54" s="14" t="s">
        <v>110</v>
      </c>
      <c r="AL54" t="s">
        <v>148</v>
      </c>
      <c r="AM54">
        <v>5</v>
      </c>
      <c r="AN54">
        <v>120</v>
      </c>
      <c r="AO54">
        <v>1</v>
      </c>
      <c r="AU54" s="26"/>
      <c r="AV54" s="26"/>
      <c r="AW54" s="26"/>
      <c r="AY54" s="26"/>
    </row>
    <row r="55" spans="12:56" x14ac:dyDescent="0.3">
      <c r="AJ55" s="13" t="str">
        <f t="shared" si="0"/>
        <v>ВБШВнг(А)-LS (5х120) 2</v>
      </c>
      <c r="AK55" s="14" t="s">
        <v>111</v>
      </c>
      <c r="AL55" t="s">
        <v>148</v>
      </c>
      <c r="AM55">
        <v>5</v>
      </c>
      <c r="AN55">
        <v>120</v>
      </c>
      <c r="AO55">
        <v>2</v>
      </c>
      <c r="AU55" s="26"/>
      <c r="AV55" s="26"/>
      <c r="AW55" s="26"/>
      <c r="AY55" s="26"/>
    </row>
    <row r="56" spans="12:56" x14ac:dyDescent="0.3">
      <c r="AJ56" s="13" t="str">
        <f t="shared" si="0"/>
        <v>КГВВнг(А)-LS (2х0,75) 1</v>
      </c>
      <c r="AK56" s="14" t="s">
        <v>112</v>
      </c>
      <c r="AL56" t="s">
        <v>137</v>
      </c>
      <c r="AM56">
        <v>2</v>
      </c>
      <c r="AN56">
        <v>0.75</v>
      </c>
      <c r="AO56">
        <v>1</v>
      </c>
      <c r="AU56" s="26"/>
      <c r="AV56" s="26"/>
      <c r="AW56" s="26"/>
      <c r="AY56" s="26"/>
    </row>
    <row r="57" spans="12:56" x14ac:dyDescent="0.3">
      <c r="AJ57" s="13" t="str">
        <f t="shared" si="0"/>
        <v>КГВВнг(А)-LS (2х0,75) 2</v>
      </c>
      <c r="AK57" s="14" t="s">
        <v>113</v>
      </c>
      <c r="AL57" t="s">
        <v>137</v>
      </c>
      <c r="AM57">
        <v>2</v>
      </c>
      <c r="AN57">
        <v>0.75</v>
      </c>
      <c r="AO57">
        <v>2</v>
      </c>
      <c r="AU57" s="26"/>
      <c r="AV57" s="26"/>
      <c r="AW57" s="26"/>
      <c r="AY57" s="26"/>
    </row>
    <row r="58" spans="12:56" x14ac:dyDescent="0.3">
      <c r="AJ58" s="13" t="str">
        <f t="shared" si="0"/>
        <v>КГВВнг(А)-LS (2х1,5) 1</v>
      </c>
      <c r="AK58" s="14" t="s">
        <v>112</v>
      </c>
      <c r="AL58" t="s">
        <v>137</v>
      </c>
      <c r="AM58">
        <v>2</v>
      </c>
      <c r="AN58">
        <v>1.5</v>
      </c>
      <c r="AO58">
        <v>1</v>
      </c>
      <c r="AY58" s="26"/>
    </row>
    <row r="59" spans="12:56" x14ac:dyDescent="0.3">
      <c r="AJ59" s="13" t="str">
        <f t="shared" si="0"/>
        <v>КГВВнг(А)-LS (2х1,5) 2</v>
      </c>
      <c r="AK59" s="14" t="s">
        <v>113</v>
      </c>
      <c r="AL59" t="s">
        <v>137</v>
      </c>
      <c r="AM59">
        <v>2</v>
      </c>
      <c r="AN59">
        <v>1.5</v>
      </c>
      <c r="AO59">
        <v>2</v>
      </c>
      <c r="AY59" s="26"/>
    </row>
    <row r="60" spans="12:56" x14ac:dyDescent="0.3">
      <c r="AJ60" s="13" t="str">
        <f t="shared" si="0"/>
        <v>КГВВнг(А)-LS (2х2,5) 1</v>
      </c>
      <c r="AK60" s="14" t="s">
        <v>114</v>
      </c>
      <c r="AL60" t="s">
        <v>137</v>
      </c>
      <c r="AM60">
        <v>2</v>
      </c>
      <c r="AN60">
        <v>2.5</v>
      </c>
      <c r="AO60">
        <v>1</v>
      </c>
      <c r="AY60" s="26"/>
    </row>
    <row r="61" spans="12:56" x14ac:dyDescent="0.3">
      <c r="AJ61" s="13" t="str">
        <f t="shared" si="0"/>
        <v>КГВВнг(А)-LS (2х2,5) 2</v>
      </c>
      <c r="AK61" s="14" t="s">
        <v>115</v>
      </c>
      <c r="AL61" t="s">
        <v>137</v>
      </c>
      <c r="AM61">
        <v>2</v>
      </c>
      <c r="AN61">
        <v>2.5</v>
      </c>
      <c r="AO61">
        <v>2</v>
      </c>
      <c r="AY61" s="26"/>
    </row>
    <row r="62" spans="12:56" x14ac:dyDescent="0.3">
      <c r="AJ62" s="13" t="str">
        <f t="shared" si="0"/>
        <v>КГВВнг(А)-LS (3х1,5) 1</v>
      </c>
      <c r="AK62" s="14" t="s">
        <v>116</v>
      </c>
      <c r="AL62" t="s">
        <v>137</v>
      </c>
      <c r="AM62">
        <v>3</v>
      </c>
      <c r="AN62">
        <v>1.5</v>
      </c>
      <c r="AO62">
        <v>1</v>
      </c>
      <c r="AY62" s="26"/>
    </row>
    <row r="63" spans="12:56" x14ac:dyDescent="0.3">
      <c r="AJ63" s="13" t="str">
        <f t="shared" si="0"/>
        <v>КГВВнг(А)-LS (3х1,5) 2</v>
      </c>
      <c r="AK63" s="14" t="s">
        <v>117</v>
      </c>
      <c r="AL63" t="s">
        <v>137</v>
      </c>
      <c r="AM63">
        <v>3</v>
      </c>
      <c r="AN63">
        <v>1.5</v>
      </c>
      <c r="AO63">
        <v>2</v>
      </c>
      <c r="AY63" s="26"/>
    </row>
    <row r="64" spans="12:56" x14ac:dyDescent="0.3">
      <c r="AJ64" s="13" t="str">
        <f t="shared" si="0"/>
        <v>КГВВнг(А)-LS (3х2,5) 1</v>
      </c>
      <c r="AK64" s="14" t="s">
        <v>118</v>
      </c>
      <c r="AL64" t="s">
        <v>137</v>
      </c>
      <c r="AM64">
        <v>3</v>
      </c>
      <c r="AN64">
        <v>2.5</v>
      </c>
      <c r="AO64">
        <v>1</v>
      </c>
      <c r="AY64" s="26"/>
    </row>
    <row r="65" spans="36:51" x14ac:dyDescent="0.3">
      <c r="AJ65" s="13" t="str">
        <f t="shared" si="0"/>
        <v>КГВВнг(А)-LS (3х2,5) 2</v>
      </c>
      <c r="AK65" s="14" t="s">
        <v>119</v>
      </c>
      <c r="AL65" t="s">
        <v>137</v>
      </c>
      <c r="AM65">
        <v>3</v>
      </c>
      <c r="AN65">
        <v>2.5</v>
      </c>
      <c r="AO65">
        <v>2</v>
      </c>
      <c r="AY65" s="26"/>
    </row>
    <row r="66" spans="36:51" x14ac:dyDescent="0.3">
      <c r="AJ66" s="13" t="str">
        <f t="shared" si="0"/>
        <v>КГВВнг(А)-LS (5х1,5) 1</v>
      </c>
      <c r="AK66" s="14" t="s">
        <v>120</v>
      </c>
      <c r="AL66" t="s">
        <v>137</v>
      </c>
      <c r="AM66">
        <v>5</v>
      </c>
      <c r="AN66">
        <v>1.5</v>
      </c>
      <c r="AO66">
        <v>1</v>
      </c>
      <c r="AY66" s="26"/>
    </row>
    <row r="67" spans="36:51" x14ac:dyDescent="0.3">
      <c r="AJ67" s="13" t="str">
        <f t="shared" si="0"/>
        <v>КГВВнг(А)-LS (5х1,5) 2</v>
      </c>
      <c r="AK67" s="14" t="s">
        <v>121</v>
      </c>
      <c r="AL67" t="s">
        <v>137</v>
      </c>
      <c r="AM67">
        <v>5</v>
      </c>
      <c r="AN67">
        <v>1.5</v>
      </c>
      <c r="AO67">
        <v>2</v>
      </c>
      <c r="AY67" s="26"/>
    </row>
    <row r="68" spans="36:51" x14ac:dyDescent="0.3">
      <c r="AJ68" s="13" t="str">
        <f t="shared" si="0"/>
        <v>КГВВнг(А)-LS (5х2,5) 1</v>
      </c>
      <c r="AK68" s="14" t="s">
        <v>122</v>
      </c>
      <c r="AL68" t="s">
        <v>137</v>
      </c>
      <c r="AM68">
        <v>5</v>
      </c>
      <c r="AN68">
        <v>2.5</v>
      </c>
      <c r="AO68">
        <v>1</v>
      </c>
      <c r="AY68" s="26"/>
    </row>
    <row r="69" spans="36:51" x14ac:dyDescent="0.3">
      <c r="AJ69" s="13" t="str">
        <f t="shared" ref="AJ69:AJ132" si="3">AL69&amp;" ("&amp;AM69&amp;"х"&amp;AN69&amp;") "&amp;AO69</f>
        <v>КГВВнг(А)-LS (5х2,5) 2</v>
      </c>
      <c r="AK69" s="14" t="s">
        <v>123</v>
      </c>
      <c r="AL69" t="s">
        <v>137</v>
      </c>
      <c r="AM69">
        <v>5</v>
      </c>
      <c r="AN69">
        <v>2.5</v>
      </c>
      <c r="AO69">
        <v>2</v>
      </c>
      <c r="AY69" s="26"/>
    </row>
    <row r="70" spans="36:51" x14ac:dyDescent="0.3">
      <c r="AJ70" s="13" t="str">
        <f t="shared" si="3"/>
        <v>КГВВнг(А)-LS (5х4) 1</v>
      </c>
      <c r="AK70" s="14" t="s">
        <v>124</v>
      </c>
      <c r="AL70" t="s">
        <v>137</v>
      </c>
      <c r="AM70">
        <v>5</v>
      </c>
      <c r="AN70">
        <v>4</v>
      </c>
      <c r="AO70">
        <v>1</v>
      </c>
      <c r="AY70" s="26"/>
    </row>
    <row r="71" spans="36:51" x14ac:dyDescent="0.3">
      <c r="AJ71" s="13" t="str">
        <f t="shared" si="3"/>
        <v>КГВВнг(А)-LS (5х4) 2</v>
      </c>
      <c r="AK71" s="14" t="s">
        <v>125</v>
      </c>
      <c r="AL71" t="s">
        <v>137</v>
      </c>
      <c r="AM71">
        <v>5</v>
      </c>
      <c r="AN71">
        <v>4</v>
      </c>
      <c r="AO71">
        <v>2</v>
      </c>
      <c r="AY71" s="26"/>
    </row>
    <row r="72" spans="36:51" x14ac:dyDescent="0.3">
      <c r="AJ72" s="13" t="str">
        <f t="shared" si="3"/>
        <v>КГВВнг(А)-LS (5х6) 1</v>
      </c>
      <c r="AK72" s="14" t="s">
        <v>126</v>
      </c>
      <c r="AL72" t="s">
        <v>137</v>
      </c>
      <c r="AM72">
        <v>5</v>
      </c>
      <c r="AN72">
        <v>6</v>
      </c>
      <c r="AO72">
        <v>1</v>
      </c>
      <c r="AY72" s="26"/>
    </row>
    <row r="73" spans="36:51" x14ac:dyDescent="0.3">
      <c r="AJ73" s="13" t="str">
        <f t="shared" si="3"/>
        <v>КГВВнг(А)-LS (5х6) 2</v>
      </c>
      <c r="AK73" s="14" t="s">
        <v>127</v>
      </c>
      <c r="AL73" t="s">
        <v>137</v>
      </c>
      <c r="AM73">
        <v>5</v>
      </c>
      <c r="AN73">
        <v>6</v>
      </c>
      <c r="AO73">
        <v>2</v>
      </c>
    </row>
    <row r="74" spans="36:51" x14ac:dyDescent="0.3">
      <c r="AJ74" s="13" t="str">
        <f t="shared" si="3"/>
        <v>КГВВнг(А)-LS (4х0,75) 1</v>
      </c>
      <c r="AK74" s="14" t="s">
        <v>128</v>
      </c>
      <c r="AL74" t="s">
        <v>137</v>
      </c>
      <c r="AM74">
        <v>4</v>
      </c>
      <c r="AN74">
        <v>0.75</v>
      </c>
      <c r="AO74">
        <v>1</v>
      </c>
    </row>
    <row r="75" spans="36:51" x14ac:dyDescent="0.3">
      <c r="AJ75" s="13" t="str">
        <f t="shared" si="3"/>
        <v>КГВВнг(А)-LS (4х0,75) 2</v>
      </c>
      <c r="AK75" s="14" t="s">
        <v>129</v>
      </c>
      <c r="AL75" t="s">
        <v>137</v>
      </c>
      <c r="AM75">
        <v>4</v>
      </c>
      <c r="AN75">
        <v>0.75</v>
      </c>
      <c r="AO75">
        <v>2</v>
      </c>
      <c r="AU75" s="26"/>
    </row>
    <row r="76" spans="36:51" x14ac:dyDescent="0.3">
      <c r="AJ76" s="13" t="str">
        <f t="shared" si="3"/>
        <v>ПУГВ (1х2,5) 1</v>
      </c>
      <c r="AK76" s="14" t="s">
        <v>130</v>
      </c>
      <c r="AL76" t="s">
        <v>57</v>
      </c>
      <c r="AM76">
        <v>1</v>
      </c>
      <c r="AN76">
        <v>2.5</v>
      </c>
      <c r="AO76">
        <v>1</v>
      </c>
    </row>
    <row r="77" spans="36:51" x14ac:dyDescent="0.3">
      <c r="AJ77" s="13" t="str">
        <f t="shared" si="3"/>
        <v>ПУГВ (1х2,5) 2</v>
      </c>
      <c r="AK77" s="14" t="s">
        <v>131</v>
      </c>
      <c r="AL77" t="s">
        <v>57</v>
      </c>
      <c r="AM77">
        <v>1</v>
      </c>
      <c r="AN77">
        <v>2.5</v>
      </c>
      <c r="AO77">
        <v>2</v>
      </c>
    </row>
    <row r="78" spans="36:51" x14ac:dyDescent="0.3">
      <c r="AJ78" s="13" t="str">
        <f t="shared" si="3"/>
        <v>ПУГВ (1х4) 1</v>
      </c>
      <c r="AK78" s="14" t="s">
        <v>130</v>
      </c>
      <c r="AL78" t="s">
        <v>57</v>
      </c>
      <c r="AM78">
        <v>1</v>
      </c>
      <c r="AN78">
        <v>4</v>
      </c>
      <c r="AO78">
        <v>1</v>
      </c>
    </row>
    <row r="79" spans="36:51" x14ac:dyDescent="0.3">
      <c r="AJ79" s="13" t="str">
        <f t="shared" si="3"/>
        <v>ПУГВ (1х4) 2</v>
      </c>
      <c r="AK79" s="14" t="s">
        <v>131</v>
      </c>
      <c r="AL79" t="s">
        <v>57</v>
      </c>
      <c r="AM79">
        <v>1</v>
      </c>
      <c r="AN79">
        <v>4</v>
      </c>
      <c r="AO79">
        <v>2</v>
      </c>
    </row>
    <row r="80" spans="36:51" x14ac:dyDescent="0.3">
      <c r="AJ80" s="13" t="str">
        <f t="shared" si="3"/>
        <v>ПУГВ (1х6) 1</v>
      </c>
      <c r="AK80" s="14" t="s">
        <v>130</v>
      </c>
      <c r="AL80" t="s">
        <v>57</v>
      </c>
      <c r="AM80">
        <v>1</v>
      </c>
      <c r="AN80">
        <v>6</v>
      </c>
      <c r="AO80">
        <v>1</v>
      </c>
    </row>
    <row r="81" spans="36:41" x14ac:dyDescent="0.3">
      <c r="AJ81" s="13" t="str">
        <f t="shared" si="3"/>
        <v>ПУГВ (1х6) 2</v>
      </c>
      <c r="AK81" s="14" t="s">
        <v>131</v>
      </c>
      <c r="AL81" t="s">
        <v>57</v>
      </c>
      <c r="AM81">
        <v>1</v>
      </c>
      <c r="AN81">
        <v>6</v>
      </c>
      <c r="AO81">
        <v>2</v>
      </c>
    </row>
    <row r="82" spans="36:41" x14ac:dyDescent="0.3">
      <c r="AJ82" s="13" t="str">
        <f t="shared" si="3"/>
        <v>ПУГВ (1х10) 1</v>
      </c>
      <c r="AK82" s="14" t="s">
        <v>132</v>
      </c>
      <c r="AL82" t="s">
        <v>57</v>
      </c>
      <c r="AM82">
        <v>1</v>
      </c>
      <c r="AN82">
        <v>10</v>
      </c>
      <c r="AO82">
        <v>1</v>
      </c>
    </row>
    <row r="83" spans="36:41" x14ac:dyDescent="0.3">
      <c r="AJ83" s="13" t="str">
        <f t="shared" si="3"/>
        <v>ПУГВ (1х10) 2</v>
      </c>
      <c r="AK83" s="14" t="s">
        <v>133</v>
      </c>
      <c r="AL83" t="s">
        <v>57</v>
      </c>
      <c r="AM83">
        <v>1</v>
      </c>
      <c r="AN83">
        <v>10</v>
      </c>
      <c r="AO83">
        <v>2</v>
      </c>
    </row>
    <row r="84" spans="36:41" x14ac:dyDescent="0.3">
      <c r="AJ84" s="13" t="str">
        <f t="shared" si="3"/>
        <v>ПУГВ (1х25) 1</v>
      </c>
      <c r="AK84" s="14" t="s">
        <v>132</v>
      </c>
      <c r="AL84" t="s">
        <v>57</v>
      </c>
      <c r="AM84">
        <v>1</v>
      </c>
      <c r="AN84">
        <v>25</v>
      </c>
      <c r="AO84">
        <v>1</v>
      </c>
    </row>
    <row r="85" spans="36:41" x14ac:dyDescent="0.3">
      <c r="AJ85" s="13" t="str">
        <f t="shared" si="3"/>
        <v>ПУГВ (1х25) 2</v>
      </c>
      <c r="AK85" s="14" t="s">
        <v>133</v>
      </c>
      <c r="AL85" t="s">
        <v>57</v>
      </c>
      <c r="AM85">
        <v>1</v>
      </c>
      <c r="AN85">
        <v>25</v>
      </c>
      <c r="AO85">
        <v>2</v>
      </c>
    </row>
    <row r="86" spans="36:41" x14ac:dyDescent="0.3">
      <c r="AJ86" s="13" t="str">
        <f t="shared" si="3"/>
        <v>КВБбШвнг(А)-LS (14х2,5) 1</v>
      </c>
      <c r="AK86" s="14" t="s">
        <v>63</v>
      </c>
      <c r="AL86" t="s">
        <v>149</v>
      </c>
      <c r="AM86">
        <v>14</v>
      </c>
      <c r="AN86">
        <v>2.5</v>
      </c>
      <c r="AO86">
        <v>1</v>
      </c>
    </row>
    <row r="87" spans="36:41" x14ac:dyDescent="0.3">
      <c r="AJ87" s="13" t="str">
        <f t="shared" si="3"/>
        <v>КВБбШвнг(А)-LS (14х2,5) 2</v>
      </c>
      <c r="AK87" s="14" t="s">
        <v>64</v>
      </c>
      <c r="AL87" t="s">
        <v>149</v>
      </c>
      <c r="AM87">
        <v>14</v>
      </c>
      <c r="AN87">
        <v>2.5</v>
      </c>
      <c r="AO87">
        <v>2</v>
      </c>
    </row>
    <row r="88" spans="36:41" x14ac:dyDescent="0.3">
      <c r="AJ88" s="13" t="str">
        <f t="shared" si="3"/>
        <v>ППГнг(А)-FRHF (2х1,5) 1</v>
      </c>
      <c r="AK88" s="14" t="s">
        <v>61</v>
      </c>
      <c r="AL88" t="s">
        <v>141</v>
      </c>
      <c r="AM88">
        <v>2</v>
      </c>
      <c r="AN88">
        <v>1.5</v>
      </c>
      <c r="AO88">
        <v>1</v>
      </c>
    </row>
    <row r="89" spans="36:41" x14ac:dyDescent="0.3">
      <c r="AJ89" s="13" t="str">
        <f t="shared" si="3"/>
        <v>ППГнг(А)-FRHF (2х1,5) 2</v>
      </c>
      <c r="AK89" s="14" t="s">
        <v>62</v>
      </c>
      <c r="AL89" t="s">
        <v>141</v>
      </c>
      <c r="AM89">
        <v>2</v>
      </c>
      <c r="AN89">
        <v>1.5</v>
      </c>
      <c r="AO89">
        <v>2</v>
      </c>
    </row>
    <row r="90" spans="36:41" x14ac:dyDescent="0.3">
      <c r="AJ90" s="13" t="str">
        <f t="shared" si="3"/>
        <v>ППГнг(А)-FRHF (2х2,5) 1</v>
      </c>
      <c r="AK90" s="14" t="s">
        <v>63</v>
      </c>
      <c r="AL90" t="s">
        <v>141</v>
      </c>
      <c r="AM90">
        <v>2</v>
      </c>
      <c r="AN90">
        <v>2.5</v>
      </c>
      <c r="AO90">
        <v>1</v>
      </c>
    </row>
    <row r="91" spans="36:41" x14ac:dyDescent="0.3">
      <c r="AJ91" s="13" t="str">
        <f t="shared" si="3"/>
        <v>ППГнг(А)-FRHF (2х2,5) 2</v>
      </c>
      <c r="AK91" s="14" t="s">
        <v>64</v>
      </c>
      <c r="AL91" t="s">
        <v>141</v>
      </c>
      <c r="AM91">
        <v>2</v>
      </c>
      <c r="AN91">
        <v>2.5</v>
      </c>
      <c r="AO91">
        <v>2</v>
      </c>
    </row>
    <row r="92" spans="36:41" x14ac:dyDescent="0.3">
      <c r="AJ92" s="13" t="str">
        <f t="shared" si="3"/>
        <v>ППГнг(А)-FRHF (3х1,5) 1</v>
      </c>
      <c r="AK92" s="14" t="s">
        <v>65</v>
      </c>
      <c r="AL92" t="s">
        <v>141</v>
      </c>
      <c r="AM92">
        <v>3</v>
      </c>
      <c r="AN92">
        <v>1.5</v>
      </c>
      <c r="AO92">
        <v>1</v>
      </c>
    </row>
    <row r="93" spans="36:41" x14ac:dyDescent="0.3">
      <c r="AJ93" s="13" t="str">
        <f t="shared" si="3"/>
        <v>ППГнг(А)-FRHF (3х1,5) 2</v>
      </c>
      <c r="AK93" s="14" t="s">
        <v>66</v>
      </c>
      <c r="AL93" t="s">
        <v>141</v>
      </c>
      <c r="AM93">
        <v>3</v>
      </c>
      <c r="AN93">
        <v>1.5</v>
      </c>
      <c r="AO93">
        <v>2</v>
      </c>
    </row>
    <row r="94" spans="36:41" x14ac:dyDescent="0.3">
      <c r="AJ94" s="13" t="str">
        <f t="shared" si="3"/>
        <v>ППГнг(А)-FRHF (3х2,5) 1</v>
      </c>
      <c r="AK94" s="14" t="s">
        <v>67</v>
      </c>
      <c r="AL94" t="s">
        <v>141</v>
      </c>
      <c r="AM94">
        <v>3</v>
      </c>
      <c r="AN94">
        <v>2.5</v>
      </c>
      <c r="AO94">
        <v>1</v>
      </c>
    </row>
    <row r="95" spans="36:41" x14ac:dyDescent="0.3">
      <c r="AJ95" s="13" t="str">
        <f t="shared" si="3"/>
        <v>ППГнг(А)-FRHF (3х2,5) 2</v>
      </c>
      <c r="AK95" s="14" t="s">
        <v>68</v>
      </c>
      <c r="AL95" t="s">
        <v>141</v>
      </c>
      <c r="AM95">
        <v>3</v>
      </c>
      <c r="AN95">
        <v>2.5</v>
      </c>
      <c r="AO95">
        <v>2</v>
      </c>
    </row>
    <row r="96" spans="36:41" x14ac:dyDescent="0.3">
      <c r="AJ96" s="13" t="str">
        <f t="shared" si="3"/>
        <v>ППГнг(А)-FRHF (3х4) 1</v>
      </c>
      <c r="AK96" s="14" t="s">
        <v>69</v>
      </c>
      <c r="AL96" t="s">
        <v>141</v>
      </c>
      <c r="AM96">
        <v>3</v>
      </c>
      <c r="AN96">
        <v>4</v>
      </c>
      <c r="AO96">
        <v>1</v>
      </c>
    </row>
    <row r="97" spans="36:41" x14ac:dyDescent="0.3">
      <c r="AJ97" s="13" t="str">
        <f t="shared" si="3"/>
        <v>ППГнг(А)-FRHF (3х4) 2</v>
      </c>
      <c r="AK97" s="14" t="s">
        <v>70</v>
      </c>
      <c r="AL97" t="s">
        <v>141</v>
      </c>
      <c r="AM97">
        <v>3</v>
      </c>
      <c r="AN97">
        <v>4</v>
      </c>
      <c r="AO97">
        <v>2</v>
      </c>
    </row>
    <row r="98" spans="36:41" x14ac:dyDescent="0.3">
      <c r="AJ98" s="13" t="str">
        <f t="shared" si="3"/>
        <v>ППГнг(А)-FRHF (3х6) 1</v>
      </c>
      <c r="AK98" s="14" t="s">
        <v>71</v>
      </c>
      <c r="AL98" t="s">
        <v>141</v>
      </c>
      <c r="AM98">
        <v>3</v>
      </c>
      <c r="AN98">
        <v>6</v>
      </c>
      <c r="AO98">
        <v>1</v>
      </c>
    </row>
    <row r="99" spans="36:41" x14ac:dyDescent="0.3">
      <c r="AJ99" s="13" t="str">
        <f t="shared" si="3"/>
        <v>ППГнг(А)-FRHF (3х6) 2</v>
      </c>
      <c r="AK99" s="14" t="s">
        <v>72</v>
      </c>
      <c r="AL99" t="s">
        <v>141</v>
      </c>
      <c r="AM99">
        <v>3</v>
      </c>
      <c r="AN99">
        <v>6</v>
      </c>
      <c r="AO99">
        <v>2</v>
      </c>
    </row>
    <row r="100" spans="36:41" x14ac:dyDescent="0.3">
      <c r="AJ100" s="13" t="str">
        <f t="shared" si="3"/>
        <v>ППГнг(А)-FRHF (5х1,5) 1</v>
      </c>
      <c r="AK100" s="14" t="s">
        <v>73</v>
      </c>
      <c r="AL100" t="s">
        <v>141</v>
      </c>
      <c r="AM100">
        <v>5</v>
      </c>
      <c r="AN100">
        <v>1.5</v>
      </c>
      <c r="AO100">
        <v>1</v>
      </c>
    </row>
    <row r="101" spans="36:41" x14ac:dyDescent="0.3">
      <c r="AJ101" s="13" t="str">
        <f t="shared" si="3"/>
        <v>ППГнг(А)-FRHF (5х1,5) 2</v>
      </c>
      <c r="AK101" s="14" t="s">
        <v>74</v>
      </c>
      <c r="AL101" t="s">
        <v>141</v>
      </c>
      <c r="AM101">
        <v>5</v>
      </c>
      <c r="AN101">
        <v>1.5</v>
      </c>
      <c r="AO101">
        <v>2</v>
      </c>
    </row>
    <row r="102" spans="36:41" x14ac:dyDescent="0.3">
      <c r="AJ102" s="13" t="str">
        <f t="shared" si="3"/>
        <v>ППГнг(А)-FRHF (5х2,5) 1</v>
      </c>
      <c r="AK102" s="14" t="s">
        <v>75</v>
      </c>
      <c r="AL102" t="s">
        <v>141</v>
      </c>
      <c r="AM102">
        <v>5</v>
      </c>
      <c r="AN102">
        <v>2.5</v>
      </c>
      <c r="AO102">
        <v>1</v>
      </c>
    </row>
    <row r="103" spans="36:41" x14ac:dyDescent="0.3">
      <c r="AJ103" s="13" t="str">
        <f t="shared" si="3"/>
        <v>ППГнг(А)-FRHF (5х2,5) 2</v>
      </c>
      <c r="AK103" s="14" t="s">
        <v>76</v>
      </c>
      <c r="AL103" t="s">
        <v>141</v>
      </c>
      <c r="AM103">
        <v>5</v>
      </c>
      <c r="AN103">
        <v>2.5</v>
      </c>
      <c r="AO103">
        <v>2</v>
      </c>
    </row>
    <row r="104" spans="36:41" x14ac:dyDescent="0.3">
      <c r="AJ104" s="13" t="str">
        <f t="shared" si="3"/>
        <v>ППГнг(А)-FRHF (5х4) 1</v>
      </c>
      <c r="AK104" s="14" t="s">
        <v>77</v>
      </c>
      <c r="AL104" t="s">
        <v>141</v>
      </c>
      <c r="AM104">
        <v>5</v>
      </c>
      <c r="AN104">
        <v>4</v>
      </c>
      <c r="AO104">
        <v>1</v>
      </c>
    </row>
    <row r="105" spans="36:41" x14ac:dyDescent="0.3">
      <c r="AJ105" s="13" t="str">
        <f t="shared" si="3"/>
        <v>ППГнг(А)-FRHF (5х4) 2</v>
      </c>
      <c r="AK105" s="14" t="s">
        <v>78</v>
      </c>
      <c r="AL105" t="s">
        <v>141</v>
      </c>
      <c r="AM105">
        <v>5</v>
      </c>
      <c r="AN105">
        <v>4</v>
      </c>
      <c r="AO105">
        <v>2</v>
      </c>
    </row>
    <row r="106" spans="36:41" x14ac:dyDescent="0.3">
      <c r="AJ106" s="13" t="str">
        <f t="shared" si="3"/>
        <v>ППГнг(А)-FRHF (5х6) 1</v>
      </c>
      <c r="AK106" s="14" t="s">
        <v>79</v>
      </c>
      <c r="AL106" t="s">
        <v>141</v>
      </c>
      <c r="AM106">
        <v>5</v>
      </c>
      <c r="AN106">
        <v>6</v>
      </c>
      <c r="AO106">
        <v>1</v>
      </c>
    </row>
    <row r="107" spans="36:41" x14ac:dyDescent="0.3">
      <c r="AJ107" s="13" t="str">
        <f t="shared" si="3"/>
        <v>ППГнг(А)-FRHF (5х6) 2</v>
      </c>
      <c r="AK107" s="14" t="s">
        <v>80</v>
      </c>
      <c r="AL107" t="s">
        <v>141</v>
      </c>
      <c r="AM107">
        <v>5</v>
      </c>
      <c r="AN107">
        <v>6</v>
      </c>
      <c r="AO107">
        <v>2</v>
      </c>
    </row>
    <row r="108" spans="36:41" x14ac:dyDescent="0.3">
      <c r="AJ108" s="13" t="str">
        <f t="shared" si="3"/>
        <v>ППГнг(А)-FRHF (5х10) 1</v>
      </c>
      <c r="AK108" s="14" t="s">
        <v>81</v>
      </c>
      <c r="AL108" t="s">
        <v>141</v>
      </c>
      <c r="AM108">
        <v>5</v>
      </c>
      <c r="AN108">
        <v>10</v>
      </c>
      <c r="AO108">
        <v>1</v>
      </c>
    </row>
    <row r="109" spans="36:41" x14ac:dyDescent="0.3">
      <c r="AJ109" s="13" t="str">
        <f t="shared" si="3"/>
        <v>ППГнг(А)-FRHF (5х10) 2</v>
      </c>
      <c r="AK109" s="14" t="s">
        <v>82</v>
      </c>
      <c r="AL109" t="s">
        <v>141</v>
      </c>
      <c r="AM109">
        <v>5</v>
      </c>
      <c r="AN109">
        <v>10</v>
      </c>
      <c r="AO109">
        <v>2</v>
      </c>
    </row>
    <row r="110" spans="36:41" x14ac:dyDescent="0.3">
      <c r="AJ110" s="13" t="str">
        <f t="shared" si="3"/>
        <v>ППГнг(А)-FRHF (5х16) 1</v>
      </c>
      <c r="AK110" s="14" t="s">
        <v>83</v>
      </c>
      <c r="AL110" t="s">
        <v>141</v>
      </c>
      <c r="AM110">
        <v>5</v>
      </c>
      <c r="AN110">
        <v>16</v>
      </c>
      <c r="AO110">
        <v>1</v>
      </c>
    </row>
    <row r="111" spans="36:41" x14ac:dyDescent="0.3">
      <c r="AJ111" s="13" t="str">
        <f t="shared" si="3"/>
        <v>ППГнг(А)-FRHF (5х16) 2</v>
      </c>
      <c r="AK111" s="14" t="s">
        <v>84</v>
      </c>
      <c r="AL111" t="s">
        <v>141</v>
      </c>
      <c r="AM111">
        <v>5</v>
      </c>
      <c r="AN111">
        <v>16</v>
      </c>
      <c r="AO111">
        <v>2</v>
      </c>
    </row>
    <row r="112" spans="36:41" x14ac:dyDescent="0.3">
      <c r="AJ112" s="13" t="str">
        <f t="shared" si="3"/>
        <v>ППГнг(А)-FRHF (5х25) 1</v>
      </c>
      <c r="AK112" s="14" t="s">
        <v>85</v>
      </c>
      <c r="AL112" t="s">
        <v>141</v>
      </c>
      <c r="AM112">
        <v>5</v>
      </c>
      <c r="AN112">
        <v>25</v>
      </c>
      <c r="AO112">
        <v>1</v>
      </c>
    </row>
    <row r="113" spans="36:41" x14ac:dyDescent="0.3">
      <c r="AJ113" s="13" t="str">
        <f t="shared" si="3"/>
        <v>ППГнг(А)-FRHF (5х25) 2</v>
      </c>
      <c r="AK113" s="14" t="s">
        <v>86</v>
      </c>
      <c r="AL113" t="s">
        <v>141</v>
      </c>
      <c r="AM113">
        <v>5</v>
      </c>
      <c r="AN113">
        <v>25</v>
      </c>
      <c r="AO113">
        <v>2</v>
      </c>
    </row>
    <row r="114" spans="36:41" x14ac:dyDescent="0.3">
      <c r="AJ114" s="13" t="str">
        <f t="shared" si="3"/>
        <v>ППГнг(А)-FRHF (5х35) 1</v>
      </c>
      <c r="AK114" s="14" t="s">
        <v>87</v>
      </c>
      <c r="AL114" t="s">
        <v>141</v>
      </c>
      <c r="AM114">
        <v>5</v>
      </c>
      <c r="AN114">
        <v>35</v>
      </c>
      <c r="AO114">
        <v>1</v>
      </c>
    </row>
    <row r="115" spans="36:41" x14ac:dyDescent="0.3">
      <c r="AJ115" s="13" t="str">
        <f t="shared" si="3"/>
        <v>ППГнг(А)-FRHF (5х35) 1</v>
      </c>
      <c r="AK115" s="14" t="s">
        <v>88</v>
      </c>
      <c r="AL115" t="s">
        <v>141</v>
      </c>
      <c r="AM115">
        <v>5</v>
      </c>
      <c r="AN115">
        <v>35</v>
      </c>
      <c r="AO115">
        <v>1</v>
      </c>
    </row>
    <row r="116" spans="36:41" x14ac:dyDescent="0.3">
      <c r="AJ116" s="13" t="str">
        <f t="shared" si="3"/>
        <v>ППГнг(А)-FRHF (5х50) 1</v>
      </c>
      <c r="AK116" s="14" t="s">
        <v>89</v>
      </c>
      <c r="AL116" t="s">
        <v>141</v>
      </c>
      <c r="AM116">
        <v>5</v>
      </c>
      <c r="AN116">
        <v>50</v>
      </c>
      <c r="AO116">
        <v>1</v>
      </c>
    </row>
    <row r="117" spans="36:41" x14ac:dyDescent="0.3">
      <c r="AJ117" s="13" t="str">
        <f t="shared" si="3"/>
        <v>ППГнг(А)-FRHF (5х50) 2</v>
      </c>
      <c r="AK117" s="14" t="s">
        <v>90</v>
      </c>
      <c r="AL117" t="s">
        <v>141</v>
      </c>
      <c r="AM117">
        <v>5</v>
      </c>
      <c r="AN117">
        <v>50</v>
      </c>
      <c r="AO117">
        <v>2</v>
      </c>
    </row>
    <row r="118" spans="36:41" x14ac:dyDescent="0.3">
      <c r="AJ118" s="13" t="str">
        <f t="shared" si="3"/>
        <v>ППГнг(А)-FRHF (5х95) 1</v>
      </c>
      <c r="AK118" s="14" t="s">
        <v>91</v>
      </c>
      <c r="AL118" t="s">
        <v>141</v>
      </c>
      <c r="AM118">
        <v>5</v>
      </c>
      <c r="AN118">
        <v>95</v>
      </c>
      <c r="AO118">
        <v>1</v>
      </c>
    </row>
    <row r="119" spans="36:41" x14ac:dyDescent="0.3">
      <c r="AJ119" s="13" t="str">
        <f t="shared" si="3"/>
        <v>ППГнг(А)-FRHF (5х95) 2</v>
      </c>
      <c r="AK119" s="14" t="s">
        <v>92</v>
      </c>
      <c r="AL119" t="s">
        <v>141</v>
      </c>
      <c r="AM119">
        <v>5</v>
      </c>
      <c r="AN119">
        <v>95</v>
      </c>
      <c r="AO119">
        <v>2</v>
      </c>
    </row>
    <row r="120" spans="36:41" x14ac:dyDescent="0.3">
      <c r="AJ120" s="13" t="str">
        <f t="shared" si="3"/>
        <v>ППГнг(А)-FRHF (5х120) 1</v>
      </c>
      <c r="AK120" s="14" t="s">
        <v>93</v>
      </c>
      <c r="AL120" t="s">
        <v>141</v>
      </c>
      <c r="AM120">
        <v>5</v>
      </c>
      <c r="AN120">
        <v>120</v>
      </c>
      <c r="AO120">
        <v>1</v>
      </c>
    </row>
    <row r="121" spans="36:41" x14ac:dyDescent="0.3">
      <c r="AJ121" s="13" t="str">
        <f t="shared" si="3"/>
        <v>ППГнг(А)-FRHF (5х120) 2</v>
      </c>
      <c r="AK121" s="14" t="s">
        <v>94</v>
      </c>
      <c r="AL121" t="s">
        <v>141</v>
      </c>
      <c r="AM121">
        <v>5</v>
      </c>
      <c r="AN121">
        <v>120</v>
      </c>
      <c r="AO121">
        <v>2</v>
      </c>
    </row>
    <row r="122" spans="36:41" x14ac:dyDescent="0.3">
      <c r="AJ122" s="13" t="str">
        <f t="shared" si="3"/>
        <v>ППГнг(А)-HF (2х1,5) 1</v>
      </c>
      <c r="AK122" s="14" t="s">
        <v>61</v>
      </c>
      <c r="AL122" t="s">
        <v>143</v>
      </c>
      <c r="AM122">
        <v>2</v>
      </c>
      <c r="AN122">
        <v>1.5</v>
      </c>
      <c r="AO122">
        <v>1</v>
      </c>
    </row>
    <row r="123" spans="36:41" x14ac:dyDescent="0.3">
      <c r="AJ123" s="13" t="str">
        <f t="shared" si="3"/>
        <v>ППГнг(А)-HF (2х1,5) 2</v>
      </c>
      <c r="AK123" s="14" t="s">
        <v>62</v>
      </c>
      <c r="AL123" t="s">
        <v>143</v>
      </c>
      <c r="AM123">
        <v>2</v>
      </c>
      <c r="AN123">
        <v>1.5</v>
      </c>
      <c r="AO123">
        <v>2</v>
      </c>
    </row>
    <row r="124" spans="36:41" x14ac:dyDescent="0.3">
      <c r="AJ124" s="13" t="str">
        <f t="shared" si="3"/>
        <v>ППГнг(А)-HF (2х2,5) 1</v>
      </c>
      <c r="AK124" s="14" t="s">
        <v>63</v>
      </c>
      <c r="AL124" t="s">
        <v>143</v>
      </c>
      <c r="AM124">
        <v>2</v>
      </c>
      <c r="AN124">
        <v>2.5</v>
      </c>
      <c r="AO124">
        <v>1</v>
      </c>
    </row>
    <row r="125" spans="36:41" x14ac:dyDescent="0.3">
      <c r="AJ125" s="13" t="str">
        <f t="shared" si="3"/>
        <v>ППГнг(А)-HF (2х2,5) 2</v>
      </c>
      <c r="AK125" s="14" t="s">
        <v>64</v>
      </c>
      <c r="AL125" t="s">
        <v>143</v>
      </c>
      <c r="AM125">
        <v>2</v>
      </c>
      <c r="AN125">
        <v>2.5</v>
      </c>
      <c r="AO125">
        <v>2</v>
      </c>
    </row>
    <row r="126" spans="36:41" x14ac:dyDescent="0.3">
      <c r="AJ126" s="13" t="str">
        <f t="shared" si="3"/>
        <v>ППГнг(А)-HF (3х1,5) 1</v>
      </c>
      <c r="AK126" s="14" t="s">
        <v>65</v>
      </c>
      <c r="AL126" t="s">
        <v>143</v>
      </c>
      <c r="AM126">
        <v>3</v>
      </c>
      <c r="AN126">
        <v>1.5</v>
      </c>
      <c r="AO126">
        <v>1</v>
      </c>
    </row>
    <row r="127" spans="36:41" x14ac:dyDescent="0.3">
      <c r="AJ127" s="13" t="str">
        <f t="shared" si="3"/>
        <v>ППГнг(А)-HF (3х1,5) 2</v>
      </c>
      <c r="AK127" s="14" t="s">
        <v>66</v>
      </c>
      <c r="AL127" t="s">
        <v>143</v>
      </c>
      <c r="AM127">
        <v>3</v>
      </c>
      <c r="AN127">
        <v>1.5</v>
      </c>
      <c r="AO127">
        <v>2</v>
      </c>
    </row>
    <row r="128" spans="36:41" x14ac:dyDescent="0.3">
      <c r="AJ128" s="13" t="str">
        <f t="shared" si="3"/>
        <v>ППГнг(А)-HF (3х2,5) 1</v>
      </c>
      <c r="AK128" s="14" t="s">
        <v>67</v>
      </c>
      <c r="AL128" t="s">
        <v>143</v>
      </c>
      <c r="AM128">
        <v>3</v>
      </c>
      <c r="AN128">
        <v>2.5</v>
      </c>
      <c r="AO128">
        <v>1</v>
      </c>
    </row>
    <row r="129" spans="36:41" x14ac:dyDescent="0.3">
      <c r="AJ129" s="13" t="str">
        <f t="shared" si="3"/>
        <v>ППГнг(А)-HF (3х2,5) 2</v>
      </c>
      <c r="AK129" s="14" t="s">
        <v>68</v>
      </c>
      <c r="AL129" t="s">
        <v>143</v>
      </c>
      <c r="AM129">
        <v>3</v>
      </c>
      <c r="AN129">
        <v>2.5</v>
      </c>
      <c r="AO129">
        <v>2</v>
      </c>
    </row>
    <row r="130" spans="36:41" x14ac:dyDescent="0.3">
      <c r="AJ130" s="13" t="str">
        <f t="shared" si="3"/>
        <v>ППГнг(А)-HF (3х4) 1</v>
      </c>
      <c r="AK130" s="14" t="s">
        <v>69</v>
      </c>
      <c r="AL130" t="s">
        <v>143</v>
      </c>
      <c r="AM130">
        <v>3</v>
      </c>
      <c r="AN130">
        <v>4</v>
      </c>
      <c r="AO130">
        <v>1</v>
      </c>
    </row>
    <row r="131" spans="36:41" x14ac:dyDescent="0.3">
      <c r="AJ131" s="13" t="str">
        <f t="shared" si="3"/>
        <v>ППГнг(А)-HF (3х4) 2</v>
      </c>
      <c r="AK131" s="14" t="s">
        <v>70</v>
      </c>
      <c r="AL131" t="s">
        <v>143</v>
      </c>
      <c r="AM131">
        <v>3</v>
      </c>
      <c r="AN131">
        <v>4</v>
      </c>
      <c r="AO131">
        <v>2</v>
      </c>
    </row>
    <row r="132" spans="36:41" x14ac:dyDescent="0.3">
      <c r="AJ132" s="13" t="str">
        <f t="shared" si="3"/>
        <v>ППГнг(А)-HF (3х6) 1</v>
      </c>
      <c r="AK132" s="14" t="s">
        <v>71</v>
      </c>
      <c r="AL132" t="s">
        <v>143</v>
      </c>
      <c r="AM132">
        <v>3</v>
      </c>
      <c r="AN132">
        <v>6</v>
      </c>
      <c r="AO132">
        <v>1</v>
      </c>
    </row>
    <row r="133" spans="36:41" x14ac:dyDescent="0.3">
      <c r="AJ133" s="13" t="str">
        <f t="shared" ref="AJ133:AJ193" si="4">AL133&amp;" ("&amp;AM133&amp;"х"&amp;AN133&amp;") "&amp;AO133</f>
        <v>ППГнг(А)-HF (3х6) 2</v>
      </c>
      <c r="AK133" s="14" t="s">
        <v>72</v>
      </c>
      <c r="AL133" t="s">
        <v>143</v>
      </c>
      <c r="AM133">
        <v>3</v>
      </c>
      <c r="AN133">
        <v>6</v>
      </c>
      <c r="AO133">
        <v>2</v>
      </c>
    </row>
    <row r="134" spans="36:41" x14ac:dyDescent="0.3">
      <c r="AJ134" s="13" t="str">
        <f t="shared" si="4"/>
        <v>ППГнг(А)-HF (5х1,5) 1</v>
      </c>
      <c r="AK134" s="14" t="s">
        <v>73</v>
      </c>
      <c r="AL134" t="s">
        <v>143</v>
      </c>
      <c r="AM134">
        <v>5</v>
      </c>
      <c r="AN134">
        <v>1.5</v>
      </c>
      <c r="AO134">
        <v>1</v>
      </c>
    </row>
    <row r="135" spans="36:41" x14ac:dyDescent="0.3">
      <c r="AJ135" s="13" t="str">
        <f t="shared" si="4"/>
        <v>ППГнг(А)-HF (5х1,5) 2</v>
      </c>
      <c r="AK135" s="14" t="s">
        <v>74</v>
      </c>
      <c r="AL135" t="s">
        <v>143</v>
      </c>
      <c r="AM135">
        <v>5</v>
      </c>
      <c r="AN135">
        <v>1.5</v>
      </c>
      <c r="AO135">
        <v>2</v>
      </c>
    </row>
    <row r="136" spans="36:41" x14ac:dyDescent="0.3">
      <c r="AJ136" s="13" t="str">
        <f t="shared" si="4"/>
        <v>ППГнг(А)-HF (5х2,5) 1</v>
      </c>
      <c r="AK136" s="14" t="s">
        <v>75</v>
      </c>
      <c r="AL136" t="s">
        <v>143</v>
      </c>
      <c r="AM136">
        <v>5</v>
      </c>
      <c r="AN136">
        <v>2.5</v>
      </c>
      <c r="AO136">
        <v>1</v>
      </c>
    </row>
    <row r="137" spans="36:41" x14ac:dyDescent="0.3">
      <c r="AJ137" s="13" t="str">
        <f t="shared" si="4"/>
        <v>ППГнг(А)-HF (5х2,5) 2</v>
      </c>
      <c r="AK137" s="14" t="s">
        <v>76</v>
      </c>
      <c r="AL137" t="s">
        <v>143</v>
      </c>
      <c r="AM137">
        <v>5</v>
      </c>
      <c r="AN137">
        <v>2.5</v>
      </c>
      <c r="AO137">
        <v>2</v>
      </c>
    </row>
    <row r="138" spans="36:41" x14ac:dyDescent="0.3">
      <c r="AJ138" s="13" t="str">
        <f t="shared" si="4"/>
        <v>ППГнг(А)-HF (5х4) 1</v>
      </c>
      <c r="AK138" s="14" t="s">
        <v>77</v>
      </c>
      <c r="AL138" t="s">
        <v>143</v>
      </c>
      <c r="AM138">
        <v>5</v>
      </c>
      <c r="AN138">
        <v>4</v>
      </c>
      <c r="AO138">
        <v>1</v>
      </c>
    </row>
    <row r="139" spans="36:41" x14ac:dyDescent="0.3">
      <c r="AJ139" s="13" t="str">
        <f t="shared" si="4"/>
        <v>ППГнг(А)-HF (5х4) 2</v>
      </c>
      <c r="AK139" s="14" t="s">
        <v>78</v>
      </c>
      <c r="AL139" t="s">
        <v>143</v>
      </c>
      <c r="AM139">
        <v>5</v>
      </c>
      <c r="AN139">
        <v>4</v>
      </c>
      <c r="AO139">
        <v>2</v>
      </c>
    </row>
    <row r="140" spans="36:41" x14ac:dyDescent="0.3">
      <c r="AJ140" s="13" t="str">
        <f t="shared" si="4"/>
        <v>ППГнг(А)-HF (5х6) 1</v>
      </c>
      <c r="AK140" s="14" t="s">
        <v>79</v>
      </c>
      <c r="AL140" t="s">
        <v>143</v>
      </c>
      <c r="AM140">
        <v>5</v>
      </c>
      <c r="AN140">
        <v>6</v>
      </c>
      <c r="AO140">
        <v>1</v>
      </c>
    </row>
    <row r="141" spans="36:41" x14ac:dyDescent="0.3">
      <c r="AJ141" s="13" t="str">
        <f t="shared" si="4"/>
        <v>ППГнг(А)-HF (5х6) 2</v>
      </c>
      <c r="AK141" s="14" t="s">
        <v>80</v>
      </c>
      <c r="AL141" t="s">
        <v>143</v>
      </c>
      <c r="AM141">
        <v>5</v>
      </c>
      <c r="AN141">
        <v>6</v>
      </c>
      <c r="AO141">
        <v>2</v>
      </c>
    </row>
    <row r="142" spans="36:41" x14ac:dyDescent="0.3">
      <c r="AJ142" s="13" t="str">
        <f t="shared" si="4"/>
        <v>ППГнг(А)-HF (5х10) 1</v>
      </c>
      <c r="AK142" s="14" t="s">
        <v>81</v>
      </c>
      <c r="AL142" t="s">
        <v>143</v>
      </c>
      <c r="AM142">
        <v>5</v>
      </c>
      <c r="AN142">
        <v>10</v>
      </c>
      <c r="AO142">
        <v>1</v>
      </c>
    </row>
    <row r="143" spans="36:41" x14ac:dyDescent="0.3">
      <c r="AJ143" s="13" t="str">
        <f t="shared" si="4"/>
        <v>ППГнг(А)-HF (5х10) 2</v>
      </c>
      <c r="AK143" s="14" t="s">
        <v>82</v>
      </c>
      <c r="AL143" t="s">
        <v>143</v>
      </c>
      <c r="AM143">
        <v>5</v>
      </c>
      <c r="AN143">
        <v>10</v>
      </c>
      <c r="AO143">
        <v>2</v>
      </c>
    </row>
    <row r="144" spans="36:41" x14ac:dyDescent="0.3">
      <c r="AJ144" s="13" t="str">
        <f t="shared" si="4"/>
        <v>ППГнг(А)-HF (5х16) 1</v>
      </c>
      <c r="AK144" s="14" t="s">
        <v>83</v>
      </c>
      <c r="AL144" t="s">
        <v>143</v>
      </c>
      <c r="AM144">
        <v>5</v>
      </c>
      <c r="AN144">
        <v>16</v>
      </c>
      <c r="AO144">
        <v>1</v>
      </c>
    </row>
    <row r="145" spans="36:41" x14ac:dyDescent="0.3">
      <c r="AJ145" s="13" t="str">
        <f t="shared" si="4"/>
        <v>ППГнг(А)-HF (5х16) 2</v>
      </c>
      <c r="AK145" s="14" t="s">
        <v>84</v>
      </c>
      <c r="AL145" t="s">
        <v>143</v>
      </c>
      <c r="AM145">
        <v>5</v>
      </c>
      <c r="AN145">
        <v>16</v>
      </c>
      <c r="AO145">
        <v>2</v>
      </c>
    </row>
    <row r="146" spans="36:41" x14ac:dyDescent="0.3">
      <c r="AJ146" s="13" t="str">
        <f t="shared" si="4"/>
        <v>ППГнг(А)-HF (5х25) 1</v>
      </c>
      <c r="AK146" s="14" t="s">
        <v>85</v>
      </c>
      <c r="AL146" t="s">
        <v>143</v>
      </c>
      <c r="AM146">
        <v>5</v>
      </c>
      <c r="AN146">
        <v>25</v>
      </c>
      <c r="AO146">
        <v>1</v>
      </c>
    </row>
    <row r="147" spans="36:41" x14ac:dyDescent="0.3">
      <c r="AJ147" s="13" t="str">
        <f t="shared" si="4"/>
        <v>ППГнг(А)-HF (5х25) 2</v>
      </c>
      <c r="AK147" s="14" t="s">
        <v>86</v>
      </c>
      <c r="AL147" t="s">
        <v>143</v>
      </c>
      <c r="AM147">
        <v>5</v>
      </c>
      <c r="AN147">
        <v>25</v>
      </c>
      <c r="AO147">
        <v>2</v>
      </c>
    </row>
    <row r="148" spans="36:41" x14ac:dyDescent="0.3">
      <c r="AJ148" s="13" t="str">
        <f t="shared" si="4"/>
        <v>ППГнг(А)-HF (5х35) 1</v>
      </c>
      <c r="AK148" s="14" t="s">
        <v>87</v>
      </c>
      <c r="AL148" t="s">
        <v>143</v>
      </c>
      <c r="AM148">
        <v>5</v>
      </c>
      <c r="AN148">
        <v>35</v>
      </c>
      <c r="AO148">
        <v>1</v>
      </c>
    </row>
    <row r="149" spans="36:41" x14ac:dyDescent="0.3">
      <c r="AJ149" s="13" t="str">
        <f t="shared" si="4"/>
        <v>ППГнг(А)-HF (5х35) 2</v>
      </c>
      <c r="AK149" s="14" t="s">
        <v>88</v>
      </c>
      <c r="AL149" t="s">
        <v>143</v>
      </c>
      <c r="AM149">
        <v>5</v>
      </c>
      <c r="AN149">
        <v>35</v>
      </c>
      <c r="AO149">
        <v>2</v>
      </c>
    </row>
    <row r="150" spans="36:41" x14ac:dyDescent="0.3">
      <c r="AJ150" s="13" t="str">
        <f t="shared" si="4"/>
        <v>ППГнг(А)-HF (5х50) 1</v>
      </c>
      <c r="AK150" s="14" t="s">
        <v>89</v>
      </c>
      <c r="AL150" t="s">
        <v>143</v>
      </c>
      <c r="AM150">
        <v>5</v>
      </c>
      <c r="AN150">
        <v>50</v>
      </c>
      <c r="AO150">
        <v>1</v>
      </c>
    </row>
    <row r="151" spans="36:41" x14ac:dyDescent="0.3">
      <c r="AJ151" s="13" t="str">
        <f t="shared" si="4"/>
        <v>ППГнг(А)-HF (5х50) 2</v>
      </c>
      <c r="AK151" s="14" t="s">
        <v>90</v>
      </c>
      <c r="AL151" t="s">
        <v>143</v>
      </c>
      <c r="AM151">
        <v>5</v>
      </c>
      <c r="AN151">
        <v>50</v>
      </c>
      <c r="AO151">
        <v>2</v>
      </c>
    </row>
    <row r="152" spans="36:41" x14ac:dyDescent="0.3">
      <c r="AJ152" s="13" t="str">
        <f t="shared" si="4"/>
        <v>ППГнг(А)-HF (5х95) 1</v>
      </c>
      <c r="AK152" s="14" t="s">
        <v>91</v>
      </c>
      <c r="AL152" t="s">
        <v>143</v>
      </c>
      <c r="AM152">
        <v>5</v>
      </c>
      <c r="AN152">
        <v>95</v>
      </c>
      <c r="AO152">
        <v>1</v>
      </c>
    </row>
    <row r="153" spans="36:41" x14ac:dyDescent="0.3">
      <c r="AJ153" s="13" t="str">
        <f t="shared" si="4"/>
        <v>ППГнг(А)-HF (5х95) 2</v>
      </c>
      <c r="AK153" s="14" t="s">
        <v>92</v>
      </c>
      <c r="AL153" t="s">
        <v>143</v>
      </c>
      <c r="AM153">
        <v>5</v>
      </c>
      <c r="AN153">
        <v>95</v>
      </c>
      <c r="AO153">
        <v>2</v>
      </c>
    </row>
    <row r="154" spans="36:41" x14ac:dyDescent="0.3">
      <c r="AJ154" s="13" t="str">
        <f t="shared" si="4"/>
        <v>ППГнг(А)-HF (5х120) 1</v>
      </c>
      <c r="AK154" s="14" t="s">
        <v>93</v>
      </c>
      <c r="AL154" t="s">
        <v>143</v>
      </c>
      <c r="AM154">
        <v>5</v>
      </c>
      <c r="AN154">
        <v>120</v>
      </c>
      <c r="AO154">
        <v>1</v>
      </c>
    </row>
    <row r="155" spans="36:41" x14ac:dyDescent="0.3">
      <c r="AJ155" s="13" t="str">
        <f t="shared" si="4"/>
        <v>ППГнг(А)-HF (5х120) 2</v>
      </c>
      <c r="AK155" s="14" t="s">
        <v>94</v>
      </c>
      <c r="AL155" t="s">
        <v>143</v>
      </c>
      <c r="AM155">
        <v>5</v>
      </c>
      <c r="AN155">
        <v>120</v>
      </c>
      <c r="AO155">
        <v>2</v>
      </c>
    </row>
    <row r="156" spans="36:41" x14ac:dyDescent="0.3">
      <c r="AJ156" s="13" t="str">
        <f t="shared" si="4"/>
        <v>ВВГнг(А)-FRLS (2х1,5) 1</v>
      </c>
      <c r="AK156" s="14" t="s">
        <v>61</v>
      </c>
      <c r="AL156" t="s">
        <v>147</v>
      </c>
      <c r="AM156">
        <v>2</v>
      </c>
      <c r="AN156">
        <v>1.5</v>
      </c>
      <c r="AO156">
        <v>1</v>
      </c>
    </row>
    <row r="157" spans="36:41" x14ac:dyDescent="0.3">
      <c r="AJ157" s="13" t="str">
        <f t="shared" si="4"/>
        <v>ВВГнг(А)-FRLS (2х1,5) 2</v>
      </c>
      <c r="AK157" s="14" t="s">
        <v>62</v>
      </c>
      <c r="AL157" t="s">
        <v>147</v>
      </c>
      <c r="AM157">
        <v>2</v>
      </c>
      <c r="AN157">
        <v>1.5</v>
      </c>
      <c r="AO157">
        <v>2</v>
      </c>
    </row>
    <row r="158" spans="36:41" x14ac:dyDescent="0.3">
      <c r="AJ158" s="13" t="str">
        <f t="shared" si="4"/>
        <v>ВВГнг(А)-FRLS (2х2,5) 1</v>
      </c>
      <c r="AK158" s="14" t="s">
        <v>63</v>
      </c>
      <c r="AL158" t="s">
        <v>147</v>
      </c>
      <c r="AM158">
        <v>2</v>
      </c>
      <c r="AN158">
        <v>2.5</v>
      </c>
      <c r="AO158">
        <v>1</v>
      </c>
    </row>
    <row r="159" spans="36:41" x14ac:dyDescent="0.3">
      <c r="AJ159" s="13" t="str">
        <f t="shared" si="4"/>
        <v>ВВГнг(А)-FRLS (2х2,5) 2</v>
      </c>
      <c r="AK159" s="14" t="s">
        <v>64</v>
      </c>
      <c r="AL159" t="s">
        <v>147</v>
      </c>
      <c r="AM159">
        <v>2</v>
      </c>
      <c r="AN159">
        <v>2.5</v>
      </c>
      <c r="AO159">
        <v>2</v>
      </c>
    </row>
    <row r="160" spans="36:41" x14ac:dyDescent="0.3">
      <c r="AJ160" s="13" t="str">
        <f t="shared" si="4"/>
        <v>ВВГнг(А)-FRLS (3х1,5) 1</v>
      </c>
      <c r="AK160" s="14" t="s">
        <v>65</v>
      </c>
      <c r="AL160" t="s">
        <v>147</v>
      </c>
      <c r="AM160">
        <v>3</v>
      </c>
      <c r="AN160">
        <v>1.5</v>
      </c>
      <c r="AO160">
        <v>1</v>
      </c>
    </row>
    <row r="161" spans="36:41" x14ac:dyDescent="0.3">
      <c r="AJ161" s="13" t="str">
        <f t="shared" si="4"/>
        <v>ВВГнг(А)-FRLS (3х1,5) 2</v>
      </c>
      <c r="AK161" s="14" t="s">
        <v>66</v>
      </c>
      <c r="AL161" t="s">
        <v>147</v>
      </c>
      <c r="AM161">
        <v>3</v>
      </c>
      <c r="AN161">
        <v>1.5</v>
      </c>
      <c r="AO161">
        <v>2</v>
      </c>
    </row>
    <row r="162" spans="36:41" x14ac:dyDescent="0.3">
      <c r="AJ162" s="13" t="str">
        <f t="shared" si="4"/>
        <v>ВВГнг(А)-FRLS (3х2,5) 1</v>
      </c>
      <c r="AK162" s="14" t="s">
        <v>67</v>
      </c>
      <c r="AL162" t="s">
        <v>147</v>
      </c>
      <c r="AM162">
        <v>3</v>
      </c>
      <c r="AN162">
        <v>2.5</v>
      </c>
      <c r="AO162">
        <v>1</v>
      </c>
    </row>
    <row r="163" spans="36:41" x14ac:dyDescent="0.3">
      <c r="AJ163" s="13" t="str">
        <f t="shared" si="4"/>
        <v>ВВГнг(А)-FRLS (3х2,5) 2</v>
      </c>
      <c r="AK163" s="14" t="s">
        <v>68</v>
      </c>
      <c r="AL163" t="s">
        <v>147</v>
      </c>
      <c r="AM163">
        <v>3</v>
      </c>
      <c r="AN163">
        <v>2.5</v>
      </c>
      <c r="AO163">
        <v>2</v>
      </c>
    </row>
    <row r="164" spans="36:41" x14ac:dyDescent="0.3">
      <c r="AJ164" s="13" t="str">
        <f t="shared" si="4"/>
        <v>ВВГнг(А)-FRLS (3х4) 1</v>
      </c>
      <c r="AK164" s="14" t="s">
        <v>69</v>
      </c>
      <c r="AL164" t="s">
        <v>147</v>
      </c>
      <c r="AM164">
        <v>3</v>
      </c>
      <c r="AN164">
        <v>4</v>
      </c>
      <c r="AO164">
        <v>1</v>
      </c>
    </row>
    <row r="165" spans="36:41" x14ac:dyDescent="0.3">
      <c r="AJ165" s="13" t="str">
        <f t="shared" si="4"/>
        <v>ВВГнг(А)-FRLS (3х4) 2</v>
      </c>
      <c r="AK165" s="14" t="s">
        <v>70</v>
      </c>
      <c r="AL165" t="s">
        <v>147</v>
      </c>
      <c r="AM165">
        <v>3</v>
      </c>
      <c r="AN165">
        <v>4</v>
      </c>
      <c r="AO165">
        <v>2</v>
      </c>
    </row>
    <row r="166" spans="36:41" x14ac:dyDescent="0.3">
      <c r="AJ166" s="13" t="str">
        <f t="shared" si="4"/>
        <v>ВВГнг(А)-FRLS (3х6) 1</v>
      </c>
      <c r="AK166" s="14" t="s">
        <v>71</v>
      </c>
      <c r="AL166" t="s">
        <v>147</v>
      </c>
      <c r="AM166">
        <v>3</v>
      </c>
      <c r="AN166">
        <v>6</v>
      </c>
      <c r="AO166">
        <v>1</v>
      </c>
    </row>
    <row r="167" spans="36:41" x14ac:dyDescent="0.3">
      <c r="AJ167" s="13" t="str">
        <f t="shared" si="4"/>
        <v>ВВГнг(А)-FRLS (3х6) 2</v>
      </c>
      <c r="AK167" s="14" t="s">
        <v>72</v>
      </c>
      <c r="AL167" t="s">
        <v>147</v>
      </c>
      <c r="AM167">
        <v>3</v>
      </c>
      <c r="AN167">
        <v>6</v>
      </c>
      <c r="AO167">
        <v>2</v>
      </c>
    </row>
    <row r="168" spans="36:41" x14ac:dyDescent="0.3">
      <c r="AJ168" s="13" t="str">
        <f t="shared" si="4"/>
        <v>ВВГнг(А)-FRLS (5х1,5) 1</v>
      </c>
      <c r="AK168" s="14" t="s">
        <v>73</v>
      </c>
      <c r="AL168" t="s">
        <v>147</v>
      </c>
      <c r="AM168">
        <v>5</v>
      </c>
      <c r="AN168">
        <v>1.5</v>
      </c>
      <c r="AO168">
        <v>1</v>
      </c>
    </row>
    <row r="169" spans="36:41" x14ac:dyDescent="0.3">
      <c r="AJ169" s="13" t="str">
        <f t="shared" si="4"/>
        <v>ВВГнг(А)-FRLS (5х1,5) 2</v>
      </c>
      <c r="AK169" s="14" t="s">
        <v>74</v>
      </c>
      <c r="AL169" t="s">
        <v>147</v>
      </c>
      <c r="AM169">
        <v>5</v>
      </c>
      <c r="AN169">
        <v>1.5</v>
      </c>
      <c r="AO169">
        <v>2</v>
      </c>
    </row>
    <row r="170" spans="36:41" x14ac:dyDescent="0.3">
      <c r="AJ170" s="13" t="str">
        <f t="shared" si="4"/>
        <v>ВВГнг(А)-FRLS (5х2,5) 1</v>
      </c>
      <c r="AK170" s="14" t="s">
        <v>75</v>
      </c>
      <c r="AL170" t="s">
        <v>147</v>
      </c>
      <c r="AM170">
        <v>5</v>
      </c>
      <c r="AN170">
        <v>2.5</v>
      </c>
      <c r="AO170">
        <v>1</v>
      </c>
    </row>
    <row r="171" spans="36:41" x14ac:dyDescent="0.3">
      <c r="AJ171" s="13" t="str">
        <f t="shared" si="4"/>
        <v>ВВГнг(А)-FRLS (5х2,5) 2</v>
      </c>
      <c r="AK171" s="14" t="s">
        <v>76</v>
      </c>
      <c r="AL171" t="s">
        <v>147</v>
      </c>
      <c r="AM171">
        <v>5</v>
      </c>
      <c r="AN171">
        <v>2.5</v>
      </c>
      <c r="AO171">
        <v>2</v>
      </c>
    </row>
    <row r="172" spans="36:41" x14ac:dyDescent="0.3">
      <c r="AJ172" s="13" t="str">
        <f t="shared" si="4"/>
        <v>ВВГнг(А)-FRLS (5х4) 1</v>
      </c>
      <c r="AK172" s="14" t="s">
        <v>77</v>
      </c>
      <c r="AL172" t="s">
        <v>147</v>
      </c>
      <c r="AM172">
        <v>5</v>
      </c>
      <c r="AN172">
        <v>4</v>
      </c>
      <c r="AO172">
        <v>1</v>
      </c>
    </row>
    <row r="173" spans="36:41" x14ac:dyDescent="0.3">
      <c r="AJ173" s="13" t="str">
        <f t="shared" si="4"/>
        <v>ВВГнг(А)-FRLS (5х4) 1</v>
      </c>
      <c r="AK173" s="14" t="s">
        <v>78</v>
      </c>
      <c r="AL173" t="s">
        <v>147</v>
      </c>
      <c r="AM173">
        <v>5</v>
      </c>
      <c r="AN173">
        <v>4</v>
      </c>
      <c r="AO173">
        <v>1</v>
      </c>
    </row>
    <row r="174" spans="36:41" x14ac:dyDescent="0.3">
      <c r="AJ174" s="13" t="str">
        <f t="shared" si="4"/>
        <v>ВВГнг(А)-FRLS (5х6) 1</v>
      </c>
      <c r="AK174" s="14" t="s">
        <v>79</v>
      </c>
      <c r="AL174" t="s">
        <v>147</v>
      </c>
      <c r="AM174">
        <v>5</v>
      </c>
      <c r="AN174">
        <v>6</v>
      </c>
      <c r="AO174">
        <v>1</v>
      </c>
    </row>
    <row r="175" spans="36:41" x14ac:dyDescent="0.3">
      <c r="AJ175" s="13" t="str">
        <f t="shared" si="4"/>
        <v>ВВГнг(А)-FRLS (5х6) 2</v>
      </c>
      <c r="AK175" s="14" t="s">
        <v>80</v>
      </c>
      <c r="AL175" t="s">
        <v>147</v>
      </c>
      <c r="AM175">
        <v>5</v>
      </c>
      <c r="AN175">
        <v>6</v>
      </c>
      <c r="AO175">
        <v>2</v>
      </c>
    </row>
    <row r="176" spans="36:41" x14ac:dyDescent="0.3">
      <c r="AJ176" s="13" t="str">
        <f t="shared" si="4"/>
        <v>ВВГнг(А)-FRLS (5х10) 1</v>
      </c>
      <c r="AK176" s="14" t="s">
        <v>81</v>
      </c>
      <c r="AL176" t="s">
        <v>147</v>
      </c>
      <c r="AM176">
        <v>5</v>
      </c>
      <c r="AN176">
        <v>10</v>
      </c>
      <c r="AO176">
        <v>1</v>
      </c>
    </row>
    <row r="177" spans="36:41" x14ac:dyDescent="0.3">
      <c r="AJ177" s="13" t="str">
        <f t="shared" si="4"/>
        <v>ВВГнг(А)-FRLS (5х10) 2</v>
      </c>
      <c r="AK177" s="14" t="s">
        <v>82</v>
      </c>
      <c r="AL177" t="s">
        <v>147</v>
      </c>
      <c r="AM177">
        <v>5</v>
      </c>
      <c r="AN177">
        <v>10</v>
      </c>
      <c r="AO177">
        <v>2</v>
      </c>
    </row>
    <row r="178" spans="36:41" x14ac:dyDescent="0.3">
      <c r="AJ178" s="13" t="str">
        <f t="shared" si="4"/>
        <v>ВВГнг(А)-FRLS (5х16) 1</v>
      </c>
      <c r="AK178" s="14" t="s">
        <v>83</v>
      </c>
      <c r="AL178" t="s">
        <v>147</v>
      </c>
      <c r="AM178">
        <v>5</v>
      </c>
      <c r="AN178">
        <v>16</v>
      </c>
      <c r="AO178">
        <v>1</v>
      </c>
    </row>
    <row r="179" spans="36:41" x14ac:dyDescent="0.3">
      <c r="AJ179" s="13" t="str">
        <f t="shared" si="4"/>
        <v>ВВГнг(А)-FRLS (5х16) 2</v>
      </c>
      <c r="AK179" s="14" t="s">
        <v>84</v>
      </c>
      <c r="AL179" t="s">
        <v>147</v>
      </c>
      <c r="AM179">
        <v>5</v>
      </c>
      <c r="AN179">
        <v>16</v>
      </c>
      <c r="AO179">
        <v>2</v>
      </c>
    </row>
    <row r="180" spans="36:41" x14ac:dyDescent="0.3">
      <c r="AJ180" s="13" t="str">
        <f t="shared" si="4"/>
        <v>ВВГнг(А)-FRLS (5х25) 1</v>
      </c>
      <c r="AK180" s="14" t="s">
        <v>85</v>
      </c>
      <c r="AL180" t="s">
        <v>147</v>
      </c>
      <c r="AM180">
        <v>5</v>
      </c>
      <c r="AN180">
        <v>25</v>
      </c>
      <c r="AO180">
        <v>1</v>
      </c>
    </row>
    <row r="181" spans="36:41" x14ac:dyDescent="0.3">
      <c r="AJ181" s="13" t="str">
        <f t="shared" si="4"/>
        <v>ВВГнг(А)-FRLS (5х25) 2</v>
      </c>
      <c r="AK181" s="14" t="s">
        <v>86</v>
      </c>
      <c r="AL181" t="s">
        <v>147</v>
      </c>
      <c r="AM181">
        <v>5</v>
      </c>
      <c r="AN181">
        <v>25</v>
      </c>
      <c r="AO181">
        <v>2</v>
      </c>
    </row>
    <row r="182" spans="36:41" x14ac:dyDescent="0.3">
      <c r="AJ182" s="13" t="str">
        <f t="shared" si="4"/>
        <v>ВВГнг(А)-FRLS (5х35) 1</v>
      </c>
      <c r="AK182" s="14" t="s">
        <v>87</v>
      </c>
      <c r="AL182" t="s">
        <v>147</v>
      </c>
      <c r="AM182">
        <v>5</v>
      </c>
      <c r="AN182">
        <v>35</v>
      </c>
      <c r="AO182">
        <v>1</v>
      </c>
    </row>
    <row r="183" spans="36:41" x14ac:dyDescent="0.3">
      <c r="AJ183" s="13" t="str">
        <f t="shared" si="4"/>
        <v>ВВГнг(А)-FRLS (5х35) 2</v>
      </c>
      <c r="AK183" s="14" t="s">
        <v>88</v>
      </c>
      <c r="AL183" t="s">
        <v>147</v>
      </c>
      <c r="AM183">
        <v>5</v>
      </c>
      <c r="AN183">
        <v>35</v>
      </c>
      <c r="AO183">
        <v>2</v>
      </c>
    </row>
    <row r="184" spans="36:41" x14ac:dyDescent="0.3">
      <c r="AJ184" s="13" t="str">
        <f t="shared" si="4"/>
        <v>ВВГнг(А)-FRLS (5х50) 1</v>
      </c>
      <c r="AK184" s="14" t="s">
        <v>89</v>
      </c>
      <c r="AL184" t="s">
        <v>147</v>
      </c>
      <c r="AM184">
        <v>5</v>
      </c>
      <c r="AN184">
        <v>50</v>
      </c>
      <c r="AO184">
        <v>1</v>
      </c>
    </row>
    <row r="185" spans="36:41" x14ac:dyDescent="0.3">
      <c r="AJ185" s="13" t="str">
        <f t="shared" si="4"/>
        <v>ВВГнг(А)-FRLS (5х50) 2</v>
      </c>
      <c r="AK185" s="14" t="s">
        <v>90</v>
      </c>
      <c r="AL185" t="s">
        <v>147</v>
      </c>
      <c r="AM185">
        <v>5</v>
      </c>
      <c r="AN185">
        <v>50</v>
      </c>
      <c r="AO185">
        <v>2</v>
      </c>
    </row>
    <row r="186" spans="36:41" x14ac:dyDescent="0.3">
      <c r="AJ186" s="13" t="str">
        <f t="shared" si="4"/>
        <v>ВВГнг(А)-FRLS (5х95) 1</v>
      </c>
      <c r="AK186" s="14" t="s">
        <v>91</v>
      </c>
      <c r="AL186" t="s">
        <v>147</v>
      </c>
      <c r="AM186">
        <v>5</v>
      </c>
      <c r="AN186">
        <v>95</v>
      </c>
      <c r="AO186">
        <v>1</v>
      </c>
    </row>
    <row r="187" spans="36:41" x14ac:dyDescent="0.3">
      <c r="AJ187" s="13" t="str">
        <f t="shared" si="4"/>
        <v>ВВГнг(А)-FRLS (5х95) 2</v>
      </c>
      <c r="AK187" s="14" t="s">
        <v>92</v>
      </c>
      <c r="AL187" t="s">
        <v>147</v>
      </c>
      <c r="AM187">
        <v>5</v>
      </c>
      <c r="AN187">
        <v>95</v>
      </c>
      <c r="AO187">
        <v>2</v>
      </c>
    </row>
    <row r="188" spans="36:41" x14ac:dyDescent="0.3">
      <c r="AJ188" s="13" t="str">
        <f t="shared" si="4"/>
        <v>ВВГнг(А)-FRLS (5х120) 1</v>
      </c>
      <c r="AK188" s="14" t="s">
        <v>93</v>
      </c>
      <c r="AL188" t="s">
        <v>147</v>
      </c>
      <c r="AM188">
        <v>5</v>
      </c>
      <c r="AN188">
        <v>120</v>
      </c>
      <c r="AO188">
        <v>1</v>
      </c>
    </row>
    <row r="189" spans="36:41" x14ac:dyDescent="0.3">
      <c r="AJ189" s="13" t="str">
        <f t="shared" si="4"/>
        <v>ВВГнг(А)-FRLS (5х120) 2</v>
      </c>
      <c r="AK189" s="14" t="s">
        <v>94</v>
      </c>
      <c r="AL189" t="s">
        <v>147</v>
      </c>
      <c r="AM189">
        <v>5</v>
      </c>
      <c r="AN189">
        <v>120</v>
      </c>
      <c r="AO189">
        <v>2</v>
      </c>
    </row>
    <row r="190" spans="36:41" x14ac:dyDescent="0.3">
      <c r="AJ190" s="13" t="str">
        <f t="shared" si="4"/>
        <v>ВВГнг(А)-FRLS (5х95) 1</v>
      </c>
      <c r="AK190" s="14" t="s">
        <v>95</v>
      </c>
      <c r="AL190" t="s">
        <v>147</v>
      </c>
      <c r="AM190">
        <v>5</v>
      </c>
      <c r="AN190">
        <v>95</v>
      </c>
      <c r="AO190">
        <v>1</v>
      </c>
    </row>
    <row r="191" spans="36:41" x14ac:dyDescent="0.3">
      <c r="AJ191" s="13" t="str">
        <f t="shared" si="4"/>
        <v>ВВГнг(А)-FRLS (5х95) 2</v>
      </c>
      <c r="AK191" s="14" t="s">
        <v>96</v>
      </c>
      <c r="AL191" t="s">
        <v>147</v>
      </c>
      <c r="AM191">
        <v>5</v>
      </c>
      <c r="AN191">
        <v>95</v>
      </c>
      <c r="AO191">
        <v>2</v>
      </c>
    </row>
    <row r="192" spans="36:41" x14ac:dyDescent="0.3">
      <c r="AJ192" s="13" t="str">
        <f t="shared" si="4"/>
        <v>ВВГнг(А)-FRLS (5х120) 1</v>
      </c>
      <c r="AK192" s="14" t="s">
        <v>97</v>
      </c>
      <c r="AL192" t="s">
        <v>147</v>
      </c>
      <c r="AM192">
        <v>5</v>
      </c>
      <c r="AN192">
        <v>120</v>
      </c>
      <c r="AO192">
        <v>1</v>
      </c>
    </row>
    <row r="193" spans="36:41" x14ac:dyDescent="0.3">
      <c r="AJ193" s="13" t="str">
        <f t="shared" si="4"/>
        <v>ВВГнг(А)-FRLS (5х120) 2</v>
      </c>
      <c r="AK193" s="14" t="s">
        <v>98</v>
      </c>
      <c r="AL193" t="s">
        <v>147</v>
      </c>
      <c r="AM193">
        <v>5</v>
      </c>
      <c r="AN193">
        <v>120</v>
      </c>
      <c r="AO193">
        <v>2</v>
      </c>
    </row>
  </sheetData>
  <sheetProtection formatCells="0" formatColumns="0" formatRows="0"/>
  <mergeCells count="3">
    <mergeCell ref="L2:AG2"/>
    <mergeCell ref="AQ2:AS2"/>
    <mergeCell ref="AQ7:AS7"/>
  </mergeCells>
  <conditionalFormatting sqref="P9">
    <cfRule type="duplicateValues" dxfId="42" priority="23"/>
    <cfRule type="expression" dxfId="41" priority="24">
      <formula>_xlfn.ISFORMULA(P9)=TRUE</formula>
    </cfRule>
    <cfRule type="duplicateValues" dxfId="40" priority="25"/>
    <cfRule type="expression" dxfId="39" priority="26">
      <formula>_xlfn.ISFORMULA(P9)=TRUE</formula>
    </cfRule>
  </conditionalFormatting>
  <conditionalFormatting sqref="P12">
    <cfRule type="duplicateValues" dxfId="38" priority="18"/>
    <cfRule type="duplicateValues" dxfId="37" priority="19"/>
    <cfRule type="duplicateValues" dxfId="36" priority="20"/>
    <cfRule type="duplicateValues" dxfId="35" priority="21"/>
    <cfRule type="expression" dxfId="34" priority="22">
      <formula>_xlfn.ISFORMULA(P12)=TRUE</formula>
    </cfRule>
  </conditionalFormatting>
  <conditionalFormatting sqref="P14">
    <cfRule type="duplicateValues" dxfId="33" priority="14"/>
    <cfRule type="duplicateValues" dxfId="32" priority="15"/>
    <cfRule type="duplicateValues" dxfId="31" priority="16"/>
    <cfRule type="expression" dxfId="30" priority="17">
      <formula>_xlfn.ISFORMULA(P14)=TRUE</formula>
    </cfRule>
  </conditionalFormatting>
  <conditionalFormatting sqref="P18">
    <cfRule type="duplicateValues" dxfId="29" priority="6"/>
    <cfRule type="duplicateValues" dxfId="28" priority="7"/>
    <cfRule type="duplicateValues" dxfId="27" priority="8"/>
    <cfRule type="expression" dxfId="26" priority="9">
      <formula>_xlfn.ISFORMULA(P18)=TRUE</formula>
    </cfRule>
  </conditionalFormatting>
  <conditionalFormatting sqref="P45">
    <cfRule type="duplicateValues" dxfId="25" priority="31"/>
    <cfRule type="duplicateValues" dxfId="24" priority="32"/>
    <cfRule type="duplicateValues" dxfId="23" priority="33"/>
    <cfRule type="expression" dxfId="22" priority="34">
      <formula>_xlfn.ISFORMULA(P45)=TRUE</formula>
    </cfRule>
  </conditionalFormatting>
  <conditionalFormatting sqref="Q14">
    <cfRule type="duplicateValues" dxfId="21" priority="10"/>
    <cfRule type="duplicateValues" dxfId="20" priority="11"/>
    <cfRule type="duplicateValues" dxfId="19" priority="12"/>
    <cfRule type="expression" dxfId="18" priority="13">
      <formula>_xlfn.ISFORMULA(Q14)=TRUE</formula>
    </cfRule>
  </conditionalFormatting>
  <conditionalFormatting sqref="Q22:Q25">
    <cfRule type="expression" dxfId="17" priority="2">
      <formula>_xlfn.ISFORMULA(Q22)=TRUE</formula>
    </cfRule>
  </conditionalFormatting>
  <conditionalFormatting sqref="Q28">
    <cfRule type="expression" dxfId="16" priority="1">
      <formula>_xlfn.ISFORMULA(Q28)=TRUE</formula>
    </cfRule>
  </conditionalFormatting>
  <conditionalFormatting sqref="AV4:AV51">
    <cfRule type="expression" dxfId="15" priority="35">
      <formula>AND($AU4&lt;&gt;"",$AV4="")</formula>
    </cfRule>
  </conditionalFormatting>
  <dataValidations count="3">
    <dataValidation type="list" allowBlank="1" sqref="AV4:AV72" xr:uid="{00000000-0002-0000-0100-000000000000}">
      <formula1>$BA$4:$BA$30</formula1>
    </dataValidation>
    <dataValidation type="list" allowBlank="1" sqref="AW4:AW72" xr:uid="{00000000-0002-0000-0100-000001000000}">
      <formula1>"да,нет"</formula1>
    </dataValidation>
    <dataValidation type="list" allowBlank="1" showInputMessage="1" showErrorMessage="1" sqref="BD4:BD51" xr:uid="{EF339BF2-DB48-46C9-A064-E861B2534CC7}">
      <formula1>"да,нет"</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3032A-B900-4EC2-9A7A-BCF9E44CD087}">
  <sheetPr codeName="Лист16">
    <tabColor rgb="FF7030A0"/>
  </sheetPr>
  <dimension ref="B1:AD79"/>
  <sheetViews>
    <sheetView workbookViewId="0"/>
  </sheetViews>
  <sheetFormatPr defaultRowHeight="14.4" x14ac:dyDescent="0.3"/>
  <cols>
    <col min="2" max="2" width="34.77734375" customWidth="1"/>
    <col min="3" max="9" width="13.77734375" customWidth="1"/>
    <col min="27" max="31" width="0" hidden="1" customWidth="1"/>
  </cols>
  <sheetData>
    <row r="1" spans="2:30" ht="18" x14ac:dyDescent="0.35">
      <c r="B1" s="112" t="s">
        <v>1269</v>
      </c>
    </row>
    <row r="2" spans="2:30" x14ac:dyDescent="0.3">
      <c r="AA2" t="s">
        <v>1272</v>
      </c>
      <c r="AB2" t="s">
        <v>1273</v>
      </c>
      <c r="AC2" t="s">
        <v>1274</v>
      </c>
      <c r="AD2" t="s">
        <v>1275</v>
      </c>
    </row>
    <row r="3" spans="2:30" x14ac:dyDescent="0.3">
      <c r="B3" t="s">
        <v>1271</v>
      </c>
      <c r="C3" s="113" t="s">
        <v>151</v>
      </c>
      <c r="D3" t="str">
        <f>"Вводов: "&amp;_xlfn.XLOOKUP($C$3,Щиты[Щит],Щиты[Вводов],"")&amp;", АВР: "&amp;_xlfn.XLOOKUP($C$3,Щиты[Щит],Щиты[АВР],"")&amp;", ИБП питается от: "&amp;_xlfn.XLOOKUP($C$3,Щиты[Щит],Щиты[ИБП от],"Ввод 1")</f>
        <v>Вводов: 2, АВР: да, ИБП питается от: Ввод 1</v>
      </c>
      <c r="E3" t="s">
        <v>1270</v>
      </c>
      <c r="AA3" cm="1">
        <f t="array" ref="AA3:AA57">--(ISNUMBER(SEARCH("|"&amp;$C$3&amp;"|",Линии[_путь щита]))*(Линии[Номер линии]&lt;&gt;""))</f>
        <v>1</v>
      </c>
      <c r="AB3" t="str" cm="1">
        <f t="array" ref="AB3:AB57">IFERROR(_xlfn.TEXTBEFORE(_xlfn.TEXTAFTER(Линии[_путь щита],"|"&amp;$C$3&amp;"|"),"|"),"")</f>
        <v/>
      </c>
      <c r="AC3" t="str" cm="1">
        <f t="array" ref="AC3:AC57">IF(_xlfn.ANCHORARRAY(AB3)="",Линии[Источник для режимов],_xlfn.XLOOKUP(_xlfn.ANCHORARRAY(AB3),Щиты[Щит],Щиты[Источник фидера],"Ввод 1"))</f>
        <v>Ввод 1</v>
      </c>
      <c r="AD3" t="str" cm="1">
        <f t="array" ref="AD3:AD57">IF(_xlfn.ANCHORARRAY(AB3)="",Линии[Пожарная (итог)],IF(_xlfn.XLOOKUP(_xlfn.ANCHORARRAY(AB3),Щиты[Щит],Щиты[Пожарный фидер],"нет")="да","да",Линии[Пожарная (итог)]))</f>
        <v>нет</v>
      </c>
    </row>
    <row r="4" spans="2:30" x14ac:dyDescent="0.3">
      <c r="AA4">
        <v>1</v>
      </c>
      <c r="AB4" t="str">
        <v/>
      </c>
      <c r="AC4" t="str">
        <v>Ввод 2</v>
      </c>
      <c r="AD4" t="str">
        <v>нет</v>
      </c>
    </row>
    <row r="5" spans="2:30" x14ac:dyDescent="0.3">
      <c r="B5" t="s">
        <v>1276</v>
      </c>
      <c r="C5" cm="1">
        <f t="array" ref="C5">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fn.LET(_xlpm.r,_xlpm.РАСЧЁТ(_xlfn.ANCHORARRAY(AA3)*(_xlfn.ANCHORARRAY(AC3)="ИБП")*(_xlfn.ANCHORARRAY(AD3)="нет"),0,0),INDEX(_xlpm.r,5)/ИБП_КПД*(1+ИБП_заряд)))</f>
        <v>0</v>
      </c>
      <c r="D5">
        <f>C5*TAN(ACOS(ИБП_cos_вх))</f>
        <v>0</v>
      </c>
      <c r="E5" s="120" t="str">
        <f>_xlfn.XLOOKUP($C$3,Щиты[Щит],Щиты[ИБП от],"Ввод 1")&amp;""</f>
        <v>Ввод 1</v>
      </c>
      <c r="AA5">
        <v>1</v>
      </c>
      <c r="AB5" t="str">
        <v/>
      </c>
      <c r="AC5" t="str">
        <v>Ввод 1</v>
      </c>
      <c r="AD5" t="str">
        <v>нет</v>
      </c>
    </row>
    <row r="6" spans="2:30" x14ac:dyDescent="0.3">
      <c r="AA6">
        <v>1</v>
      </c>
      <c r="AB6" t="str">
        <v/>
      </c>
      <c r="AC6" t="str">
        <v>Ввод 1</v>
      </c>
      <c r="AD6" t="str">
        <v>нет</v>
      </c>
    </row>
    <row r="7" spans="2:30" x14ac:dyDescent="0.3">
      <c r="B7" s="36" t="s">
        <v>1277</v>
      </c>
      <c r="AA7">
        <v>1</v>
      </c>
      <c r="AB7" t="str">
        <v/>
      </c>
      <c r="AC7" t="str">
        <v>Ввод 1</v>
      </c>
      <c r="AD7" t="str">
        <v>нет</v>
      </c>
    </row>
    <row r="8" spans="2:30" x14ac:dyDescent="0.3">
      <c r="B8" s="121" t="s">
        <v>749</v>
      </c>
      <c r="C8" s="122" t="s">
        <v>785</v>
      </c>
      <c r="D8" s="122" t="s">
        <v>794</v>
      </c>
      <c r="E8" s="122" t="s">
        <v>795</v>
      </c>
      <c r="F8" s="122" t="s">
        <v>796</v>
      </c>
      <c r="G8" s="122" t="s">
        <v>797</v>
      </c>
      <c r="H8" s="122" t="s">
        <v>1278</v>
      </c>
      <c r="AA8">
        <v>1</v>
      </c>
      <c r="AB8" t="str">
        <v/>
      </c>
      <c r="AC8" t="str">
        <v>Ввод 1</v>
      </c>
      <c r="AD8" t="str">
        <v>нет</v>
      </c>
    </row>
    <row r="9" spans="2:30" x14ac:dyDescent="0.3">
      <c r="B9" t="s">
        <v>752</v>
      </c>
      <c r="C9" s="6" cm="1">
        <f t="array" ref="C9:C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1")*(_xlfn.ANCHORARRAY(AD3)="нет"),IF(OR($E$5="Ввод 1"),$C$5,0),IF(OR($E$5="Ввод 1"),$D$5,0)))</f>
        <v>38.529999999999994</v>
      </c>
      <c r="D9" s="6" cm="1">
        <f t="array" ref="D9:D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2")*(_xlfn.ANCHORARRAY(AD3)="нет"),IF(OR($E$5="Ввод 2"),$C$5,0),IF(OR($E$5="Ввод 2"),$D$5,0)))</f>
        <v>2</v>
      </c>
      <c r="E9" s="6" cm="1">
        <f t="array" ref="E9:E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F9" s="6" cm="1">
        <f t="array" ref="F9:F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G9" s="6" cm="1">
        <f t="array" ref="G9:G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H9" s="6" cm="1">
        <f t="array" ref="H9:H16">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3"))*(_xlfn.ANCHORARRAY(AD3)="нет"),IF(OR($E$5="Ввод 1",$E$5="Ввод 2",$E$5="Ввод 3"),$C$5,0),IF(OR($E$5="Ввод 1",$E$5="Ввод 2",$E$5="Ввод 3"),$D$5,0)))</f>
        <v>40.529999999999994</v>
      </c>
      <c r="AA9">
        <v>1</v>
      </c>
      <c r="AB9" t="str">
        <v/>
      </c>
      <c r="AC9" t="str">
        <v>Ввод 1</v>
      </c>
      <c r="AD9" t="str">
        <v>нет</v>
      </c>
    </row>
    <row r="10" spans="2:30" x14ac:dyDescent="0.3">
      <c r="B10" t="s">
        <v>1279</v>
      </c>
      <c r="C10" s="6">
        <v>0.74025798079418659</v>
      </c>
      <c r="D10" s="6">
        <v>1</v>
      </c>
      <c r="E10" s="6">
        <v>0</v>
      </c>
      <c r="F10" s="6">
        <v>0</v>
      </c>
      <c r="G10" s="6">
        <v>0</v>
      </c>
      <c r="H10" s="6">
        <v>0.75307525289908728</v>
      </c>
      <c r="AA10">
        <v>1</v>
      </c>
      <c r="AB10" t="str">
        <v/>
      </c>
      <c r="AC10" t="str">
        <v>Ввод 1</v>
      </c>
      <c r="AD10" t="str">
        <v>да</v>
      </c>
    </row>
    <row r="11" spans="2:30" x14ac:dyDescent="0.3">
      <c r="B11" t="s">
        <v>750</v>
      </c>
      <c r="C11" s="6">
        <v>0.89841681806384677</v>
      </c>
      <c r="D11" s="6">
        <v>0.95000000000000007</v>
      </c>
      <c r="E11" s="6">
        <v>0</v>
      </c>
      <c r="F11" s="6">
        <v>0</v>
      </c>
      <c r="G11" s="6">
        <v>0</v>
      </c>
      <c r="H11" s="6">
        <v>0.90096225018504861</v>
      </c>
      <c r="AA11">
        <v>1</v>
      </c>
      <c r="AB11" t="str">
        <v/>
      </c>
      <c r="AC11" t="str">
        <v>Ввод 1</v>
      </c>
      <c r="AD11" t="str">
        <v>да</v>
      </c>
    </row>
    <row r="12" spans="2:30" x14ac:dyDescent="0.3">
      <c r="B12" t="s">
        <v>762</v>
      </c>
      <c r="C12" s="6">
        <v>0.48879732362918721</v>
      </c>
      <c r="D12" s="6">
        <v>0.32868410517886321</v>
      </c>
      <c r="E12" s="6">
        <v>0</v>
      </c>
      <c r="F12" s="6">
        <v>0</v>
      </c>
      <c r="G12" s="6">
        <v>0</v>
      </c>
      <c r="H12" s="6">
        <v>0.4815934081501011</v>
      </c>
      <c r="AA12">
        <v>1</v>
      </c>
      <c r="AB12" t="str">
        <v/>
      </c>
      <c r="AC12" t="str">
        <v>Ввод 2</v>
      </c>
      <c r="AD12" t="str">
        <v>нет</v>
      </c>
    </row>
    <row r="13" spans="2:30" x14ac:dyDescent="0.3">
      <c r="B13" t="s">
        <v>791</v>
      </c>
      <c r="C13" s="6">
        <v>28.522140000000004</v>
      </c>
      <c r="D13" s="6">
        <v>2</v>
      </c>
      <c r="E13" s="6">
        <v>0</v>
      </c>
      <c r="F13" s="6">
        <v>0</v>
      </c>
      <c r="G13" s="6">
        <v>0</v>
      </c>
      <c r="H13" s="6">
        <v>30.522140000000004</v>
      </c>
      <c r="AA13">
        <v>1</v>
      </c>
      <c r="AB13" t="str">
        <v/>
      </c>
      <c r="AC13" t="str">
        <v>Ввод 1</v>
      </c>
      <c r="AD13" t="str">
        <v>нет</v>
      </c>
    </row>
    <row r="14" spans="2:30" x14ac:dyDescent="0.3">
      <c r="B14" t="s">
        <v>792</v>
      </c>
      <c r="C14" s="6">
        <v>13.941545696176988</v>
      </c>
      <c r="D14" s="6">
        <v>0.65736821035772641</v>
      </c>
      <c r="E14" s="6">
        <v>0</v>
      </c>
      <c r="F14" s="6">
        <v>0</v>
      </c>
      <c r="G14" s="6">
        <v>0</v>
      </c>
      <c r="H14" s="6">
        <v>14.699261426634529</v>
      </c>
      <c r="AA14">
        <v>1</v>
      </c>
      <c r="AB14" t="str">
        <v/>
      </c>
      <c r="AC14" t="str">
        <v>Ввод 1</v>
      </c>
      <c r="AD14" t="str">
        <v>нет</v>
      </c>
    </row>
    <row r="15" spans="2:30" x14ac:dyDescent="0.3">
      <c r="B15" t="s">
        <v>793</v>
      </c>
      <c r="C15" s="6">
        <v>31.747112728218156</v>
      </c>
      <c r="D15" s="6">
        <v>2.1052631578947367</v>
      </c>
      <c r="E15" s="6">
        <v>0</v>
      </c>
      <c r="F15" s="6">
        <v>0</v>
      </c>
      <c r="G15" s="6">
        <v>0</v>
      </c>
      <c r="H15" s="6">
        <v>33.877268435754175</v>
      </c>
      <c r="AA15">
        <v>1</v>
      </c>
      <c r="AB15" t="str">
        <v/>
      </c>
      <c r="AC15" t="str">
        <v>Ввод 1</v>
      </c>
      <c r="AD15" t="str">
        <v>нет</v>
      </c>
    </row>
    <row r="16" spans="2:30" x14ac:dyDescent="0.3">
      <c r="B16" t="s">
        <v>754</v>
      </c>
      <c r="C16" s="6">
        <v>45.82301019907537</v>
      </c>
      <c r="D16" s="6">
        <v>3.0386856273138196</v>
      </c>
      <c r="E16" s="6">
        <v>0</v>
      </c>
      <c r="F16" s="6">
        <v>0</v>
      </c>
      <c r="G16" s="6">
        <v>0</v>
      </c>
      <c r="H16" s="6">
        <v>48.897625126979712</v>
      </c>
      <c r="AA16">
        <v>1</v>
      </c>
      <c r="AB16" t="str">
        <v>ЩБП</v>
      </c>
      <c r="AC16" t="str">
        <v>Ввод 1</v>
      </c>
      <c r="AD16" t="str">
        <v>нет</v>
      </c>
    </row>
    <row r="17" spans="2:30" x14ac:dyDescent="0.3">
      <c r="AA17">
        <v>1</v>
      </c>
      <c r="AB17" t="str">
        <v>ЩБП</v>
      </c>
      <c r="AC17" t="str">
        <v>Ввод 1</v>
      </c>
      <c r="AD17" t="str">
        <v>нет</v>
      </c>
    </row>
    <row r="18" spans="2:30" x14ac:dyDescent="0.3">
      <c r="B18" s="36" t="s">
        <v>1280</v>
      </c>
      <c r="AA18">
        <v>1</v>
      </c>
      <c r="AB18" t="str">
        <v>ЩБП</v>
      </c>
      <c r="AC18" t="str">
        <v>Ввод 1</v>
      </c>
      <c r="AD18" t="str">
        <v>нет</v>
      </c>
    </row>
    <row r="19" spans="2:30" x14ac:dyDescent="0.3">
      <c r="B19" s="121" t="s">
        <v>749</v>
      </c>
      <c r="C19" s="122" t="s">
        <v>794</v>
      </c>
      <c r="D19" s="122" t="s">
        <v>795</v>
      </c>
      <c r="AA19">
        <v>1</v>
      </c>
      <c r="AB19" t="str">
        <v>ЩБП</v>
      </c>
      <c r="AC19" t="str">
        <v>Ввод 1</v>
      </c>
      <c r="AD19" t="str">
        <v>нет</v>
      </c>
    </row>
    <row r="20" spans="2:30" x14ac:dyDescent="0.3">
      <c r="B20" t="s">
        <v>752</v>
      </c>
      <c r="C20" s="6" cm="1">
        <f t="array" ref="C20:C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40.529999999999994</v>
      </c>
      <c r="D20" s="6" cm="1">
        <f t="array" ref="D20:D27">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AA20">
        <v>1</v>
      </c>
      <c r="AB20" t="str">
        <v>ЩБП</v>
      </c>
      <c r="AC20" t="str">
        <v>Ввод 1</v>
      </c>
      <c r="AD20" t="str">
        <v>нет</v>
      </c>
    </row>
    <row r="21" spans="2:30" x14ac:dyDescent="0.3">
      <c r="B21" t="s">
        <v>1279</v>
      </c>
      <c r="C21" s="6">
        <v>0.75307525289908728</v>
      </c>
      <c r="D21" s="6">
        <v>0</v>
      </c>
      <c r="AA21">
        <v>1</v>
      </c>
      <c r="AB21" t="str">
        <v>ЩБП</v>
      </c>
      <c r="AC21" t="str">
        <v>Ввод 1</v>
      </c>
      <c r="AD21" t="str">
        <v>нет</v>
      </c>
    </row>
    <row r="22" spans="2:30" x14ac:dyDescent="0.3">
      <c r="B22" t="s">
        <v>750</v>
      </c>
      <c r="C22" s="6">
        <v>0.90096225018504861</v>
      </c>
      <c r="D22" s="6">
        <v>0</v>
      </c>
      <c r="AA22">
        <v>1</v>
      </c>
      <c r="AB22" t="str">
        <v>ЩБП</v>
      </c>
      <c r="AC22" t="str">
        <v>Ввод 1</v>
      </c>
      <c r="AD22" t="str">
        <v>нет</v>
      </c>
    </row>
    <row r="23" spans="2:30" x14ac:dyDescent="0.3">
      <c r="B23" t="s">
        <v>762</v>
      </c>
      <c r="C23" s="6">
        <v>0.4815934081501011</v>
      </c>
      <c r="D23" s="6">
        <v>0</v>
      </c>
      <c r="AA23">
        <v>1</v>
      </c>
      <c r="AB23" t="str">
        <v>ЩГП</v>
      </c>
      <c r="AC23" t="str">
        <v>Ввод 1</v>
      </c>
      <c r="AD23" t="str">
        <v>нет</v>
      </c>
    </row>
    <row r="24" spans="2:30" x14ac:dyDescent="0.3">
      <c r="B24" t="s">
        <v>791</v>
      </c>
      <c r="C24" s="6">
        <v>30.522140000000004</v>
      </c>
      <c r="D24" s="6">
        <v>0</v>
      </c>
      <c r="AA24">
        <v>1</v>
      </c>
      <c r="AB24" t="str">
        <v>ЩГП</v>
      </c>
      <c r="AC24" t="str">
        <v>Ввод 1</v>
      </c>
      <c r="AD24" t="str">
        <v>нет</v>
      </c>
    </row>
    <row r="25" spans="2:30" x14ac:dyDescent="0.3">
      <c r="B25" t="s">
        <v>792</v>
      </c>
      <c r="C25" s="6">
        <v>14.699261426634529</v>
      </c>
      <c r="D25" s="6">
        <v>0</v>
      </c>
      <c r="AA25">
        <v>1</v>
      </c>
      <c r="AB25" t="str">
        <v>ЩГП</v>
      </c>
      <c r="AC25" t="str">
        <v>Ввод 1</v>
      </c>
      <c r="AD25" t="str">
        <v>нет</v>
      </c>
    </row>
    <row r="26" spans="2:30" x14ac:dyDescent="0.3">
      <c r="B26" t="s">
        <v>793</v>
      </c>
      <c r="C26" s="6">
        <v>33.877268435754175</v>
      </c>
      <c r="D26" s="6">
        <v>0</v>
      </c>
      <c r="AA26">
        <v>1</v>
      </c>
      <c r="AB26" t="str">
        <v>ЩР-1</v>
      </c>
      <c r="AC26" t="str">
        <v>Ввод 1</v>
      </c>
      <c r="AD26" t="str">
        <v>нет</v>
      </c>
    </row>
    <row r="27" spans="2:30" x14ac:dyDescent="0.3">
      <c r="B27" t="s">
        <v>754</v>
      </c>
      <c r="C27" s="6">
        <v>48.897625126979712</v>
      </c>
      <c r="D27" s="6">
        <v>0</v>
      </c>
      <c r="AA27">
        <v>1</v>
      </c>
      <c r="AB27" t="str">
        <v>ЩР-1</v>
      </c>
      <c r="AC27" t="str">
        <v>Ввод 1</v>
      </c>
      <c r="AD27" t="str">
        <v>нет</v>
      </c>
    </row>
    <row r="28" spans="2:30" x14ac:dyDescent="0.3">
      <c r="AA28">
        <v>1</v>
      </c>
      <c r="AB28" t="str">
        <v>ЩР-1</v>
      </c>
      <c r="AC28" t="str">
        <v>Ввод 1</v>
      </c>
      <c r="AD28" t="str">
        <v>нет</v>
      </c>
    </row>
    <row r="29" spans="2:30" x14ac:dyDescent="0.3">
      <c r="B29" s="36" t="s">
        <v>1281</v>
      </c>
      <c r="AA29">
        <v>1</v>
      </c>
      <c r="AB29" t="str">
        <v>ЩР-1</v>
      </c>
      <c r="AC29" t="str">
        <v>Ввод 1</v>
      </c>
      <c r="AD29" t="str">
        <v>нет</v>
      </c>
    </row>
    <row r="30" spans="2:30" x14ac:dyDescent="0.3">
      <c r="B30" s="121" t="s">
        <v>749</v>
      </c>
      <c r="C30" s="122" t="s">
        <v>785</v>
      </c>
      <c r="D30" s="122" t="s">
        <v>795</v>
      </c>
      <c r="AA30">
        <v>1</v>
      </c>
      <c r="AB30" t="str">
        <v>ЩР-1</v>
      </c>
      <c r="AC30" t="str">
        <v>Ввод 1</v>
      </c>
      <c r="AD30" t="str">
        <v>нет</v>
      </c>
    </row>
    <row r="31" spans="2:30" x14ac:dyDescent="0.3">
      <c r="B31" t="s">
        <v>752</v>
      </c>
      <c r="C31" s="6" cm="1">
        <f t="array" ref="C31:C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2"))*(_xlfn.ANCHORARRAY(AD3)="нет"),IF(OR($E$5="Ввод 1",$E$5="Ввод 2"),$C$5,0),IF(OR($E$5="Ввод 1",$E$5="Ввод 2"),$D$5,0)))</f>
        <v>40.529999999999994</v>
      </c>
      <c r="D31" s="6" cm="1">
        <f t="array" ref="D31:D38">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3")*(_xlfn.ANCHORARRAY(AD3)="нет"),IF(OR($E$5="Ввод 3"),$C$5,0),IF(OR($E$5="Ввод 3"),$D$5,0)))</f>
        <v>0</v>
      </c>
      <c r="AA31">
        <v>1</v>
      </c>
      <c r="AB31" t="str">
        <v>ЩР-1</v>
      </c>
      <c r="AC31" t="str">
        <v>Ввод 1</v>
      </c>
      <c r="AD31" t="str">
        <v>нет</v>
      </c>
    </row>
    <row r="32" spans="2:30" x14ac:dyDescent="0.3">
      <c r="B32" t="s">
        <v>1279</v>
      </c>
      <c r="C32" s="6">
        <v>0.75307525289908728</v>
      </c>
      <c r="D32" s="6">
        <v>0</v>
      </c>
      <c r="AA32">
        <v>1</v>
      </c>
      <c r="AB32" t="str">
        <v>ЩР-1</v>
      </c>
      <c r="AC32" t="str">
        <v>Ввод 1</v>
      </c>
      <c r="AD32" t="str">
        <v>нет</v>
      </c>
    </row>
    <row r="33" spans="2:30" x14ac:dyDescent="0.3">
      <c r="B33" t="s">
        <v>750</v>
      </c>
      <c r="C33" s="6">
        <v>0.90096225018504861</v>
      </c>
      <c r="D33" s="6">
        <v>0</v>
      </c>
      <c r="AA33">
        <v>1</v>
      </c>
      <c r="AB33" t="str">
        <v>ЩР-1</v>
      </c>
      <c r="AC33" t="str">
        <v>Ввод 1</v>
      </c>
      <c r="AD33" t="str">
        <v>нет</v>
      </c>
    </row>
    <row r="34" spans="2:30" x14ac:dyDescent="0.3">
      <c r="B34" t="s">
        <v>762</v>
      </c>
      <c r="C34" s="6">
        <v>0.4815934081501011</v>
      </c>
      <c r="D34" s="6">
        <v>0</v>
      </c>
      <c r="AA34">
        <v>0</v>
      </c>
      <c r="AB34" t="str">
        <v>ЩР-1</v>
      </c>
      <c r="AC34" t="str">
        <v>Ввод 1</v>
      </c>
      <c r="AD34" t="str">
        <v/>
      </c>
    </row>
    <row r="35" spans="2:30" x14ac:dyDescent="0.3">
      <c r="B35" t="s">
        <v>791</v>
      </c>
      <c r="C35" s="6">
        <v>30.522140000000004</v>
      </c>
      <c r="D35" s="6">
        <v>0</v>
      </c>
      <c r="AA35">
        <v>1</v>
      </c>
      <c r="AB35" t="str">
        <v>ЩР-1</v>
      </c>
      <c r="AC35" t="str">
        <v>Ввод 1</v>
      </c>
      <c r="AD35" t="str">
        <v>нет</v>
      </c>
    </row>
    <row r="36" spans="2:30" x14ac:dyDescent="0.3">
      <c r="B36" t="s">
        <v>792</v>
      </c>
      <c r="C36" s="6">
        <v>14.699261426634529</v>
      </c>
      <c r="D36" s="6">
        <v>0</v>
      </c>
      <c r="AA36">
        <v>1</v>
      </c>
      <c r="AB36" t="str">
        <v>ЩР-1</v>
      </c>
      <c r="AC36" t="str">
        <v>Ввод 1</v>
      </c>
      <c r="AD36" t="str">
        <v>нет</v>
      </c>
    </row>
    <row r="37" spans="2:30" x14ac:dyDescent="0.3">
      <c r="B37" t="s">
        <v>793</v>
      </c>
      <c r="C37" s="6">
        <v>33.877268435754175</v>
      </c>
      <c r="D37" s="6">
        <v>0</v>
      </c>
      <c r="AA37">
        <v>1</v>
      </c>
      <c r="AB37" t="str">
        <v>ЩР-1</v>
      </c>
      <c r="AC37" t="str">
        <v>Ввод 1</v>
      </c>
      <c r="AD37" t="str">
        <v>нет</v>
      </c>
    </row>
    <row r="38" spans="2:30" x14ac:dyDescent="0.3">
      <c r="B38" t="s">
        <v>754</v>
      </c>
      <c r="C38" s="6">
        <v>48.897625126979712</v>
      </c>
      <c r="D38" s="6">
        <v>0</v>
      </c>
      <c r="AA38">
        <v>0</v>
      </c>
      <c r="AB38" t="str">
        <v>ЩР-1</v>
      </c>
      <c r="AC38" t="str">
        <v>Ввод 1</v>
      </c>
      <c r="AD38" t="str">
        <v/>
      </c>
    </row>
    <row r="39" spans="2:30" x14ac:dyDescent="0.3">
      <c r="AA39">
        <v>1</v>
      </c>
      <c r="AB39" t="str">
        <v>ЩР-1</v>
      </c>
      <c r="AC39" t="str">
        <v>Ввод 1</v>
      </c>
      <c r="AD39" t="str">
        <v>нет</v>
      </c>
    </row>
    <row r="40" spans="2:30" x14ac:dyDescent="0.3">
      <c r="B40" s="36" t="s">
        <v>1282</v>
      </c>
      <c r="AA40">
        <v>1</v>
      </c>
      <c r="AB40" t="str">
        <v>ЩР-1</v>
      </c>
      <c r="AC40" t="str">
        <v>Ввод 1</v>
      </c>
      <c r="AD40" t="str">
        <v>нет</v>
      </c>
    </row>
    <row r="41" spans="2:30" x14ac:dyDescent="0.3">
      <c r="B41" s="121" t="s">
        <v>749</v>
      </c>
      <c r="C41" s="122" t="s">
        <v>796</v>
      </c>
      <c r="D41" s="122" t="s">
        <v>797</v>
      </c>
      <c r="AA41">
        <v>1</v>
      </c>
      <c r="AB41" t="str">
        <v>ЩР-1</v>
      </c>
      <c r="AC41" t="str">
        <v>Ввод 1</v>
      </c>
      <c r="AD41" t="str">
        <v>нет</v>
      </c>
    </row>
    <row r="42" spans="2:30" x14ac:dyDescent="0.3">
      <c r="B42" t="s">
        <v>752</v>
      </c>
      <c r="C42" s="6" cm="1">
        <f t="array" ref="C42:C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нет"),0,0))</f>
        <v>0</v>
      </c>
      <c r="D42" s="6" cm="1">
        <f t="array" ref="D42:D49">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нет"),0,0))</f>
        <v>0</v>
      </c>
      <c r="AA42">
        <v>1</v>
      </c>
      <c r="AB42" t="str">
        <v>ЩР-1</v>
      </c>
      <c r="AC42" t="str">
        <v>Ввод 1</v>
      </c>
      <c r="AD42" t="str">
        <v>нет</v>
      </c>
    </row>
    <row r="43" spans="2:30" x14ac:dyDescent="0.3">
      <c r="B43" t="s">
        <v>1279</v>
      </c>
      <c r="C43" s="6">
        <v>0</v>
      </c>
      <c r="D43" s="6">
        <v>0</v>
      </c>
      <c r="AA43">
        <v>1</v>
      </c>
      <c r="AB43" t="str">
        <v>ЩР-1</v>
      </c>
      <c r="AC43" t="str">
        <v>Ввод 1</v>
      </c>
      <c r="AD43" t="str">
        <v>нет</v>
      </c>
    </row>
    <row r="44" spans="2:30" x14ac:dyDescent="0.3">
      <c r="B44" t="s">
        <v>750</v>
      </c>
      <c r="C44" s="6">
        <v>0</v>
      </c>
      <c r="D44" s="6">
        <v>0</v>
      </c>
      <c r="AA44">
        <v>1</v>
      </c>
      <c r="AB44" t="str">
        <v>ЩР-1</v>
      </c>
      <c r="AC44" t="str">
        <v>Ввод 1</v>
      </c>
      <c r="AD44" t="str">
        <v>нет</v>
      </c>
    </row>
    <row r="45" spans="2:30" x14ac:dyDescent="0.3">
      <c r="B45" t="s">
        <v>762</v>
      </c>
      <c r="C45" s="6">
        <v>0</v>
      </c>
      <c r="D45" s="6">
        <v>0</v>
      </c>
      <c r="AA45">
        <v>1</v>
      </c>
      <c r="AB45" t="str">
        <v>ЩР-1</v>
      </c>
      <c r="AC45" t="str">
        <v>Ввод 1</v>
      </c>
      <c r="AD45" t="str">
        <v>нет</v>
      </c>
    </row>
    <row r="46" spans="2:30" x14ac:dyDescent="0.3">
      <c r="B46" t="s">
        <v>791</v>
      </c>
      <c r="C46" s="6">
        <v>0</v>
      </c>
      <c r="D46" s="6">
        <v>0</v>
      </c>
      <c r="AA46">
        <v>1</v>
      </c>
      <c r="AB46" t="str">
        <v>ЩР-1</v>
      </c>
      <c r="AC46" t="str">
        <v>Ввод 1</v>
      </c>
      <c r="AD46" t="str">
        <v>нет</v>
      </c>
    </row>
    <row r="47" spans="2:30" x14ac:dyDescent="0.3">
      <c r="B47" t="s">
        <v>792</v>
      </c>
      <c r="C47" s="6">
        <v>0</v>
      </c>
      <c r="D47" s="6">
        <v>0</v>
      </c>
      <c r="AA47">
        <v>1</v>
      </c>
      <c r="AB47" t="str">
        <v>ЩР-1</v>
      </c>
      <c r="AC47" t="str">
        <v>Ввод 1</v>
      </c>
      <c r="AD47" t="str">
        <v>нет</v>
      </c>
    </row>
    <row r="48" spans="2:30" x14ac:dyDescent="0.3">
      <c r="B48" t="s">
        <v>793</v>
      </c>
      <c r="C48" s="6">
        <v>0</v>
      </c>
      <c r="D48" s="6">
        <v>0</v>
      </c>
      <c r="AA48">
        <v>1</v>
      </c>
      <c r="AB48" t="str">
        <v>ЩС</v>
      </c>
      <c r="AC48" t="str">
        <v>Ввод 1</v>
      </c>
      <c r="AD48" t="str">
        <v>нет</v>
      </c>
    </row>
    <row r="49" spans="2:30" x14ac:dyDescent="0.3">
      <c r="B49" t="s">
        <v>754</v>
      </c>
      <c r="C49" s="6">
        <v>0</v>
      </c>
      <c r="D49" s="6">
        <v>0</v>
      </c>
      <c r="AA49">
        <v>1</v>
      </c>
      <c r="AB49" t="str">
        <v>ЩС</v>
      </c>
      <c r="AC49" t="str">
        <v>Ввод 1</v>
      </c>
      <c r="AD49" t="str">
        <v>нет</v>
      </c>
    </row>
    <row r="50" spans="2:30" x14ac:dyDescent="0.3">
      <c r="AA50">
        <v>1</v>
      </c>
      <c r="AB50" t="str">
        <v>ЩС</v>
      </c>
      <c r="AC50" t="str">
        <v>Ввод 1</v>
      </c>
      <c r="AD50" t="str">
        <v>нет</v>
      </c>
    </row>
    <row r="51" spans="2:30" x14ac:dyDescent="0.3">
      <c r="B51" s="36" t="s">
        <v>1283</v>
      </c>
      <c r="AA51">
        <v>1</v>
      </c>
      <c r="AB51" t="str">
        <v>ЩС</v>
      </c>
      <c r="AC51" t="str">
        <v>Ввод 1</v>
      </c>
      <c r="AD51" t="str">
        <v>нет</v>
      </c>
    </row>
    <row r="52" spans="2:30" x14ac:dyDescent="0.3">
      <c r="B52" s="121" t="s">
        <v>749</v>
      </c>
      <c r="C52" s="122" t="s">
        <v>785</v>
      </c>
      <c r="D52" s="122" t="s">
        <v>794</v>
      </c>
      <c r="E52" s="122" t="s">
        <v>795</v>
      </c>
      <c r="F52" s="122" t="s">
        <v>796</v>
      </c>
      <c r="G52" s="122" t="s">
        <v>797</v>
      </c>
      <c r="H52" s="122" t="s">
        <v>798</v>
      </c>
      <c r="AA52">
        <v>1</v>
      </c>
      <c r="AB52" t="str">
        <v>ЩС</v>
      </c>
      <c r="AC52" t="str">
        <v>Ввод 1</v>
      </c>
      <c r="AD52" t="str">
        <v>нет</v>
      </c>
    </row>
    <row r="53" spans="2:30" x14ac:dyDescent="0.3">
      <c r="B53" t="s">
        <v>752</v>
      </c>
      <c r="C53" s="6" cm="1">
        <f t="array" ref="C53:C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1")*(_xlfn.ANCHORARRAY(AD3)="да"),0,0))</f>
        <v>3.4</v>
      </c>
      <c r="D53" s="6" cm="1">
        <f t="array" ref="D53:D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2")*(_xlfn.ANCHORARRAY(AD3)="да"),0,0))</f>
        <v>0</v>
      </c>
      <c r="E53" s="6" cm="1">
        <f t="array" ref="E53:E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3")*(_xlfn.ANCHORARRAY(AD3)="да"),0,0))</f>
        <v>0</v>
      </c>
      <c r="F53" s="6" cm="1">
        <f t="array" ref="F53:F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ИБП")*(_xlfn.ANCHORARRAY(AD3)="да"),0,0))</f>
        <v>0</v>
      </c>
      <c r="G53" s="6" cm="1">
        <f t="array" ref="G53:G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ДГУ")*(_xlfn.ANCHORARRAY(AD3)="да"),0,0))</f>
        <v>0</v>
      </c>
      <c r="H53" s="6" cm="1">
        <f t="array" ref="H53:H60">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D3)="да"),0,0))</f>
        <v>3.4</v>
      </c>
      <c r="AA53">
        <v>1</v>
      </c>
      <c r="AB53" t="str">
        <v>ЩС</v>
      </c>
      <c r="AC53" t="str">
        <v>Ввод 1</v>
      </c>
      <c r="AD53" t="str">
        <v>нет</v>
      </c>
    </row>
    <row r="54" spans="2:30" x14ac:dyDescent="0.3">
      <c r="B54" t="s">
        <v>1279</v>
      </c>
      <c r="C54" s="6">
        <v>1</v>
      </c>
      <c r="D54" s="6">
        <v>0</v>
      </c>
      <c r="E54" s="6">
        <v>0</v>
      </c>
      <c r="F54" s="6">
        <v>0</v>
      </c>
      <c r="G54" s="6">
        <v>0</v>
      </c>
      <c r="H54" s="6">
        <v>1</v>
      </c>
      <c r="AA54">
        <v>1</v>
      </c>
      <c r="AB54" t="str">
        <v>ЩСПЗ</v>
      </c>
      <c r="AC54" t="str">
        <v>Ввод 1</v>
      </c>
      <c r="AD54" t="str">
        <v>да</v>
      </c>
    </row>
    <row r="55" spans="2:30" x14ac:dyDescent="0.3">
      <c r="B55" t="s">
        <v>750</v>
      </c>
      <c r="C55" s="6">
        <v>0.81764705882352962</v>
      </c>
      <c r="D55" s="6">
        <v>0</v>
      </c>
      <c r="E55" s="6">
        <v>0</v>
      </c>
      <c r="F55" s="6">
        <v>0</v>
      </c>
      <c r="G55" s="6">
        <v>0</v>
      </c>
      <c r="H55" s="6">
        <v>0.81764705882352962</v>
      </c>
      <c r="AA55">
        <v>1</v>
      </c>
      <c r="AB55" t="str">
        <v>ЩСПЗ</v>
      </c>
      <c r="AC55" t="str">
        <v>Ввод 1</v>
      </c>
      <c r="AD55" t="str">
        <v>да</v>
      </c>
    </row>
    <row r="56" spans="2:30" x14ac:dyDescent="0.3">
      <c r="B56" t="s">
        <v>762</v>
      </c>
      <c r="C56" s="6">
        <v>0.70411774003551453</v>
      </c>
      <c r="D56" s="6">
        <v>0</v>
      </c>
      <c r="E56" s="6">
        <v>0</v>
      </c>
      <c r="F56" s="6">
        <v>0</v>
      </c>
      <c r="G56" s="6">
        <v>0</v>
      </c>
      <c r="H56" s="6">
        <v>0.70411774003551453</v>
      </c>
      <c r="AA56">
        <v>1</v>
      </c>
      <c r="AB56" t="str">
        <v>ЩСПЗ</v>
      </c>
      <c r="AC56" t="str">
        <v>Ввод 1</v>
      </c>
      <c r="AD56" t="str">
        <v>да</v>
      </c>
    </row>
    <row r="57" spans="2:30" x14ac:dyDescent="0.3">
      <c r="B57" t="s">
        <v>791</v>
      </c>
      <c r="C57" s="6">
        <v>3.4</v>
      </c>
      <c r="D57" s="6">
        <v>0</v>
      </c>
      <c r="E57" s="6">
        <v>0</v>
      </c>
      <c r="F57" s="6">
        <v>0</v>
      </c>
      <c r="G57" s="6">
        <v>0</v>
      </c>
      <c r="H57" s="6">
        <v>3.4</v>
      </c>
      <c r="AA57">
        <v>1</v>
      </c>
      <c r="AB57" t="str">
        <v>ЩСПЗ</v>
      </c>
      <c r="AC57" t="str">
        <v>Ввод 1</v>
      </c>
      <c r="AD57" t="str">
        <v>да</v>
      </c>
    </row>
    <row r="58" spans="2:30" x14ac:dyDescent="0.3">
      <c r="B58" t="s">
        <v>792</v>
      </c>
      <c r="C58" s="6">
        <v>2.3940003161207493</v>
      </c>
      <c r="D58" s="6">
        <v>0</v>
      </c>
      <c r="E58" s="6">
        <v>0</v>
      </c>
      <c r="F58" s="6">
        <v>0</v>
      </c>
      <c r="G58" s="6">
        <v>0</v>
      </c>
      <c r="H58" s="6">
        <v>2.3940003161207493</v>
      </c>
    </row>
    <row r="59" spans="2:30" x14ac:dyDescent="0.3">
      <c r="B59" t="s">
        <v>793</v>
      </c>
      <c r="C59" s="6">
        <v>4.158273381294963</v>
      </c>
      <c r="D59" s="6">
        <v>0</v>
      </c>
      <c r="E59" s="6">
        <v>0</v>
      </c>
      <c r="F59" s="6">
        <v>0</v>
      </c>
      <c r="G59" s="6">
        <v>0</v>
      </c>
      <c r="H59" s="6">
        <v>4.158273381294963</v>
      </c>
    </row>
    <row r="60" spans="2:30" x14ac:dyDescent="0.3">
      <c r="B60" t="s">
        <v>754</v>
      </c>
      <c r="C60" s="6">
        <v>6.0019506401367559</v>
      </c>
      <c r="D60" s="6">
        <v>0</v>
      </c>
      <c r="E60" s="6">
        <v>0</v>
      </c>
      <c r="F60" s="6">
        <v>0</v>
      </c>
      <c r="G60" s="6">
        <v>0</v>
      </c>
      <c r="H60" s="6">
        <v>6.0019506401367559</v>
      </c>
    </row>
    <row r="62" spans="2:30" x14ac:dyDescent="0.3">
      <c r="B62" s="36" t="s">
        <v>1284</v>
      </c>
    </row>
    <row r="63" spans="2:30" x14ac:dyDescent="0.3">
      <c r="B63" s="121" t="s">
        <v>749</v>
      </c>
      <c r="C63" s="122" t="s">
        <v>1278</v>
      </c>
    </row>
    <row r="64" spans="2:30" x14ac:dyDescent="0.3">
      <c r="B64" t="s">
        <v>752</v>
      </c>
      <c r="C64" s="6" cm="1">
        <f t="array" ref="C64:C71">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_xlpm.РАСЧЁТ(_xlfn.ANCHORARRAY(AA3)*((_xlfn.ANCHORARRAY(AC3)="Ввод 1")+(_xlfn.ANCHORARRAY(AC3)="Ввод 2")+(_xlfn.ANCHORARRAY(AC3)="Ввод 3")),IF(OR($E$5="Ввод 1",$E$5="Ввод 2",$E$5="Ввод 3"),$C$5,0),IF(OR($E$5="Ввод 1",$E$5="Ввод 2",$E$5="Ввод 3"),$D$5,0)))</f>
        <v>43.929999999999993</v>
      </c>
    </row>
    <row r="65" spans="2:3" x14ac:dyDescent="0.3">
      <c r="B65" t="s">
        <v>1279</v>
      </c>
      <c r="C65" s="6">
        <v>0.76535715911677682</v>
      </c>
    </row>
    <row r="66" spans="2:3" x14ac:dyDescent="0.3">
      <c r="B66" t="s">
        <v>750</v>
      </c>
      <c r="C66" s="6">
        <v>0.89451399954473076</v>
      </c>
    </row>
    <row r="67" spans="2:3" x14ac:dyDescent="0.3">
      <c r="B67" t="s">
        <v>762</v>
      </c>
      <c r="C67" s="6">
        <v>0.499757339175815</v>
      </c>
    </row>
    <row r="68" spans="2:3" x14ac:dyDescent="0.3">
      <c r="B68" t="s">
        <v>791</v>
      </c>
      <c r="C68" s="6">
        <v>33.622140000000002</v>
      </c>
    </row>
    <row r="69" spans="2:3" x14ac:dyDescent="0.3">
      <c r="B69" t="s">
        <v>792</v>
      </c>
      <c r="C69" s="6">
        <v>16.802911223796738</v>
      </c>
    </row>
    <row r="70" spans="2:3" x14ac:dyDescent="0.3">
      <c r="B70" t="s">
        <v>793</v>
      </c>
      <c r="C70" s="6">
        <v>37.587047287255679</v>
      </c>
    </row>
    <row r="71" spans="2:3" x14ac:dyDescent="0.3">
      <c r="B71" t="s">
        <v>754</v>
      </c>
      <c r="C71" s="6">
        <v>54.252229673350648</v>
      </c>
    </row>
    <row r="73" spans="2:3" x14ac:dyDescent="0.3">
      <c r="B73" s="36" t="s">
        <v>1285</v>
      </c>
    </row>
    <row r="74" spans="2:3" x14ac:dyDescent="0.3">
      <c r="B74" t="s">
        <v>1286</v>
      </c>
      <c r="C74" s="6" cm="1">
        <f t="array" ref="C74">_xlfn.LET(_xlpm.РАСЧЁТ,_xlfn.LAMBDA(_xlpm.m,_xlpm.ap,_xlpm.aq,_xlfn.LET(_xlpm.byt,SUM(_xlpm.m*Линии[_Руст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pr0,k_пк*_xlpm.byt*_xlpm.kc+_xlpm.ko*_xlpm.sil+_xlpm.post+_xlpm.otop+_xlpm.vng,_xlpm.c0,IF(_xlpm.pw=0,0.95,_xlpm.pc/_xlpm.pw),_xlpm.q0,_xlpm.pr0*TAN(ACOS(_xlpm.c0)),_xlpm.pr,_xlpm.pr0+_xlpm.ap,_xlpm.q,_xlpm.q0+_xlpm.aq,_xlpm.sr,SQRT(_xlpm.pr^2+_xlpm.q^2),_xlfn.VSTACK(_xlpm.pall,IF(_xlpm.pall=0,0,_xlpm.pr/_xlpm.pall),IF(_xlpm.sr=0,0,_xlpm.pr/_xlpm.sr),IF(_xlpm.pr=0,0,_xlpm.q/_xlpm.pr),_xlpm.pr,_xlpm.q,_xlpm.sr,_xlpm.sr/(SQRT(3)*Uн_лин)))),INDEX(_xlpm.РАСЧЁТ(_xlfn.ANCHORARRAY(AA3)*(_xlfn.ANCHORARRAY(AC3)="ИБП")*(_xlfn.ANCHORARRAY(AD3)="нет"),0,0),5))</f>
        <v>0</v>
      </c>
    </row>
    <row r="75" spans="2:3" x14ac:dyDescent="0.3">
      <c r="B75" t="s">
        <v>1287</v>
      </c>
      <c r="C75" s="6">
        <f>C74/ИБП_cos_вых/ИБП_загрузка</f>
        <v>0</v>
      </c>
    </row>
    <row r="76" spans="2:3" x14ac:dyDescent="0.3">
      <c r="B76" t="s">
        <v>1288</v>
      </c>
      <c r="C76" s="6" cm="1">
        <f t="array" ref="C76">IFERROR(MIN(_xlfn._xlws.FILTER(ИБП_ряд,ИБП_ряд&gt;=C75)),"больше ряда")</f>
        <v>6</v>
      </c>
    </row>
    <row r="77" spans="2:3" x14ac:dyDescent="0.3">
      <c r="B77" t="s">
        <v>1289</v>
      </c>
      <c r="C77" s="6">
        <f>IFERROR(C74/ИБП_cos_вых/C76,"")</f>
        <v>0</v>
      </c>
    </row>
    <row r="78" spans="2:3" x14ac:dyDescent="0.3">
      <c r="B78" t="s">
        <v>1290</v>
      </c>
      <c r="C78" s="6">
        <f>C74*1000*ИБП_t/60/(ИБП_U*ИБП_КПД*ИБП_k)</f>
        <v>0</v>
      </c>
    </row>
    <row r="79" spans="2:3" x14ac:dyDescent="0.3">
      <c r="B79" t="s">
        <v>1291</v>
      </c>
      <c r="C79" s="6">
        <f>C5</f>
        <v>0</v>
      </c>
    </row>
  </sheetData>
  <dataValidations count="1">
    <dataValidation type="list" allowBlank="1" showInputMessage="1" showErrorMessage="1" sqref="C3" xr:uid="{7E8B70A5-EA95-4130-BCEB-7ECCAFFE6825}">
      <formula1>Список_щитов</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C2AC0-D2AF-4142-807D-026ADCCE8D9B}">
  <sheetPr codeName="Лист17">
    <tabColor rgb="FF7030A0"/>
  </sheetPr>
  <dimension ref="A1:L200"/>
  <sheetViews>
    <sheetView workbookViewId="0"/>
  </sheetViews>
  <sheetFormatPr defaultRowHeight="14.4" x14ac:dyDescent="0.3"/>
  <cols>
    <col min="1" max="1" width="5.77734375" customWidth="1"/>
    <col min="2" max="2" width="48.77734375" customWidth="1"/>
    <col min="3" max="3" width="11.77734375" customWidth="1"/>
    <col min="4" max="6" width="8.77734375" customWidth="1"/>
    <col min="7" max="10" width="11.77734375" customWidth="1"/>
    <col min="12" max="12" width="60.77734375" customWidth="1"/>
  </cols>
  <sheetData>
    <row r="1" spans="1:12" ht="18" x14ac:dyDescent="0.35">
      <c r="A1" s="112" t="s">
        <v>1292</v>
      </c>
    </row>
    <row r="3" spans="1:12" ht="409.6" x14ac:dyDescent="0.3">
      <c r="B3" t="s">
        <v>758</v>
      </c>
      <c r="C3" s="113" t="s">
        <v>759</v>
      </c>
      <c r="E3" s="36" t="s">
        <v>1295</v>
      </c>
      <c r="L3" s="4" t="s">
        <v>1301</v>
      </c>
    </row>
    <row r="4" spans="1:12" x14ac:dyDescent="0.3">
      <c r="B4" t="s">
        <v>1293</v>
      </c>
      <c r="C4" s="113" t="s">
        <v>151</v>
      </c>
      <c r="E4" t="s">
        <v>764</v>
      </c>
      <c r="G4" t="str">
        <f>"~"&amp;FIXED(Uн_лин*1000,0)&amp;"/"&amp;FIXED(Uн_лин*1000/SQRT(3),0)&amp;" В, 50 Гц"</f>
        <v>~400/231 В, 50 Гц</v>
      </c>
    </row>
    <row r="5" spans="1:12" x14ac:dyDescent="0.3">
      <c r="B5" t="s">
        <v>761</v>
      </c>
      <c r="C5" s="113" t="s">
        <v>1294</v>
      </c>
      <c r="E5" t="s">
        <v>765</v>
      </c>
      <c r="G5" t="s">
        <v>766</v>
      </c>
    </row>
    <row r="6" spans="1:12" x14ac:dyDescent="0.3">
      <c r="E6" t="s">
        <v>767</v>
      </c>
      <c r="G6" t="str">
        <f>_xlfn.XLOOKUP($C$4,Щиты[Щит],Щиты[Категория шины «Ввод»],"")</f>
        <v>I</v>
      </c>
    </row>
    <row r="7" spans="1:12" x14ac:dyDescent="0.3">
      <c r="E7" t="s">
        <v>768</v>
      </c>
      <c r="G7" t="str">
        <f>FIXED(C16,2)</f>
        <v>40,53</v>
      </c>
    </row>
    <row r="8" spans="1:12" x14ac:dyDescent="0.3">
      <c r="E8" t="s">
        <v>769</v>
      </c>
      <c r="G8" t="str">
        <f>FIXED(G16,2)&amp;" / "&amp;FIXED(I16,2)&amp;" / "&amp;FIXED(IF(I16=0,0,G16/I16),2)</f>
        <v>30,52 / 33,88 / 0,90</v>
      </c>
    </row>
    <row r="9" spans="1:12" x14ac:dyDescent="0.3">
      <c r="E9" t="s">
        <v>770</v>
      </c>
      <c r="G9" t="str">
        <f>FIXED(J16,1)</f>
        <v>48,9</v>
      </c>
    </row>
    <row r="10" spans="1:12" x14ac:dyDescent="0.3">
      <c r="E10" t="s">
        <v>1296</v>
      </c>
      <c r="G10" t="str">
        <f>IFERROR(FIXED(_xlfn.XLOOKUP($C$4,Щиты[Щит],Щиты[ΔU до шин, %]),2),"—")</f>
        <v>0,37</v>
      </c>
    </row>
    <row r="11" spans="1:12" x14ac:dyDescent="0.3">
      <c r="E11" t="s">
        <v>1297</v>
      </c>
      <c r="G11" t="str">
        <f>IFERROR(FIXED(_xlfn.XLOOKUP($C$4,Щиты[Щит],Щиты[Iкз min на шинах, А]),0)&amp;" А / "&amp;FIXED(_xlfn.XLOOKUP($C$4,Щиты[Щит],Щиты[Iкз max на шинах, кА]),1)&amp;" кА","нет данных сети")</f>
        <v>1 613 А / 5,9 кА</v>
      </c>
    </row>
    <row r="12" spans="1:12" x14ac:dyDescent="0.3">
      <c r="E12" t="s">
        <v>771</v>
      </c>
      <c r="G12" t="str">
        <f>IF(N(G16)=0,"",IF(G16*(IF(G16=0,0,H16/G16)-0.35)&lt;50,"не требуется (&lt; 50 квар на ввод, СП 256 п. 7.3)",ROUND(G16*(H16/G16-0.35),1)&amp;" квар"))</f>
        <v>не требуется (&lt; 50 квар на ввод, СП 256 п. 7.3)</v>
      </c>
    </row>
    <row r="14" spans="1:12" ht="100.8" x14ac:dyDescent="0.3">
      <c r="A14" s="123" t="s">
        <v>657</v>
      </c>
      <c r="B14" s="123" t="s">
        <v>1298</v>
      </c>
      <c r="C14" s="123" t="s">
        <v>752</v>
      </c>
      <c r="D14" s="123" t="s">
        <v>538</v>
      </c>
      <c r="E14" s="123" t="s">
        <v>750</v>
      </c>
      <c r="F14" s="123" t="s">
        <v>762</v>
      </c>
      <c r="G14" s="123" t="s">
        <v>791</v>
      </c>
      <c r="H14" s="123" t="s">
        <v>792</v>
      </c>
      <c r="I14" s="123" t="s">
        <v>793</v>
      </c>
      <c r="J14" s="123" t="s">
        <v>754</v>
      </c>
    </row>
    <row r="15" spans="1:12" x14ac:dyDescent="0.3">
      <c r="A15" s="126"/>
      <c r="B15" s="36" t="s">
        <v>1299</v>
      </c>
      <c r="C15" s="125">
        <f>IFERROR(SUM(INDEX(_xlfn.ANCHORARRAY(A17),0,3)),0)</f>
        <v>40.53</v>
      </c>
      <c r="D15" s="125"/>
      <c r="E15" s="125"/>
      <c r="F15" s="125"/>
      <c r="G15" s="125">
        <f>IFERROR(SUM(INDEX(_xlfn.ANCHORARRAY(A17),0,7)),0)</f>
        <v>31.726890000000001</v>
      </c>
      <c r="H15" s="125">
        <f>IFERROR(SUM(INDEX(_xlfn.ANCHORARRAY(A17),0,8)),0)</f>
        <v>15.109997330958107</v>
      </c>
      <c r="I15" s="125">
        <f>SQRT(G15^2+H15^2)</f>
        <v>35.141251662592516</v>
      </c>
      <c r="J15" s="125">
        <f>I15/(SQRT(3)*Uн_лин)</f>
        <v>50.722027767645436</v>
      </c>
    </row>
    <row r="16" spans="1:12" ht="201.6" x14ac:dyDescent="0.3">
      <c r="A16" s="126"/>
      <c r="B16" s="124" t="s">
        <v>1300</v>
      </c>
      <c r="C16" s="125" cm="1">
        <f t="array" ref="C16:J16">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pr,k_пк*_xlpm.byt*_xlpm.kc+_xlpm.ko*_xlpm.sil+_xlpm.post+_xlpm.otop+_xlpm.vng,_xlpm.qv_,_xlpm.pr*TAN(ACOS(_xlpm.cs_)),_xlfn.HSTACK(_xlpm.pall,IF(_xlpm.pall=0,0,_xlpm.pr/_xlpm.pall),_xlpm.cs_,TAN(ACOS(_xlpm.cs_)),_xlpm.pr,_xlpm.qv_,SQRT(_xlpm.pr^2+_xlpm.qv_^2),SQRT(_xlpm.pr^2+_xlpm.qv_^2)/(SQRT(3)*Uн_лин)))</f>
        <v>40.529999999999994</v>
      </c>
      <c r="D16" s="125">
        <v>0.75307525289908728</v>
      </c>
      <c r="E16" s="125">
        <v>0.90096225018504861</v>
      </c>
      <c r="F16" s="125">
        <v>0.4815934081501011</v>
      </c>
      <c r="G16" s="125">
        <v>30.522140000000004</v>
      </c>
      <c r="H16" s="125">
        <v>14.699261426634529</v>
      </c>
      <c r="I16" s="125">
        <v>33.877268435754175</v>
      </c>
      <c r="J16" s="125">
        <v>48.897625126979712</v>
      </c>
    </row>
    <row r="17" spans="1:10" x14ac:dyDescent="0.3">
      <c r="A17" s="7" cm="1">
        <f t="array" ref="A17:J26">_xlfn.LET(_xlpm.щит_,$C$4,_xlpm.pth,Линии[_путь щита],_xlpm.m0,--ISNUMBER(SEARCH("|"&amp;_xlpm.щит_&amp;"|",_xlpm.pth))*(Линии[Номер линии]&lt;&gt;""),_xlpm.ch,IFERROR(_xlfn.TEXTBEFORE(_xlfn.TEXTAFTER(_xlpm.pth,"|"&amp;_xlpm.щит_&amp;"|"),"|"),""),_xlpm.src,IF(_xlpm.ch="",Линии[Источник для режимов],_xlfn.XLOOKUP(_xlpm.ch,Щиты[Щит],Щиты[Источник фидера],"Ввод 1")),_xlpm.fire,IF(_xlpm.ch="",Линии[Пожарная (итог)],IF(_xlfn.XLOOKUP(_xlpm.ch,Щиты[Щит],Щиты[Пожарный фидер],"нет")="да","да",Линии[Пожарная (итог)])),_xlpm.m,_xlpm.m0*(_xlpm.fire="нет")*IF($C$5="Весь щит",1,_xlpm.src=("Ввод "&amp;RIGHT($C$5,1))),_xlpm.byt,SUM(_xlpm.m*Линии[_Руст быт]),_xlpm.sil,SUM(_xlpm.m*Линии[_Рр сил]),_xlpm.post,SUM(_xlpm.m*Линии[_Руст пост]),_xlpm.otop,SUM(_xlpm.m*Линии[_Р отопления]),_xlpm.vng,SUM(_xlpm.m*Линии[_Рр ВНГ]),_xlpm.pall,SUM(_xlpm.m*Линии[_Руст (без Нет)]),_xlpm.pw,SUM(_xlpm.m*Линии[_P для cos]),_xlpm.pc,SUM(_xlpm.m*Линии[_P·cos]),_xlpm.kc,_xlfn.LET(_xlpm.x,_xlpm.byt,_xlpm.mm,MATCH(_xlpm.x,Кс_Р,1),IF(_xlpm.x&gt;=INDEX(Кс_Р,ROWS(Кс_Р)),INDEX(Кс_К,ROWS(Кс_К)),INDEX(Кс_К,_xlpm.mm)+(_xlpm.x-INDEX(Кс_Р,_xlpm.mm))*(INDEX(Кс_К,_xlpm.mm+1)-INDEX(Кс_К,_xlpm.mm))/(INDEX(Кс_Р,_xlpm.mm+1)-INDEX(Кс_Р,_xlpm.mm)))),_xlpm.ko,IF(Методика="нормы 2026",IF(AND(_xlpm.byt&gt;0,_xlpm.sil&gt;0),Ко_сил,1),Ко_сил),_xlpm.cs_,IF(_xlpm.pw=0,0.95,_xlpm.pc/_xlpm.pw),_xlpm.kinds,_xlfn.UNIQUE(_xlfn._xlws.FILTER(Линии[Вид нагрузки (итог)],_xlpm.m,"")),_xlpm.rows,_xlfn.REDUCE("",_xlpm.kinds,_xlfn.LAMBDA(_xlpm.acc,_xlpm.k,_xlfn.LET(_xlpm.mk,_xlpm.m*(Линии[Вид нагрузки (итог)]=_xlpm.k),_xlpm.bb_,SUM(_xlpm.mk*Линии[_Руст быт]),_xlpm.ss_,SUM(_xlpm.mk*Линии[_Рр сил]),_xlpm.pp_,SUM(_xlpm.mk*Линии[_Руст пост]),_xlpm.oo_,SUM(_xlpm.mk*Линии[_Р отопления]),_xlpm.vv_,SUM(_xlpm.mk*Линии[_Рр ВНГ]),_xlpm.aa_,SUM(_xlpm.mk*Линии[_Руст (без Нет)]),_xlpm.ww_,SUM(_xlpm.mk*Линии[_P для cos]),_xlpm.cc_,SUM(_xlpm.mk*Линии[_P·cos]),_xlpm.cs,IF(_xlpm.ww_=0,0.95,_xlpm.cc_/_xlpm.ww_),_xlpm.prr_,k_пк*_xlpm.bb_*_xlpm.kc+_xlpm.ss_+_xlpm.pp_+_xlpm.oo_+_xlpm.vv_,_xlpm.qq_,_xlpm.prr_*TAN(ACOS(_xlpm.cs)),_xlfn.VSTACK(_xlpm.acc,_xlfn.HSTACK(_xlpm.k,_xlpm.aa_,IF(_xlpm.aa_=0,0,_xlpm.prr_/_xlpm.aa_),_xlpm.cs,TAN(ACOS(_xlpm.cs)),_xlpm.prr_,_xlpm.qq_,SQRT(_xlpm.prr_^2+_xlpm.qq_^2),SQRT(_xlpm.prr_^2+_xlpm.qq_^2)/(SQRT(3)*Uн_лин)))))),_xlpm.b0,_xlfn.DROP(_xlpm.rows,1),_xlpm.body,_xlfn._xlws.FILTER(_xlpm.b0,(_xlfn.CHOOSECOLS(_xlpm.b0,2)&lt;&gt;0)+(_xlfn.CHOOSECOLS(_xlpm.b0,6)&lt;&gt;0),_xlpm.b0),_xlfn.HSTACK(_xlfn.SEQUENCE(ROWS(_xlpm.body)),_xlpm.body))</f>
        <v>1</v>
      </c>
      <c r="B17" t="str">
        <v>Слаботочные системы, автоматизация, KNX</v>
      </c>
      <c r="C17" s="6">
        <v>0.1</v>
      </c>
      <c r="D17" s="6">
        <v>1</v>
      </c>
      <c r="E17" s="6">
        <v>0.95</v>
      </c>
      <c r="F17" s="6">
        <v>0.32868410517886321</v>
      </c>
      <c r="G17" s="6">
        <v>0.1</v>
      </c>
      <c r="H17" s="6">
        <v>3.2868410517886325E-2</v>
      </c>
      <c r="I17" s="6">
        <v>0.10526315789473686</v>
      </c>
      <c r="J17" s="6">
        <v>0.15193428136569101</v>
      </c>
    </row>
    <row r="18" spans="1:10" x14ac:dyDescent="0.3">
      <c r="A18" s="7">
        <v>2</v>
      </c>
      <c r="B18" t="str">
        <v>Розеточная сеть и бытовые приборы</v>
      </c>
      <c r="C18" s="6">
        <v>12.5</v>
      </c>
      <c r="D18" s="6">
        <v>0.74050000000000016</v>
      </c>
      <c r="E18" s="6">
        <v>0.95</v>
      </c>
      <c r="F18" s="6">
        <v>0.32868410517886321</v>
      </c>
      <c r="G18" s="6">
        <v>9.2562500000000014</v>
      </c>
      <c r="H18" s="6">
        <v>3.0423822485618528</v>
      </c>
      <c r="I18" s="6">
        <v>9.7434210526315805</v>
      </c>
      <c r="J18" s="6">
        <v>14.063416918911775</v>
      </c>
    </row>
    <row r="19" spans="1:10" x14ac:dyDescent="0.3">
      <c r="A19" s="7">
        <v>3</v>
      </c>
      <c r="B19" t="str">
        <v>Электроотопление (конвекторы, камины)</v>
      </c>
      <c r="C19" s="6">
        <v>2</v>
      </c>
      <c r="D19" s="6">
        <v>1</v>
      </c>
      <c r="E19" s="6">
        <v>0.95</v>
      </c>
      <c r="F19" s="6">
        <v>0.32868410517886321</v>
      </c>
      <c r="G19" s="6">
        <v>2</v>
      </c>
      <c r="H19" s="6">
        <v>0.65736821035772641</v>
      </c>
      <c r="I19" s="6">
        <v>2.1052631578947367</v>
      </c>
      <c r="J19" s="6">
        <v>3.0386856273138196</v>
      </c>
    </row>
    <row r="20" spans="1:10" x14ac:dyDescent="0.3">
      <c r="A20" s="7">
        <v>4</v>
      </c>
      <c r="B20" t="str">
        <v>Водонагреватели</v>
      </c>
      <c r="C20" s="6">
        <v>5</v>
      </c>
      <c r="D20" s="6">
        <v>0.7</v>
      </c>
      <c r="E20" s="6">
        <v>0.95</v>
      </c>
      <c r="F20" s="6">
        <v>0.32868410517886321</v>
      </c>
      <c r="G20" s="6">
        <v>3.5</v>
      </c>
      <c r="H20" s="6">
        <v>1.1503943681260211</v>
      </c>
      <c r="I20" s="6">
        <v>3.6842105263157898</v>
      </c>
      <c r="J20" s="6">
        <v>5.3176998477991848</v>
      </c>
    </row>
    <row r="21" spans="1:10" x14ac:dyDescent="0.3">
      <c r="A21" s="7">
        <v>5</v>
      </c>
      <c r="B21" t="str">
        <v>Рабочее освещение</v>
      </c>
      <c r="C21" s="6">
        <v>2.2800000000000002</v>
      </c>
      <c r="D21" s="6">
        <v>0.74050000000000005</v>
      </c>
      <c r="E21" s="6">
        <v>0.94999999999999984</v>
      </c>
      <c r="F21" s="6">
        <v>0.32868410517886348</v>
      </c>
      <c r="G21" s="6">
        <v>1.6883400000000004</v>
      </c>
      <c r="H21" s="6">
        <v>0.55493052213768246</v>
      </c>
      <c r="I21" s="6">
        <v>1.7772000000000006</v>
      </c>
      <c r="J21" s="6">
        <v>2.5651672460095081</v>
      </c>
    </row>
    <row r="22" spans="1:10" x14ac:dyDescent="0.3">
      <c r="A22" s="7">
        <v>6</v>
      </c>
      <c r="B22" t="str">
        <v>Системы безопасности и связи</v>
      </c>
      <c r="C22" s="6">
        <v>0.2</v>
      </c>
      <c r="D22" s="6">
        <v>1</v>
      </c>
      <c r="E22" s="6">
        <v>0.95</v>
      </c>
      <c r="F22" s="6">
        <v>0.32868410517886321</v>
      </c>
      <c r="G22" s="6">
        <v>0.2</v>
      </c>
      <c r="H22" s="6">
        <v>6.573682103577265E-2</v>
      </c>
      <c r="I22" s="6">
        <v>0.21052631578947373</v>
      </c>
      <c r="J22" s="6">
        <v>0.30386856273138202</v>
      </c>
    </row>
    <row r="23" spans="1:10" x14ac:dyDescent="0.3">
      <c r="A23" s="7">
        <v>7</v>
      </c>
      <c r="B23" t="str">
        <v>Электрический тёплый пол</v>
      </c>
      <c r="C23" s="6">
        <v>2.5</v>
      </c>
      <c r="D23" s="6">
        <v>0.7</v>
      </c>
      <c r="E23" s="6">
        <v>0.95</v>
      </c>
      <c r="F23" s="6">
        <v>0.32868410517886321</v>
      </c>
      <c r="G23" s="6">
        <v>1.75</v>
      </c>
      <c r="H23" s="6">
        <v>0.57519718406301057</v>
      </c>
      <c r="I23" s="6">
        <v>1.8421052631578949</v>
      </c>
      <c r="J23" s="6">
        <v>2.6588499238995924</v>
      </c>
    </row>
    <row r="24" spans="1:10" x14ac:dyDescent="0.3">
      <c r="A24" s="7">
        <v>8</v>
      </c>
      <c r="B24" t="str">
        <v>Вентиляция</v>
      </c>
      <c r="C24" s="6">
        <v>13.25</v>
      </c>
      <c r="D24" s="6">
        <v>0.83867924528301896</v>
      </c>
      <c r="E24" s="6">
        <v>0.79999999999999993</v>
      </c>
      <c r="F24" s="6">
        <v>0.75000000000000011</v>
      </c>
      <c r="G24" s="6">
        <v>11.112500000000001</v>
      </c>
      <c r="H24" s="6">
        <v>8.3343750000000014</v>
      </c>
      <c r="I24" s="6">
        <v>13.890625000000002</v>
      </c>
      <c r="J24" s="6">
        <v>20.049390207405366</v>
      </c>
    </row>
    <row r="25" spans="1:10" x14ac:dyDescent="0.3">
      <c r="A25" s="7">
        <v>9</v>
      </c>
      <c r="B25" t="str">
        <v>Кондиционирование и увлажнение</v>
      </c>
      <c r="C25" s="6">
        <v>1.6</v>
      </c>
      <c r="D25" s="6">
        <v>0.74050000000000005</v>
      </c>
      <c r="E25" s="6">
        <v>0.95</v>
      </c>
      <c r="F25" s="6">
        <v>0.32868410517886321</v>
      </c>
      <c r="G25" s="6">
        <v>1.1848000000000001</v>
      </c>
      <c r="H25" s="6">
        <v>0.38942492781591714</v>
      </c>
      <c r="I25" s="6">
        <v>1.2471578947368422</v>
      </c>
      <c r="J25" s="6">
        <v>1.800117365620707</v>
      </c>
    </row>
    <row r="26" spans="1:10" x14ac:dyDescent="0.3">
      <c r="A26" s="7">
        <v>10</v>
      </c>
      <c r="B26" t="str">
        <v>Насосы (водоснабжение, дренаж)</v>
      </c>
      <c r="C26" s="6">
        <v>1.1000000000000001</v>
      </c>
      <c r="D26" s="6">
        <v>0.85000000000000009</v>
      </c>
      <c r="E26" s="6">
        <v>0.94999999999999984</v>
      </c>
      <c r="F26" s="6">
        <v>0.32868410517886348</v>
      </c>
      <c r="G26" s="6">
        <v>0.93500000000000016</v>
      </c>
      <c r="H26" s="6">
        <v>0.30731963834223741</v>
      </c>
      <c r="I26" s="6">
        <v>0.98421052631578976</v>
      </c>
      <c r="J26" s="6">
        <v>1.4205855307692112</v>
      </c>
    </row>
    <row r="27" spans="1:10" x14ac:dyDescent="0.3">
      <c r="A27" s="7"/>
      <c r="C27" s="6"/>
      <c r="D27" s="6"/>
      <c r="E27" s="6"/>
      <c r="F27" s="6"/>
      <c r="G27" s="6"/>
      <c r="H27" s="6"/>
      <c r="I27" s="6"/>
      <c r="J27" s="6"/>
    </row>
    <row r="28" spans="1:10" x14ac:dyDescent="0.3">
      <c r="A28" s="7"/>
      <c r="C28" s="6"/>
      <c r="D28" s="6"/>
      <c r="E28" s="6"/>
      <c r="F28" s="6"/>
      <c r="G28" s="6"/>
      <c r="H28" s="6"/>
      <c r="I28" s="6"/>
      <c r="J28" s="6"/>
    </row>
    <row r="29" spans="1:10" x14ac:dyDescent="0.3">
      <c r="A29" s="7"/>
      <c r="C29" s="6"/>
      <c r="D29" s="6"/>
      <c r="E29" s="6"/>
      <c r="F29" s="6"/>
      <c r="G29" s="6"/>
      <c r="H29" s="6"/>
      <c r="I29" s="6"/>
      <c r="J29" s="6"/>
    </row>
    <row r="30" spans="1:10" x14ac:dyDescent="0.3">
      <c r="A30" s="7"/>
      <c r="C30" s="6"/>
      <c r="D30" s="6"/>
      <c r="E30" s="6"/>
      <c r="F30" s="6"/>
      <c r="G30" s="6"/>
      <c r="H30" s="6"/>
      <c r="I30" s="6"/>
      <c r="J30" s="6"/>
    </row>
    <row r="31" spans="1:10" x14ac:dyDescent="0.3">
      <c r="A31" s="7"/>
      <c r="C31" s="6"/>
      <c r="D31" s="6"/>
      <c r="E31" s="6"/>
      <c r="F31" s="6"/>
      <c r="G31" s="6"/>
      <c r="H31" s="6"/>
      <c r="I31" s="6"/>
      <c r="J31" s="6"/>
    </row>
    <row r="32" spans="1:10" x14ac:dyDescent="0.3">
      <c r="A32" s="7"/>
      <c r="C32" s="6"/>
      <c r="D32" s="6"/>
      <c r="E32" s="6"/>
      <c r="F32" s="6"/>
      <c r="G32" s="6"/>
      <c r="H32" s="6"/>
      <c r="I32" s="6"/>
      <c r="J32" s="6"/>
    </row>
    <row r="33" spans="1:10" x14ac:dyDescent="0.3">
      <c r="A33" s="7"/>
      <c r="C33" s="6"/>
      <c r="D33" s="6"/>
      <c r="E33" s="6"/>
      <c r="F33" s="6"/>
      <c r="G33" s="6"/>
      <c r="H33" s="6"/>
      <c r="I33" s="6"/>
      <c r="J33" s="6"/>
    </row>
    <row r="34" spans="1:10" x14ac:dyDescent="0.3">
      <c r="A34" s="7"/>
      <c r="C34" s="6"/>
      <c r="D34" s="6"/>
      <c r="E34" s="6"/>
      <c r="F34" s="6"/>
      <c r="G34" s="6"/>
      <c r="H34" s="6"/>
      <c r="I34" s="6"/>
      <c r="J34" s="6"/>
    </row>
    <row r="35" spans="1:10" x14ac:dyDescent="0.3">
      <c r="A35" s="7"/>
      <c r="C35" s="6"/>
      <c r="D35" s="6"/>
      <c r="E35" s="6"/>
      <c r="F35" s="6"/>
      <c r="G35" s="6"/>
      <c r="H35" s="6"/>
      <c r="I35" s="6"/>
      <c r="J35" s="6"/>
    </row>
    <row r="36" spans="1:10" x14ac:dyDescent="0.3">
      <c r="A36" s="7"/>
      <c r="C36" s="6"/>
      <c r="D36" s="6"/>
      <c r="E36" s="6"/>
      <c r="F36" s="6"/>
      <c r="G36" s="6"/>
      <c r="H36" s="6"/>
      <c r="I36" s="6"/>
      <c r="J36" s="6"/>
    </row>
    <row r="37" spans="1:10" x14ac:dyDescent="0.3">
      <c r="A37" s="7"/>
      <c r="C37" s="6"/>
      <c r="D37" s="6"/>
      <c r="E37" s="6"/>
      <c r="F37" s="6"/>
      <c r="G37" s="6"/>
      <c r="H37" s="6"/>
      <c r="I37" s="6"/>
      <c r="J37" s="6"/>
    </row>
    <row r="38" spans="1:10" x14ac:dyDescent="0.3">
      <c r="A38" s="7"/>
      <c r="C38" s="6"/>
      <c r="D38" s="6"/>
      <c r="E38" s="6"/>
      <c r="F38" s="6"/>
      <c r="G38" s="6"/>
      <c r="H38" s="6"/>
      <c r="I38" s="6"/>
      <c r="J38" s="6"/>
    </row>
    <row r="39" spans="1:10" x14ac:dyDescent="0.3">
      <c r="A39" s="7"/>
      <c r="C39" s="6"/>
      <c r="D39" s="6"/>
      <c r="E39" s="6"/>
      <c r="F39" s="6"/>
      <c r="G39" s="6"/>
      <c r="H39" s="6"/>
      <c r="I39" s="6"/>
      <c r="J39" s="6"/>
    </row>
    <row r="40" spans="1:10" x14ac:dyDescent="0.3">
      <c r="A40" s="7"/>
      <c r="C40" s="6"/>
      <c r="D40" s="6"/>
      <c r="E40" s="6"/>
      <c r="F40" s="6"/>
      <c r="G40" s="6"/>
      <c r="H40" s="6"/>
      <c r="I40" s="6"/>
      <c r="J40" s="6"/>
    </row>
    <row r="41" spans="1:10" x14ac:dyDescent="0.3">
      <c r="A41" s="7"/>
      <c r="C41" s="6"/>
      <c r="D41" s="6"/>
      <c r="E41" s="6"/>
      <c r="F41" s="6"/>
      <c r="G41" s="6"/>
      <c r="H41" s="6"/>
      <c r="I41" s="6"/>
      <c r="J41" s="6"/>
    </row>
    <row r="42" spans="1:10" x14ac:dyDescent="0.3">
      <c r="A42" s="7"/>
      <c r="C42" s="6"/>
      <c r="D42" s="6"/>
      <c r="E42" s="6"/>
      <c r="F42" s="6"/>
      <c r="G42" s="6"/>
      <c r="H42" s="6"/>
      <c r="I42" s="6"/>
      <c r="J42" s="6"/>
    </row>
    <row r="43" spans="1:10" x14ac:dyDescent="0.3">
      <c r="A43" s="7"/>
      <c r="C43" s="6"/>
      <c r="D43" s="6"/>
      <c r="E43" s="6"/>
      <c r="F43" s="6"/>
      <c r="G43" s="6"/>
      <c r="H43" s="6"/>
      <c r="I43" s="6"/>
      <c r="J43" s="6"/>
    </row>
    <row r="44" spans="1:10" x14ac:dyDescent="0.3">
      <c r="A44" s="7"/>
      <c r="C44" s="6"/>
      <c r="D44" s="6"/>
      <c r="E44" s="6"/>
      <c r="F44" s="6"/>
      <c r="G44" s="6"/>
      <c r="H44" s="6"/>
      <c r="I44" s="6"/>
      <c r="J44" s="6"/>
    </row>
    <row r="45" spans="1:10" x14ac:dyDescent="0.3">
      <c r="A45" s="7"/>
      <c r="C45" s="6"/>
      <c r="D45" s="6"/>
      <c r="E45" s="6"/>
      <c r="F45" s="6"/>
      <c r="G45" s="6"/>
      <c r="H45" s="6"/>
      <c r="I45" s="6"/>
      <c r="J45" s="6"/>
    </row>
    <row r="46" spans="1:10" x14ac:dyDescent="0.3">
      <c r="A46" s="7"/>
      <c r="C46" s="6"/>
      <c r="D46" s="6"/>
      <c r="E46" s="6"/>
      <c r="F46" s="6"/>
      <c r="G46" s="6"/>
      <c r="H46" s="6"/>
      <c r="I46" s="6"/>
      <c r="J46" s="6"/>
    </row>
    <row r="47" spans="1:10" x14ac:dyDescent="0.3">
      <c r="A47" s="7"/>
      <c r="C47" s="6"/>
      <c r="D47" s="6"/>
      <c r="E47" s="6"/>
      <c r="F47" s="6"/>
      <c r="G47" s="6"/>
      <c r="H47" s="6"/>
      <c r="I47" s="6"/>
      <c r="J47" s="6"/>
    </row>
    <row r="48" spans="1:10" x14ac:dyDescent="0.3">
      <c r="A48" s="7"/>
      <c r="C48" s="6"/>
      <c r="D48" s="6"/>
      <c r="E48" s="6"/>
      <c r="F48" s="6"/>
      <c r="G48" s="6"/>
      <c r="H48" s="6"/>
      <c r="I48" s="6"/>
      <c r="J48" s="6"/>
    </row>
    <row r="49" spans="1:10" x14ac:dyDescent="0.3">
      <c r="A49" s="7"/>
      <c r="C49" s="6"/>
      <c r="D49" s="6"/>
      <c r="E49" s="6"/>
      <c r="F49" s="6"/>
      <c r="G49" s="6"/>
      <c r="H49" s="6"/>
      <c r="I49" s="6"/>
      <c r="J49" s="6"/>
    </row>
    <row r="50" spans="1:10" x14ac:dyDescent="0.3">
      <c r="A50" s="7"/>
      <c r="C50" s="6"/>
      <c r="D50" s="6"/>
      <c r="E50" s="6"/>
      <c r="F50" s="6"/>
      <c r="G50" s="6"/>
      <c r="H50" s="6"/>
      <c r="I50" s="6"/>
      <c r="J50" s="6"/>
    </row>
    <row r="51" spans="1:10" x14ac:dyDescent="0.3">
      <c r="A51" s="7"/>
      <c r="C51" s="6"/>
      <c r="D51" s="6"/>
      <c r="E51" s="6"/>
      <c r="F51" s="6"/>
      <c r="G51" s="6"/>
      <c r="H51" s="6"/>
      <c r="I51" s="6"/>
      <c r="J51" s="6"/>
    </row>
    <row r="52" spans="1:10" x14ac:dyDescent="0.3">
      <c r="A52" s="7"/>
      <c r="C52" s="6"/>
      <c r="D52" s="6"/>
      <c r="E52" s="6"/>
      <c r="F52" s="6"/>
      <c r="G52" s="6"/>
      <c r="H52" s="6"/>
      <c r="I52" s="6"/>
      <c r="J52" s="6"/>
    </row>
    <row r="53" spans="1:10" x14ac:dyDescent="0.3">
      <c r="A53" s="7"/>
      <c r="C53" s="6"/>
      <c r="D53" s="6"/>
      <c r="E53" s="6"/>
      <c r="F53" s="6"/>
      <c r="G53" s="6"/>
      <c r="H53" s="6"/>
      <c r="I53" s="6"/>
      <c r="J53" s="6"/>
    </row>
    <row r="54" spans="1:10" x14ac:dyDescent="0.3">
      <c r="A54" s="7"/>
      <c r="C54" s="6"/>
      <c r="D54" s="6"/>
      <c r="E54" s="6"/>
      <c r="F54" s="6"/>
      <c r="G54" s="6"/>
      <c r="H54" s="6"/>
      <c r="I54" s="6"/>
      <c r="J54" s="6"/>
    </row>
    <row r="55" spans="1:10" x14ac:dyDescent="0.3">
      <c r="A55" s="7"/>
      <c r="C55" s="6"/>
      <c r="D55" s="6"/>
      <c r="E55" s="6"/>
      <c r="F55" s="6"/>
      <c r="G55" s="6"/>
      <c r="H55" s="6"/>
      <c r="I55" s="6"/>
      <c r="J55" s="6"/>
    </row>
    <row r="56" spans="1:10" x14ac:dyDescent="0.3">
      <c r="A56" s="7"/>
      <c r="C56" s="6"/>
      <c r="D56" s="6"/>
      <c r="E56" s="6"/>
      <c r="F56" s="6"/>
      <c r="G56" s="6"/>
      <c r="H56" s="6"/>
      <c r="I56" s="6"/>
      <c r="J56" s="6"/>
    </row>
    <row r="57" spans="1:10" x14ac:dyDescent="0.3">
      <c r="A57" s="7"/>
      <c r="C57" s="6"/>
      <c r="D57" s="6"/>
      <c r="E57" s="6"/>
      <c r="F57" s="6"/>
      <c r="G57" s="6"/>
      <c r="H57" s="6"/>
      <c r="I57" s="6"/>
      <c r="J57" s="6"/>
    </row>
    <row r="58" spans="1:10" x14ac:dyDescent="0.3">
      <c r="A58" s="7"/>
      <c r="C58" s="6"/>
      <c r="D58" s="6"/>
      <c r="E58" s="6"/>
      <c r="F58" s="6"/>
      <c r="G58" s="6"/>
      <c r="H58" s="6"/>
      <c r="I58" s="6"/>
      <c r="J58" s="6"/>
    </row>
    <row r="59" spans="1:10" x14ac:dyDescent="0.3">
      <c r="A59" s="7"/>
      <c r="C59" s="6"/>
      <c r="D59" s="6"/>
      <c r="E59" s="6"/>
      <c r="F59" s="6"/>
      <c r="G59" s="6"/>
      <c r="H59" s="6"/>
      <c r="I59" s="6"/>
      <c r="J59" s="6"/>
    </row>
    <row r="60" spans="1:10" x14ac:dyDescent="0.3">
      <c r="A60" s="7"/>
      <c r="C60" s="6"/>
      <c r="D60" s="6"/>
      <c r="E60" s="6"/>
      <c r="F60" s="6"/>
      <c r="G60" s="6"/>
      <c r="H60" s="6"/>
      <c r="I60" s="6"/>
      <c r="J60" s="6"/>
    </row>
    <row r="61" spans="1:10" x14ac:dyDescent="0.3">
      <c r="A61" s="7"/>
      <c r="C61" s="6"/>
      <c r="D61" s="6"/>
      <c r="E61" s="6"/>
      <c r="F61" s="6"/>
      <c r="G61" s="6"/>
      <c r="H61" s="6"/>
      <c r="I61" s="6"/>
      <c r="J61" s="6"/>
    </row>
    <row r="62" spans="1:10" x14ac:dyDescent="0.3">
      <c r="A62" s="7"/>
      <c r="C62" s="6"/>
      <c r="D62" s="6"/>
      <c r="E62" s="6"/>
      <c r="F62" s="6"/>
      <c r="G62" s="6"/>
      <c r="H62" s="6"/>
      <c r="I62" s="6"/>
      <c r="J62" s="6"/>
    </row>
    <row r="63" spans="1:10" x14ac:dyDescent="0.3">
      <c r="A63" s="7"/>
      <c r="C63" s="6"/>
      <c r="D63" s="6"/>
      <c r="E63" s="6"/>
      <c r="F63" s="6"/>
      <c r="G63" s="6"/>
      <c r="H63" s="6"/>
      <c r="I63" s="6"/>
      <c r="J63" s="6"/>
    </row>
    <row r="64" spans="1:10" x14ac:dyDescent="0.3">
      <c r="A64" s="7"/>
      <c r="C64" s="6"/>
      <c r="D64" s="6"/>
      <c r="E64" s="6"/>
      <c r="F64" s="6"/>
      <c r="G64" s="6"/>
      <c r="H64" s="6"/>
      <c r="I64" s="6"/>
      <c r="J64" s="6"/>
    </row>
    <row r="65" spans="1:10" x14ac:dyDescent="0.3">
      <c r="A65" s="7"/>
      <c r="C65" s="6"/>
      <c r="D65" s="6"/>
      <c r="E65" s="6"/>
      <c r="F65" s="6"/>
      <c r="G65" s="6"/>
      <c r="H65" s="6"/>
      <c r="I65" s="6"/>
      <c r="J65" s="6"/>
    </row>
    <row r="66" spans="1:10" x14ac:dyDescent="0.3">
      <c r="A66" s="7"/>
      <c r="C66" s="6"/>
      <c r="D66" s="6"/>
      <c r="E66" s="6"/>
      <c r="F66" s="6"/>
      <c r="G66" s="6"/>
      <c r="H66" s="6"/>
      <c r="I66" s="6"/>
      <c r="J66" s="6"/>
    </row>
    <row r="67" spans="1:10" x14ac:dyDescent="0.3">
      <c r="A67" s="7"/>
      <c r="C67" s="6"/>
      <c r="D67" s="6"/>
      <c r="E67" s="6"/>
      <c r="F67" s="6"/>
      <c r="G67" s="6"/>
      <c r="H67" s="6"/>
      <c r="I67" s="6"/>
      <c r="J67" s="6"/>
    </row>
    <row r="68" spans="1:10" x14ac:dyDescent="0.3">
      <c r="A68" s="7"/>
      <c r="C68" s="6"/>
      <c r="D68" s="6"/>
      <c r="E68" s="6"/>
      <c r="F68" s="6"/>
      <c r="G68" s="6"/>
      <c r="H68" s="6"/>
      <c r="I68" s="6"/>
      <c r="J68" s="6"/>
    </row>
    <row r="69" spans="1:10" x14ac:dyDescent="0.3">
      <c r="A69" s="7"/>
      <c r="C69" s="6"/>
      <c r="D69" s="6"/>
      <c r="E69" s="6"/>
      <c r="F69" s="6"/>
      <c r="G69" s="6"/>
      <c r="H69" s="6"/>
      <c r="I69" s="6"/>
      <c r="J69" s="6"/>
    </row>
    <row r="70" spans="1:10" x14ac:dyDescent="0.3">
      <c r="A70" s="7"/>
      <c r="C70" s="6"/>
      <c r="D70" s="6"/>
      <c r="E70" s="6"/>
      <c r="F70" s="6"/>
      <c r="G70" s="6"/>
      <c r="H70" s="6"/>
      <c r="I70" s="6"/>
      <c r="J70" s="6"/>
    </row>
    <row r="71" spans="1:10" x14ac:dyDescent="0.3">
      <c r="A71" s="7"/>
      <c r="C71" s="6"/>
      <c r="D71" s="6"/>
      <c r="E71" s="6"/>
      <c r="F71" s="6"/>
      <c r="G71" s="6"/>
      <c r="H71" s="6"/>
      <c r="I71" s="6"/>
      <c r="J71" s="6"/>
    </row>
    <row r="72" spans="1:10" x14ac:dyDescent="0.3">
      <c r="A72" s="7"/>
      <c r="C72" s="6"/>
      <c r="D72" s="6"/>
      <c r="E72" s="6"/>
      <c r="F72" s="6"/>
      <c r="G72" s="6"/>
      <c r="H72" s="6"/>
      <c r="I72" s="6"/>
      <c r="J72" s="6"/>
    </row>
    <row r="73" spans="1:10" x14ac:dyDescent="0.3">
      <c r="A73" s="7"/>
      <c r="C73" s="6"/>
      <c r="D73" s="6"/>
      <c r="E73" s="6"/>
      <c r="F73" s="6"/>
      <c r="G73" s="6"/>
      <c r="H73" s="6"/>
      <c r="I73" s="6"/>
      <c r="J73" s="6"/>
    </row>
    <row r="74" spans="1:10" x14ac:dyDescent="0.3">
      <c r="A74" s="7"/>
      <c r="C74" s="6"/>
      <c r="D74" s="6"/>
      <c r="E74" s="6"/>
      <c r="F74" s="6"/>
      <c r="G74" s="6"/>
      <c r="H74" s="6"/>
      <c r="I74" s="6"/>
      <c r="J74" s="6"/>
    </row>
    <row r="75" spans="1:10" x14ac:dyDescent="0.3">
      <c r="A75" s="7"/>
      <c r="C75" s="6"/>
      <c r="D75" s="6"/>
      <c r="E75" s="6"/>
      <c r="F75" s="6"/>
      <c r="G75" s="6"/>
      <c r="H75" s="6"/>
      <c r="I75" s="6"/>
      <c r="J75" s="6"/>
    </row>
    <row r="76" spans="1:10" x14ac:dyDescent="0.3">
      <c r="A76" s="7"/>
      <c r="C76" s="6"/>
      <c r="D76" s="6"/>
      <c r="E76" s="6"/>
      <c r="F76" s="6"/>
      <c r="G76" s="6"/>
      <c r="H76" s="6"/>
      <c r="I76" s="6"/>
      <c r="J76" s="6"/>
    </row>
    <row r="77" spans="1:10" x14ac:dyDescent="0.3">
      <c r="A77" s="7"/>
      <c r="C77" s="6"/>
      <c r="D77" s="6"/>
      <c r="E77" s="6"/>
      <c r="F77" s="6"/>
      <c r="G77" s="6"/>
      <c r="H77" s="6"/>
      <c r="I77" s="6"/>
      <c r="J77" s="6"/>
    </row>
    <row r="78" spans="1:10" x14ac:dyDescent="0.3">
      <c r="A78" s="7"/>
      <c r="C78" s="6"/>
      <c r="D78" s="6"/>
      <c r="E78" s="6"/>
      <c r="F78" s="6"/>
      <c r="G78" s="6"/>
      <c r="H78" s="6"/>
      <c r="I78" s="6"/>
      <c r="J78" s="6"/>
    </row>
    <row r="79" spans="1:10" x14ac:dyDescent="0.3">
      <c r="A79" s="7"/>
      <c r="C79" s="6"/>
      <c r="D79" s="6"/>
      <c r="E79" s="6"/>
      <c r="F79" s="6"/>
      <c r="G79" s="6"/>
      <c r="H79" s="6"/>
      <c r="I79" s="6"/>
      <c r="J79" s="6"/>
    </row>
    <row r="80" spans="1:10" x14ac:dyDescent="0.3">
      <c r="A80" s="7"/>
      <c r="C80" s="6"/>
      <c r="D80" s="6"/>
      <c r="E80" s="6"/>
      <c r="F80" s="6"/>
      <c r="G80" s="6"/>
      <c r="H80" s="6"/>
      <c r="I80" s="6"/>
      <c r="J80" s="6"/>
    </row>
    <row r="81" spans="1:10" x14ac:dyDescent="0.3">
      <c r="A81" s="7"/>
      <c r="C81" s="6"/>
      <c r="D81" s="6"/>
      <c r="E81" s="6"/>
      <c r="F81" s="6"/>
      <c r="G81" s="6"/>
      <c r="H81" s="6"/>
      <c r="I81" s="6"/>
      <c r="J81" s="6"/>
    </row>
    <row r="82" spans="1:10" x14ac:dyDescent="0.3">
      <c r="A82" s="7"/>
      <c r="C82" s="6"/>
      <c r="D82" s="6"/>
      <c r="E82" s="6"/>
      <c r="F82" s="6"/>
      <c r="G82" s="6"/>
      <c r="H82" s="6"/>
      <c r="I82" s="6"/>
      <c r="J82" s="6"/>
    </row>
    <row r="83" spans="1:10" x14ac:dyDescent="0.3">
      <c r="A83" s="7"/>
      <c r="C83" s="6"/>
      <c r="D83" s="6"/>
      <c r="E83" s="6"/>
      <c r="F83" s="6"/>
      <c r="G83" s="6"/>
      <c r="H83" s="6"/>
      <c r="I83" s="6"/>
      <c r="J83" s="6"/>
    </row>
    <row r="84" spans="1:10" x14ac:dyDescent="0.3">
      <c r="A84" s="7"/>
      <c r="C84" s="6"/>
      <c r="D84" s="6"/>
      <c r="E84" s="6"/>
      <c r="F84" s="6"/>
      <c r="G84" s="6"/>
      <c r="H84" s="6"/>
      <c r="I84" s="6"/>
      <c r="J84" s="6"/>
    </row>
    <row r="85" spans="1:10" x14ac:dyDescent="0.3">
      <c r="A85" s="7"/>
      <c r="C85" s="6"/>
      <c r="D85" s="6"/>
      <c r="E85" s="6"/>
      <c r="F85" s="6"/>
      <c r="G85" s="6"/>
      <c r="H85" s="6"/>
      <c r="I85" s="6"/>
      <c r="J85" s="6"/>
    </row>
    <row r="86" spans="1:10" x14ac:dyDescent="0.3">
      <c r="A86" s="7"/>
      <c r="C86" s="6"/>
      <c r="D86" s="6"/>
      <c r="E86" s="6"/>
      <c r="F86" s="6"/>
      <c r="G86" s="6"/>
      <c r="H86" s="6"/>
      <c r="I86" s="6"/>
      <c r="J86" s="6"/>
    </row>
    <row r="87" spans="1:10" x14ac:dyDescent="0.3">
      <c r="A87" s="7"/>
      <c r="C87" s="6"/>
      <c r="D87" s="6"/>
      <c r="E87" s="6"/>
      <c r="F87" s="6"/>
      <c r="G87" s="6"/>
      <c r="H87" s="6"/>
      <c r="I87" s="6"/>
      <c r="J87" s="6"/>
    </row>
    <row r="88" spans="1:10" x14ac:dyDescent="0.3">
      <c r="A88" s="7"/>
      <c r="C88" s="6"/>
      <c r="D88" s="6"/>
      <c r="E88" s="6"/>
      <c r="F88" s="6"/>
      <c r="G88" s="6"/>
      <c r="H88" s="6"/>
      <c r="I88" s="6"/>
      <c r="J88" s="6"/>
    </row>
    <row r="89" spans="1:10" x14ac:dyDescent="0.3">
      <c r="A89" s="7"/>
      <c r="C89" s="6"/>
      <c r="D89" s="6"/>
      <c r="E89" s="6"/>
      <c r="F89" s="6"/>
      <c r="G89" s="6"/>
      <c r="H89" s="6"/>
      <c r="I89" s="6"/>
      <c r="J89" s="6"/>
    </row>
    <row r="90" spans="1:10" x14ac:dyDescent="0.3">
      <c r="A90" s="7"/>
      <c r="C90" s="6"/>
      <c r="D90" s="6"/>
      <c r="E90" s="6"/>
      <c r="F90" s="6"/>
      <c r="G90" s="6"/>
      <c r="H90" s="6"/>
      <c r="I90" s="6"/>
      <c r="J90" s="6"/>
    </row>
    <row r="91" spans="1:10" x14ac:dyDescent="0.3">
      <c r="A91" s="7"/>
      <c r="C91" s="6"/>
      <c r="D91" s="6"/>
      <c r="E91" s="6"/>
      <c r="F91" s="6"/>
      <c r="G91" s="6"/>
      <c r="H91" s="6"/>
      <c r="I91" s="6"/>
      <c r="J91" s="6"/>
    </row>
    <row r="92" spans="1:10" x14ac:dyDescent="0.3">
      <c r="A92" s="7"/>
      <c r="C92" s="6"/>
      <c r="D92" s="6"/>
      <c r="E92" s="6"/>
      <c r="F92" s="6"/>
      <c r="G92" s="6"/>
      <c r="H92" s="6"/>
      <c r="I92" s="6"/>
      <c r="J92" s="6"/>
    </row>
    <row r="93" spans="1:10" x14ac:dyDescent="0.3">
      <c r="A93" s="7"/>
      <c r="C93" s="6"/>
      <c r="D93" s="6"/>
      <c r="E93" s="6"/>
      <c r="F93" s="6"/>
      <c r="G93" s="6"/>
      <c r="H93" s="6"/>
      <c r="I93" s="6"/>
      <c r="J93" s="6"/>
    </row>
    <row r="94" spans="1:10" x14ac:dyDescent="0.3">
      <c r="A94" s="7"/>
      <c r="C94" s="6"/>
      <c r="D94" s="6"/>
      <c r="E94" s="6"/>
      <c r="F94" s="6"/>
      <c r="G94" s="6"/>
      <c r="H94" s="6"/>
      <c r="I94" s="6"/>
      <c r="J94" s="6"/>
    </row>
    <row r="95" spans="1:10" x14ac:dyDescent="0.3">
      <c r="A95" s="7"/>
      <c r="C95" s="6"/>
      <c r="D95" s="6"/>
      <c r="E95" s="6"/>
      <c r="F95" s="6"/>
      <c r="G95" s="6"/>
      <c r="H95" s="6"/>
      <c r="I95" s="6"/>
      <c r="J95" s="6"/>
    </row>
    <row r="96" spans="1:10" x14ac:dyDescent="0.3">
      <c r="A96" s="7"/>
      <c r="C96" s="6"/>
      <c r="D96" s="6"/>
      <c r="E96" s="6"/>
      <c r="F96" s="6"/>
      <c r="G96" s="6"/>
      <c r="H96" s="6"/>
      <c r="I96" s="6"/>
      <c r="J96" s="6"/>
    </row>
    <row r="97" spans="1:10" x14ac:dyDescent="0.3">
      <c r="A97" s="7"/>
      <c r="C97" s="6"/>
      <c r="D97" s="6"/>
      <c r="E97" s="6"/>
      <c r="F97" s="6"/>
      <c r="G97" s="6"/>
      <c r="H97" s="6"/>
      <c r="I97" s="6"/>
      <c r="J97" s="6"/>
    </row>
    <row r="98" spans="1:10" x14ac:dyDescent="0.3">
      <c r="A98" s="7"/>
      <c r="C98" s="6"/>
      <c r="D98" s="6"/>
      <c r="E98" s="6"/>
      <c r="F98" s="6"/>
      <c r="G98" s="6"/>
      <c r="H98" s="6"/>
      <c r="I98" s="6"/>
      <c r="J98" s="6"/>
    </row>
    <row r="99" spans="1:10" x14ac:dyDescent="0.3">
      <c r="A99" s="7"/>
      <c r="C99" s="6"/>
      <c r="D99" s="6"/>
      <c r="E99" s="6"/>
      <c r="F99" s="6"/>
      <c r="G99" s="6"/>
      <c r="H99" s="6"/>
      <c r="I99" s="6"/>
      <c r="J99" s="6"/>
    </row>
    <row r="100" spans="1:10" x14ac:dyDescent="0.3">
      <c r="A100" s="7"/>
      <c r="C100" s="6"/>
      <c r="D100" s="6"/>
      <c r="E100" s="6"/>
      <c r="F100" s="6"/>
      <c r="G100" s="6"/>
      <c r="H100" s="6"/>
      <c r="I100" s="6"/>
      <c r="J100" s="6"/>
    </row>
    <row r="101" spans="1:10" x14ac:dyDescent="0.3">
      <c r="A101" s="7"/>
      <c r="C101" s="6"/>
      <c r="D101" s="6"/>
      <c r="E101" s="6"/>
      <c r="F101" s="6"/>
      <c r="G101" s="6"/>
      <c r="H101" s="6"/>
      <c r="I101" s="6"/>
      <c r="J101" s="6"/>
    </row>
    <row r="102" spans="1:10" x14ac:dyDescent="0.3">
      <c r="A102" s="7"/>
      <c r="C102" s="6"/>
      <c r="D102" s="6"/>
      <c r="E102" s="6"/>
      <c r="F102" s="6"/>
      <c r="G102" s="6"/>
      <c r="H102" s="6"/>
      <c r="I102" s="6"/>
      <c r="J102" s="6"/>
    </row>
    <row r="103" spans="1:10" x14ac:dyDescent="0.3">
      <c r="A103" s="7"/>
      <c r="C103" s="6"/>
      <c r="D103" s="6"/>
      <c r="E103" s="6"/>
      <c r="F103" s="6"/>
      <c r="G103" s="6"/>
      <c r="H103" s="6"/>
      <c r="I103" s="6"/>
      <c r="J103" s="6"/>
    </row>
    <row r="104" spans="1:10" x14ac:dyDescent="0.3">
      <c r="A104" s="7"/>
      <c r="C104" s="6"/>
      <c r="D104" s="6"/>
      <c r="E104" s="6"/>
      <c r="F104" s="6"/>
      <c r="G104" s="6"/>
      <c r="H104" s="6"/>
      <c r="I104" s="6"/>
      <c r="J104" s="6"/>
    </row>
    <row r="105" spans="1:10" x14ac:dyDescent="0.3">
      <c r="A105" s="7"/>
      <c r="C105" s="6"/>
      <c r="D105" s="6"/>
      <c r="E105" s="6"/>
      <c r="F105" s="6"/>
      <c r="G105" s="6"/>
      <c r="H105" s="6"/>
      <c r="I105" s="6"/>
      <c r="J105" s="6"/>
    </row>
    <row r="106" spans="1:10" x14ac:dyDescent="0.3">
      <c r="A106" s="7"/>
      <c r="C106" s="6"/>
      <c r="D106" s="6"/>
      <c r="E106" s="6"/>
      <c r="F106" s="6"/>
      <c r="G106" s="6"/>
      <c r="H106" s="6"/>
      <c r="I106" s="6"/>
      <c r="J106" s="6"/>
    </row>
    <row r="107" spans="1:10" x14ac:dyDescent="0.3">
      <c r="A107" s="7"/>
      <c r="C107" s="6"/>
      <c r="D107" s="6"/>
      <c r="E107" s="6"/>
      <c r="F107" s="6"/>
      <c r="G107" s="6"/>
      <c r="H107" s="6"/>
      <c r="I107" s="6"/>
      <c r="J107" s="6"/>
    </row>
    <row r="108" spans="1:10" x14ac:dyDescent="0.3">
      <c r="A108" s="7"/>
      <c r="C108" s="6"/>
      <c r="D108" s="6"/>
      <c r="E108" s="6"/>
      <c r="F108" s="6"/>
      <c r="G108" s="6"/>
      <c r="H108" s="6"/>
      <c r="I108" s="6"/>
      <c r="J108" s="6"/>
    </row>
    <row r="109" spans="1:10" x14ac:dyDescent="0.3">
      <c r="A109" s="7"/>
      <c r="C109" s="6"/>
      <c r="D109" s="6"/>
      <c r="E109" s="6"/>
      <c r="F109" s="6"/>
      <c r="G109" s="6"/>
      <c r="H109" s="6"/>
      <c r="I109" s="6"/>
      <c r="J109" s="6"/>
    </row>
    <row r="110" spans="1:10" x14ac:dyDescent="0.3">
      <c r="A110" s="7"/>
      <c r="C110" s="6"/>
      <c r="D110" s="6"/>
      <c r="E110" s="6"/>
      <c r="F110" s="6"/>
      <c r="G110" s="6"/>
      <c r="H110" s="6"/>
      <c r="I110" s="6"/>
      <c r="J110" s="6"/>
    </row>
    <row r="111" spans="1:10" x14ac:dyDescent="0.3">
      <c r="A111" s="7"/>
      <c r="C111" s="6"/>
      <c r="D111" s="6"/>
      <c r="E111" s="6"/>
      <c r="F111" s="6"/>
      <c r="G111" s="6"/>
      <c r="H111" s="6"/>
      <c r="I111" s="6"/>
      <c r="J111" s="6"/>
    </row>
    <row r="112" spans="1:10" x14ac:dyDescent="0.3">
      <c r="A112" s="7"/>
      <c r="C112" s="6"/>
      <c r="D112" s="6"/>
      <c r="E112" s="6"/>
      <c r="F112" s="6"/>
      <c r="G112" s="6"/>
      <c r="H112" s="6"/>
      <c r="I112" s="6"/>
      <c r="J112" s="6"/>
    </row>
    <row r="113" spans="1:10" x14ac:dyDescent="0.3">
      <c r="A113" s="7"/>
      <c r="C113" s="6"/>
      <c r="D113" s="6"/>
      <c r="E113" s="6"/>
      <c r="F113" s="6"/>
      <c r="G113" s="6"/>
      <c r="H113" s="6"/>
      <c r="I113" s="6"/>
      <c r="J113" s="6"/>
    </row>
    <row r="114" spans="1:10" x14ac:dyDescent="0.3">
      <c r="A114" s="7"/>
      <c r="C114" s="6"/>
      <c r="D114" s="6"/>
      <c r="E114" s="6"/>
      <c r="F114" s="6"/>
      <c r="G114" s="6"/>
      <c r="H114" s="6"/>
      <c r="I114" s="6"/>
      <c r="J114" s="6"/>
    </row>
    <row r="115" spans="1:10" x14ac:dyDescent="0.3">
      <c r="A115" s="7"/>
      <c r="C115" s="6"/>
      <c r="D115" s="6"/>
      <c r="E115" s="6"/>
      <c r="F115" s="6"/>
      <c r="G115" s="6"/>
      <c r="H115" s="6"/>
      <c r="I115" s="6"/>
      <c r="J115" s="6"/>
    </row>
    <row r="116" spans="1:10" x14ac:dyDescent="0.3">
      <c r="A116" s="7"/>
      <c r="C116" s="6"/>
      <c r="D116" s="6"/>
      <c r="E116" s="6"/>
      <c r="F116" s="6"/>
      <c r="G116" s="6"/>
      <c r="H116" s="6"/>
      <c r="I116" s="6"/>
      <c r="J116" s="6"/>
    </row>
    <row r="117" spans="1:10" x14ac:dyDescent="0.3">
      <c r="A117" s="7"/>
      <c r="C117" s="6"/>
      <c r="D117" s="6"/>
      <c r="E117" s="6"/>
      <c r="F117" s="6"/>
      <c r="G117" s="6"/>
      <c r="H117" s="6"/>
      <c r="I117" s="6"/>
      <c r="J117" s="6"/>
    </row>
    <row r="118" spans="1:10" x14ac:dyDescent="0.3">
      <c r="A118" s="7"/>
      <c r="C118" s="6"/>
      <c r="D118" s="6"/>
      <c r="E118" s="6"/>
      <c r="F118" s="6"/>
      <c r="G118" s="6"/>
      <c r="H118" s="6"/>
      <c r="I118" s="6"/>
      <c r="J118" s="6"/>
    </row>
    <row r="119" spans="1:10" x14ac:dyDescent="0.3">
      <c r="A119" s="7"/>
      <c r="C119" s="6"/>
      <c r="D119" s="6"/>
      <c r="E119" s="6"/>
      <c r="F119" s="6"/>
      <c r="G119" s="6"/>
      <c r="H119" s="6"/>
      <c r="I119" s="6"/>
      <c r="J119" s="6"/>
    </row>
    <row r="120" spans="1:10" x14ac:dyDescent="0.3">
      <c r="A120" s="7"/>
      <c r="C120" s="6"/>
      <c r="D120" s="6"/>
      <c r="E120" s="6"/>
      <c r="F120" s="6"/>
      <c r="G120" s="6"/>
      <c r="H120" s="6"/>
      <c r="I120" s="6"/>
      <c r="J120" s="6"/>
    </row>
    <row r="121" spans="1:10" x14ac:dyDescent="0.3">
      <c r="A121" s="7"/>
      <c r="C121" s="6"/>
      <c r="D121" s="6"/>
      <c r="E121" s="6"/>
      <c r="F121" s="6"/>
      <c r="G121" s="6"/>
      <c r="H121" s="6"/>
      <c r="I121" s="6"/>
      <c r="J121" s="6"/>
    </row>
    <row r="122" spans="1:10" x14ac:dyDescent="0.3">
      <c r="A122" s="7"/>
      <c r="C122" s="6"/>
      <c r="D122" s="6"/>
      <c r="E122" s="6"/>
      <c r="F122" s="6"/>
      <c r="G122" s="6"/>
      <c r="H122" s="6"/>
      <c r="I122" s="6"/>
      <c r="J122" s="6"/>
    </row>
    <row r="123" spans="1:10" x14ac:dyDescent="0.3">
      <c r="A123" s="7"/>
      <c r="C123" s="6"/>
      <c r="D123" s="6"/>
      <c r="E123" s="6"/>
      <c r="F123" s="6"/>
      <c r="G123" s="6"/>
      <c r="H123" s="6"/>
      <c r="I123" s="6"/>
      <c r="J123" s="6"/>
    </row>
    <row r="124" spans="1:10" x14ac:dyDescent="0.3">
      <c r="A124" s="7"/>
      <c r="C124" s="6"/>
      <c r="D124" s="6"/>
      <c r="E124" s="6"/>
      <c r="F124" s="6"/>
      <c r="G124" s="6"/>
      <c r="H124" s="6"/>
      <c r="I124" s="6"/>
      <c r="J124" s="6"/>
    </row>
    <row r="125" spans="1:10" x14ac:dyDescent="0.3">
      <c r="A125" s="7"/>
      <c r="C125" s="6"/>
      <c r="D125" s="6"/>
      <c r="E125" s="6"/>
      <c r="F125" s="6"/>
      <c r="G125" s="6"/>
      <c r="H125" s="6"/>
      <c r="I125" s="6"/>
      <c r="J125" s="6"/>
    </row>
    <row r="126" spans="1:10" x14ac:dyDescent="0.3">
      <c r="A126" s="7"/>
      <c r="C126" s="6"/>
      <c r="D126" s="6"/>
      <c r="E126" s="6"/>
      <c r="F126" s="6"/>
      <c r="G126" s="6"/>
      <c r="H126" s="6"/>
      <c r="I126" s="6"/>
      <c r="J126" s="6"/>
    </row>
    <row r="127" spans="1:10" x14ac:dyDescent="0.3">
      <c r="A127" s="7"/>
      <c r="C127" s="6"/>
      <c r="D127" s="6"/>
      <c r="E127" s="6"/>
      <c r="F127" s="6"/>
      <c r="G127" s="6"/>
      <c r="H127" s="6"/>
      <c r="I127" s="6"/>
      <c r="J127" s="6"/>
    </row>
    <row r="128" spans="1:10" x14ac:dyDescent="0.3">
      <c r="A128" s="7"/>
      <c r="C128" s="6"/>
      <c r="D128" s="6"/>
      <c r="E128" s="6"/>
      <c r="F128" s="6"/>
      <c r="G128" s="6"/>
      <c r="H128" s="6"/>
      <c r="I128" s="6"/>
      <c r="J128" s="6"/>
    </row>
    <row r="129" spans="1:10" x14ac:dyDescent="0.3">
      <c r="A129" s="7"/>
      <c r="C129" s="6"/>
      <c r="D129" s="6"/>
      <c r="E129" s="6"/>
      <c r="F129" s="6"/>
      <c r="G129" s="6"/>
      <c r="H129" s="6"/>
      <c r="I129" s="6"/>
      <c r="J129" s="6"/>
    </row>
    <row r="130" spans="1:10" x14ac:dyDescent="0.3">
      <c r="A130" s="7"/>
      <c r="C130" s="6"/>
      <c r="D130" s="6"/>
      <c r="E130" s="6"/>
      <c r="F130" s="6"/>
      <c r="G130" s="6"/>
      <c r="H130" s="6"/>
      <c r="I130" s="6"/>
      <c r="J130" s="6"/>
    </row>
    <row r="131" spans="1:10" x14ac:dyDescent="0.3">
      <c r="A131" s="7"/>
      <c r="C131" s="6"/>
      <c r="D131" s="6"/>
      <c r="E131" s="6"/>
      <c r="F131" s="6"/>
      <c r="G131" s="6"/>
      <c r="H131" s="6"/>
      <c r="I131" s="6"/>
      <c r="J131" s="6"/>
    </row>
    <row r="132" spans="1:10" x14ac:dyDescent="0.3">
      <c r="A132" s="7"/>
      <c r="C132" s="6"/>
      <c r="D132" s="6"/>
      <c r="E132" s="6"/>
      <c r="F132" s="6"/>
      <c r="G132" s="6"/>
      <c r="H132" s="6"/>
      <c r="I132" s="6"/>
      <c r="J132" s="6"/>
    </row>
    <row r="133" spans="1:10" x14ac:dyDescent="0.3">
      <c r="A133" s="7"/>
      <c r="C133" s="6"/>
      <c r="D133" s="6"/>
      <c r="E133" s="6"/>
      <c r="F133" s="6"/>
      <c r="G133" s="6"/>
      <c r="H133" s="6"/>
      <c r="I133" s="6"/>
      <c r="J133" s="6"/>
    </row>
    <row r="134" spans="1:10" x14ac:dyDescent="0.3">
      <c r="A134" s="7"/>
      <c r="C134" s="6"/>
      <c r="D134" s="6"/>
      <c r="E134" s="6"/>
      <c r="F134" s="6"/>
      <c r="G134" s="6"/>
      <c r="H134" s="6"/>
      <c r="I134" s="6"/>
      <c r="J134" s="6"/>
    </row>
    <row r="135" spans="1:10" x14ac:dyDescent="0.3">
      <c r="A135" s="7"/>
      <c r="C135" s="6"/>
      <c r="D135" s="6"/>
      <c r="E135" s="6"/>
      <c r="F135" s="6"/>
      <c r="G135" s="6"/>
      <c r="H135" s="6"/>
      <c r="I135" s="6"/>
      <c r="J135" s="6"/>
    </row>
    <row r="136" spans="1:10" x14ac:dyDescent="0.3">
      <c r="A136" s="7"/>
      <c r="C136" s="6"/>
      <c r="D136" s="6"/>
      <c r="E136" s="6"/>
      <c r="F136" s="6"/>
      <c r="G136" s="6"/>
      <c r="H136" s="6"/>
      <c r="I136" s="6"/>
      <c r="J136" s="6"/>
    </row>
    <row r="137" spans="1:10" x14ac:dyDescent="0.3">
      <c r="A137" s="7"/>
      <c r="C137" s="6"/>
      <c r="D137" s="6"/>
      <c r="E137" s="6"/>
      <c r="F137" s="6"/>
      <c r="G137" s="6"/>
      <c r="H137" s="6"/>
      <c r="I137" s="6"/>
      <c r="J137" s="6"/>
    </row>
    <row r="138" spans="1:10" x14ac:dyDescent="0.3">
      <c r="A138" s="7"/>
      <c r="C138" s="6"/>
      <c r="D138" s="6"/>
      <c r="E138" s="6"/>
      <c r="F138" s="6"/>
      <c r="G138" s="6"/>
      <c r="H138" s="6"/>
      <c r="I138" s="6"/>
      <c r="J138" s="6"/>
    </row>
    <row r="139" spans="1:10" x14ac:dyDescent="0.3">
      <c r="A139" s="7"/>
      <c r="C139" s="6"/>
      <c r="D139" s="6"/>
      <c r="E139" s="6"/>
      <c r="F139" s="6"/>
      <c r="G139" s="6"/>
      <c r="H139" s="6"/>
      <c r="I139" s="6"/>
      <c r="J139" s="6"/>
    </row>
    <row r="140" spans="1:10" x14ac:dyDescent="0.3">
      <c r="A140" s="7"/>
      <c r="C140" s="6"/>
      <c r="D140" s="6"/>
      <c r="E140" s="6"/>
      <c r="F140" s="6"/>
      <c r="G140" s="6"/>
      <c r="H140" s="6"/>
      <c r="I140" s="6"/>
      <c r="J140" s="6"/>
    </row>
    <row r="141" spans="1:10" x14ac:dyDescent="0.3">
      <c r="A141" s="7"/>
      <c r="C141" s="6"/>
      <c r="D141" s="6"/>
      <c r="E141" s="6"/>
      <c r="F141" s="6"/>
      <c r="G141" s="6"/>
      <c r="H141" s="6"/>
      <c r="I141" s="6"/>
      <c r="J141" s="6"/>
    </row>
    <row r="142" spans="1:10" x14ac:dyDescent="0.3">
      <c r="A142" s="7"/>
      <c r="C142" s="6"/>
      <c r="D142" s="6"/>
      <c r="E142" s="6"/>
      <c r="F142" s="6"/>
      <c r="G142" s="6"/>
      <c r="H142" s="6"/>
      <c r="I142" s="6"/>
      <c r="J142" s="6"/>
    </row>
    <row r="143" spans="1:10" x14ac:dyDescent="0.3">
      <c r="A143" s="7"/>
      <c r="C143" s="6"/>
      <c r="D143" s="6"/>
      <c r="E143" s="6"/>
      <c r="F143" s="6"/>
      <c r="G143" s="6"/>
      <c r="H143" s="6"/>
      <c r="I143" s="6"/>
      <c r="J143" s="6"/>
    </row>
    <row r="144" spans="1:10" x14ac:dyDescent="0.3">
      <c r="A144" s="7"/>
      <c r="C144" s="6"/>
      <c r="D144" s="6"/>
      <c r="E144" s="6"/>
      <c r="F144" s="6"/>
      <c r="G144" s="6"/>
      <c r="H144" s="6"/>
      <c r="I144" s="6"/>
      <c r="J144" s="6"/>
    </row>
    <row r="145" spans="1:10" x14ac:dyDescent="0.3">
      <c r="A145" s="7"/>
      <c r="C145" s="6"/>
      <c r="D145" s="6"/>
      <c r="E145" s="6"/>
      <c r="F145" s="6"/>
      <c r="G145" s="6"/>
      <c r="H145" s="6"/>
      <c r="I145" s="6"/>
      <c r="J145" s="6"/>
    </row>
    <row r="146" spans="1:10" x14ac:dyDescent="0.3">
      <c r="A146" s="7"/>
      <c r="C146" s="6"/>
      <c r="D146" s="6"/>
      <c r="E146" s="6"/>
      <c r="F146" s="6"/>
      <c r="G146" s="6"/>
      <c r="H146" s="6"/>
      <c r="I146" s="6"/>
      <c r="J146" s="6"/>
    </row>
    <row r="147" spans="1:10" x14ac:dyDescent="0.3">
      <c r="A147" s="7"/>
      <c r="C147" s="6"/>
      <c r="D147" s="6"/>
      <c r="E147" s="6"/>
      <c r="F147" s="6"/>
      <c r="G147" s="6"/>
      <c r="H147" s="6"/>
      <c r="I147" s="6"/>
      <c r="J147" s="6"/>
    </row>
    <row r="148" spans="1:10" x14ac:dyDescent="0.3">
      <c r="A148" s="7"/>
      <c r="C148" s="6"/>
      <c r="D148" s="6"/>
      <c r="E148" s="6"/>
      <c r="F148" s="6"/>
      <c r="G148" s="6"/>
      <c r="H148" s="6"/>
      <c r="I148" s="6"/>
      <c r="J148" s="6"/>
    </row>
    <row r="149" spans="1:10" x14ac:dyDescent="0.3">
      <c r="A149" s="7"/>
      <c r="C149" s="6"/>
      <c r="D149" s="6"/>
      <c r="E149" s="6"/>
      <c r="F149" s="6"/>
      <c r="G149" s="6"/>
      <c r="H149" s="6"/>
      <c r="I149" s="6"/>
      <c r="J149" s="6"/>
    </row>
    <row r="150" spans="1:10" x14ac:dyDescent="0.3">
      <c r="A150" s="7"/>
      <c r="C150" s="6"/>
      <c r="D150" s="6"/>
      <c r="E150" s="6"/>
      <c r="F150" s="6"/>
      <c r="G150" s="6"/>
      <c r="H150" s="6"/>
      <c r="I150" s="6"/>
      <c r="J150" s="6"/>
    </row>
    <row r="151" spans="1:10" x14ac:dyDescent="0.3">
      <c r="A151" s="7"/>
      <c r="C151" s="6"/>
      <c r="D151" s="6"/>
      <c r="E151" s="6"/>
      <c r="F151" s="6"/>
      <c r="G151" s="6"/>
      <c r="H151" s="6"/>
      <c r="I151" s="6"/>
      <c r="J151" s="6"/>
    </row>
    <row r="152" spans="1:10" x14ac:dyDescent="0.3">
      <c r="A152" s="7"/>
      <c r="C152" s="6"/>
      <c r="D152" s="6"/>
      <c r="E152" s="6"/>
      <c r="F152" s="6"/>
      <c r="G152" s="6"/>
      <c r="H152" s="6"/>
      <c r="I152" s="6"/>
      <c r="J152" s="6"/>
    </row>
    <row r="153" spans="1:10" x14ac:dyDescent="0.3">
      <c r="A153" s="7"/>
      <c r="C153" s="6"/>
      <c r="D153" s="6"/>
      <c r="E153" s="6"/>
      <c r="F153" s="6"/>
      <c r="G153" s="6"/>
      <c r="H153" s="6"/>
      <c r="I153" s="6"/>
      <c r="J153" s="6"/>
    </row>
    <row r="154" spans="1:10" x14ac:dyDescent="0.3">
      <c r="A154" s="7"/>
      <c r="C154" s="6"/>
      <c r="D154" s="6"/>
      <c r="E154" s="6"/>
      <c r="F154" s="6"/>
      <c r="G154" s="6"/>
      <c r="H154" s="6"/>
      <c r="I154" s="6"/>
      <c r="J154" s="6"/>
    </row>
    <row r="155" spans="1:10" x14ac:dyDescent="0.3">
      <c r="A155" s="7"/>
      <c r="C155" s="6"/>
      <c r="D155" s="6"/>
      <c r="E155" s="6"/>
      <c r="F155" s="6"/>
      <c r="G155" s="6"/>
      <c r="H155" s="6"/>
      <c r="I155" s="6"/>
      <c r="J155" s="6"/>
    </row>
    <row r="156" spans="1:10" x14ac:dyDescent="0.3">
      <c r="A156" s="7"/>
      <c r="C156" s="6"/>
      <c r="D156" s="6"/>
      <c r="E156" s="6"/>
      <c r="F156" s="6"/>
      <c r="G156" s="6"/>
      <c r="H156" s="6"/>
      <c r="I156" s="6"/>
      <c r="J156" s="6"/>
    </row>
    <row r="157" spans="1:10" x14ac:dyDescent="0.3">
      <c r="A157" s="7"/>
      <c r="C157" s="6"/>
      <c r="D157" s="6"/>
      <c r="E157" s="6"/>
      <c r="F157" s="6"/>
      <c r="G157" s="6"/>
      <c r="H157" s="6"/>
      <c r="I157" s="6"/>
      <c r="J157" s="6"/>
    </row>
    <row r="158" spans="1:10" x14ac:dyDescent="0.3">
      <c r="A158" s="7"/>
      <c r="C158" s="6"/>
      <c r="D158" s="6"/>
      <c r="E158" s="6"/>
      <c r="F158" s="6"/>
      <c r="G158" s="6"/>
      <c r="H158" s="6"/>
      <c r="I158" s="6"/>
      <c r="J158" s="6"/>
    </row>
    <row r="159" spans="1:10" x14ac:dyDescent="0.3">
      <c r="A159" s="7"/>
      <c r="C159" s="6"/>
      <c r="D159" s="6"/>
      <c r="E159" s="6"/>
      <c r="F159" s="6"/>
      <c r="G159" s="6"/>
      <c r="H159" s="6"/>
      <c r="I159" s="6"/>
      <c r="J159" s="6"/>
    </row>
    <row r="160" spans="1:10" x14ac:dyDescent="0.3">
      <c r="A160" s="7"/>
      <c r="C160" s="6"/>
      <c r="D160" s="6"/>
      <c r="E160" s="6"/>
      <c r="F160" s="6"/>
      <c r="G160" s="6"/>
      <c r="H160" s="6"/>
      <c r="I160" s="6"/>
      <c r="J160" s="6"/>
    </row>
    <row r="161" spans="1:10" x14ac:dyDescent="0.3">
      <c r="A161" s="7"/>
      <c r="C161" s="6"/>
      <c r="D161" s="6"/>
      <c r="E161" s="6"/>
      <c r="F161" s="6"/>
      <c r="G161" s="6"/>
      <c r="H161" s="6"/>
      <c r="I161" s="6"/>
      <c r="J161" s="6"/>
    </row>
    <row r="162" spans="1:10" x14ac:dyDescent="0.3">
      <c r="A162" s="7"/>
      <c r="C162" s="6"/>
      <c r="D162" s="6"/>
      <c r="E162" s="6"/>
      <c r="F162" s="6"/>
      <c r="G162" s="6"/>
      <c r="H162" s="6"/>
      <c r="I162" s="6"/>
      <c r="J162" s="6"/>
    </row>
    <row r="163" spans="1:10" x14ac:dyDescent="0.3">
      <c r="A163" s="7"/>
      <c r="C163" s="6"/>
      <c r="D163" s="6"/>
      <c r="E163" s="6"/>
      <c r="F163" s="6"/>
      <c r="G163" s="6"/>
      <c r="H163" s="6"/>
      <c r="I163" s="6"/>
      <c r="J163" s="6"/>
    </row>
    <row r="164" spans="1:10" x14ac:dyDescent="0.3">
      <c r="A164" s="7"/>
      <c r="C164" s="6"/>
      <c r="D164" s="6"/>
      <c r="E164" s="6"/>
      <c r="F164" s="6"/>
      <c r="G164" s="6"/>
      <c r="H164" s="6"/>
      <c r="I164" s="6"/>
      <c r="J164" s="6"/>
    </row>
    <row r="165" spans="1:10" x14ac:dyDescent="0.3">
      <c r="A165" s="7"/>
      <c r="C165" s="6"/>
      <c r="D165" s="6"/>
      <c r="E165" s="6"/>
      <c r="F165" s="6"/>
      <c r="G165" s="6"/>
      <c r="H165" s="6"/>
      <c r="I165" s="6"/>
      <c r="J165" s="6"/>
    </row>
    <row r="166" spans="1:10" x14ac:dyDescent="0.3">
      <c r="A166" s="7"/>
      <c r="C166" s="6"/>
      <c r="D166" s="6"/>
      <c r="E166" s="6"/>
      <c r="F166" s="6"/>
      <c r="G166" s="6"/>
      <c r="H166" s="6"/>
      <c r="I166" s="6"/>
      <c r="J166" s="6"/>
    </row>
    <row r="167" spans="1:10" x14ac:dyDescent="0.3">
      <c r="A167" s="7"/>
      <c r="C167" s="6"/>
      <c r="D167" s="6"/>
      <c r="E167" s="6"/>
      <c r="F167" s="6"/>
      <c r="G167" s="6"/>
      <c r="H167" s="6"/>
      <c r="I167" s="6"/>
      <c r="J167" s="6"/>
    </row>
    <row r="168" spans="1:10" x14ac:dyDescent="0.3">
      <c r="A168" s="7"/>
      <c r="C168" s="6"/>
      <c r="D168" s="6"/>
      <c r="E168" s="6"/>
      <c r="F168" s="6"/>
      <c r="G168" s="6"/>
      <c r="H168" s="6"/>
      <c r="I168" s="6"/>
      <c r="J168" s="6"/>
    </row>
    <row r="169" spans="1:10" x14ac:dyDescent="0.3">
      <c r="A169" s="7"/>
      <c r="C169" s="6"/>
      <c r="D169" s="6"/>
      <c r="E169" s="6"/>
      <c r="F169" s="6"/>
      <c r="G169" s="6"/>
      <c r="H169" s="6"/>
      <c r="I169" s="6"/>
      <c r="J169" s="6"/>
    </row>
    <row r="170" spans="1:10" x14ac:dyDescent="0.3">
      <c r="A170" s="7"/>
      <c r="C170" s="6"/>
      <c r="D170" s="6"/>
      <c r="E170" s="6"/>
      <c r="F170" s="6"/>
      <c r="G170" s="6"/>
      <c r="H170" s="6"/>
      <c r="I170" s="6"/>
      <c r="J170" s="6"/>
    </row>
    <row r="171" spans="1:10" x14ac:dyDescent="0.3">
      <c r="A171" s="7"/>
      <c r="C171" s="6"/>
      <c r="D171" s="6"/>
      <c r="E171" s="6"/>
      <c r="F171" s="6"/>
      <c r="G171" s="6"/>
      <c r="H171" s="6"/>
      <c r="I171" s="6"/>
      <c r="J171" s="6"/>
    </row>
    <row r="172" spans="1:10" x14ac:dyDescent="0.3">
      <c r="A172" s="7"/>
      <c r="C172" s="6"/>
      <c r="D172" s="6"/>
      <c r="E172" s="6"/>
      <c r="F172" s="6"/>
      <c r="G172" s="6"/>
      <c r="H172" s="6"/>
      <c r="I172" s="6"/>
      <c r="J172" s="6"/>
    </row>
    <row r="173" spans="1:10" x14ac:dyDescent="0.3">
      <c r="A173" s="7"/>
      <c r="C173" s="6"/>
      <c r="D173" s="6"/>
      <c r="E173" s="6"/>
      <c r="F173" s="6"/>
      <c r="G173" s="6"/>
      <c r="H173" s="6"/>
      <c r="I173" s="6"/>
      <c r="J173" s="6"/>
    </row>
    <row r="174" spans="1:10" x14ac:dyDescent="0.3">
      <c r="A174" s="7"/>
      <c r="C174" s="6"/>
      <c r="D174" s="6"/>
      <c r="E174" s="6"/>
      <c r="F174" s="6"/>
      <c r="G174" s="6"/>
      <c r="H174" s="6"/>
      <c r="I174" s="6"/>
      <c r="J174" s="6"/>
    </row>
    <row r="175" spans="1:10" x14ac:dyDescent="0.3">
      <c r="A175" s="7"/>
      <c r="C175" s="6"/>
      <c r="D175" s="6"/>
      <c r="E175" s="6"/>
      <c r="F175" s="6"/>
      <c r="G175" s="6"/>
      <c r="H175" s="6"/>
      <c r="I175" s="6"/>
      <c r="J175" s="6"/>
    </row>
    <row r="176" spans="1:10" x14ac:dyDescent="0.3">
      <c r="A176" s="7"/>
      <c r="C176" s="6"/>
      <c r="D176" s="6"/>
      <c r="E176" s="6"/>
      <c r="F176" s="6"/>
      <c r="G176" s="6"/>
      <c r="H176" s="6"/>
      <c r="I176" s="6"/>
      <c r="J176" s="6"/>
    </row>
    <row r="177" spans="1:10" x14ac:dyDescent="0.3">
      <c r="A177" s="7"/>
      <c r="C177" s="6"/>
      <c r="D177" s="6"/>
      <c r="E177" s="6"/>
      <c r="F177" s="6"/>
      <c r="G177" s="6"/>
      <c r="H177" s="6"/>
      <c r="I177" s="6"/>
      <c r="J177" s="6"/>
    </row>
    <row r="178" spans="1:10" x14ac:dyDescent="0.3">
      <c r="A178" s="7"/>
      <c r="C178" s="6"/>
      <c r="D178" s="6"/>
      <c r="E178" s="6"/>
      <c r="F178" s="6"/>
      <c r="G178" s="6"/>
      <c r="H178" s="6"/>
      <c r="I178" s="6"/>
      <c r="J178" s="6"/>
    </row>
    <row r="179" spans="1:10" x14ac:dyDescent="0.3">
      <c r="A179" s="7"/>
      <c r="C179" s="6"/>
      <c r="D179" s="6"/>
      <c r="E179" s="6"/>
      <c r="F179" s="6"/>
      <c r="G179" s="6"/>
      <c r="H179" s="6"/>
      <c r="I179" s="6"/>
      <c r="J179" s="6"/>
    </row>
    <row r="180" spans="1:10" x14ac:dyDescent="0.3">
      <c r="A180" s="7"/>
      <c r="C180" s="6"/>
      <c r="D180" s="6"/>
      <c r="E180" s="6"/>
      <c r="F180" s="6"/>
      <c r="G180" s="6"/>
      <c r="H180" s="6"/>
      <c r="I180" s="6"/>
      <c r="J180" s="6"/>
    </row>
    <row r="181" spans="1:10" x14ac:dyDescent="0.3">
      <c r="A181" s="7"/>
      <c r="C181" s="6"/>
      <c r="D181" s="6"/>
      <c r="E181" s="6"/>
      <c r="F181" s="6"/>
      <c r="G181" s="6"/>
      <c r="H181" s="6"/>
      <c r="I181" s="6"/>
      <c r="J181" s="6"/>
    </row>
    <row r="182" spans="1:10" x14ac:dyDescent="0.3">
      <c r="A182" s="7"/>
      <c r="C182" s="6"/>
      <c r="D182" s="6"/>
      <c r="E182" s="6"/>
      <c r="F182" s="6"/>
      <c r="G182" s="6"/>
      <c r="H182" s="6"/>
      <c r="I182" s="6"/>
      <c r="J182" s="6"/>
    </row>
    <row r="183" spans="1:10" x14ac:dyDescent="0.3">
      <c r="A183" s="7"/>
      <c r="C183" s="6"/>
      <c r="D183" s="6"/>
      <c r="E183" s="6"/>
      <c r="F183" s="6"/>
      <c r="G183" s="6"/>
      <c r="H183" s="6"/>
      <c r="I183" s="6"/>
      <c r="J183" s="6"/>
    </row>
    <row r="184" spans="1:10" x14ac:dyDescent="0.3">
      <c r="A184" s="7"/>
      <c r="C184" s="6"/>
      <c r="D184" s="6"/>
      <c r="E184" s="6"/>
      <c r="F184" s="6"/>
      <c r="G184" s="6"/>
      <c r="H184" s="6"/>
      <c r="I184" s="6"/>
      <c r="J184" s="6"/>
    </row>
    <row r="185" spans="1:10" x14ac:dyDescent="0.3">
      <c r="A185" s="7"/>
      <c r="C185" s="6"/>
      <c r="D185" s="6"/>
      <c r="E185" s="6"/>
      <c r="F185" s="6"/>
      <c r="G185" s="6"/>
      <c r="H185" s="6"/>
      <c r="I185" s="6"/>
      <c r="J185" s="6"/>
    </row>
    <row r="186" spans="1:10" x14ac:dyDescent="0.3">
      <c r="A186" s="7"/>
      <c r="C186" s="6"/>
      <c r="D186" s="6"/>
      <c r="E186" s="6"/>
      <c r="F186" s="6"/>
      <c r="G186" s="6"/>
      <c r="H186" s="6"/>
      <c r="I186" s="6"/>
      <c r="J186" s="6"/>
    </row>
    <row r="187" spans="1:10" x14ac:dyDescent="0.3">
      <c r="A187" s="7"/>
      <c r="C187" s="6"/>
      <c r="D187" s="6"/>
      <c r="E187" s="6"/>
      <c r="F187" s="6"/>
      <c r="G187" s="6"/>
      <c r="H187" s="6"/>
      <c r="I187" s="6"/>
      <c r="J187" s="6"/>
    </row>
    <row r="188" spans="1:10" x14ac:dyDescent="0.3">
      <c r="A188" s="7"/>
      <c r="C188" s="6"/>
      <c r="D188" s="6"/>
      <c r="E188" s="6"/>
      <c r="F188" s="6"/>
      <c r="G188" s="6"/>
      <c r="H188" s="6"/>
      <c r="I188" s="6"/>
      <c r="J188" s="6"/>
    </row>
    <row r="189" spans="1:10" x14ac:dyDescent="0.3">
      <c r="A189" s="7"/>
      <c r="C189" s="6"/>
      <c r="D189" s="6"/>
      <c r="E189" s="6"/>
      <c r="F189" s="6"/>
      <c r="G189" s="6"/>
      <c r="H189" s="6"/>
      <c r="I189" s="6"/>
      <c r="J189" s="6"/>
    </row>
    <row r="190" spans="1:10" x14ac:dyDescent="0.3">
      <c r="A190" s="7"/>
      <c r="C190" s="6"/>
      <c r="D190" s="6"/>
      <c r="E190" s="6"/>
      <c r="F190" s="6"/>
      <c r="G190" s="6"/>
      <c r="H190" s="6"/>
      <c r="I190" s="6"/>
      <c r="J190" s="6"/>
    </row>
    <row r="191" spans="1:10" x14ac:dyDescent="0.3">
      <c r="A191" s="7"/>
      <c r="C191" s="6"/>
      <c r="D191" s="6"/>
      <c r="E191" s="6"/>
      <c r="F191" s="6"/>
      <c r="G191" s="6"/>
      <c r="H191" s="6"/>
      <c r="I191" s="6"/>
      <c r="J191" s="6"/>
    </row>
    <row r="192" spans="1:10" x14ac:dyDescent="0.3">
      <c r="A192" s="7"/>
      <c r="C192" s="6"/>
      <c r="D192" s="6"/>
      <c r="E192" s="6"/>
      <c r="F192" s="6"/>
      <c r="G192" s="6"/>
      <c r="H192" s="6"/>
      <c r="I192" s="6"/>
      <c r="J192" s="6"/>
    </row>
    <row r="193" spans="1:10" x14ac:dyDescent="0.3">
      <c r="A193" s="7"/>
      <c r="C193" s="6"/>
      <c r="D193" s="6"/>
      <c r="E193" s="6"/>
      <c r="F193" s="6"/>
      <c r="G193" s="6"/>
      <c r="H193" s="6"/>
      <c r="I193" s="6"/>
      <c r="J193" s="6"/>
    </row>
    <row r="194" spans="1:10" x14ac:dyDescent="0.3">
      <c r="A194" s="7"/>
      <c r="C194" s="6"/>
      <c r="D194" s="6"/>
      <c r="E194" s="6"/>
      <c r="F194" s="6"/>
      <c r="G194" s="6"/>
      <c r="H194" s="6"/>
      <c r="I194" s="6"/>
      <c r="J194" s="6"/>
    </row>
    <row r="195" spans="1:10" x14ac:dyDescent="0.3">
      <c r="A195" s="7"/>
      <c r="C195" s="6"/>
      <c r="D195" s="6"/>
      <c r="E195" s="6"/>
      <c r="F195" s="6"/>
      <c r="G195" s="6"/>
      <c r="H195" s="6"/>
      <c r="I195" s="6"/>
      <c r="J195" s="6"/>
    </row>
    <row r="196" spans="1:10" x14ac:dyDescent="0.3">
      <c r="A196" s="7"/>
      <c r="C196" s="6"/>
      <c r="D196" s="6"/>
      <c r="E196" s="6"/>
      <c r="F196" s="6"/>
      <c r="G196" s="6"/>
      <c r="H196" s="6"/>
      <c r="I196" s="6"/>
      <c r="J196" s="6"/>
    </row>
    <row r="197" spans="1:10" x14ac:dyDescent="0.3">
      <c r="A197" s="7"/>
      <c r="C197" s="6"/>
      <c r="D197" s="6"/>
      <c r="E197" s="6"/>
      <c r="F197" s="6"/>
      <c r="G197" s="6"/>
      <c r="H197" s="6"/>
      <c r="I197" s="6"/>
      <c r="J197" s="6"/>
    </row>
    <row r="198" spans="1:10" x14ac:dyDescent="0.3">
      <c r="A198" s="7"/>
      <c r="C198" s="6"/>
      <c r="D198" s="6"/>
      <c r="E198" s="6"/>
      <c r="F198" s="6"/>
      <c r="G198" s="6"/>
      <c r="H198" s="6"/>
      <c r="I198" s="6"/>
      <c r="J198" s="6"/>
    </row>
    <row r="199" spans="1:10" x14ac:dyDescent="0.3">
      <c r="A199" s="7"/>
      <c r="C199" s="6"/>
      <c r="D199" s="6"/>
      <c r="E199" s="6"/>
      <c r="F199" s="6"/>
      <c r="G199" s="6"/>
      <c r="H199" s="6"/>
      <c r="I199" s="6"/>
      <c r="J199" s="6"/>
    </row>
    <row r="200" spans="1:10" x14ac:dyDescent="0.3">
      <c r="A200" s="7"/>
      <c r="C200" s="6"/>
      <c r="D200" s="6"/>
      <c r="E200" s="6"/>
      <c r="F200" s="6"/>
      <c r="G200" s="6"/>
      <c r="H200" s="6"/>
      <c r="I200" s="6"/>
      <c r="J200" s="6"/>
    </row>
  </sheetData>
  <dataValidations count="2">
    <dataValidation type="list" allowBlank="1" showInputMessage="1" showErrorMessage="1" sqref="C4" xr:uid="{0895A31D-B778-4CF8-BE50-397A51ECA314}">
      <formula1>Список_щитов</formula1>
    </dataValidation>
    <dataValidation type="list" allowBlank="1" showInputMessage="1" showErrorMessage="1" sqref="C5" xr:uid="{6B5C3244-CBC7-4716-A491-4BBF8FAB8912}">
      <formula1>"Весь щит,Секция 1,Секция 2,Секция 3"</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4AB53-39B8-42F9-A3BB-E53E025B4A51}">
  <sheetPr codeName="Лист18">
    <tabColor rgb="FFA6A6A6"/>
  </sheetPr>
  <dimension ref="A1:S160"/>
  <sheetViews>
    <sheetView topLeftCell="B52" workbookViewId="0">
      <selection activeCell="C11" sqref="C11"/>
    </sheetView>
  </sheetViews>
  <sheetFormatPr defaultRowHeight="14.4" outlineLevelCol="1" x14ac:dyDescent="0.3"/>
  <cols>
    <col min="1" max="1" width="4" hidden="1" customWidth="1"/>
    <col min="2" max="2" width="9.6640625" customWidth="1"/>
    <col min="3" max="3" width="115.88671875" customWidth="1"/>
    <col min="4" max="6" width="20.6640625" customWidth="1"/>
    <col min="7" max="9" width="9.6640625" customWidth="1"/>
    <col min="10" max="10" width="20.6640625" customWidth="1"/>
    <col min="11" max="11" width="3" customWidth="1"/>
    <col min="12" max="12" width="40" hidden="1" customWidth="1" outlineLevel="1"/>
    <col min="13" max="19" width="11" hidden="1" customWidth="1" outlineLevel="1"/>
  </cols>
  <sheetData>
    <row r="1" spans="1:15" ht="28.2" thickBot="1" x14ac:dyDescent="0.35">
      <c r="C1" s="30" t="str">
        <f>IF(Каталог!$R$28="","ЧЕРНОВИК — считается сам, не править. Перенос в «Спецификацию»: выделите B4:J160 → Копировать → лист «Спецификация», ячейка B4 → Вставить → Значения (или кнопка/макрос «ОбновитьСпецификацию»).","ВНИМАНИЕ: в однолинейке есть позиции, которых нет в Каталоге: "&amp;Каталог!$R$28&amp;IF(Каталог!$R$29="","",", "&amp;Каталог!$R$29)&amp;IF(Каталог!$R$30="","",", "&amp;Каталог!$R$30)&amp;" — добавьте их в Каталог.")</f>
        <v>ВНИМАНИЕ: в однолинейке есть позиции, которых нет в Каталоге: 1P С6А, 3P С40А, 3P С25А — добавьте их в Каталог.</v>
      </c>
      <c r="K1" s="36" t="str">
        <f>"Щит: "&amp;Спецификация!$D$1&amp;" (выбор — «Спецификация» D1)"</f>
        <v>Щит: все (выбор — «Спецификация» D1)</v>
      </c>
    </row>
    <row r="2" spans="1:15" ht="43.8" thickBot="1" x14ac:dyDescent="0.35">
      <c r="B2" s="9" t="s">
        <v>41</v>
      </c>
      <c r="C2" s="1" t="s">
        <v>42</v>
      </c>
      <c r="D2" s="1" t="s">
        <v>43</v>
      </c>
      <c r="E2" s="1" t="s">
        <v>44</v>
      </c>
      <c r="F2" s="1" t="s">
        <v>45</v>
      </c>
      <c r="G2" s="1" t="s">
        <v>49</v>
      </c>
      <c r="H2" s="1" t="s">
        <v>46</v>
      </c>
      <c r="I2" s="1" t="s">
        <v>47</v>
      </c>
      <c r="J2" s="10" t="s">
        <v>48</v>
      </c>
      <c r="L2" s="1" t="s">
        <v>772</v>
      </c>
      <c r="M2" s="1" t="s">
        <v>46</v>
      </c>
      <c r="N2" s="1" t="s">
        <v>773</v>
      </c>
      <c r="O2" s="1" t="s">
        <v>774</v>
      </c>
    </row>
    <row r="3" spans="1:15" ht="28.8" x14ac:dyDescent="0.3">
      <c r="B3" s="28" t="s">
        <v>35</v>
      </c>
      <c r="C3" s="27" t="s">
        <v>259</v>
      </c>
      <c r="D3" s="8"/>
      <c r="E3" s="8"/>
      <c r="F3" s="8"/>
      <c r="G3" s="8"/>
      <c r="H3" s="8"/>
      <c r="I3" s="8"/>
      <c r="J3" s="8"/>
      <c r="L3" s="1" t="s">
        <v>775</v>
      </c>
    </row>
    <row r="4" spans="1:15" x14ac:dyDescent="0.3">
      <c r="A4" s="29">
        <f>IFERROR(MATCH(ROW()-3,Каталог!$AF$4:$AF$500,0),"")</f>
        <v>1</v>
      </c>
      <c r="B4" s="29" t="str">
        <f t="shared" ref="B4:B35" si="0">IF($A4="","",$B$3&amp;"."&amp;(ROW()-3))</f>
        <v>1.1</v>
      </c>
      <c r="C4" s="30" t="str">
        <f>IF($A4="","",INDEX(Каталог!$G$4:$G$500,$A4)&amp;"")</f>
        <v>Автоматический выключатель NB1-63 1P 10А 6кА х-ка C (DB)</v>
      </c>
      <c r="D4" s="33"/>
      <c r="E4" s="31" t="str">
        <f>IF($A4="","",INDEX(Каталог!$H$4:$H$500,$A4)&amp;"")</f>
        <v>179614</v>
      </c>
      <c r="F4" s="32" t="str">
        <f>IF($A4="","",INDEX(Каталог!$B$4:$B$500,$A4)&amp;"")</f>
        <v>Chint</v>
      </c>
      <c r="G4" s="32" t="str">
        <f>IF($A4="","",INDEX(Каталог!$M$4:$M$500,$A4)&amp;"")</f>
        <v>шт.</v>
      </c>
      <c r="H4" s="32">
        <f>IF($A4="","",INDEX(Каталог!$P$4:$P$500,$A4))</f>
        <v>8</v>
      </c>
      <c r="I4" s="5"/>
      <c r="J4" s="5"/>
      <c r="L4" s="30" t="str">
        <f>IFERROR(INDEX(Однолинейка!$H$3:$H$1000,MATCH(1,Однолинейка!$BM$3:$BM$1000,0)),"")</f>
        <v>3P С80А</v>
      </c>
      <c r="M4" s="32">
        <f>IF(L4="","",COUNTIF(Однолинейка!$H$3:$H$1000,L4))</f>
        <v>2</v>
      </c>
    </row>
    <row r="5" spans="1:15" x14ac:dyDescent="0.3">
      <c r="A5" s="29">
        <f>IFERROR(MATCH(ROW()-3,Каталог!$AF$4:$AF$500,0),"")</f>
        <v>2</v>
      </c>
      <c r="B5" s="29" t="str">
        <f t="shared" si="0"/>
        <v>1.2</v>
      </c>
      <c r="C5" s="30" t="str">
        <f>IF($A5="","",INDEX(Каталог!$G$4:$G$500,$A5)&amp;"")</f>
        <v>Автоматический выключатель NB1-63 1P 16А 6кА х-ка C (DB)</v>
      </c>
      <c r="D5" s="33"/>
      <c r="E5" s="31" t="str">
        <f>IF($A5="","",INDEX(Каталог!$H$4:$H$500,$A5)&amp;"")</f>
        <v>179616</v>
      </c>
      <c r="F5" s="32" t="str">
        <f>IF($A5="","",INDEX(Каталог!$B$4:$B$500,$A5)&amp;"")</f>
        <v>Chint</v>
      </c>
      <c r="G5" s="32" t="str">
        <f>IF($A5="","",INDEX(Каталог!$M$4:$M$500,$A5)&amp;"")</f>
        <v>шт.</v>
      </c>
      <c r="H5" s="32">
        <f>IF($A5="","",INDEX(Каталог!$P$4:$P$500,$A5))</f>
        <v>4</v>
      </c>
      <c r="I5" s="5"/>
      <c r="J5" s="5"/>
      <c r="L5" s="30" t="str">
        <f>IFERROR(INDEX(Однолинейка!$H$3:$H$1000,MATCH(2,Однолинейка!$BM$3:$BM$1000,0)),"")</f>
        <v>1P С6А</v>
      </c>
      <c r="M5" s="32">
        <f>IF(L5="","",COUNTIF(Однолинейка!$H$3:$H$1000,L5))</f>
        <v>11</v>
      </c>
    </row>
    <row r="6" spans="1:15" x14ac:dyDescent="0.3">
      <c r="A6" s="29">
        <f>IFERROR(MATCH(ROW()-3,Каталог!$AF$4:$AF$500,0),"")</f>
        <v>5</v>
      </c>
      <c r="B6" s="29" t="str">
        <f t="shared" si="0"/>
        <v>1.3</v>
      </c>
      <c r="C6" s="30" t="str">
        <f>IF($A6="","",INDEX(Каталог!$G$4:$G$500,$A6)&amp;"")</f>
        <v>Автоматический выключатель NXB-125 3P C80 10кА х-ка C</v>
      </c>
      <c r="D6" s="33"/>
      <c r="E6" s="31" t="str">
        <f>IF($A6="","",INDEX(Каталог!$H$4:$H$500,$A6)&amp;"")</f>
        <v>816139</v>
      </c>
      <c r="F6" s="32" t="str">
        <f>IF($A6="","",INDEX(Каталог!$B$4:$B$500,$A6)&amp;"")</f>
        <v>Chint</v>
      </c>
      <c r="G6" s="32" t="str">
        <f>IF($A6="","",INDEX(Каталог!$M$4:$M$500,$A6)&amp;"")</f>
        <v>шт.</v>
      </c>
      <c r="H6" s="32">
        <f>IF($A6="","",INDEX(Каталог!$P$4:$P$500,$A6))</f>
        <v>2</v>
      </c>
      <c r="I6" s="5"/>
      <c r="J6" s="5"/>
      <c r="L6" s="30" t="str">
        <f>IFERROR(INDEX(Однолинейка!$H$3:$H$1000,MATCH(3,Однолинейка!$BM$3:$BM$1000,0)),"")</f>
        <v>2P С16А 30мА</v>
      </c>
      <c r="M6" s="32">
        <f>IF(L6="","",COUNTIF(Однолинейка!$H$3:$H$1000,L6))</f>
        <v>5</v>
      </c>
    </row>
    <row r="7" spans="1:15" x14ac:dyDescent="0.3">
      <c r="A7" s="29">
        <f>IFERROR(MATCH(ROW()-3,Каталог!$AF$4:$AF$500,0),"")</f>
        <v>6</v>
      </c>
      <c r="B7" s="29" t="str">
        <f t="shared" si="0"/>
        <v>1.4</v>
      </c>
      <c r="C7" s="30" t="str">
        <f>IF($A7="","",INDEX(Каталог!$G$4:$G$500,$A7)&amp;"")</f>
        <v>Дифавтомат (АВДТ) NB1L 1P+N C16 30мА тип A 6кА</v>
      </c>
      <c r="D7" s="33"/>
      <c r="E7" s="31" t="str">
        <f>IF($A7="","",INDEX(Каталог!$H$4:$H$500,$A7)&amp;"")</f>
        <v>203019</v>
      </c>
      <c r="F7" s="32" t="str">
        <f>IF($A7="","",INDEX(Каталог!$B$4:$B$500,$A7)&amp;"")</f>
        <v>Chint</v>
      </c>
      <c r="G7" s="32" t="str">
        <f>IF($A7="","",INDEX(Каталог!$M$4:$M$500,$A7)&amp;"")</f>
        <v>шт.</v>
      </c>
      <c r="H7" s="32">
        <f>IF($A7="","",INDEX(Каталог!$P$4:$P$500,$A7))</f>
        <v>5</v>
      </c>
      <c r="I7" s="5"/>
      <c r="J7" s="5"/>
      <c r="L7" s="30" t="str">
        <f>IFERROR(INDEX(Однолинейка!$H$3:$H$1000,MATCH(4,Однолинейка!$BM$3:$BM$1000,0)),"")</f>
        <v>3P С40А</v>
      </c>
      <c r="M7" s="32">
        <f>IF(L7="","",COUNTIF(Однолинейка!$H$3:$H$1000,L7))</f>
        <v>2</v>
      </c>
    </row>
    <row r="8" spans="1:15" x14ac:dyDescent="0.3">
      <c r="A8" s="29">
        <f>IFERROR(MATCH(ROW()-3,Каталог!$AF$4:$AF$500,0),"")</f>
        <v>8</v>
      </c>
      <c r="B8" s="29" t="str">
        <f t="shared" si="0"/>
        <v>1.5</v>
      </c>
      <c r="C8" s="30" t="str">
        <f>IF($A8="","",INDEX(Каталог!$G$4:$G$500,$A8)&amp;"")</f>
        <v>Дифавтомат (АВДТ) NB1L 1P+N C32 30мА тип A 6кА</v>
      </c>
      <c r="D8" s="33"/>
      <c r="E8" s="31" t="str">
        <f>IF($A8="","",INDEX(Каталог!$H$4:$H$500,$A8)&amp;"")</f>
        <v>982114</v>
      </c>
      <c r="F8" s="32" t="str">
        <f>IF($A8="","",INDEX(Каталог!$B$4:$B$500,$A8)&amp;"")</f>
        <v>Chint</v>
      </c>
      <c r="G8" s="32" t="str">
        <f>IF($A8="","",INDEX(Каталог!$M$4:$M$500,$A8)&amp;"")</f>
        <v>шт.</v>
      </c>
      <c r="H8" s="32">
        <f>IF($A8="","",INDEX(Каталог!$P$4:$P$500,$A8))</f>
        <v>1</v>
      </c>
      <c r="I8" s="5"/>
      <c r="J8" s="5"/>
      <c r="L8" s="30" t="str">
        <f>IFERROR(INDEX(Однолинейка!$H$3:$H$1000,MATCH(5,Однолинейка!$BM$3:$BM$1000,0)),"")</f>
        <v>3P С25А</v>
      </c>
      <c r="M8" s="32">
        <f>IF(L8="","",COUNTIF(Однолинейка!$H$3:$H$1000,L8))</f>
        <v>2</v>
      </c>
    </row>
    <row r="9" spans="1:15" x14ac:dyDescent="0.3">
      <c r="A9" s="29">
        <f>IFERROR(MATCH(ROW()-3,Каталог!$AF$4:$AF$500,0),"")</f>
        <v>9</v>
      </c>
      <c r="B9" s="29" t="str">
        <f t="shared" si="0"/>
        <v>1.6</v>
      </c>
      <c r="C9" s="30" t="str">
        <f>IF($A9="","",INDEX(Каталог!$G$4:$G$500,$A9)&amp;"")</f>
        <v>Модуль защиты контактов MK-5-1</v>
      </c>
      <c r="D9" s="33"/>
      <c r="E9" s="31" t="str">
        <f>IF($A9="","",INDEX(Каталог!$H$4:$H$500,$A9)&amp;"")</f>
        <v>EA06.002.001</v>
      </c>
      <c r="F9" s="32" t="str">
        <f>IF($A9="","",INDEX(Каталог!$B$4:$B$500,$A9)&amp;"")</f>
        <v>Россия</v>
      </c>
      <c r="G9" s="32" t="str">
        <f>IF($A9="","",INDEX(Каталог!$M$4:$M$500,$A9)&amp;"")</f>
        <v>шт.</v>
      </c>
      <c r="H9" s="32">
        <f>IF($A9="","",INDEX(Каталог!$P$4:$P$500,$A9))</f>
        <v>2</v>
      </c>
      <c r="I9" s="5"/>
      <c r="J9" s="5"/>
      <c r="L9" s="30" t="str">
        <f>IFERROR(INDEX(Однолинейка!$H$3:$H$1000,MATCH(6,Однолинейка!$BM$3:$BM$1000,0)),"")</f>
        <v>3P С6А</v>
      </c>
      <c r="M9" s="32">
        <f>IF(L9="","",COUNTIF(Однолинейка!$H$3:$H$1000,L9))</f>
        <v>2</v>
      </c>
    </row>
    <row r="10" spans="1:15" x14ac:dyDescent="0.3">
      <c r="A10" s="29">
        <f>IFERROR(MATCH(ROW()-3,Каталог!$AF$4:$AF$500,0),"")</f>
        <v>11</v>
      </c>
      <c r="B10" s="29" t="str">
        <f t="shared" si="0"/>
        <v>1.7</v>
      </c>
      <c r="C10" s="30" t="str">
        <f>IF($A10="","",INDEX(Каталог!$G$4:$G$500,$A10)&amp;"")</f>
        <v>Контактор модульный NCH8-40/40 40А 4НО AC220/230В</v>
      </c>
      <c r="D10" s="33"/>
      <c r="E10" s="31" t="str">
        <f>IF($A10="","",INDEX(Каталог!$H$4:$H$500,$A10)&amp;"")</f>
        <v>256099</v>
      </c>
      <c r="F10" s="32" t="str">
        <f>IF($A10="","",INDEX(Каталог!$B$4:$B$500,$A10)&amp;"")</f>
        <v>Chint</v>
      </c>
      <c r="G10" s="32" t="str">
        <f>IF($A10="","",INDEX(Каталог!$M$4:$M$500,$A10)&amp;"")</f>
        <v>шт.</v>
      </c>
      <c r="H10" s="32">
        <f>IF($A10="","",INDEX(Каталог!$P$4:$P$500,$A10))</f>
        <v>1</v>
      </c>
      <c r="I10" s="5"/>
      <c r="J10" s="5"/>
      <c r="L10" s="30" t="str">
        <f>IFERROR(INDEX(Однолинейка!$H$3:$H$1000,MATCH(7,Однолинейка!$BM$3:$BM$1000,0)),"")</f>
        <v>1P С10А</v>
      </c>
      <c r="M10" s="32">
        <f>IF(L10="","",COUNTIF(Однолинейка!$H$3:$H$1000,L10))</f>
        <v>8</v>
      </c>
    </row>
    <row r="11" spans="1:15" x14ac:dyDescent="0.3">
      <c r="A11" s="29">
        <f>IFERROR(MATCH(ROW()-3,Каталог!$AF$4:$AF$500,0),"")</f>
        <v>14</v>
      </c>
      <c r="B11" s="29" t="str">
        <f t="shared" si="0"/>
        <v>1.8</v>
      </c>
      <c r="C11" s="30" t="str">
        <f>IF($A11="","",INDEX(Каталог!$G$4:$G$500,$A11)&amp;"")</f>
        <v>Блок питания ARV-DRP480-PFC-24 (24V, 20A, 480W)</v>
      </c>
      <c r="D11" s="33"/>
      <c r="E11" s="31" t="str">
        <f>IF($A11="","",INDEX(Каталог!$H$4:$H$500,$A11)&amp;"")</f>
        <v>040231</v>
      </c>
      <c r="F11" s="32" t="str">
        <f>IF($A11="","",INDEX(Каталог!$B$4:$B$500,$A11)&amp;"")</f>
        <v>Arlight</v>
      </c>
      <c r="G11" s="32" t="str">
        <f>IF($A11="","",INDEX(Каталог!$M$4:$M$500,$A11)&amp;"")</f>
        <v>шт.</v>
      </c>
      <c r="H11" s="32">
        <f>IF($A11="","",INDEX(Каталог!$P$4:$P$500,$A11))</f>
        <v>1</v>
      </c>
      <c r="I11" s="5"/>
      <c r="J11" s="5"/>
      <c r="L11" s="30" t="str">
        <f>IFERROR(INDEX(Однолинейка!$H$3:$H$1000,MATCH(8,Однолинейка!$BM$3:$BM$1000,0)),"")</f>
        <v>1P С16А</v>
      </c>
      <c r="M11" s="32">
        <f>IF(L11="","",COUNTIF(Однолинейка!$H$3:$H$1000,L11))</f>
        <v>4</v>
      </c>
    </row>
    <row r="12" spans="1:15" x14ac:dyDescent="0.3">
      <c r="A12" s="29">
        <f>IFERROR(MATCH(ROW()-3,Каталог!$AF$4:$AF$500,0),"")</f>
        <v>15</v>
      </c>
      <c r="B12" s="29" t="str">
        <f t="shared" si="0"/>
        <v>1.9</v>
      </c>
      <c r="C12" s="30" t="str">
        <f>IF($A12="","",INDEX(Каталог!$G$4:$G$500,$A12)&amp;"")</f>
        <v>Блок питания ARV-DRP75-24 (24V, 3.15A, 75W)</v>
      </c>
      <c r="D12" s="33"/>
      <c r="E12" s="31" t="str">
        <f>IF($A12="","",INDEX(Каталог!$H$4:$H$500,$A12)&amp;"")</f>
        <v>040232</v>
      </c>
      <c r="F12" s="32" t="str">
        <f>IF($A12="","",INDEX(Каталог!$B$4:$B$500,$A12)&amp;"")</f>
        <v>Arlight</v>
      </c>
      <c r="G12" s="32" t="str">
        <f>IF($A12="","",INDEX(Каталог!$M$4:$M$500,$A12)&amp;"")</f>
        <v>шт.</v>
      </c>
      <c r="H12" s="32">
        <f>IF($A12="","",INDEX(Каталог!$P$4:$P$500,$A12))</f>
        <v>2</v>
      </c>
      <c r="I12" s="5"/>
      <c r="J12" s="5"/>
      <c r="L12" s="30" t="str">
        <f>IFERROR(INDEX(Однолинейка!$H$3:$H$1000,MATCH(9,Однолинейка!$BM$3:$BM$1000,0)),"")</f>
        <v>2P С32А 30мА</v>
      </c>
      <c r="M12" s="32">
        <f>IF(L12="","",COUNTIF(Однолинейка!$H$3:$H$1000,L12))</f>
        <v>1</v>
      </c>
    </row>
    <row r="13" spans="1:15" x14ac:dyDescent="0.3">
      <c r="A13" s="29">
        <f>IFERROR(MATCH(ROW()-3,Каталог!$AF$4:$AF$500,0),"")</f>
        <v>21</v>
      </c>
      <c r="B13" s="29" t="str">
        <f t="shared" si="0"/>
        <v>1.10</v>
      </c>
      <c r="C13" s="30" t="str">
        <f>IF($A13="","",INDEX(Каталог!$G$4:$G$500,$A13)&amp;"")</f>
        <v>Многофункциональный актуатор KNX</v>
      </c>
      <c r="D13" s="33"/>
      <c r="E13" s="31" t="str">
        <f>IF($A13="","",INDEX(Каталог!$H$4:$H$500,$A13)&amp;"")</f>
        <v>ZIOMB16V3</v>
      </c>
      <c r="F13" s="32" t="str">
        <f>IF($A13="","",INDEX(Каталог!$B$4:$B$500,$A13)&amp;"")</f>
        <v>Zennio</v>
      </c>
      <c r="G13" s="32" t="str">
        <f>IF($A13="","",INDEX(Каталог!$M$4:$M$500,$A13)&amp;"")</f>
        <v>шт.</v>
      </c>
      <c r="H13" s="32">
        <f>IF($A13="","",INDEX(Каталог!$P$4:$P$500,$A13))</f>
        <v>1</v>
      </c>
      <c r="I13" s="5"/>
      <c r="J13" s="5"/>
      <c r="L13" s="30" t="str">
        <f>IFERROR(INDEX(Однолинейка!$H$3:$H$1000,MATCH(10,Однолинейка!$BM$3:$BM$1000,0)),"")</f>
        <v>2P С16А 10мА</v>
      </c>
      <c r="M13" s="32">
        <f>IF(L13="","",COUNTIF(Однолинейка!$H$3:$H$1000,L13))</f>
        <v>1</v>
      </c>
    </row>
    <row r="14" spans="1:15" x14ac:dyDescent="0.3">
      <c r="A14" s="29">
        <f>IFERROR(MATCH(ROW()-3,Каталог!$AF$4:$AF$500,0),"")</f>
        <v>27</v>
      </c>
      <c r="B14" s="29" t="str">
        <f t="shared" si="0"/>
        <v>1.11</v>
      </c>
      <c r="C14" s="30" t="str">
        <f>IF($A14="","",INDEX(Каталог!$G$4:$G$500,$A14)&amp;"")</f>
        <v>Диммер SMART-DALI-104-62-ADDR-DIM-DT6-DIN White (12-24V, 4x5A)</v>
      </c>
      <c r="D14" s="33"/>
      <c r="E14" s="31" t="str">
        <f>IF($A14="","",INDEX(Каталог!$H$4:$H$500,$A14)&amp;"")</f>
        <v>028422</v>
      </c>
      <c r="F14" s="32" t="str">
        <f>IF($A14="","",INDEX(Каталог!$B$4:$B$500,$A14)&amp;"")</f>
        <v>Arlight</v>
      </c>
      <c r="G14" s="32" t="str">
        <f>IF($A14="","",INDEX(Каталог!$M$4:$M$500,$A14)&amp;"")</f>
        <v>шт.</v>
      </c>
      <c r="H14" s="32">
        <f>IF($A14="","",INDEX(Каталог!$P$4:$P$500,$A14))</f>
        <v>1</v>
      </c>
      <c r="I14" s="5"/>
      <c r="J14" s="5"/>
      <c r="L14" s="30" t="str">
        <f>IFERROR(INDEX(Однолинейка!$H$3:$H$1000,MATCH(11,Однолинейка!$BM$3:$BM$1000,0)),"")</f>
        <v>3P С10А</v>
      </c>
      <c r="M14" s="32">
        <f>IF(L14="","",COUNTIF(Однолинейка!$H$3:$H$1000,L14))</f>
        <v>5</v>
      </c>
    </row>
    <row r="15" spans="1:15" x14ac:dyDescent="0.3">
      <c r="A15" s="29">
        <f>IFERROR(MATCH(ROW()-3,Каталог!$AF$4:$AF$500,0),"")</f>
        <v>30</v>
      </c>
      <c r="B15" s="29" t="str">
        <f t="shared" si="0"/>
        <v>1.12</v>
      </c>
      <c r="C15" s="30" t="str">
        <f>IF($A15="","",INDEX(Каталог!$G$4:$G$500,$A15)&amp;"")</f>
        <v>Клемма трёхуровневая push-in, 6 точек, 2.5 кв.мм</v>
      </c>
      <c r="D15" s="33"/>
      <c r="E15" s="31" t="str">
        <f>IF($A15="","",INDEX(Каталог!$H$4:$H$500,$A15)&amp;"")</f>
        <v>VPR-2.5-3L-GY</v>
      </c>
      <c r="F15" s="32" t="str">
        <f>IF($A15="","",INDEX(Каталог!$B$4:$B$500,$A15)&amp;"")</f>
        <v>DKC</v>
      </c>
      <c r="G15" s="32" t="str">
        <f>IF($A15="","",INDEX(Каталог!$M$4:$M$500,$A15)&amp;"")</f>
        <v>шт.</v>
      </c>
      <c r="H15" s="32">
        <f>IF($A15="","",INDEX(Каталог!$P$4:$P$500,$A15))</f>
        <v>43</v>
      </c>
      <c r="I15" s="5"/>
      <c r="J15" s="5"/>
      <c r="L15" s="30" t="str">
        <f>IFERROR(INDEX(Однолинейка!$H$3:$H$1000,MATCH(12,Однолинейка!$BM$3:$BM$1000,0)),"")</f>
        <v>3P С16А</v>
      </c>
      <c r="M15" s="32">
        <f>IF(L15="","",COUNTIF(Однолинейка!$H$3:$H$1000,L15))</f>
        <v>1</v>
      </c>
    </row>
    <row r="16" spans="1:15" ht="18" customHeight="1" x14ac:dyDescent="0.3">
      <c r="A16" s="29">
        <f>IFERROR(MATCH(ROW()-3,Каталог!$AF$4:$AF$500,0),"")</f>
        <v>31</v>
      </c>
      <c r="B16" s="29" t="str">
        <f t="shared" si="0"/>
        <v>1.13</v>
      </c>
      <c r="C16" s="30" t="str">
        <f>IF($A16="","",INDEX(Каталог!$G$4:$G$500,$A16)&amp;"")</f>
        <v>Клемма проходная push-in, 4 точки, 2.5 кв.мм, серая</v>
      </c>
      <c r="D16" s="33"/>
      <c r="E16" s="31" t="str">
        <f>IF($A16="","",INDEX(Каталог!$H$4:$H$500,$A16)&amp;"")</f>
        <v>VPR-2.5-QUATTRO-GY</v>
      </c>
      <c r="F16" s="32" t="str">
        <f>IF($A16="","",INDEX(Каталог!$B$4:$B$500,$A16)&amp;"")</f>
        <v>DKC</v>
      </c>
      <c r="G16" s="32" t="str">
        <f>IF($A16="","",INDEX(Каталог!$M$4:$M$500,$A16)&amp;"")</f>
        <v>шт.</v>
      </c>
      <c r="H16" s="32">
        <f>IF($A16="","",INDEX(Каталог!$P$4:$P$500,$A16))</f>
        <v>14</v>
      </c>
      <c r="I16" s="5"/>
      <c r="J16" s="5"/>
      <c r="L16" s="30" t="str">
        <f>IFERROR(INDEX(Однолинейка!$H$3:$H$1000,MATCH(13,Однолинейка!$BM$3:$BM$1000,0)),"")</f>
        <v/>
      </c>
      <c r="M16" s="32" t="str">
        <f>IF(L16="","",COUNTIF(Однолинейка!$H$3:$H$1000,L16))</f>
        <v/>
      </c>
    </row>
    <row r="17" spans="1:13" x14ac:dyDescent="0.3">
      <c r="A17" s="29" t="str">
        <f>IFERROR(MATCH(ROW()-3,Каталог!$AF$4:$AF$500,0),"")</f>
        <v/>
      </c>
      <c r="B17" s="29" t="str">
        <f t="shared" si="0"/>
        <v/>
      </c>
      <c r="C17" s="30" t="str">
        <f>IF($A17="","",INDEX(Каталог!$G$4:$G$500,$A17)&amp;"")</f>
        <v/>
      </c>
      <c r="D17" s="33"/>
      <c r="E17" s="31" t="str">
        <f>IF($A17="","",INDEX(Каталог!$H$4:$H$500,$A17)&amp;"")</f>
        <v/>
      </c>
      <c r="F17" s="32" t="str">
        <f>IF($A17="","",INDEX(Каталог!$B$4:$B$500,$A17)&amp;"")</f>
        <v/>
      </c>
      <c r="G17" s="32" t="str">
        <f>IF($A17="","",INDEX(Каталог!$M$4:$M$500,$A17)&amp;"")</f>
        <v/>
      </c>
      <c r="H17" s="32" t="str">
        <f>IF($A17="","",INDEX(Каталог!$P$4:$P$500,$A17))</f>
        <v/>
      </c>
      <c r="I17" s="5"/>
      <c r="J17" s="5"/>
      <c r="L17" s="30" t="str">
        <f>IFERROR(INDEX(Однолинейка!$H$3:$H$1000,MATCH(14,Однолинейка!$BM$3:$BM$1000,0)),"")</f>
        <v/>
      </c>
      <c r="M17" s="32" t="str">
        <f>IF(L17="","",COUNTIF(Однолинейка!$H$3:$H$1000,L17))</f>
        <v/>
      </c>
    </row>
    <row r="18" spans="1:13" x14ac:dyDescent="0.3">
      <c r="A18" s="29" t="str">
        <f>IFERROR(MATCH(ROW()-3,Каталог!$AF$4:$AF$500,0),"")</f>
        <v/>
      </c>
      <c r="B18" s="29" t="str">
        <f t="shared" si="0"/>
        <v/>
      </c>
      <c r="C18" s="30" t="str">
        <f>IF($A18="","",INDEX(Каталог!$G$4:$G$500,$A18)&amp;"")</f>
        <v/>
      </c>
      <c r="D18" s="33"/>
      <c r="E18" s="31" t="str">
        <f>IF($A18="","",INDEX(Каталог!$H$4:$H$500,$A18)&amp;"")</f>
        <v/>
      </c>
      <c r="F18" s="32" t="str">
        <f>IF($A18="","",INDEX(Каталог!$B$4:$B$500,$A18)&amp;"")</f>
        <v/>
      </c>
      <c r="G18" s="32" t="str">
        <f>IF($A18="","",INDEX(Каталог!$M$4:$M$500,$A18)&amp;"")</f>
        <v/>
      </c>
      <c r="H18" s="32" t="str">
        <f>IF($A18="","",INDEX(Каталог!$P$4:$P$500,$A18))</f>
        <v/>
      </c>
      <c r="I18" s="5"/>
      <c r="J18" s="5"/>
      <c r="L18" s="30" t="str">
        <f>IFERROR(INDEX(Однолинейка!$H$3:$H$1000,MATCH(15,Однолинейка!$BM$3:$BM$1000,0)),"")</f>
        <v/>
      </c>
      <c r="M18" s="32" t="str">
        <f>IF(L18="","",COUNTIF(Однолинейка!$H$3:$H$1000,L18))</f>
        <v/>
      </c>
    </row>
    <row r="19" spans="1:13" x14ac:dyDescent="0.3">
      <c r="A19" s="29" t="str">
        <f>IFERROR(MATCH(ROW()-3,Каталог!$AF$4:$AF$500,0),"")</f>
        <v/>
      </c>
      <c r="B19" s="29" t="str">
        <f t="shared" si="0"/>
        <v/>
      </c>
      <c r="C19" s="30" t="str">
        <f>IF($A19="","",INDEX(Каталог!$G$4:$G$500,$A19)&amp;"")</f>
        <v/>
      </c>
      <c r="D19" s="33"/>
      <c r="E19" s="31" t="str">
        <f>IF($A19="","",INDEX(Каталог!$H$4:$H$500,$A19)&amp;"")</f>
        <v/>
      </c>
      <c r="F19" s="32" t="str">
        <f>IF($A19="","",INDEX(Каталог!$B$4:$B$500,$A19)&amp;"")</f>
        <v/>
      </c>
      <c r="G19" s="32" t="str">
        <f>IF($A19="","",INDEX(Каталог!$M$4:$M$500,$A19)&amp;"")</f>
        <v/>
      </c>
      <c r="H19" s="32" t="str">
        <f>IF($A19="","",INDEX(Каталог!$P$4:$P$500,$A19))</f>
        <v/>
      </c>
      <c r="I19" s="5"/>
      <c r="J19" s="5"/>
      <c r="L19" s="30" t="str">
        <f>IFERROR(INDEX(Однолинейка!$H$3:$H$1000,MATCH(16,Однолинейка!$BM$3:$BM$1000,0)),"")</f>
        <v/>
      </c>
      <c r="M19" s="32" t="str">
        <f>IF(L19="","",COUNTIF(Однолинейка!$H$3:$H$1000,L19))</f>
        <v/>
      </c>
    </row>
    <row r="20" spans="1:13" x14ac:dyDescent="0.3">
      <c r="A20" s="29" t="str">
        <f>IFERROR(MATCH(ROW()-3,Каталог!$AF$4:$AF$500,0),"")</f>
        <v/>
      </c>
      <c r="B20" s="29" t="str">
        <f t="shared" si="0"/>
        <v/>
      </c>
      <c r="C20" s="30" t="str">
        <f>IF($A20="","",INDEX(Каталог!$G$4:$G$500,$A20)&amp;"")</f>
        <v/>
      </c>
      <c r="D20" s="33"/>
      <c r="E20" s="31" t="str">
        <f>IF($A20="","",INDEX(Каталог!$H$4:$H$500,$A20)&amp;"")</f>
        <v/>
      </c>
      <c r="F20" s="32" t="str">
        <f>IF($A20="","",INDEX(Каталог!$B$4:$B$500,$A20)&amp;"")</f>
        <v/>
      </c>
      <c r="G20" s="32" t="str">
        <f>IF($A20="","",INDEX(Каталог!$M$4:$M$500,$A20)&amp;"")</f>
        <v/>
      </c>
      <c r="H20" s="32" t="str">
        <f>IF($A20="","",INDEX(Каталог!$P$4:$P$500,$A20))</f>
        <v/>
      </c>
      <c r="I20" s="5"/>
      <c r="J20" s="5"/>
      <c r="L20" s="30" t="str">
        <f>IFERROR(INDEX(Однолинейка!$H$3:$H$1000,MATCH(17,Однолинейка!$BM$3:$BM$1000,0)),"")</f>
        <v/>
      </c>
      <c r="M20" s="32" t="str">
        <f>IF(L20="","",COUNTIF(Однолинейка!$H$3:$H$1000,L20))</f>
        <v/>
      </c>
    </row>
    <row r="21" spans="1:13" x14ac:dyDescent="0.3">
      <c r="A21" s="29" t="str">
        <f>IFERROR(MATCH(ROW()-3,Каталог!$AF$4:$AF$500,0),"")</f>
        <v/>
      </c>
      <c r="B21" s="29" t="str">
        <f t="shared" si="0"/>
        <v/>
      </c>
      <c r="C21" s="30" t="str">
        <f>IF($A21="","",INDEX(Каталог!$G$4:$G$500,$A21)&amp;"")</f>
        <v/>
      </c>
      <c r="D21" s="33"/>
      <c r="E21" s="31" t="str">
        <f>IF($A21="","",INDEX(Каталог!$H$4:$H$500,$A21)&amp;"")</f>
        <v/>
      </c>
      <c r="F21" s="32" t="str">
        <f>IF($A21="","",INDEX(Каталог!$B$4:$B$500,$A21)&amp;"")</f>
        <v/>
      </c>
      <c r="G21" s="32" t="str">
        <f>IF($A21="","",INDEX(Каталог!$M$4:$M$500,$A21)&amp;"")</f>
        <v/>
      </c>
      <c r="H21" s="32" t="str">
        <f>IF($A21="","",INDEX(Каталог!$P$4:$P$500,$A21))</f>
        <v/>
      </c>
      <c r="I21" s="5"/>
      <c r="J21" s="5"/>
      <c r="L21" s="30" t="str">
        <f>IFERROR(INDEX(Однолинейка!$H$3:$H$1000,MATCH(18,Однолинейка!$BM$3:$BM$1000,0)),"")</f>
        <v/>
      </c>
      <c r="M21" s="32" t="str">
        <f>IF(L21="","",COUNTIF(Однолинейка!$H$3:$H$1000,L21))</f>
        <v/>
      </c>
    </row>
    <row r="22" spans="1:13" x14ac:dyDescent="0.3">
      <c r="A22" s="29" t="str">
        <f>IFERROR(MATCH(ROW()-3,Каталог!$AF$4:$AF$500,0),"")</f>
        <v/>
      </c>
      <c r="B22" s="29" t="str">
        <f t="shared" si="0"/>
        <v/>
      </c>
      <c r="C22" s="30" t="str">
        <f>IF($A22="","",INDEX(Каталог!$G$4:$G$500,$A22)&amp;"")</f>
        <v/>
      </c>
      <c r="D22" s="33"/>
      <c r="E22" s="31" t="str">
        <f>IF($A22="","",INDEX(Каталог!$H$4:$H$500,$A22)&amp;"")</f>
        <v/>
      </c>
      <c r="F22" s="32" t="str">
        <f>IF($A22="","",INDEX(Каталог!$B$4:$B$500,$A22)&amp;"")</f>
        <v/>
      </c>
      <c r="G22" s="32" t="str">
        <f>IF($A22="","",INDEX(Каталог!$M$4:$M$500,$A22)&amp;"")</f>
        <v/>
      </c>
      <c r="H22" s="32" t="str">
        <f>IF($A22="","",INDEX(Каталог!$P$4:$P$500,$A22))</f>
        <v/>
      </c>
      <c r="I22" s="5"/>
      <c r="J22" s="5"/>
      <c r="L22" s="30" t="str">
        <f>IFERROR(INDEX(Однолинейка!$H$3:$H$1000,MATCH(19,Однолинейка!$BM$3:$BM$1000,0)),"")</f>
        <v/>
      </c>
      <c r="M22" s="32" t="str">
        <f>IF(L22="","",COUNTIF(Однолинейка!$H$3:$H$1000,L22))</f>
        <v/>
      </c>
    </row>
    <row r="23" spans="1:13" x14ac:dyDescent="0.3">
      <c r="A23" s="29" t="str">
        <f>IFERROR(MATCH(ROW()-3,Каталог!$AF$4:$AF$500,0),"")</f>
        <v/>
      </c>
      <c r="B23" s="29" t="str">
        <f t="shared" si="0"/>
        <v/>
      </c>
      <c r="C23" s="30" t="str">
        <f>IF($A23="","",INDEX(Каталог!$G$4:$G$500,$A23)&amp;"")</f>
        <v/>
      </c>
      <c r="D23" s="33"/>
      <c r="E23" s="31" t="str">
        <f>IF($A23="","",INDEX(Каталог!$H$4:$H$500,$A23)&amp;"")</f>
        <v/>
      </c>
      <c r="F23" s="32" t="str">
        <f>IF($A23="","",INDEX(Каталог!$B$4:$B$500,$A23)&amp;"")</f>
        <v/>
      </c>
      <c r="G23" s="32" t="str">
        <f>IF($A23="","",INDEX(Каталог!$M$4:$M$500,$A23)&amp;"")</f>
        <v/>
      </c>
      <c r="H23" s="32" t="str">
        <f>IF($A23="","",INDEX(Каталог!$P$4:$P$500,$A23))</f>
        <v/>
      </c>
      <c r="I23" s="5"/>
      <c r="J23" s="5"/>
      <c r="L23" s="30" t="str">
        <f>IFERROR(INDEX(Однолинейка!$H$3:$H$1000,MATCH(20,Однолинейка!$BM$3:$BM$1000,0)),"")</f>
        <v/>
      </c>
      <c r="M23" s="32" t="str">
        <f>IF(L23="","",COUNTIF(Однолинейка!$H$3:$H$1000,L23))</f>
        <v/>
      </c>
    </row>
    <row r="24" spans="1:13" x14ac:dyDescent="0.3">
      <c r="A24" s="29" t="str">
        <f>IFERROR(MATCH(ROW()-3,Каталог!$AF$4:$AF$500,0),"")</f>
        <v/>
      </c>
      <c r="B24" s="29" t="str">
        <f t="shared" si="0"/>
        <v/>
      </c>
      <c r="C24" s="30" t="str">
        <f>IF($A24="","",INDEX(Каталог!$G$4:$G$500,$A24)&amp;"")</f>
        <v/>
      </c>
      <c r="D24" s="33"/>
      <c r="E24" s="31" t="str">
        <f>IF($A24="","",INDEX(Каталог!$H$4:$H$500,$A24)&amp;"")</f>
        <v/>
      </c>
      <c r="F24" s="32" t="str">
        <f>IF($A24="","",INDEX(Каталог!$B$4:$B$500,$A24)&amp;"")</f>
        <v/>
      </c>
      <c r="G24" s="32" t="str">
        <f>IF($A24="","",INDEX(Каталог!$M$4:$M$500,$A24)&amp;"")</f>
        <v/>
      </c>
      <c r="H24" s="32" t="str">
        <f>IF($A24="","",INDEX(Каталог!$P$4:$P$500,$A24))</f>
        <v/>
      </c>
      <c r="I24" s="5"/>
      <c r="J24" s="5"/>
      <c r="L24" s="30" t="s">
        <v>776</v>
      </c>
      <c r="M24" s="32">
        <f>COUNTIF(Однолинейка!$H$3:$H$1000,"?*")</f>
        <v>44</v>
      </c>
    </row>
    <row r="25" spans="1:13" x14ac:dyDescent="0.3">
      <c r="A25" s="29" t="str">
        <f>IFERROR(MATCH(ROW()-3,Каталог!$AF$4:$AF$500,0),"")</f>
        <v/>
      </c>
      <c r="B25" s="29" t="str">
        <f t="shared" si="0"/>
        <v/>
      </c>
      <c r="C25" s="30" t="str">
        <f>IF($A25="","",INDEX(Каталог!$G$4:$G$500,$A25)&amp;"")</f>
        <v/>
      </c>
      <c r="D25" s="33"/>
      <c r="E25" s="31" t="str">
        <f>IF($A25="","",INDEX(Каталог!$H$4:$H$500,$A25)&amp;"")</f>
        <v/>
      </c>
      <c r="F25" s="32" t="str">
        <f>IF($A25="","",INDEX(Каталог!$B$4:$B$500,$A25)&amp;"")</f>
        <v/>
      </c>
      <c r="G25" s="32" t="str">
        <f>IF($A25="","",INDEX(Каталог!$M$4:$M$500,$A25)&amp;"")</f>
        <v/>
      </c>
      <c r="H25" s="32" t="str">
        <f>IF($A25="","",INDEX(Каталог!$P$4:$P$500,$A25))</f>
        <v/>
      </c>
      <c r="I25" s="5"/>
      <c r="J25" s="5"/>
    </row>
    <row r="26" spans="1:13" ht="28.8" x14ac:dyDescent="0.3">
      <c r="A26" s="29" t="str">
        <f>IFERROR(MATCH(ROW()-3,Каталог!$AF$4:$AF$500,0),"")</f>
        <v/>
      </c>
      <c r="B26" s="29" t="str">
        <f t="shared" si="0"/>
        <v/>
      </c>
      <c r="C26" s="30" t="str">
        <f>IF($A26="","",INDEX(Каталог!$G$4:$G$500,$A26)&amp;"")</f>
        <v/>
      </c>
      <c r="D26" s="33"/>
      <c r="E26" s="31" t="str">
        <f>IF($A26="","",INDEX(Каталог!$H$4:$H$500,$A26)&amp;"")</f>
        <v/>
      </c>
      <c r="F26" s="32" t="str">
        <f>IF($A26="","",INDEX(Каталог!$B$4:$B$500,$A26)&amp;"")</f>
        <v/>
      </c>
      <c r="G26" s="32" t="str">
        <f>IF($A26="","",INDEX(Каталог!$M$4:$M$500,$A26)&amp;"")</f>
        <v/>
      </c>
      <c r="H26" s="32" t="str">
        <f>IF($A26="","",INDEX(Каталог!$P$4:$P$500,$A26))</f>
        <v/>
      </c>
      <c r="I26" s="5"/>
      <c r="J26" s="5"/>
      <c r="L26" s="1" t="s">
        <v>777</v>
      </c>
    </row>
    <row r="27" spans="1:13" x14ac:dyDescent="0.3">
      <c r="A27" s="29" t="str">
        <f>IFERROR(MATCH(ROW()-3,Каталог!$AF$4:$AF$500,0),"")</f>
        <v/>
      </c>
      <c r="B27" s="29" t="str">
        <f t="shared" si="0"/>
        <v/>
      </c>
      <c r="C27" s="30" t="str">
        <f>IF($A27="","",INDEX(Каталог!$G$4:$G$500,$A27)&amp;"")</f>
        <v/>
      </c>
      <c r="D27" s="33"/>
      <c r="E27" s="31" t="str">
        <f>IF($A27="","",INDEX(Каталог!$H$4:$H$500,$A27)&amp;"")</f>
        <v/>
      </c>
      <c r="F27" s="32" t="str">
        <f>IF($A27="","",INDEX(Каталог!$B$4:$B$500,$A27)&amp;"")</f>
        <v/>
      </c>
      <c r="G27" s="32" t="str">
        <f>IF($A27="","",INDEX(Каталог!$M$4:$M$500,$A27)&amp;"")</f>
        <v/>
      </c>
      <c r="H27" s="32" t="str">
        <f>IF($A27="","",INDEX(Каталог!$P$4:$P$500,$A27))</f>
        <v/>
      </c>
      <c r="I27" s="5"/>
      <c r="J27" s="5"/>
      <c r="L27" s="30" t="str">
        <f>IFERROR(INDEX(Однолинейка!$I$3:$I$1000,MATCH(1,Однолинейка!$BN$3:$BN$1000,0)),IFERROR(INDEX(Однолинейка!$J$3:$J$1000,MATCH(1,Однолинейка!$BO$3:$BO$1000,0)),IFERROR(INDEX(Однолинейка!$K$3:$K$1000,MATCH(1,Однолинейка!$BP$3:$BP$1000,0)),"")))</f>
        <v>МК-5-1</v>
      </c>
      <c r="M27" s="32">
        <f>IF(L27="","",COUNTIF(Однолинейка!$I$3:$I$1000,L27)+COUNTIF(Однолинейка!$J$3:$J$1000,L27)+COUNTIF(Однолинейка!$K$3:$K$1000,L27))</f>
        <v>2</v>
      </c>
    </row>
    <row r="28" spans="1:13" x14ac:dyDescent="0.3">
      <c r="A28" s="29" t="str">
        <f>IFERROR(MATCH(ROW()-3,Каталог!$AF$4:$AF$500,0),"")</f>
        <v/>
      </c>
      <c r="B28" s="29" t="str">
        <f t="shared" si="0"/>
        <v/>
      </c>
      <c r="C28" s="30" t="str">
        <f>IF($A28="","",INDEX(Каталог!$G$4:$G$500,$A28)&amp;"")</f>
        <v/>
      </c>
      <c r="D28" s="33"/>
      <c r="E28" s="31" t="str">
        <f>IF($A28="","",INDEX(Каталог!$H$4:$H$500,$A28)&amp;"")</f>
        <v/>
      </c>
      <c r="F28" s="32" t="str">
        <f>IF($A28="","",INDEX(Каталог!$B$4:$B$500,$A28)&amp;"")</f>
        <v/>
      </c>
      <c r="G28" s="32" t="str">
        <f>IF($A28="","",INDEX(Каталог!$M$4:$M$500,$A28)&amp;"")</f>
        <v/>
      </c>
      <c r="H28" s="32" t="str">
        <f>IF($A28="","",INDEX(Каталог!$P$4:$P$500,$A28))</f>
        <v/>
      </c>
      <c r="I28" s="5"/>
      <c r="J28" s="5"/>
      <c r="L28" s="30" t="str">
        <f>IFERROR(INDEX(Однолинейка!$I$3:$I$1000,MATCH(2,Однолинейка!$BN$3:$BN$1000,0)),IFERROR(INDEX(Однолинейка!$J$3:$J$1000,MATCH(2,Однолинейка!$BO$3:$BO$1000,0)),IFERROR(INDEX(Однолинейка!$K$3:$K$1000,MATCH(2,Однолинейка!$BP$3:$BP$1000,0)),"")))</f>
        <v>БП 24V 480W</v>
      </c>
      <c r="M28" s="32">
        <f>IF(L28="","",COUNTIF(Однолинейка!$I$3:$I$1000,L28)+COUNTIF(Однолинейка!$J$3:$J$1000,L28)+COUNTIF(Однолинейка!$K$3:$K$1000,L28))</f>
        <v>1</v>
      </c>
    </row>
    <row r="29" spans="1:13" x14ac:dyDescent="0.3">
      <c r="A29" s="29" t="str">
        <f>IFERROR(MATCH(ROW()-3,Каталог!$AF$4:$AF$500,0),"")</f>
        <v/>
      </c>
      <c r="B29" s="29" t="str">
        <f t="shared" si="0"/>
        <v/>
      </c>
      <c r="C29" s="30" t="str">
        <f>IF($A29="","",INDEX(Каталог!$G$4:$G$500,$A29)&amp;"")</f>
        <v/>
      </c>
      <c r="D29" s="33"/>
      <c r="E29" s="31" t="str">
        <f>IF($A29="","",INDEX(Каталог!$H$4:$H$500,$A29)&amp;"")</f>
        <v/>
      </c>
      <c r="F29" s="32" t="str">
        <f>IF($A29="","",INDEX(Каталог!$B$4:$B$500,$A29)&amp;"")</f>
        <v/>
      </c>
      <c r="G29" s="32" t="str">
        <f>IF($A29="","",INDEX(Каталог!$M$4:$M$500,$A29)&amp;"")</f>
        <v/>
      </c>
      <c r="H29" s="32" t="str">
        <f>IF($A29="","",INDEX(Каталог!$P$4:$P$500,$A29))</f>
        <v/>
      </c>
      <c r="I29" s="5"/>
      <c r="J29" s="5"/>
      <c r="L29" s="30" t="str">
        <f>IFERROR(INDEX(Однолинейка!$I$3:$I$1000,MATCH(3,Однолинейка!$BN$3:$BN$1000,0)),IFERROR(INDEX(Однолинейка!$J$3:$J$1000,MATCH(3,Однолинейка!$BO$3:$BO$1000,0)),IFERROR(INDEX(Однолинейка!$K$3:$K$1000,MATCH(3,Однолинейка!$BP$3:$BP$1000,0)),"")))</f>
        <v>БП 24V 75W</v>
      </c>
      <c r="M29" s="32">
        <f>IF(L29="","",COUNTIF(Однолинейка!$I$3:$I$1000,L29)+COUNTIF(Однолинейка!$J$3:$J$1000,L29)+COUNTIF(Однолинейка!$K$3:$K$1000,L29))</f>
        <v>2</v>
      </c>
    </row>
    <row r="30" spans="1:13" x14ac:dyDescent="0.3">
      <c r="A30" s="29" t="str">
        <f>IFERROR(MATCH(ROW()-3,Каталог!$AF$4:$AF$500,0),"")</f>
        <v/>
      </c>
      <c r="B30" s="29" t="str">
        <f t="shared" si="0"/>
        <v/>
      </c>
      <c r="C30" s="30" t="str">
        <f>IF($A30="","",INDEX(Каталог!$G$4:$G$500,$A30)&amp;"")</f>
        <v/>
      </c>
      <c r="D30" s="33"/>
      <c r="E30" s="31" t="str">
        <f>IF($A30="","",INDEX(Каталог!$H$4:$H$500,$A30)&amp;"")</f>
        <v/>
      </c>
      <c r="F30" s="32" t="str">
        <f>IF($A30="","",INDEX(Каталог!$B$4:$B$500,$A30)&amp;"")</f>
        <v/>
      </c>
      <c r="G30" s="32" t="str">
        <f>IF($A30="","",INDEX(Каталог!$M$4:$M$500,$A30)&amp;"")</f>
        <v/>
      </c>
      <c r="H30" s="32" t="str">
        <f>IF($A30="","",INDEX(Каталог!$P$4:$P$500,$A30))</f>
        <v/>
      </c>
      <c r="I30" s="5"/>
      <c r="J30" s="5"/>
      <c r="L30" s="30" t="str">
        <f>IFERROR(INDEX(Однолинейка!$I$3:$I$1000,MATCH(4,Однолинейка!$BN$3:$BN$1000,0)),IFERROR(INDEX(Однолинейка!$J$3:$J$1000,MATCH(4,Однолинейка!$BO$3:$BO$1000,0)),IFERROR(INDEX(Однолинейка!$K$3:$K$1000,MATCH(4,Однолинейка!$BP$3:$BP$1000,0)),"")))</f>
        <v>КМ NCH8-40/40</v>
      </c>
      <c r="M30" s="32">
        <f>IF(L30="","",COUNTIF(Однолинейка!$I$3:$I$1000,L30)+COUNTIF(Однолинейка!$J$3:$J$1000,L30)+COUNTIF(Однолинейка!$K$3:$K$1000,L30))</f>
        <v>1</v>
      </c>
    </row>
    <row r="31" spans="1:13" x14ac:dyDescent="0.3">
      <c r="A31" s="29" t="str">
        <f>IFERROR(MATCH(ROW()-3,Каталог!$AF$4:$AF$500,0),"")</f>
        <v/>
      </c>
      <c r="B31" s="29" t="str">
        <f t="shared" si="0"/>
        <v/>
      </c>
      <c r="C31" s="30" t="str">
        <f>IF($A31="","",INDEX(Каталог!$G$4:$G$500,$A31)&amp;"")</f>
        <v/>
      </c>
      <c r="D31" s="33"/>
      <c r="E31" s="31" t="str">
        <f>IF($A31="","",INDEX(Каталог!$H$4:$H$500,$A31)&amp;"")</f>
        <v/>
      </c>
      <c r="F31" s="32" t="str">
        <f>IF($A31="","",INDEX(Каталог!$B$4:$B$500,$A31)&amp;"")</f>
        <v/>
      </c>
      <c r="G31" s="32" t="str">
        <f>IF($A31="","",INDEX(Каталог!$M$4:$M$500,$A31)&amp;"")</f>
        <v/>
      </c>
      <c r="H31" s="32" t="str">
        <f>IF($A31="","",INDEX(Каталог!$P$4:$P$500,$A31))</f>
        <v/>
      </c>
      <c r="I31" s="5"/>
      <c r="J31" s="5"/>
      <c r="L31" s="30" t="str">
        <f>IFERROR(INDEX(Однолинейка!$I$3:$I$1000,MATCH(5,Однолинейка!$BN$3:$BN$1000,0)),IFERROR(INDEX(Однолинейка!$J$3:$J$1000,MATCH(5,Однолинейка!$BO$3:$BO$1000,0)),IFERROR(INDEX(Однолинейка!$K$3:$K$1000,MATCH(5,Однолинейка!$BP$3:$BP$1000,0)),"")))</f>
        <v>УЗО 2P 40А 30мА</v>
      </c>
      <c r="M31" s="32">
        <f>IF(L31="","",COUNTIF(Однолинейка!$I$3:$I$1000,L31)+COUNTIF(Однолинейка!$J$3:$J$1000,L31)+COUNTIF(Однолинейка!$K$3:$K$1000,L31))</f>
        <v>1</v>
      </c>
    </row>
    <row r="32" spans="1:13" x14ac:dyDescent="0.3">
      <c r="A32" s="29" t="str">
        <f>IFERROR(MATCH(ROW()-3,Каталог!$AF$4:$AF$500,0),"")</f>
        <v/>
      </c>
      <c r="B32" s="29" t="str">
        <f t="shared" si="0"/>
        <v/>
      </c>
      <c r="C32" s="30" t="str">
        <f>IF($A32="","",INDEX(Каталог!$G$4:$G$500,$A32)&amp;"")</f>
        <v/>
      </c>
      <c r="D32" s="33"/>
      <c r="E32" s="31" t="str">
        <f>IF($A32="","",INDEX(Каталог!$H$4:$H$500,$A32)&amp;"")</f>
        <v/>
      </c>
      <c r="F32" s="32" t="str">
        <f>IF($A32="","",INDEX(Каталог!$B$4:$B$500,$A32)&amp;"")</f>
        <v/>
      </c>
      <c r="G32" s="32" t="str">
        <f>IF($A32="","",INDEX(Каталог!$M$4:$M$500,$A32)&amp;"")</f>
        <v/>
      </c>
      <c r="H32" s="32" t="str">
        <f>IF($A32="","",INDEX(Каталог!$P$4:$P$500,$A32))</f>
        <v/>
      </c>
      <c r="I32" s="5"/>
      <c r="J32" s="5"/>
      <c r="L32" s="30" t="str">
        <f>IFERROR(INDEX(Однолинейка!$I$3:$I$1000,MATCH(6,Однолинейка!$BN$3:$BN$1000,0)),IFERROR(INDEX(Однолинейка!$J$3:$J$1000,MATCH(6,Однолинейка!$BO$3:$BO$1000,0)),IFERROR(INDEX(Однолинейка!$K$3:$K$1000,MATCH(6,Однолинейка!$BP$3:$BP$1000,0)),"")))</f>
        <v/>
      </c>
      <c r="M32" s="32" t="str">
        <f>IF(L32="","",COUNTIF(Однолинейка!$I$3:$I$1000,L32)+COUNTIF(Однолинейка!$J$3:$J$1000,L32)+COUNTIF(Однолинейка!$K$3:$K$1000,L32))</f>
        <v/>
      </c>
    </row>
    <row r="33" spans="1:13" x14ac:dyDescent="0.3">
      <c r="A33" s="29" t="str">
        <f>IFERROR(MATCH(ROW()-3,Каталог!$AF$4:$AF$500,0),"")</f>
        <v/>
      </c>
      <c r="B33" s="29" t="str">
        <f t="shared" si="0"/>
        <v/>
      </c>
      <c r="C33" s="30" t="str">
        <f>IF($A33="","",INDEX(Каталог!$G$4:$G$500,$A33)&amp;"")</f>
        <v/>
      </c>
      <c r="D33" s="33"/>
      <c r="E33" s="31" t="str">
        <f>IF($A33="","",INDEX(Каталог!$H$4:$H$500,$A33)&amp;"")</f>
        <v/>
      </c>
      <c r="F33" s="32" t="str">
        <f>IF($A33="","",INDEX(Каталог!$B$4:$B$500,$A33)&amp;"")</f>
        <v/>
      </c>
      <c r="G33" s="32" t="str">
        <f>IF($A33="","",INDEX(Каталог!$M$4:$M$500,$A33)&amp;"")</f>
        <v/>
      </c>
      <c r="H33" s="32" t="str">
        <f>IF($A33="","",INDEX(Каталог!$P$4:$P$500,$A33))</f>
        <v/>
      </c>
      <c r="I33" s="5"/>
      <c r="J33" s="5"/>
      <c r="L33" s="30" t="str">
        <f>IFERROR(INDEX(Однолинейка!$I$3:$I$1000,MATCH(7,Однолинейка!$BN$3:$BN$1000,0)),IFERROR(INDEX(Однолинейка!$J$3:$J$1000,MATCH(7,Однолинейка!$BO$3:$BO$1000,0)),IFERROR(INDEX(Однолинейка!$K$3:$K$1000,MATCH(7,Однолинейка!$BP$3:$BP$1000,0)),"")))</f>
        <v/>
      </c>
      <c r="M33" s="32" t="str">
        <f>IF(L33="","",COUNTIF(Однолинейка!$I$3:$I$1000,L33)+COUNTIF(Однолинейка!$J$3:$J$1000,L33)+COUNTIF(Однолинейка!$K$3:$K$1000,L33))</f>
        <v/>
      </c>
    </row>
    <row r="34" spans="1:13" x14ac:dyDescent="0.3">
      <c r="A34" s="29" t="str">
        <f>IFERROR(MATCH(ROW()-3,Каталог!$AF$4:$AF$500,0),"")</f>
        <v/>
      </c>
      <c r="B34" s="29" t="str">
        <f t="shared" si="0"/>
        <v/>
      </c>
      <c r="C34" s="30" t="str">
        <f>IF($A34="","",INDEX(Каталог!$G$4:$G$500,$A34)&amp;"")</f>
        <v/>
      </c>
      <c r="D34" s="33"/>
      <c r="E34" s="31" t="str">
        <f>IF($A34="","",INDEX(Каталог!$H$4:$H$500,$A34)&amp;"")</f>
        <v/>
      </c>
      <c r="F34" s="32" t="str">
        <f>IF($A34="","",INDEX(Каталог!$B$4:$B$500,$A34)&amp;"")</f>
        <v/>
      </c>
      <c r="G34" s="32" t="str">
        <f>IF($A34="","",INDEX(Каталог!$M$4:$M$500,$A34)&amp;"")</f>
        <v/>
      </c>
      <c r="H34" s="32" t="str">
        <f>IF($A34="","",INDEX(Каталог!$P$4:$P$500,$A34))</f>
        <v/>
      </c>
      <c r="I34" s="5"/>
      <c r="J34" s="5"/>
      <c r="L34" s="30" t="str">
        <f>IFERROR(INDEX(Однолинейка!$I$3:$I$1000,MATCH(8,Однолинейка!$BN$3:$BN$1000,0)),IFERROR(INDEX(Однолинейка!$J$3:$J$1000,MATCH(8,Однолинейка!$BO$3:$BO$1000,0)),IFERROR(INDEX(Однолинейка!$K$3:$K$1000,MATCH(8,Однолинейка!$BP$3:$BP$1000,0)),"")))</f>
        <v/>
      </c>
      <c r="M34" s="32" t="str">
        <f>IF(L34="","",COUNTIF(Однолинейка!$I$3:$I$1000,L34)+COUNTIF(Однолинейка!$J$3:$J$1000,L34)+COUNTIF(Однолинейка!$K$3:$K$1000,L34))</f>
        <v/>
      </c>
    </row>
    <row r="35" spans="1:13" x14ac:dyDescent="0.3">
      <c r="A35" s="29" t="str">
        <f>IFERROR(MATCH(ROW()-3,Каталог!$AF$4:$AF$500,0),"")</f>
        <v/>
      </c>
      <c r="B35" s="29" t="str">
        <f t="shared" si="0"/>
        <v/>
      </c>
      <c r="C35" s="30" t="str">
        <f>IF($A35="","",INDEX(Каталог!$G$4:$G$500,$A35)&amp;"")</f>
        <v/>
      </c>
      <c r="D35" s="33"/>
      <c r="E35" s="31" t="str">
        <f>IF($A35="","",INDEX(Каталог!$H$4:$H$500,$A35)&amp;"")</f>
        <v/>
      </c>
      <c r="F35" s="32" t="str">
        <f>IF($A35="","",INDEX(Каталог!$B$4:$B$500,$A35)&amp;"")</f>
        <v/>
      </c>
      <c r="G35" s="32" t="str">
        <f>IF($A35="","",INDEX(Каталог!$M$4:$M$500,$A35)&amp;"")</f>
        <v/>
      </c>
      <c r="H35" s="32" t="str">
        <f>IF($A35="","",INDEX(Каталог!$P$4:$P$500,$A35))</f>
        <v/>
      </c>
      <c r="I35" s="5"/>
      <c r="J35" s="5"/>
      <c r="L35" s="30" t="str">
        <f>IFERROR(INDEX(Однолинейка!$I$3:$I$1000,MATCH(9,Однолинейка!$BN$3:$BN$1000,0)),IFERROR(INDEX(Однолинейка!$J$3:$J$1000,MATCH(9,Однолинейка!$BO$3:$BO$1000,0)),IFERROR(INDEX(Однолинейка!$K$3:$K$1000,MATCH(9,Однолинейка!$BP$3:$BP$1000,0)),"")))</f>
        <v/>
      </c>
      <c r="M35" s="32" t="str">
        <f>IF(L35="","",COUNTIF(Однолинейка!$I$3:$I$1000,L35)+COUNTIF(Однолинейка!$J$3:$J$1000,L35)+COUNTIF(Однолинейка!$K$3:$K$1000,L35))</f>
        <v/>
      </c>
    </row>
    <row r="36" spans="1:13" x14ac:dyDescent="0.3">
      <c r="A36" s="29" t="str">
        <f>IFERROR(MATCH(ROW()-3,Каталог!$AF$4:$AF$500,0),"")</f>
        <v/>
      </c>
      <c r="B36" s="29" t="str">
        <f t="shared" ref="B36:B67" si="1">IF($A36="","",$B$3&amp;"."&amp;(ROW()-3))</f>
        <v/>
      </c>
      <c r="C36" s="30" t="str">
        <f>IF($A36="","",INDEX(Каталог!$G$4:$G$500,$A36)&amp;"")</f>
        <v/>
      </c>
      <c r="D36" s="33"/>
      <c r="E36" s="31" t="str">
        <f>IF($A36="","",INDEX(Каталог!$H$4:$H$500,$A36)&amp;"")</f>
        <v/>
      </c>
      <c r="F36" s="32" t="str">
        <f>IF($A36="","",INDEX(Каталог!$B$4:$B$500,$A36)&amp;"")</f>
        <v/>
      </c>
      <c r="G36" s="32" t="str">
        <f>IF($A36="","",INDEX(Каталог!$M$4:$M$500,$A36)&amp;"")</f>
        <v/>
      </c>
      <c r="H36" s="32" t="str">
        <f>IF($A36="","",INDEX(Каталог!$P$4:$P$500,$A36))</f>
        <v/>
      </c>
      <c r="I36" s="5"/>
      <c r="J36" s="5"/>
      <c r="L36" s="30" t="str">
        <f>IFERROR(INDEX(Однолинейка!$I$3:$I$1000,MATCH(10,Однолинейка!$BN$3:$BN$1000,0)),IFERROR(INDEX(Однолинейка!$J$3:$J$1000,MATCH(10,Однолинейка!$BO$3:$BO$1000,0)),IFERROR(INDEX(Однолинейка!$K$3:$K$1000,MATCH(10,Однолинейка!$BP$3:$BP$1000,0)),"")))</f>
        <v/>
      </c>
      <c r="M36" s="32" t="str">
        <f>IF(L36="","",COUNTIF(Однолинейка!$I$3:$I$1000,L36)+COUNTIF(Однолинейка!$J$3:$J$1000,L36)+COUNTIF(Однолинейка!$K$3:$K$1000,L36))</f>
        <v/>
      </c>
    </row>
    <row r="37" spans="1:13" x14ac:dyDescent="0.3">
      <c r="A37" s="29" t="str">
        <f>IFERROR(MATCH(ROW()-3,Каталог!$AF$4:$AF$500,0),"")</f>
        <v/>
      </c>
      <c r="B37" s="29" t="str">
        <f t="shared" si="1"/>
        <v/>
      </c>
      <c r="C37" s="30" t="str">
        <f>IF($A37="","",INDEX(Каталог!$G$4:$G$500,$A37)&amp;"")</f>
        <v/>
      </c>
      <c r="D37" s="33"/>
      <c r="E37" s="31" t="str">
        <f>IF($A37="","",INDEX(Каталог!$H$4:$H$500,$A37)&amp;"")</f>
        <v/>
      </c>
      <c r="F37" s="32" t="str">
        <f>IF($A37="","",INDEX(Каталог!$B$4:$B$500,$A37)&amp;"")</f>
        <v/>
      </c>
      <c r="G37" s="32" t="str">
        <f>IF($A37="","",INDEX(Каталог!$M$4:$M$500,$A37)&amp;"")</f>
        <v/>
      </c>
      <c r="H37" s="32" t="str">
        <f>IF($A37="","",INDEX(Каталог!$P$4:$P$500,$A37))</f>
        <v/>
      </c>
      <c r="I37" s="5"/>
      <c r="J37" s="5"/>
    </row>
    <row r="38" spans="1:13" x14ac:dyDescent="0.3">
      <c r="A38" s="29" t="str">
        <f>IFERROR(MATCH(ROW()-3,Каталог!$AF$4:$AF$500,0),"")</f>
        <v/>
      </c>
      <c r="B38" s="29" t="str">
        <f t="shared" si="1"/>
        <v/>
      </c>
      <c r="C38" s="30" t="str">
        <f>IF($A38="","",INDEX(Каталог!$G$4:$G$500,$A38)&amp;"")</f>
        <v/>
      </c>
      <c r="D38" s="33"/>
      <c r="E38" s="31" t="str">
        <f>IF($A38="","",INDEX(Каталог!$H$4:$H$500,$A38)&amp;"")</f>
        <v/>
      </c>
      <c r="F38" s="32" t="str">
        <f>IF($A38="","",INDEX(Каталог!$B$4:$B$500,$A38)&amp;"")</f>
        <v/>
      </c>
      <c r="G38" s="32" t="str">
        <f>IF($A38="","",INDEX(Каталог!$M$4:$M$500,$A38)&amp;"")</f>
        <v/>
      </c>
      <c r="H38" s="32" t="str">
        <f>IF($A38="","",INDEX(Каталог!$P$4:$P$500,$A38))</f>
        <v/>
      </c>
      <c r="I38" s="5"/>
      <c r="J38" s="5"/>
      <c r="L38" s="1" t="s">
        <v>778</v>
      </c>
    </row>
    <row r="39" spans="1:13" x14ac:dyDescent="0.3">
      <c r="A39" s="29" t="str">
        <f>IFERROR(MATCH(ROW()-3,Каталог!$AF$4:$AF$500,0),"")</f>
        <v/>
      </c>
      <c r="B39" s="29" t="str">
        <f t="shared" si="1"/>
        <v/>
      </c>
      <c r="C39" s="30" t="str">
        <f>IF($A39="","",INDEX(Каталог!$G$4:$G$500,$A39)&amp;"")</f>
        <v/>
      </c>
      <c r="D39" s="33"/>
      <c r="E39" s="31" t="str">
        <f>IF($A39="","",INDEX(Каталог!$H$4:$H$500,$A39)&amp;"")</f>
        <v/>
      </c>
      <c r="F39" s="32" t="str">
        <f>IF($A39="","",INDEX(Каталог!$B$4:$B$500,$A39)&amp;"")</f>
        <v/>
      </c>
      <c r="G39" s="32" t="str">
        <f>IF($A39="","",INDEX(Каталог!$M$4:$M$500,$A39)&amp;"")</f>
        <v/>
      </c>
      <c r="H39" s="32" t="str">
        <f>IF($A39="","",INDEX(Каталог!$P$4:$P$500,$A39))</f>
        <v/>
      </c>
      <c r="I39" s="5"/>
      <c r="J39" s="5"/>
      <c r="L39" s="30" t="str">
        <f>IFERROR(INDEX(Однолинейка!$AI$3:$AI$1000,MATCH(1,Однолинейка!$BT$3:$BT$1000,0)),"")</f>
        <v>SMART-DALI-104</v>
      </c>
      <c r="M39" s="32">
        <f>IF(L39="","",COUNTIFS(Однолинейка!$AW$3:$AW$1000,"?*",Однолинейка!$AI$3:$AI$1000,L39))</f>
        <v>1</v>
      </c>
    </row>
    <row r="40" spans="1:13" x14ac:dyDescent="0.3">
      <c r="A40" s="29" t="str">
        <f>IFERROR(MATCH(ROW()-3,Каталог!$AF$4:$AF$500,0),"")</f>
        <v/>
      </c>
      <c r="B40" s="29" t="str">
        <f t="shared" si="1"/>
        <v/>
      </c>
      <c r="C40" s="30" t="str">
        <f>IF($A40="","",INDEX(Каталог!$G$4:$G$500,$A40)&amp;"")</f>
        <v/>
      </c>
      <c r="D40" s="33"/>
      <c r="E40" s="31" t="str">
        <f>IF($A40="","",INDEX(Каталог!$H$4:$H$500,$A40)&amp;"")</f>
        <v/>
      </c>
      <c r="F40" s="32" t="str">
        <f>IF($A40="","",INDEX(Каталог!$B$4:$B$500,$A40)&amp;"")</f>
        <v/>
      </c>
      <c r="G40" s="32" t="str">
        <f>IF($A40="","",INDEX(Каталог!$M$4:$M$500,$A40)&amp;"")</f>
        <v/>
      </c>
      <c r="H40" s="32" t="str">
        <f>IF($A40="","",INDEX(Каталог!$P$4:$P$500,$A40))</f>
        <v/>
      </c>
      <c r="I40" s="5"/>
      <c r="J40" s="5"/>
      <c r="L40" s="30" t="str">
        <f>IFERROR(INDEX(Однолинейка!$AI$3:$AI$1000,MATCH(2,Однолинейка!$BT$3:$BT$1000,0)),"")</f>
        <v>ZIOMB16V3</v>
      </c>
      <c r="M40" s="32">
        <f>IF(L40="","",COUNTIFS(Однолинейка!$AW$3:$AW$1000,"?*",Однолинейка!$AI$3:$AI$1000,L40))</f>
        <v>1</v>
      </c>
    </row>
    <row r="41" spans="1:13" x14ac:dyDescent="0.3">
      <c r="A41" s="29" t="str">
        <f>IFERROR(MATCH(ROW()-3,Каталог!$AF$4:$AF$500,0),"")</f>
        <v/>
      </c>
      <c r="B41" s="29" t="str">
        <f t="shared" si="1"/>
        <v/>
      </c>
      <c r="C41" s="30" t="str">
        <f>IF($A41="","",INDEX(Каталог!$G$4:$G$500,$A41)&amp;"")</f>
        <v/>
      </c>
      <c r="D41" s="33"/>
      <c r="E41" s="31" t="str">
        <f>IF($A41="","",INDEX(Каталог!$H$4:$H$500,$A41)&amp;"")</f>
        <v/>
      </c>
      <c r="F41" s="32" t="str">
        <f>IF($A41="","",INDEX(Каталог!$B$4:$B$500,$A41)&amp;"")</f>
        <v/>
      </c>
      <c r="G41" s="32" t="str">
        <f>IF($A41="","",INDEX(Каталог!$M$4:$M$500,$A41)&amp;"")</f>
        <v/>
      </c>
      <c r="H41" s="32" t="str">
        <f>IF($A41="","",INDEX(Каталог!$P$4:$P$500,$A41))</f>
        <v/>
      </c>
      <c r="I41" s="5"/>
      <c r="J41" s="5"/>
      <c r="L41" s="30" t="str">
        <f>IFERROR(INDEX(Однолинейка!$AI$3:$AI$1000,MATCH(3,Однолинейка!$BT$3:$BT$1000,0)),"")</f>
        <v/>
      </c>
      <c r="M41" s="32" t="str">
        <f>IF(L41="","",COUNTIFS(Однолинейка!$AW$3:$AW$1000,"?*",Однолинейка!$AI$3:$AI$1000,L41))</f>
        <v/>
      </c>
    </row>
    <row r="42" spans="1:13" x14ac:dyDescent="0.3">
      <c r="A42" s="29" t="str">
        <f>IFERROR(MATCH(ROW()-3,Каталог!$AF$4:$AF$500,0),"")</f>
        <v/>
      </c>
      <c r="B42" s="29" t="str">
        <f t="shared" si="1"/>
        <v/>
      </c>
      <c r="C42" s="30" t="str">
        <f>IF($A42="","",INDEX(Каталог!$G$4:$G$500,$A42)&amp;"")</f>
        <v/>
      </c>
      <c r="D42" s="33"/>
      <c r="E42" s="31" t="str">
        <f>IF($A42="","",INDEX(Каталог!$H$4:$H$500,$A42)&amp;"")</f>
        <v/>
      </c>
      <c r="F42" s="32" t="str">
        <f>IF($A42="","",INDEX(Каталог!$B$4:$B$500,$A42)&amp;"")</f>
        <v/>
      </c>
      <c r="G42" s="32" t="str">
        <f>IF($A42="","",INDEX(Каталог!$M$4:$M$500,$A42)&amp;"")</f>
        <v/>
      </c>
      <c r="H42" s="32" t="str">
        <f>IF($A42="","",INDEX(Каталог!$P$4:$P$500,$A42))</f>
        <v/>
      </c>
      <c r="I42" s="5"/>
      <c r="J42" s="5"/>
      <c r="L42" s="30" t="str">
        <f>IFERROR(INDEX(Однолинейка!$AI$3:$AI$1000,MATCH(4,Однолинейка!$BT$3:$BT$1000,0)),"")</f>
        <v/>
      </c>
      <c r="M42" s="32" t="str">
        <f>IF(L42="","",COUNTIFS(Однолинейка!$AW$3:$AW$1000,"?*",Однолинейка!$AI$3:$AI$1000,L42))</f>
        <v/>
      </c>
    </row>
    <row r="43" spans="1:13" x14ac:dyDescent="0.3">
      <c r="A43" s="29" t="str">
        <f>IFERROR(MATCH(ROW()-3,Каталог!$AF$4:$AF$500,0),"")</f>
        <v/>
      </c>
      <c r="B43" s="29" t="str">
        <f t="shared" si="1"/>
        <v/>
      </c>
      <c r="C43" s="30" t="str">
        <f>IF($A43="","",INDEX(Каталог!$G$4:$G$500,$A43)&amp;"")</f>
        <v/>
      </c>
      <c r="D43" s="33"/>
      <c r="E43" s="31" t="str">
        <f>IF($A43="","",INDEX(Каталог!$H$4:$H$500,$A43)&amp;"")</f>
        <v/>
      </c>
      <c r="F43" s="32" t="str">
        <f>IF($A43="","",INDEX(Каталог!$B$4:$B$500,$A43)&amp;"")</f>
        <v/>
      </c>
      <c r="G43" s="32" t="str">
        <f>IF($A43="","",INDEX(Каталог!$M$4:$M$500,$A43)&amp;"")</f>
        <v/>
      </c>
      <c r="H43" s="32" t="str">
        <f>IF($A43="","",INDEX(Каталог!$P$4:$P$500,$A43))</f>
        <v/>
      </c>
      <c r="I43" s="5"/>
      <c r="J43" s="5"/>
      <c r="L43" s="30" t="str">
        <f>IFERROR(INDEX(Однолинейка!$AI$3:$AI$1000,MATCH(5,Однолинейка!$BT$3:$BT$1000,0)),"")</f>
        <v/>
      </c>
      <c r="M43" s="32" t="str">
        <f>IF(L43="","",COUNTIFS(Однолинейка!$AW$3:$AW$1000,"?*",Однолинейка!$AI$3:$AI$1000,L43))</f>
        <v/>
      </c>
    </row>
    <row r="44" spans="1:13" x14ac:dyDescent="0.3">
      <c r="A44" s="29" t="str">
        <f>IFERROR(MATCH(ROW()-3,Каталог!$AF$4:$AF$500,0),"")</f>
        <v/>
      </c>
      <c r="B44" s="29" t="str">
        <f t="shared" si="1"/>
        <v/>
      </c>
      <c r="C44" s="30" t="str">
        <f>IF($A44="","",INDEX(Каталог!$G$4:$G$500,$A44)&amp;"")</f>
        <v/>
      </c>
      <c r="D44" s="33"/>
      <c r="E44" s="31" t="str">
        <f>IF($A44="","",INDEX(Каталог!$H$4:$H$500,$A44)&amp;"")</f>
        <v/>
      </c>
      <c r="F44" s="32" t="str">
        <f>IF($A44="","",INDEX(Каталог!$B$4:$B$500,$A44)&amp;"")</f>
        <v/>
      </c>
      <c r="G44" s="32" t="str">
        <f>IF($A44="","",INDEX(Каталог!$M$4:$M$500,$A44)&amp;"")</f>
        <v/>
      </c>
      <c r="H44" s="32" t="str">
        <f>IF($A44="","",INDEX(Каталог!$P$4:$P$500,$A44))</f>
        <v/>
      </c>
      <c r="I44" s="5"/>
      <c r="J44" s="5"/>
      <c r="L44" s="30" t="str">
        <f>IFERROR(INDEX(Однолинейка!$AI$3:$AI$1000,MATCH(6,Однолинейка!$BT$3:$BT$1000,0)),"")</f>
        <v/>
      </c>
      <c r="M44" s="32" t="str">
        <f>IF(L44="","",COUNTIFS(Однолинейка!$AW$3:$AW$1000,"?*",Однолинейка!$AI$3:$AI$1000,L44))</f>
        <v/>
      </c>
    </row>
    <row r="45" spans="1:13" x14ac:dyDescent="0.3">
      <c r="A45" s="29" t="str">
        <f>IFERROR(MATCH(ROW()-3,Каталог!$AF$4:$AF$500,0),"")</f>
        <v/>
      </c>
      <c r="B45" s="29" t="str">
        <f t="shared" si="1"/>
        <v/>
      </c>
      <c r="C45" s="30" t="str">
        <f>IF($A45="","",INDEX(Каталог!$G$4:$G$500,$A45)&amp;"")</f>
        <v/>
      </c>
      <c r="D45" s="33"/>
      <c r="E45" s="31" t="str">
        <f>IF($A45="","",INDEX(Каталог!$H$4:$H$500,$A45)&amp;"")</f>
        <v/>
      </c>
      <c r="F45" s="32" t="str">
        <f>IF($A45="","",INDEX(Каталог!$B$4:$B$500,$A45)&amp;"")</f>
        <v/>
      </c>
      <c r="G45" s="32" t="str">
        <f>IF($A45="","",INDEX(Каталог!$M$4:$M$500,$A45)&amp;"")</f>
        <v/>
      </c>
      <c r="H45" s="32" t="str">
        <f>IF($A45="","",INDEX(Каталог!$P$4:$P$500,$A45))</f>
        <v/>
      </c>
      <c r="I45" s="5"/>
      <c r="J45" s="5"/>
      <c r="L45" s="30" t="str">
        <f>IFERROR(INDEX(Однолинейка!$AI$3:$AI$1000,MATCH(7,Однолинейка!$BT$3:$BT$1000,0)),"")</f>
        <v/>
      </c>
      <c r="M45" s="32" t="str">
        <f>IF(L45="","",COUNTIFS(Однолинейка!$AW$3:$AW$1000,"?*",Однолинейка!$AI$3:$AI$1000,L45))</f>
        <v/>
      </c>
    </row>
    <row r="46" spans="1:13" x14ac:dyDescent="0.3">
      <c r="A46" s="29" t="str">
        <f>IFERROR(MATCH(ROW()-3,Каталог!$AF$4:$AF$500,0),"")</f>
        <v/>
      </c>
      <c r="B46" s="29" t="str">
        <f t="shared" si="1"/>
        <v/>
      </c>
      <c r="C46" s="30" t="str">
        <f>IF($A46="","",INDEX(Каталог!$G$4:$G$500,$A46)&amp;"")</f>
        <v/>
      </c>
      <c r="D46" s="33"/>
      <c r="E46" s="31" t="str">
        <f>IF($A46="","",INDEX(Каталог!$H$4:$H$500,$A46)&amp;"")</f>
        <v/>
      </c>
      <c r="F46" s="32" t="str">
        <f>IF($A46="","",INDEX(Каталог!$B$4:$B$500,$A46)&amp;"")</f>
        <v/>
      </c>
      <c r="G46" s="32" t="str">
        <f>IF($A46="","",INDEX(Каталог!$M$4:$M$500,$A46)&amp;"")</f>
        <v/>
      </c>
      <c r="H46" s="32" t="str">
        <f>IF($A46="","",INDEX(Каталог!$P$4:$P$500,$A46))</f>
        <v/>
      </c>
      <c r="I46" s="5"/>
      <c r="J46" s="5"/>
      <c r="L46" s="30" t="str">
        <f>IFERROR(INDEX(Однолинейка!$AI$3:$AI$1000,MATCH(8,Однолинейка!$BT$3:$BT$1000,0)),"")</f>
        <v/>
      </c>
      <c r="M46" s="32" t="str">
        <f>IF(L46="","",COUNTIFS(Однолинейка!$AW$3:$AW$1000,"?*",Однолинейка!$AI$3:$AI$1000,L46))</f>
        <v/>
      </c>
    </row>
    <row r="47" spans="1:13" x14ac:dyDescent="0.3">
      <c r="A47" s="29" t="str">
        <f>IFERROR(MATCH(ROW()-3,Каталог!$AF$4:$AF$500,0),"")</f>
        <v/>
      </c>
      <c r="B47" s="29" t="str">
        <f t="shared" si="1"/>
        <v/>
      </c>
      <c r="C47" s="30" t="str">
        <f>IF($A47="","",INDEX(Каталог!$G$4:$G$500,$A47)&amp;"")</f>
        <v/>
      </c>
      <c r="D47" s="33"/>
      <c r="E47" s="31" t="str">
        <f>IF($A47="","",INDEX(Каталог!$H$4:$H$500,$A47)&amp;"")</f>
        <v/>
      </c>
      <c r="F47" s="32" t="str">
        <f>IF($A47="","",INDEX(Каталог!$B$4:$B$500,$A47)&amp;"")</f>
        <v/>
      </c>
      <c r="G47" s="32" t="str">
        <f>IF($A47="","",INDEX(Каталог!$M$4:$M$500,$A47)&amp;"")</f>
        <v/>
      </c>
      <c r="H47" s="32" t="str">
        <f>IF($A47="","",INDEX(Каталог!$P$4:$P$500,$A47))</f>
        <v/>
      </c>
      <c r="I47" s="5"/>
      <c r="J47" s="5"/>
      <c r="L47" s="30" t="str">
        <f>IFERROR(INDEX(Однолинейка!$AI$3:$AI$1000,MATCH(9,Однолинейка!$BT$3:$BT$1000,0)),"")</f>
        <v/>
      </c>
      <c r="M47" s="32" t="str">
        <f>IF(L47="","",COUNTIFS(Однолинейка!$AW$3:$AW$1000,"?*",Однолинейка!$AI$3:$AI$1000,L47))</f>
        <v/>
      </c>
    </row>
    <row r="48" spans="1:13" x14ac:dyDescent="0.3">
      <c r="A48" s="29" t="str">
        <f>IFERROR(MATCH(ROW()-3,Каталог!$AF$4:$AF$500,0),"")</f>
        <v/>
      </c>
      <c r="B48" s="29" t="str">
        <f t="shared" si="1"/>
        <v/>
      </c>
      <c r="C48" s="30" t="str">
        <f>IF($A48="","",INDEX(Каталог!$G$4:$G$500,$A48)&amp;"")</f>
        <v/>
      </c>
      <c r="D48" s="33"/>
      <c r="E48" s="31" t="str">
        <f>IF($A48="","",INDEX(Каталог!$H$4:$H$500,$A48)&amp;"")</f>
        <v/>
      </c>
      <c r="F48" s="32" t="str">
        <f>IF($A48="","",INDEX(Каталог!$B$4:$B$500,$A48)&amp;"")</f>
        <v/>
      </c>
      <c r="G48" s="32" t="str">
        <f>IF($A48="","",INDEX(Каталог!$M$4:$M$500,$A48)&amp;"")</f>
        <v/>
      </c>
      <c r="H48" s="32" t="str">
        <f>IF($A48="","",INDEX(Каталог!$P$4:$P$500,$A48))</f>
        <v/>
      </c>
      <c r="I48" s="5"/>
      <c r="J48" s="5"/>
      <c r="L48" s="30" t="str">
        <f>IFERROR(INDEX(Однолинейка!$AI$3:$AI$1000,MATCH(10,Однолинейка!$BT$3:$BT$1000,0)),"")</f>
        <v/>
      </c>
      <c r="M48" s="32" t="str">
        <f>IF(L48="","",COUNTIFS(Однолинейка!$AW$3:$AW$1000,"?*",Однолинейка!$AI$3:$AI$1000,L48))</f>
        <v/>
      </c>
    </row>
    <row r="49" spans="1:15" x14ac:dyDescent="0.3">
      <c r="A49" s="29" t="str">
        <f>IFERROR(MATCH(ROW()-3,Каталог!$AF$4:$AF$500,0),"")</f>
        <v/>
      </c>
      <c r="B49" s="29" t="str">
        <f t="shared" si="1"/>
        <v/>
      </c>
      <c r="C49" s="30" t="str">
        <f>IF($A49="","",INDEX(Каталог!$G$4:$G$500,$A49)&amp;"")</f>
        <v/>
      </c>
      <c r="D49" s="33"/>
      <c r="E49" s="31" t="str">
        <f>IF($A49="","",INDEX(Каталог!$H$4:$H$500,$A49)&amp;"")</f>
        <v/>
      </c>
      <c r="F49" s="32" t="str">
        <f>IF($A49="","",INDEX(Каталог!$B$4:$B$500,$A49)&amp;"")</f>
        <v/>
      </c>
      <c r="G49" s="32" t="str">
        <f>IF($A49="","",INDEX(Каталог!$M$4:$M$500,$A49)&amp;"")</f>
        <v/>
      </c>
      <c r="H49" s="32" t="str">
        <f>IF($A49="","",INDEX(Каталог!$P$4:$P$500,$A49))</f>
        <v/>
      </c>
      <c r="I49" s="5"/>
      <c r="J49" s="5"/>
    </row>
    <row r="50" spans="1:15" ht="28.8" x14ac:dyDescent="0.3">
      <c r="A50" s="29" t="str">
        <f>IFERROR(MATCH(ROW()-3,Каталог!$AF$4:$AF$500,0),"")</f>
        <v/>
      </c>
      <c r="B50" s="29" t="str">
        <f t="shared" si="1"/>
        <v/>
      </c>
      <c r="C50" s="30" t="str">
        <f>IF($A50="","",INDEX(Каталог!$G$4:$G$500,$A50)&amp;"")</f>
        <v/>
      </c>
      <c r="D50" s="33"/>
      <c r="E50" s="31" t="str">
        <f>IF($A50="","",INDEX(Каталог!$H$4:$H$500,$A50)&amp;"")</f>
        <v/>
      </c>
      <c r="F50" s="32" t="str">
        <f>IF($A50="","",INDEX(Каталог!$B$4:$B$500,$A50)&amp;"")</f>
        <v/>
      </c>
      <c r="G50" s="32" t="str">
        <f>IF($A50="","",INDEX(Каталог!$M$4:$M$500,$A50)&amp;"")</f>
        <v/>
      </c>
      <c r="H50" s="32" t="str">
        <f>IF($A50="","",INDEX(Каталог!$P$4:$P$500,$A50))</f>
        <v/>
      </c>
      <c r="I50" s="5"/>
      <c r="J50" s="5"/>
      <c r="L50" s="1" t="s">
        <v>779</v>
      </c>
    </row>
    <row r="51" spans="1:15" x14ac:dyDescent="0.3">
      <c r="A51" s="29" t="str">
        <f>IFERROR(MATCH(ROW()-3,Каталог!$AF$4:$AF$500,0),"")</f>
        <v/>
      </c>
      <c r="B51" s="29" t="str">
        <f t="shared" si="1"/>
        <v/>
      </c>
      <c r="C51" s="30" t="str">
        <f>IF($A51="","",INDEX(Каталог!$G$4:$G$500,$A51)&amp;"")</f>
        <v/>
      </c>
      <c r="D51" s="33"/>
      <c r="E51" s="31" t="str">
        <f>IF($A51="","",INDEX(Каталог!$H$4:$H$500,$A51)&amp;"")</f>
        <v/>
      </c>
      <c r="F51" s="32" t="str">
        <f>IF($A51="","",INDEX(Каталог!$B$4:$B$500,$A51)&amp;"")</f>
        <v/>
      </c>
      <c r="G51" s="32" t="str">
        <f>IF($A51="","",INDEX(Каталог!$M$4:$M$500,$A51)&amp;"")</f>
        <v/>
      </c>
      <c r="H51" s="32" t="str">
        <f>IF($A51="","",INDEX(Каталог!$P$4:$P$500,$A51))</f>
        <v/>
      </c>
      <c r="I51" s="5"/>
      <c r="J51" s="5"/>
      <c r="L51" s="30" t="str">
        <f>IFERROR(INDEX(Однолинейка!$BQ$3:$BQ$1000,MATCH(1,Однолинейка!$BR$3:$BR$1000,0)),"")</f>
        <v>3х1,5</v>
      </c>
      <c r="M51" s="32">
        <f>IF(L51="","",COUNTIF(Однолинейка!$BQ$3:$BQ$1000,L51))</f>
        <v>20</v>
      </c>
      <c r="N51" s="32">
        <f>IF(L51="","",SUMIF(Однолинейка!$BQ$3:$BQ$1000,L51,Однолинейка!$BW$3:$BW$1000))</f>
        <v>20</v>
      </c>
      <c r="O51" s="32">
        <f>IF(L51="","",SUMIF(Однолинейка!$BQ$3:$BQ$1000,L51,Однолинейка!$BX$3:$BX$1000))</f>
        <v>0</v>
      </c>
    </row>
    <row r="52" spans="1:15" x14ac:dyDescent="0.3">
      <c r="A52" s="29" t="str">
        <f>IFERROR(MATCH(ROW()-3,Каталог!$AF$4:$AF$500,0),"")</f>
        <v/>
      </c>
      <c r="B52" s="29" t="str">
        <f t="shared" si="1"/>
        <v/>
      </c>
      <c r="C52" s="30" t="str">
        <f>IF($A52="","",INDEX(Каталог!$G$4:$G$500,$A52)&amp;"")</f>
        <v/>
      </c>
      <c r="D52" s="33"/>
      <c r="E52" s="31" t="str">
        <f>IF($A52="","",INDEX(Каталог!$H$4:$H$500,$A52)&amp;"")</f>
        <v/>
      </c>
      <c r="F52" s="32" t="str">
        <f>IF($A52="","",INDEX(Каталог!$B$4:$B$500,$A52)&amp;"")</f>
        <v/>
      </c>
      <c r="G52" s="32" t="str">
        <f>IF($A52="","",INDEX(Каталог!$M$4:$M$500,$A52)&amp;"")</f>
        <v/>
      </c>
      <c r="H52" s="32" t="str">
        <f>IF($A52="","",INDEX(Каталог!$P$4:$P$500,$A52))</f>
        <v/>
      </c>
      <c r="I52" s="5"/>
      <c r="J52" s="5"/>
      <c r="L52" s="30" t="str">
        <f>IFERROR(INDEX(Однолинейка!$BQ$3:$BQ$1000,MATCH(2,Однолинейка!$BR$3:$BR$1000,0)),"")</f>
        <v>3х2,5</v>
      </c>
      <c r="M52" s="32">
        <f>IF(L52="","",COUNTIF(Однолинейка!$BQ$3:$BQ$1000,L52))</f>
        <v>7</v>
      </c>
      <c r="N52" s="32">
        <f>IF(L52="","",SUMIF(Однолинейка!$BQ$3:$BQ$1000,L52,Однолинейка!$BW$3:$BW$1000))</f>
        <v>7</v>
      </c>
      <c r="O52" s="32">
        <f>IF(L52="","",SUMIF(Однолинейка!$BQ$3:$BQ$1000,L52,Однолинейка!$BX$3:$BX$1000))</f>
        <v>0</v>
      </c>
    </row>
    <row r="53" spans="1:15" x14ac:dyDescent="0.3">
      <c r="A53" s="29" t="str">
        <f>IFERROR(MATCH(ROW()-3,Каталог!$AF$4:$AF$500,0),"")</f>
        <v/>
      </c>
      <c r="B53" s="29" t="str">
        <f t="shared" si="1"/>
        <v/>
      </c>
      <c r="C53" s="30" t="str">
        <f>IF($A53="","",INDEX(Каталог!$G$4:$G$500,$A53)&amp;"")</f>
        <v/>
      </c>
      <c r="D53" s="33"/>
      <c r="E53" s="31" t="str">
        <f>IF($A53="","",INDEX(Каталог!$H$4:$H$500,$A53)&amp;"")</f>
        <v/>
      </c>
      <c r="F53" s="32" t="str">
        <f>IF($A53="","",INDEX(Каталог!$B$4:$B$500,$A53)&amp;"")</f>
        <v/>
      </c>
      <c r="G53" s="32" t="str">
        <f>IF($A53="","",INDEX(Каталог!$M$4:$M$500,$A53)&amp;"")</f>
        <v/>
      </c>
      <c r="H53" s="32" t="str">
        <f>IF($A53="","",INDEX(Каталог!$P$4:$P$500,$A53))</f>
        <v/>
      </c>
      <c r="I53" s="5"/>
      <c r="J53" s="5"/>
      <c r="L53" s="30" t="str">
        <f>IFERROR(INDEX(Однолинейка!$BQ$3:$BQ$1000,MATCH(3,Однолинейка!$BR$3:$BR$1000,0)),"")</f>
        <v>5х10</v>
      </c>
      <c r="M53" s="32">
        <f>IF(L53="","",COUNTIF(Однолинейка!$BQ$3:$BQ$1000,L53))</f>
        <v>1</v>
      </c>
      <c r="N53" s="32">
        <f>IF(L53="","",SUMIF(Однолинейка!$BQ$3:$BQ$1000,L53,Однолинейка!$BW$3:$BW$1000))</f>
        <v>1</v>
      </c>
      <c r="O53" s="32">
        <f>IF(L53="","",SUMIF(Однолинейка!$BQ$3:$BQ$1000,L53,Однолинейка!$BX$3:$BX$1000))</f>
        <v>2</v>
      </c>
    </row>
    <row r="54" spans="1:15" x14ac:dyDescent="0.3">
      <c r="A54" s="29" t="str">
        <f>IFERROR(MATCH(ROW()-3,Каталог!$AF$4:$AF$500,0),"")</f>
        <v/>
      </c>
      <c r="B54" s="29" t="str">
        <f t="shared" si="1"/>
        <v/>
      </c>
      <c r="C54" s="30" t="str">
        <f>IF($A54="","",INDEX(Каталог!$G$4:$G$500,$A54)&amp;"")</f>
        <v/>
      </c>
      <c r="D54" s="33"/>
      <c r="E54" s="31" t="str">
        <f>IF($A54="","",INDEX(Каталог!$H$4:$H$500,$A54)&amp;"")</f>
        <v/>
      </c>
      <c r="F54" s="32" t="str">
        <f>IF($A54="","",INDEX(Каталог!$B$4:$B$500,$A54)&amp;"")</f>
        <v/>
      </c>
      <c r="G54" s="32" t="str">
        <f>IF($A54="","",INDEX(Каталог!$M$4:$M$500,$A54)&amp;"")</f>
        <v/>
      </c>
      <c r="H54" s="32" t="str">
        <f>IF($A54="","",INDEX(Каталог!$P$4:$P$500,$A54))</f>
        <v/>
      </c>
      <c r="I54" s="5"/>
      <c r="J54" s="5"/>
      <c r="L54" s="30" t="str">
        <f>IFERROR(INDEX(Однолинейка!$BQ$3:$BQ$1000,MATCH(4,Однолинейка!$BR$3:$BR$1000,0)),"")</f>
        <v>5х4</v>
      </c>
      <c r="M54" s="32">
        <f>IF(L54="","",COUNTIF(Однолинейка!$BQ$3:$BQ$1000,L54))</f>
        <v>1</v>
      </c>
      <c r="N54" s="32">
        <f>IF(L54="","",SUMIF(Однолинейка!$BQ$3:$BQ$1000,L54,Однолинейка!$BW$3:$BW$1000))</f>
        <v>1</v>
      </c>
      <c r="O54" s="32">
        <f>IF(L54="","",SUMIF(Однолинейка!$BQ$3:$BQ$1000,L54,Однолинейка!$BX$3:$BX$1000))</f>
        <v>2</v>
      </c>
    </row>
    <row r="55" spans="1:15" x14ac:dyDescent="0.3">
      <c r="A55" s="29" t="str">
        <f>IFERROR(MATCH(ROW()-3,Каталог!$AF$4:$AF$500,0),"")</f>
        <v/>
      </c>
      <c r="B55" s="29" t="str">
        <f t="shared" si="1"/>
        <v/>
      </c>
      <c r="C55" s="30" t="str">
        <f>IF($A55="","",INDEX(Каталог!$G$4:$G$500,$A55)&amp;"")</f>
        <v/>
      </c>
      <c r="D55" s="33"/>
      <c r="E55" s="31" t="str">
        <f>IF($A55="","",INDEX(Каталог!$H$4:$H$500,$A55)&amp;"")</f>
        <v/>
      </c>
      <c r="F55" s="32" t="str">
        <f>IF($A55="","",INDEX(Каталог!$B$4:$B$500,$A55)&amp;"")</f>
        <v/>
      </c>
      <c r="G55" s="32" t="str">
        <f>IF($A55="","",INDEX(Каталог!$M$4:$M$500,$A55)&amp;"")</f>
        <v/>
      </c>
      <c r="H55" s="32" t="str">
        <f>IF($A55="","",INDEX(Каталог!$P$4:$P$500,$A55))</f>
        <v/>
      </c>
      <c r="I55" s="5"/>
      <c r="J55" s="5"/>
      <c r="L55" s="30" t="str">
        <f>IFERROR(INDEX(Однолинейка!$BQ$3:$BQ$1000,MATCH(5,Однолинейка!$BR$3:$BR$1000,0)),"")</f>
        <v>5х1,5</v>
      </c>
      <c r="M55" s="32">
        <f>IF(L55="","",COUNTIF(Однолинейка!$BQ$3:$BQ$1000,L55))</f>
        <v>4</v>
      </c>
      <c r="N55" s="32">
        <f>IF(L55="","",SUMIF(Однолинейка!$BQ$3:$BQ$1000,L55,Однолинейка!$BW$3:$BW$1000))</f>
        <v>4</v>
      </c>
      <c r="O55" s="32">
        <f>IF(L55="","",SUMIF(Однолинейка!$BQ$3:$BQ$1000,L55,Однолинейка!$BX$3:$BX$1000))</f>
        <v>8</v>
      </c>
    </row>
    <row r="56" spans="1:15" x14ac:dyDescent="0.3">
      <c r="A56" s="29" t="str">
        <f>IFERROR(MATCH(ROW()-3,Каталог!$AF$4:$AF$500,0),"")</f>
        <v/>
      </c>
      <c r="B56" s="29" t="str">
        <f t="shared" si="1"/>
        <v/>
      </c>
      <c r="C56" s="30" t="str">
        <f>IF($A56="","",INDEX(Каталог!$G$4:$G$500,$A56)&amp;"")</f>
        <v/>
      </c>
      <c r="D56" s="33"/>
      <c r="E56" s="31" t="str">
        <f>IF($A56="","",INDEX(Каталог!$H$4:$H$500,$A56)&amp;"")</f>
        <v/>
      </c>
      <c r="F56" s="32" t="str">
        <f>IF($A56="","",INDEX(Каталог!$B$4:$B$500,$A56)&amp;"")</f>
        <v/>
      </c>
      <c r="G56" s="32" t="str">
        <f>IF($A56="","",INDEX(Каталог!$M$4:$M$500,$A56)&amp;"")</f>
        <v/>
      </c>
      <c r="H56" s="32" t="str">
        <f>IF($A56="","",INDEX(Каталог!$P$4:$P$500,$A56))</f>
        <v/>
      </c>
      <c r="I56" s="5"/>
      <c r="J56" s="5"/>
      <c r="L56" s="30" t="str">
        <f>IFERROR(INDEX(Однолинейка!$BQ$3:$BQ$1000,MATCH(6,Однолинейка!$BR$3:$BR$1000,0)),"")</f>
        <v>3х6</v>
      </c>
      <c r="M56" s="32">
        <f>IF(L56="","",COUNTIF(Однолинейка!$BQ$3:$BQ$1000,L56))</f>
        <v>1</v>
      </c>
      <c r="N56" s="32">
        <f>IF(L56="","",SUMIF(Однолинейка!$BQ$3:$BQ$1000,L56,Однолинейка!$BW$3:$BW$1000))</f>
        <v>1</v>
      </c>
      <c r="O56" s="32">
        <f>IF(L56="","",SUMIF(Однолинейка!$BQ$3:$BQ$1000,L56,Однолинейка!$BX$3:$BX$1000))</f>
        <v>0</v>
      </c>
    </row>
    <row r="57" spans="1:15" x14ac:dyDescent="0.3">
      <c r="A57" s="29" t="str">
        <f>IFERROR(MATCH(ROW()-3,Каталог!$AF$4:$AF$500,0),"")</f>
        <v/>
      </c>
      <c r="B57" s="29" t="str">
        <f t="shared" si="1"/>
        <v/>
      </c>
      <c r="C57" s="30" t="str">
        <f>IF($A57="","",INDEX(Каталог!$G$4:$G$500,$A57)&amp;"")</f>
        <v/>
      </c>
      <c r="D57" s="33"/>
      <c r="E57" s="31" t="str">
        <f>IF($A57="","",INDEX(Каталог!$H$4:$H$500,$A57)&amp;"")</f>
        <v/>
      </c>
      <c r="F57" s="32" t="str">
        <f>IF($A57="","",INDEX(Каталог!$B$4:$B$500,$A57)&amp;"")</f>
        <v/>
      </c>
      <c r="G57" s="32" t="str">
        <f>IF($A57="","",INDEX(Каталог!$M$4:$M$500,$A57)&amp;"")</f>
        <v/>
      </c>
      <c r="H57" s="32" t="str">
        <f>IF($A57="","",INDEX(Каталог!$P$4:$P$500,$A57))</f>
        <v/>
      </c>
      <c r="I57" s="5"/>
      <c r="J57" s="5"/>
      <c r="L57" s="30" t="str">
        <f>IFERROR(INDEX(Однолинейка!$BQ$3:$BQ$1000,MATCH(7,Однолинейка!$BR$3:$BR$1000,0)),"")</f>
        <v>2х4</v>
      </c>
      <c r="M57" s="32">
        <f>IF(L57="","",COUNTIF(Однолинейка!$BQ$3:$BQ$1000,L57))</f>
        <v>1</v>
      </c>
      <c r="N57" s="32">
        <f>IF(L57="","",SUMIF(Однолинейка!$BQ$3:$BQ$1000,L57,Однолинейка!$BW$3:$BW$1000))</f>
        <v>1</v>
      </c>
      <c r="O57" s="32">
        <f>IF(L57="","",SUMIF(Однолинейка!$BQ$3:$BQ$1000,L57,Однолинейка!$BX$3:$BX$1000))</f>
        <v>0</v>
      </c>
    </row>
    <row r="58" spans="1:15" x14ac:dyDescent="0.3">
      <c r="A58" s="29" t="str">
        <f>IFERROR(MATCH(ROW()-3,Каталог!$AF$4:$AF$500,0),"")</f>
        <v/>
      </c>
      <c r="B58" s="29" t="str">
        <f t="shared" si="1"/>
        <v/>
      </c>
      <c r="C58" s="30" t="str">
        <f>IF($A58="","",INDEX(Каталог!$G$4:$G$500,$A58)&amp;"")</f>
        <v/>
      </c>
      <c r="D58" s="33"/>
      <c r="E58" s="31" t="str">
        <f>IF($A58="","",INDEX(Каталог!$H$4:$H$500,$A58)&amp;"")</f>
        <v/>
      </c>
      <c r="F58" s="32" t="str">
        <f>IF($A58="","",INDEX(Каталог!$B$4:$B$500,$A58)&amp;"")</f>
        <v/>
      </c>
      <c r="G58" s="32" t="str">
        <f>IF($A58="","",INDEX(Каталог!$M$4:$M$500,$A58)&amp;"")</f>
        <v/>
      </c>
      <c r="H58" s="32" t="str">
        <f>IF($A58="","",INDEX(Каталог!$P$4:$P$500,$A58))</f>
        <v/>
      </c>
      <c r="I58" s="5"/>
      <c r="J58" s="5"/>
      <c r="L58" s="30" t="str">
        <f>IFERROR(INDEX(Однолинейка!$BQ$3:$BQ$1000,MATCH(8,Однолинейка!$BR$3:$BR$1000,0)),"")</f>
        <v>2х6</v>
      </c>
      <c r="M58" s="32">
        <f>IF(L58="","",COUNTIF(Однолинейка!$BQ$3:$BQ$1000,L58))</f>
        <v>1</v>
      </c>
      <c r="N58" s="32">
        <f>IF(L58="","",SUMIF(Однолинейка!$BQ$3:$BQ$1000,L58,Однолинейка!$BW$3:$BW$1000))</f>
        <v>1</v>
      </c>
      <c r="O58" s="32">
        <f>IF(L58="","",SUMIF(Однолинейка!$BQ$3:$BQ$1000,L58,Однолинейка!$BX$3:$BX$1000))</f>
        <v>0</v>
      </c>
    </row>
    <row r="59" spans="1:15" x14ac:dyDescent="0.3">
      <c r="A59" s="29" t="str">
        <f>IFERROR(MATCH(ROW()-3,Каталог!$AF$4:$AF$500,0),"")</f>
        <v/>
      </c>
      <c r="B59" s="29" t="str">
        <f t="shared" si="1"/>
        <v/>
      </c>
      <c r="C59" s="30" t="str">
        <f>IF($A59="","",INDEX(Каталог!$G$4:$G$500,$A59)&amp;"")</f>
        <v/>
      </c>
      <c r="D59" s="33"/>
      <c r="E59" s="31" t="str">
        <f>IF($A59="","",INDEX(Каталог!$H$4:$H$500,$A59)&amp;"")</f>
        <v/>
      </c>
      <c r="F59" s="32" t="str">
        <f>IF($A59="","",INDEX(Каталог!$B$4:$B$500,$A59)&amp;"")</f>
        <v/>
      </c>
      <c r="G59" s="32" t="str">
        <f>IF($A59="","",INDEX(Каталог!$M$4:$M$500,$A59)&amp;"")</f>
        <v/>
      </c>
      <c r="H59" s="32" t="str">
        <f>IF($A59="","",INDEX(Каталог!$P$4:$P$500,$A59))</f>
        <v/>
      </c>
      <c r="I59" s="5"/>
      <c r="J59" s="5"/>
      <c r="L59" s="30" t="str">
        <f>IFERROR(INDEX(Однолинейка!$BQ$3:$BQ$1000,MATCH(9,Однолинейка!$BR$3:$BR$1000,0)),"")</f>
        <v>2х10</v>
      </c>
      <c r="M59" s="32">
        <f>IF(L59="","",COUNTIF(Однолинейка!$BQ$3:$BQ$1000,L59))</f>
        <v>1</v>
      </c>
      <c r="N59" s="32">
        <f>IF(L59="","",SUMIF(Однолинейка!$BQ$3:$BQ$1000,L59,Однолинейка!$BW$3:$BW$1000))</f>
        <v>1</v>
      </c>
      <c r="O59" s="32">
        <f>IF(L59="","",SUMIF(Однолинейка!$BQ$3:$BQ$1000,L59,Однолинейка!$BX$3:$BX$1000))</f>
        <v>0</v>
      </c>
    </row>
    <row r="60" spans="1:15" x14ac:dyDescent="0.3">
      <c r="A60" s="29" t="str">
        <f>IFERROR(MATCH(ROW()-3,Каталог!$AF$4:$AF$500,0),"")</f>
        <v/>
      </c>
      <c r="B60" s="29" t="str">
        <f t="shared" si="1"/>
        <v/>
      </c>
      <c r="C60" s="30" t="str">
        <f>IF($A60="","",INDEX(Каталог!$G$4:$G$500,$A60)&amp;"")</f>
        <v/>
      </c>
      <c r="D60" s="33"/>
      <c r="E60" s="31" t="str">
        <f>IF($A60="","",INDEX(Каталог!$H$4:$H$500,$A60)&amp;"")</f>
        <v/>
      </c>
      <c r="F60" s="32" t="str">
        <f>IF($A60="","",INDEX(Каталог!$B$4:$B$500,$A60)&amp;"")</f>
        <v/>
      </c>
      <c r="G60" s="32" t="str">
        <f>IF($A60="","",INDEX(Каталог!$M$4:$M$500,$A60)&amp;"")</f>
        <v/>
      </c>
      <c r="H60" s="32" t="str">
        <f>IF($A60="","",INDEX(Каталог!$P$4:$P$500,$A60))</f>
        <v/>
      </c>
      <c r="I60" s="5"/>
      <c r="J60" s="5"/>
      <c r="L60" s="30" t="str">
        <f>IFERROR(INDEX(Однолинейка!$BQ$3:$BQ$1000,MATCH(10,Однолинейка!$BR$3:$BR$1000,0)),"")</f>
        <v>2х16</v>
      </c>
      <c r="M60" s="32">
        <f>IF(L60="","",COUNTIF(Однолинейка!$BQ$3:$BQ$1000,L60))</f>
        <v>1</v>
      </c>
      <c r="N60" s="32">
        <f>IF(L60="","",SUMIF(Однолинейка!$BQ$3:$BQ$1000,L60,Однолинейка!$BW$3:$BW$1000))</f>
        <v>1</v>
      </c>
      <c r="O60" s="32">
        <f>IF(L60="","",SUMIF(Однолинейка!$BQ$3:$BQ$1000,L60,Однолинейка!$BX$3:$BX$1000))</f>
        <v>0</v>
      </c>
    </row>
    <row r="61" spans="1:15" x14ac:dyDescent="0.3">
      <c r="A61" s="29" t="str">
        <f>IFERROR(MATCH(ROW()-3,Каталог!$AF$4:$AF$500,0),"")</f>
        <v/>
      </c>
      <c r="B61" s="29" t="str">
        <f t="shared" si="1"/>
        <v/>
      </c>
      <c r="C61" s="30" t="str">
        <f>IF($A61="","",INDEX(Каталог!$G$4:$G$500,$A61)&amp;"")</f>
        <v/>
      </c>
      <c r="D61" s="33"/>
      <c r="E61" s="31" t="str">
        <f>IF($A61="","",INDEX(Каталог!$H$4:$H$500,$A61)&amp;"")</f>
        <v/>
      </c>
      <c r="F61" s="32" t="str">
        <f>IF($A61="","",INDEX(Каталог!$B$4:$B$500,$A61)&amp;"")</f>
        <v/>
      </c>
      <c r="G61" s="32" t="str">
        <f>IF($A61="","",INDEX(Каталог!$M$4:$M$500,$A61)&amp;"")</f>
        <v/>
      </c>
      <c r="H61" s="32" t="str">
        <f>IF($A61="","",INDEX(Каталог!$P$4:$P$500,$A61))</f>
        <v/>
      </c>
      <c r="I61" s="5"/>
      <c r="J61" s="5"/>
      <c r="L61" s="30" t="s">
        <v>780</v>
      </c>
      <c r="M61" s="32">
        <f>COUNTIF(Однолинейка!$AY$3:$AY$1000,1)</f>
        <v>43</v>
      </c>
    </row>
    <row r="62" spans="1:15" x14ac:dyDescent="0.3">
      <c r="A62" s="29" t="str">
        <f>IFERROR(MATCH(ROW()-3,Каталог!$AF$4:$AF$500,0),"")</f>
        <v/>
      </c>
      <c r="B62" s="29" t="str">
        <f t="shared" si="1"/>
        <v/>
      </c>
      <c r="C62" s="30" t="str">
        <f>IF($A62="","",INDEX(Каталог!$G$4:$G$500,$A62)&amp;"")</f>
        <v/>
      </c>
      <c r="D62" s="33"/>
      <c r="E62" s="31" t="str">
        <f>IF($A62="","",INDEX(Каталог!$H$4:$H$500,$A62)&amp;"")</f>
        <v/>
      </c>
      <c r="F62" s="32" t="str">
        <f>IF($A62="","",INDEX(Каталог!$B$4:$B$500,$A62)&amp;"")</f>
        <v/>
      </c>
      <c r="G62" s="32" t="str">
        <f>IF($A62="","",INDEX(Каталог!$M$4:$M$500,$A62)&amp;"")</f>
        <v/>
      </c>
      <c r="H62" s="32" t="str">
        <f>IF($A62="","",INDEX(Каталог!$P$4:$P$500,$A62))</f>
        <v/>
      </c>
      <c r="I62" s="5"/>
      <c r="J62" s="5"/>
      <c r="L62" s="30" t="s">
        <v>781</v>
      </c>
      <c r="M62" s="32">
        <f>SUM(Однолинейка!$BW$3:$BW$1000)</f>
        <v>43</v>
      </c>
    </row>
    <row r="63" spans="1:15" x14ac:dyDescent="0.3">
      <c r="A63" s="29" t="str">
        <f>IFERROR(MATCH(ROW()-3,Каталог!$AF$4:$AF$500,0),"")</f>
        <v/>
      </c>
      <c r="B63" s="29" t="str">
        <f t="shared" si="1"/>
        <v/>
      </c>
      <c r="C63" s="30" t="str">
        <f>IF($A63="","",INDEX(Каталог!$G$4:$G$500,$A63)&amp;"")</f>
        <v/>
      </c>
      <c r="D63" s="33"/>
      <c r="E63" s="31" t="str">
        <f>IF($A63="","",INDEX(Каталог!$H$4:$H$500,$A63)&amp;"")</f>
        <v/>
      </c>
      <c r="F63" s="32" t="str">
        <f>IF($A63="","",INDEX(Каталог!$B$4:$B$500,$A63)&amp;"")</f>
        <v/>
      </c>
      <c r="G63" s="32" t="str">
        <f>IF($A63="","",INDEX(Каталог!$M$4:$M$500,$A63)&amp;"")</f>
        <v/>
      </c>
      <c r="H63" s="32" t="str">
        <f>IF($A63="","",INDEX(Каталог!$P$4:$P$500,$A63))</f>
        <v/>
      </c>
      <c r="I63" s="5"/>
      <c r="J63" s="5"/>
      <c r="L63" s="30" t="s">
        <v>782</v>
      </c>
      <c r="M63" s="32">
        <f>SUM(Однолинейка!$BX$3:$BX$1000)</f>
        <v>14</v>
      </c>
    </row>
    <row r="64" spans="1:15" ht="27.6" x14ac:dyDescent="0.3">
      <c r="A64" s="29" t="str">
        <f>IFERROR(MATCH(ROW()-3,Каталог!$AF$4:$AF$500,0),"")</f>
        <v/>
      </c>
      <c r="B64" s="29" t="str">
        <f t="shared" si="1"/>
        <v/>
      </c>
      <c r="C64" s="30" t="str">
        <f>IF($A64="","",INDEX(Каталог!$G$4:$G$500,$A64)&amp;"")</f>
        <v/>
      </c>
      <c r="D64" s="33"/>
      <c r="E64" s="31" t="str">
        <f>IF($A64="","",INDEX(Каталог!$H$4:$H$500,$A64)&amp;"")</f>
        <v/>
      </c>
      <c r="F64" s="32" t="str">
        <f>IF($A64="","",INDEX(Каталог!$B$4:$B$500,$A64)&amp;"")</f>
        <v/>
      </c>
      <c r="G64" s="32" t="str">
        <f>IF($A64="","",INDEX(Каталог!$M$4:$M$500,$A64)&amp;"")</f>
        <v/>
      </c>
      <c r="H64" s="32" t="str">
        <f>IF($A64="","",INDEX(Каталог!$P$4:$P$500,$A64))</f>
        <v/>
      </c>
      <c r="I64" s="5"/>
      <c r="J64" s="5"/>
      <c r="L64" s="30" t="s">
        <v>783</v>
      </c>
    </row>
    <row r="65" spans="1:12" x14ac:dyDescent="0.3">
      <c r="A65" s="29" t="str">
        <f>IFERROR(MATCH(ROW()-3,Каталог!$AF$4:$AF$500,0),"")</f>
        <v/>
      </c>
      <c r="B65" s="29" t="str">
        <f t="shared" si="1"/>
        <v/>
      </c>
      <c r="C65" s="30" t="str">
        <f>IF($A65="","",INDEX(Каталог!$G$4:$G$500,$A65)&amp;"")</f>
        <v/>
      </c>
      <c r="D65" s="33"/>
      <c r="E65" s="31" t="str">
        <f>IF($A65="","",INDEX(Каталог!$H$4:$H$500,$A65)&amp;"")</f>
        <v/>
      </c>
      <c r="F65" s="32" t="str">
        <f>IF($A65="","",INDEX(Каталог!$B$4:$B$500,$A65)&amp;"")</f>
        <v/>
      </c>
      <c r="G65" s="32" t="str">
        <f>IF($A65="","",INDEX(Каталог!$M$4:$M$500,$A65)&amp;"")</f>
        <v/>
      </c>
      <c r="H65" s="32" t="str">
        <f>IF($A65="","",INDEX(Каталог!$P$4:$P$500,$A65))</f>
        <v/>
      </c>
      <c r="I65" s="5"/>
      <c r="J65" s="5"/>
      <c r="L65" s="30"/>
    </row>
    <row r="66" spans="1:12" x14ac:dyDescent="0.3">
      <c r="A66" s="29" t="str">
        <f>IFERROR(MATCH(ROW()-3,Каталог!$AF$4:$AF$500,0),"")</f>
        <v/>
      </c>
      <c r="B66" s="29" t="str">
        <f t="shared" si="1"/>
        <v/>
      </c>
      <c r="C66" s="30" t="str">
        <f>IF($A66="","",INDEX(Каталог!$G$4:$G$500,$A66)&amp;"")</f>
        <v/>
      </c>
      <c r="D66" s="33"/>
      <c r="E66" s="31" t="str">
        <f>IF($A66="","",INDEX(Каталог!$H$4:$H$500,$A66)&amp;"")</f>
        <v/>
      </c>
      <c r="F66" s="32" t="str">
        <f>IF($A66="","",INDEX(Каталог!$B$4:$B$500,$A66)&amp;"")</f>
        <v/>
      </c>
      <c r="G66" s="32" t="str">
        <f>IF($A66="","",INDEX(Каталог!$M$4:$M$500,$A66)&amp;"")</f>
        <v/>
      </c>
      <c r="H66" s="32" t="str">
        <f>IF($A66="","",INDEX(Каталог!$P$4:$P$500,$A66))</f>
        <v/>
      </c>
      <c r="I66" s="5"/>
      <c r="J66" s="5"/>
      <c r="L66" s="30"/>
    </row>
    <row r="67" spans="1:12" x14ac:dyDescent="0.3">
      <c r="A67" s="29" t="str">
        <f>IFERROR(MATCH(ROW()-3,Каталог!$AF$4:$AF$500,0),"")</f>
        <v/>
      </c>
      <c r="B67" s="29" t="str">
        <f t="shared" si="1"/>
        <v/>
      </c>
      <c r="C67" s="30" t="str">
        <f>IF($A67="","",INDEX(Каталог!$G$4:$G$500,$A67)&amp;"")</f>
        <v/>
      </c>
      <c r="D67" s="33"/>
      <c r="E67" s="31" t="str">
        <f>IF($A67="","",INDEX(Каталог!$H$4:$H$500,$A67)&amp;"")</f>
        <v/>
      </c>
      <c r="F67" s="32" t="str">
        <f>IF($A67="","",INDEX(Каталог!$B$4:$B$500,$A67)&amp;"")</f>
        <v/>
      </c>
      <c r="G67" s="32" t="str">
        <f>IF($A67="","",INDEX(Каталог!$M$4:$M$500,$A67)&amp;"")</f>
        <v/>
      </c>
      <c r="H67" s="32" t="str">
        <f>IF($A67="","",INDEX(Каталог!$P$4:$P$500,$A67))</f>
        <v/>
      </c>
      <c r="I67" s="5"/>
      <c r="J67" s="5"/>
    </row>
    <row r="68" spans="1:12" x14ac:dyDescent="0.3">
      <c r="A68" s="29" t="str">
        <f>IFERROR(MATCH(ROW()-3,Каталог!$AF$4:$AF$500,0),"")</f>
        <v/>
      </c>
      <c r="B68" s="29" t="str">
        <f t="shared" ref="B68:B99" si="2">IF($A68="","",$B$3&amp;"."&amp;(ROW()-3))</f>
        <v/>
      </c>
      <c r="C68" s="30" t="str">
        <f>IF($A68="","",INDEX(Каталог!$G$4:$G$500,$A68)&amp;"")</f>
        <v/>
      </c>
      <c r="D68" s="33"/>
      <c r="E68" s="31" t="str">
        <f>IF($A68="","",INDEX(Каталог!$H$4:$H$500,$A68)&amp;"")</f>
        <v/>
      </c>
      <c r="F68" s="32" t="str">
        <f>IF($A68="","",INDEX(Каталог!$B$4:$B$500,$A68)&amp;"")</f>
        <v/>
      </c>
      <c r="G68" s="32" t="str">
        <f>IF($A68="","",INDEX(Каталог!$M$4:$M$500,$A68)&amp;"")</f>
        <v/>
      </c>
      <c r="H68" s="32" t="str">
        <f>IF($A68="","",INDEX(Каталог!$P$4:$P$500,$A68))</f>
        <v/>
      </c>
      <c r="I68" s="5"/>
      <c r="J68" s="5"/>
    </row>
    <row r="69" spans="1:12" x14ac:dyDescent="0.3">
      <c r="A69" s="29" t="str">
        <f>IFERROR(MATCH(ROW()-3,Каталог!$AF$4:$AF$500,0),"")</f>
        <v/>
      </c>
      <c r="B69" s="29" t="str">
        <f t="shared" si="2"/>
        <v/>
      </c>
      <c r="C69" s="30" t="str">
        <f>IF($A69="","",INDEX(Каталог!$G$4:$G$500,$A69)&amp;"")</f>
        <v/>
      </c>
      <c r="D69" s="33"/>
      <c r="E69" s="31" t="str">
        <f>IF($A69="","",INDEX(Каталог!$H$4:$H$500,$A69)&amp;"")</f>
        <v/>
      </c>
      <c r="F69" s="32" t="str">
        <f>IF($A69="","",INDEX(Каталог!$B$4:$B$500,$A69)&amp;"")</f>
        <v/>
      </c>
      <c r="G69" s="32" t="str">
        <f>IF($A69="","",INDEX(Каталог!$M$4:$M$500,$A69)&amp;"")</f>
        <v/>
      </c>
      <c r="H69" s="32" t="str">
        <f>IF($A69="","",INDEX(Каталог!$P$4:$P$500,$A69))</f>
        <v/>
      </c>
      <c r="I69" s="5"/>
      <c r="J69" s="5"/>
    </row>
    <row r="70" spans="1:12" x14ac:dyDescent="0.3">
      <c r="A70" s="29" t="str">
        <f>IFERROR(MATCH(ROW()-3,Каталог!$AF$4:$AF$500,0),"")</f>
        <v/>
      </c>
      <c r="B70" s="29" t="str">
        <f t="shared" si="2"/>
        <v/>
      </c>
      <c r="C70" s="30" t="str">
        <f>IF($A70="","",INDEX(Каталог!$G$4:$G$500,$A70)&amp;"")</f>
        <v/>
      </c>
      <c r="D70" s="33"/>
      <c r="E70" s="31" t="str">
        <f>IF($A70="","",INDEX(Каталог!$H$4:$H$500,$A70)&amp;"")</f>
        <v/>
      </c>
      <c r="F70" s="32" t="str">
        <f>IF($A70="","",INDEX(Каталог!$B$4:$B$500,$A70)&amp;"")</f>
        <v/>
      </c>
      <c r="G70" s="32" t="str">
        <f>IF($A70="","",INDEX(Каталог!$M$4:$M$500,$A70)&amp;"")</f>
        <v/>
      </c>
      <c r="H70" s="32" t="str">
        <f>IF($A70="","",INDEX(Каталог!$P$4:$P$500,$A70))</f>
        <v/>
      </c>
      <c r="I70" s="5"/>
      <c r="J70" s="5"/>
    </row>
    <row r="71" spans="1:12" x14ac:dyDescent="0.3">
      <c r="A71" s="29" t="str">
        <f>IFERROR(MATCH(ROW()-3,Каталог!$AF$4:$AF$500,0),"")</f>
        <v/>
      </c>
      <c r="B71" s="29" t="str">
        <f t="shared" si="2"/>
        <v/>
      </c>
      <c r="C71" s="30" t="str">
        <f>IF($A71="","",INDEX(Каталог!$G$4:$G$500,$A71)&amp;"")</f>
        <v/>
      </c>
      <c r="D71" s="33"/>
      <c r="E71" s="31" t="str">
        <f>IF($A71="","",INDEX(Каталог!$H$4:$H$500,$A71)&amp;"")</f>
        <v/>
      </c>
      <c r="F71" s="32" t="str">
        <f>IF($A71="","",INDEX(Каталог!$B$4:$B$500,$A71)&amp;"")</f>
        <v/>
      </c>
      <c r="G71" s="32" t="str">
        <f>IF($A71="","",INDEX(Каталог!$M$4:$M$500,$A71)&amp;"")</f>
        <v/>
      </c>
      <c r="H71" s="32" t="str">
        <f>IF($A71="","",INDEX(Каталог!$P$4:$P$500,$A71))</f>
        <v/>
      </c>
      <c r="I71" s="5"/>
      <c r="J71" s="5"/>
    </row>
    <row r="72" spans="1:12" x14ac:dyDescent="0.3">
      <c r="A72" s="29" t="str">
        <f>IFERROR(MATCH(ROW()-3,Каталог!$AF$4:$AF$500,0),"")</f>
        <v/>
      </c>
      <c r="B72" s="29" t="str">
        <f t="shared" si="2"/>
        <v/>
      </c>
      <c r="C72" s="30" t="str">
        <f>IF($A72="","",INDEX(Каталог!$G$4:$G$500,$A72)&amp;"")</f>
        <v/>
      </c>
      <c r="D72" s="33"/>
      <c r="E72" s="31" t="str">
        <f>IF($A72="","",INDEX(Каталог!$H$4:$H$500,$A72)&amp;"")</f>
        <v/>
      </c>
      <c r="F72" s="32" t="str">
        <f>IF($A72="","",INDEX(Каталог!$B$4:$B$500,$A72)&amp;"")</f>
        <v/>
      </c>
      <c r="G72" s="32" t="str">
        <f>IF($A72="","",INDEX(Каталог!$M$4:$M$500,$A72)&amp;"")</f>
        <v/>
      </c>
      <c r="H72" s="32" t="str">
        <f>IF($A72="","",INDEX(Каталог!$P$4:$P$500,$A72))</f>
        <v/>
      </c>
      <c r="I72" s="5"/>
      <c r="J72" s="5"/>
    </row>
    <row r="73" spans="1:12" x14ac:dyDescent="0.3">
      <c r="A73" s="29" t="str">
        <f>IFERROR(MATCH(ROW()-3,Каталог!$AF$4:$AF$500,0),"")</f>
        <v/>
      </c>
      <c r="B73" s="29" t="str">
        <f t="shared" si="2"/>
        <v/>
      </c>
      <c r="C73" s="30" t="str">
        <f>IF($A73="","",INDEX(Каталог!$G$4:$G$500,$A73)&amp;"")</f>
        <v/>
      </c>
      <c r="D73" s="33"/>
      <c r="E73" s="31" t="str">
        <f>IF($A73="","",INDEX(Каталог!$H$4:$H$500,$A73)&amp;"")</f>
        <v/>
      </c>
      <c r="F73" s="32" t="str">
        <f>IF($A73="","",INDEX(Каталог!$B$4:$B$500,$A73)&amp;"")</f>
        <v/>
      </c>
      <c r="G73" s="32" t="str">
        <f>IF($A73="","",INDEX(Каталог!$M$4:$M$500,$A73)&amp;"")</f>
        <v/>
      </c>
      <c r="H73" s="32" t="str">
        <f>IF($A73="","",INDEX(Каталог!$P$4:$P$500,$A73))</f>
        <v/>
      </c>
      <c r="I73" s="5"/>
      <c r="J73" s="5"/>
    </row>
    <row r="74" spans="1:12" x14ac:dyDescent="0.3">
      <c r="A74" s="29" t="str">
        <f>IFERROR(MATCH(ROW()-3,Каталог!$AF$4:$AF$500,0),"")</f>
        <v/>
      </c>
      <c r="B74" s="29" t="str">
        <f t="shared" si="2"/>
        <v/>
      </c>
      <c r="C74" s="30" t="str">
        <f>IF($A74="","",INDEX(Каталог!$G$4:$G$500,$A74)&amp;"")</f>
        <v/>
      </c>
      <c r="D74" s="33"/>
      <c r="E74" s="31" t="str">
        <f>IF($A74="","",INDEX(Каталог!$H$4:$H$500,$A74)&amp;"")</f>
        <v/>
      </c>
      <c r="F74" s="32" t="str">
        <f>IF($A74="","",INDEX(Каталог!$B$4:$B$500,$A74)&amp;"")</f>
        <v/>
      </c>
      <c r="G74" s="32" t="str">
        <f>IF($A74="","",INDEX(Каталог!$M$4:$M$500,$A74)&amp;"")</f>
        <v/>
      </c>
      <c r="H74" s="32" t="str">
        <f>IF($A74="","",INDEX(Каталог!$P$4:$P$500,$A74))</f>
        <v/>
      </c>
      <c r="I74" s="5"/>
      <c r="J74" s="5"/>
    </row>
    <row r="75" spans="1:12" x14ac:dyDescent="0.3">
      <c r="A75" s="29" t="str">
        <f>IFERROR(MATCH(ROW()-3,Каталог!$AF$4:$AF$500,0),"")</f>
        <v/>
      </c>
      <c r="B75" s="29" t="str">
        <f t="shared" si="2"/>
        <v/>
      </c>
      <c r="C75" s="30" t="str">
        <f>IF($A75="","",INDEX(Каталог!$G$4:$G$500,$A75)&amp;"")</f>
        <v/>
      </c>
      <c r="D75" s="33"/>
      <c r="E75" s="31" t="str">
        <f>IF($A75="","",INDEX(Каталог!$H$4:$H$500,$A75)&amp;"")</f>
        <v/>
      </c>
      <c r="F75" s="32" t="str">
        <f>IF($A75="","",INDEX(Каталог!$B$4:$B$500,$A75)&amp;"")</f>
        <v/>
      </c>
      <c r="G75" s="32" t="str">
        <f>IF($A75="","",INDEX(Каталог!$M$4:$M$500,$A75)&amp;"")</f>
        <v/>
      </c>
      <c r="H75" s="32" t="str">
        <f>IF($A75="","",INDEX(Каталог!$P$4:$P$500,$A75))</f>
        <v/>
      </c>
      <c r="I75" s="5"/>
      <c r="J75" s="5"/>
    </row>
    <row r="76" spans="1:12" x14ac:dyDescent="0.3">
      <c r="A76" s="29" t="str">
        <f>IFERROR(MATCH(ROW()-3,Каталог!$AF$4:$AF$500,0),"")</f>
        <v/>
      </c>
      <c r="B76" s="29" t="str">
        <f t="shared" si="2"/>
        <v/>
      </c>
      <c r="C76" s="30" t="str">
        <f>IF($A76="","",INDEX(Каталог!$G$4:$G$500,$A76)&amp;"")</f>
        <v/>
      </c>
      <c r="D76" s="33"/>
      <c r="E76" s="31" t="str">
        <f>IF($A76="","",INDEX(Каталог!$H$4:$H$500,$A76)&amp;"")</f>
        <v/>
      </c>
      <c r="F76" s="32" t="str">
        <f>IF($A76="","",INDEX(Каталог!$B$4:$B$500,$A76)&amp;"")</f>
        <v/>
      </c>
      <c r="G76" s="32" t="str">
        <f>IF($A76="","",INDEX(Каталог!$M$4:$M$500,$A76)&amp;"")</f>
        <v/>
      </c>
      <c r="H76" s="32" t="str">
        <f>IF($A76="","",INDEX(Каталог!$P$4:$P$500,$A76))</f>
        <v/>
      </c>
      <c r="I76" s="5"/>
      <c r="J76" s="5"/>
    </row>
    <row r="77" spans="1:12" x14ac:dyDescent="0.3">
      <c r="A77" s="29" t="str">
        <f>IFERROR(MATCH(ROW()-3,Каталог!$AF$4:$AF$500,0),"")</f>
        <v/>
      </c>
      <c r="B77" s="29" t="str">
        <f t="shared" si="2"/>
        <v/>
      </c>
      <c r="C77" s="30" t="str">
        <f>IF($A77="","",INDEX(Каталог!$G$4:$G$500,$A77)&amp;"")</f>
        <v/>
      </c>
      <c r="D77" s="33"/>
      <c r="E77" s="31" t="str">
        <f>IF($A77="","",INDEX(Каталог!$H$4:$H$500,$A77)&amp;"")</f>
        <v/>
      </c>
      <c r="F77" s="32" t="str">
        <f>IF($A77="","",INDEX(Каталог!$B$4:$B$500,$A77)&amp;"")</f>
        <v/>
      </c>
      <c r="G77" s="32" t="str">
        <f>IF($A77="","",INDEX(Каталог!$M$4:$M$500,$A77)&amp;"")</f>
        <v/>
      </c>
      <c r="H77" s="32" t="str">
        <f>IF($A77="","",INDEX(Каталог!$P$4:$P$500,$A77))</f>
        <v/>
      </c>
      <c r="I77" s="5"/>
      <c r="J77" s="5"/>
    </row>
    <row r="78" spans="1:12" x14ac:dyDescent="0.3">
      <c r="A78" s="29" t="str">
        <f>IFERROR(MATCH(ROW()-3,Каталог!$AF$4:$AF$500,0),"")</f>
        <v/>
      </c>
      <c r="B78" s="29" t="str">
        <f t="shared" si="2"/>
        <v/>
      </c>
      <c r="C78" s="30" t="str">
        <f>IF($A78="","",INDEX(Каталог!$G$4:$G$500,$A78)&amp;"")</f>
        <v/>
      </c>
      <c r="D78" s="33"/>
      <c r="E78" s="31" t="str">
        <f>IF($A78="","",INDEX(Каталог!$H$4:$H$500,$A78)&amp;"")</f>
        <v/>
      </c>
      <c r="F78" s="32" t="str">
        <f>IF($A78="","",INDEX(Каталог!$B$4:$B$500,$A78)&amp;"")</f>
        <v/>
      </c>
      <c r="G78" s="32" t="str">
        <f>IF($A78="","",INDEX(Каталог!$M$4:$M$500,$A78)&amp;"")</f>
        <v/>
      </c>
      <c r="H78" s="32" t="str">
        <f>IF($A78="","",INDEX(Каталог!$P$4:$P$500,$A78))</f>
        <v/>
      </c>
      <c r="I78" s="5"/>
      <c r="J78" s="5"/>
    </row>
    <row r="79" spans="1:12" x14ac:dyDescent="0.3">
      <c r="A79" s="29" t="str">
        <f>IFERROR(MATCH(ROW()-3,Каталог!$AF$4:$AF$500,0),"")</f>
        <v/>
      </c>
      <c r="B79" s="29" t="str">
        <f t="shared" si="2"/>
        <v/>
      </c>
      <c r="C79" s="30" t="str">
        <f>IF($A79="","",INDEX(Каталог!$G$4:$G$500,$A79)&amp;"")</f>
        <v/>
      </c>
      <c r="D79" s="33"/>
      <c r="E79" s="31" t="str">
        <f>IF($A79="","",INDEX(Каталог!$H$4:$H$500,$A79)&amp;"")</f>
        <v/>
      </c>
      <c r="F79" s="32" t="str">
        <f>IF($A79="","",INDEX(Каталог!$B$4:$B$500,$A79)&amp;"")</f>
        <v/>
      </c>
      <c r="G79" s="32" t="str">
        <f>IF($A79="","",INDEX(Каталог!$M$4:$M$500,$A79)&amp;"")</f>
        <v/>
      </c>
      <c r="H79" s="32" t="str">
        <f>IF($A79="","",INDEX(Каталог!$P$4:$P$500,$A79))</f>
        <v/>
      </c>
      <c r="I79" s="5"/>
      <c r="J79" s="5"/>
    </row>
    <row r="80" spans="1:12" x14ac:dyDescent="0.3">
      <c r="A80" s="29" t="str">
        <f>IFERROR(MATCH(ROW()-3,Каталог!$AF$4:$AF$500,0),"")</f>
        <v/>
      </c>
      <c r="B80" s="29" t="str">
        <f t="shared" si="2"/>
        <v/>
      </c>
      <c r="C80" s="30" t="str">
        <f>IF($A80="","",INDEX(Каталог!$G$4:$G$500,$A80)&amp;"")</f>
        <v/>
      </c>
      <c r="D80" s="33"/>
      <c r="E80" s="31" t="str">
        <f>IF($A80="","",INDEX(Каталог!$H$4:$H$500,$A80)&amp;"")</f>
        <v/>
      </c>
      <c r="F80" s="32" t="str">
        <f>IF($A80="","",INDEX(Каталог!$B$4:$B$500,$A80)&amp;"")</f>
        <v/>
      </c>
      <c r="G80" s="32" t="str">
        <f>IF($A80="","",INDEX(Каталог!$M$4:$M$500,$A80)&amp;"")</f>
        <v/>
      </c>
      <c r="H80" s="32" t="str">
        <f>IF($A80="","",INDEX(Каталог!$P$4:$P$500,$A80))</f>
        <v/>
      </c>
      <c r="I80" s="5"/>
      <c r="J80" s="5"/>
    </row>
    <row r="81" spans="1:10" x14ac:dyDescent="0.3">
      <c r="A81" s="29" t="str">
        <f>IFERROR(MATCH(ROW()-3,Каталог!$AF$4:$AF$500,0),"")</f>
        <v/>
      </c>
      <c r="B81" s="29" t="str">
        <f t="shared" si="2"/>
        <v/>
      </c>
      <c r="C81" s="30" t="str">
        <f>IF($A81="","",INDEX(Каталог!$G$4:$G$500,$A81)&amp;"")</f>
        <v/>
      </c>
      <c r="D81" s="33"/>
      <c r="E81" s="31" t="str">
        <f>IF($A81="","",INDEX(Каталог!$H$4:$H$500,$A81)&amp;"")</f>
        <v/>
      </c>
      <c r="F81" s="32" t="str">
        <f>IF($A81="","",INDEX(Каталог!$B$4:$B$500,$A81)&amp;"")</f>
        <v/>
      </c>
      <c r="G81" s="32" t="str">
        <f>IF($A81="","",INDEX(Каталог!$M$4:$M$500,$A81)&amp;"")</f>
        <v/>
      </c>
      <c r="H81" s="32" t="str">
        <f>IF($A81="","",INDEX(Каталог!$P$4:$P$500,$A81))</f>
        <v/>
      </c>
      <c r="I81" s="5"/>
      <c r="J81" s="5"/>
    </row>
    <row r="82" spans="1:10" x14ac:dyDescent="0.3">
      <c r="A82" s="29" t="str">
        <f>IFERROR(MATCH(ROW()-3,Каталог!$AF$4:$AF$500,0),"")</f>
        <v/>
      </c>
      <c r="B82" s="29" t="str">
        <f t="shared" si="2"/>
        <v/>
      </c>
      <c r="C82" s="30" t="str">
        <f>IF($A82="","",INDEX(Каталог!$G$4:$G$500,$A82)&amp;"")</f>
        <v/>
      </c>
      <c r="D82" s="33"/>
      <c r="E82" s="31" t="str">
        <f>IF($A82="","",INDEX(Каталог!$H$4:$H$500,$A82)&amp;"")</f>
        <v/>
      </c>
      <c r="F82" s="32" t="str">
        <f>IF($A82="","",INDEX(Каталог!$B$4:$B$500,$A82)&amp;"")</f>
        <v/>
      </c>
      <c r="G82" s="32" t="str">
        <f>IF($A82="","",INDEX(Каталог!$M$4:$M$500,$A82)&amp;"")</f>
        <v/>
      </c>
      <c r="H82" s="32" t="str">
        <f>IF($A82="","",INDEX(Каталог!$P$4:$P$500,$A82))</f>
        <v/>
      </c>
      <c r="I82" s="5"/>
      <c r="J82" s="5"/>
    </row>
    <row r="83" spans="1:10" x14ac:dyDescent="0.3">
      <c r="A83" s="29" t="str">
        <f>IFERROR(MATCH(ROW()-3,Каталог!$AF$4:$AF$500,0),"")</f>
        <v/>
      </c>
      <c r="B83" s="29" t="str">
        <f t="shared" si="2"/>
        <v/>
      </c>
      <c r="C83" s="30" t="str">
        <f>IF($A83="","",INDEX(Каталог!$G$4:$G$500,$A83)&amp;"")</f>
        <v/>
      </c>
      <c r="D83" s="33"/>
      <c r="E83" s="31" t="str">
        <f>IF($A83="","",INDEX(Каталог!$H$4:$H$500,$A83)&amp;"")</f>
        <v/>
      </c>
      <c r="F83" s="32" t="str">
        <f>IF($A83="","",INDEX(Каталог!$B$4:$B$500,$A83)&amp;"")</f>
        <v/>
      </c>
      <c r="G83" s="32" t="str">
        <f>IF($A83="","",INDEX(Каталог!$M$4:$M$500,$A83)&amp;"")</f>
        <v/>
      </c>
      <c r="H83" s="32" t="str">
        <f>IF($A83="","",INDEX(Каталог!$P$4:$P$500,$A83))</f>
        <v/>
      </c>
      <c r="I83" s="5"/>
      <c r="J83" s="5"/>
    </row>
    <row r="84" spans="1:10" x14ac:dyDescent="0.3">
      <c r="A84" s="29" t="str">
        <f>IFERROR(MATCH(ROW()-3,Каталог!$AF$4:$AF$500,0),"")</f>
        <v/>
      </c>
      <c r="B84" s="29" t="str">
        <f t="shared" si="2"/>
        <v/>
      </c>
      <c r="C84" s="30" t="str">
        <f>IF($A84="","",INDEX(Каталог!$G$4:$G$500,$A84)&amp;"")</f>
        <v/>
      </c>
      <c r="D84" s="33"/>
      <c r="E84" s="31" t="str">
        <f>IF($A84="","",INDEX(Каталог!$H$4:$H$500,$A84)&amp;"")</f>
        <v/>
      </c>
      <c r="F84" s="32" t="str">
        <f>IF($A84="","",INDEX(Каталог!$B$4:$B$500,$A84)&amp;"")</f>
        <v/>
      </c>
      <c r="G84" s="32" t="str">
        <f>IF($A84="","",INDEX(Каталог!$M$4:$M$500,$A84)&amp;"")</f>
        <v/>
      </c>
      <c r="H84" s="32" t="str">
        <f>IF($A84="","",INDEX(Каталог!$P$4:$P$500,$A84))</f>
        <v/>
      </c>
      <c r="I84" s="5"/>
      <c r="J84" s="5"/>
    </row>
    <row r="85" spans="1:10" x14ac:dyDescent="0.3">
      <c r="A85" s="29" t="str">
        <f>IFERROR(MATCH(ROW()-3,Каталог!$AF$4:$AF$500,0),"")</f>
        <v/>
      </c>
      <c r="B85" s="29" t="str">
        <f t="shared" si="2"/>
        <v/>
      </c>
      <c r="C85" s="30" t="str">
        <f>IF($A85="","",INDEX(Каталог!$G$4:$G$500,$A85)&amp;"")</f>
        <v/>
      </c>
      <c r="D85" s="33"/>
      <c r="E85" s="31" t="str">
        <f>IF($A85="","",INDEX(Каталог!$H$4:$H$500,$A85)&amp;"")</f>
        <v/>
      </c>
      <c r="F85" s="32" t="str">
        <f>IF($A85="","",INDEX(Каталог!$B$4:$B$500,$A85)&amp;"")</f>
        <v/>
      </c>
      <c r="G85" s="32" t="str">
        <f>IF($A85="","",INDEX(Каталог!$M$4:$M$500,$A85)&amp;"")</f>
        <v/>
      </c>
      <c r="H85" s="32" t="str">
        <f>IF($A85="","",INDEX(Каталог!$P$4:$P$500,$A85))</f>
        <v/>
      </c>
      <c r="I85" s="5"/>
      <c r="J85" s="5"/>
    </row>
    <row r="86" spans="1:10" x14ac:dyDescent="0.3">
      <c r="A86" s="29" t="str">
        <f>IFERROR(MATCH(ROW()-3,Каталог!$AF$4:$AF$500,0),"")</f>
        <v/>
      </c>
      <c r="B86" s="29" t="str">
        <f t="shared" si="2"/>
        <v/>
      </c>
      <c r="C86" s="30" t="str">
        <f>IF($A86="","",INDEX(Каталог!$G$4:$G$500,$A86)&amp;"")</f>
        <v/>
      </c>
      <c r="D86" s="33"/>
      <c r="E86" s="31" t="str">
        <f>IF($A86="","",INDEX(Каталог!$H$4:$H$500,$A86)&amp;"")</f>
        <v/>
      </c>
      <c r="F86" s="32" t="str">
        <f>IF($A86="","",INDEX(Каталог!$B$4:$B$500,$A86)&amp;"")</f>
        <v/>
      </c>
      <c r="G86" s="32" t="str">
        <f>IF($A86="","",INDEX(Каталог!$M$4:$M$500,$A86)&amp;"")</f>
        <v/>
      </c>
      <c r="H86" s="32" t="str">
        <f>IF($A86="","",INDEX(Каталог!$P$4:$P$500,$A86))</f>
        <v/>
      </c>
      <c r="I86" s="5"/>
      <c r="J86" s="5"/>
    </row>
    <row r="87" spans="1:10" x14ac:dyDescent="0.3">
      <c r="A87" s="29" t="str">
        <f>IFERROR(MATCH(ROW()-3,Каталог!$AF$4:$AF$500,0),"")</f>
        <v/>
      </c>
      <c r="B87" s="29" t="str">
        <f t="shared" si="2"/>
        <v/>
      </c>
      <c r="C87" s="30" t="str">
        <f>IF($A87="","",INDEX(Каталог!$G$4:$G$500,$A87)&amp;"")</f>
        <v/>
      </c>
      <c r="D87" s="33"/>
      <c r="E87" s="31" t="str">
        <f>IF($A87="","",INDEX(Каталог!$H$4:$H$500,$A87)&amp;"")</f>
        <v/>
      </c>
      <c r="F87" s="32" t="str">
        <f>IF($A87="","",INDEX(Каталог!$B$4:$B$500,$A87)&amp;"")</f>
        <v/>
      </c>
      <c r="G87" s="32" t="str">
        <f>IF($A87="","",INDEX(Каталог!$M$4:$M$500,$A87)&amp;"")</f>
        <v/>
      </c>
      <c r="H87" s="32" t="str">
        <f>IF($A87="","",INDEX(Каталог!$P$4:$P$500,$A87))</f>
        <v/>
      </c>
      <c r="I87" s="5"/>
      <c r="J87" s="5"/>
    </row>
    <row r="88" spans="1:10" x14ac:dyDescent="0.3">
      <c r="A88" s="29" t="str">
        <f>IFERROR(MATCH(ROW()-3,Каталог!$AF$4:$AF$500,0),"")</f>
        <v/>
      </c>
      <c r="B88" s="29" t="str">
        <f t="shared" si="2"/>
        <v/>
      </c>
      <c r="C88" s="30" t="str">
        <f>IF($A88="","",INDEX(Каталог!$G$4:$G$500,$A88)&amp;"")</f>
        <v/>
      </c>
      <c r="D88" s="33"/>
      <c r="E88" s="31" t="str">
        <f>IF($A88="","",INDEX(Каталог!$H$4:$H$500,$A88)&amp;"")</f>
        <v/>
      </c>
      <c r="F88" s="32" t="str">
        <f>IF($A88="","",INDEX(Каталог!$B$4:$B$500,$A88)&amp;"")</f>
        <v/>
      </c>
      <c r="G88" s="32" t="str">
        <f>IF($A88="","",INDEX(Каталог!$M$4:$M$500,$A88)&amp;"")</f>
        <v/>
      </c>
      <c r="H88" s="32" t="str">
        <f>IF($A88="","",INDEX(Каталог!$P$4:$P$500,$A88))</f>
        <v/>
      </c>
      <c r="I88" s="5"/>
      <c r="J88" s="5"/>
    </row>
    <row r="89" spans="1:10" x14ac:dyDescent="0.3">
      <c r="A89" s="29" t="str">
        <f>IFERROR(MATCH(ROW()-3,Каталог!$AF$4:$AF$500,0),"")</f>
        <v/>
      </c>
      <c r="B89" s="29" t="str">
        <f t="shared" si="2"/>
        <v/>
      </c>
      <c r="C89" s="30" t="str">
        <f>IF($A89="","",INDEX(Каталог!$G$4:$G$500,$A89)&amp;"")</f>
        <v/>
      </c>
      <c r="D89" s="33"/>
      <c r="E89" s="31" t="str">
        <f>IF($A89="","",INDEX(Каталог!$H$4:$H$500,$A89)&amp;"")</f>
        <v/>
      </c>
      <c r="F89" s="32" t="str">
        <f>IF($A89="","",INDEX(Каталог!$B$4:$B$500,$A89)&amp;"")</f>
        <v/>
      </c>
      <c r="G89" s="32" t="str">
        <f>IF($A89="","",INDEX(Каталог!$M$4:$M$500,$A89)&amp;"")</f>
        <v/>
      </c>
      <c r="H89" s="32" t="str">
        <f>IF($A89="","",INDEX(Каталог!$P$4:$P$500,$A89))</f>
        <v/>
      </c>
      <c r="I89" s="5"/>
      <c r="J89" s="5"/>
    </row>
    <row r="90" spans="1:10" x14ac:dyDescent="0.3">
      <c r="A90" s="29" t="str">
        <f>IFERROR(MATCH(ROW()-3,Каталог!$AF$4:$AF$500,0),"")</f>
        <v/>
      </c>
      <c r="B90" s="29" t="str">
        <f t="shared" si="2"/>
        <v/>
      </c>
      <c r="C90" s="30" t="str">
        <f>IF($A90="","",INDEX(Каталог!$G$4:$G$500,$A90)&amp;"")</f>
        <v/>
      </c>
      <c r="D90" s="33"/>
      <c r="E90" s="31" t="str">
        <f>IF($A90="","",INDEX(Каталог!$H$4:$H$500,$A90)&amp;"")</f>
        <v/>
      </c>
      <c r="F90" s="32" t="str">
        <f>IF($A90="","",INDEX(Каталог!$B$4:$B$500,$A90)&amp;"")</f>
        <v/>
      </c>
      <c r="G90" s="32" t="str">
        <f>IF($A90="","",INDEX(Каталог!$M$4:$M$500,$A90)&amp;"")</f>
        <v/>
      </c>
      <c r="H90" s="32" t="str">
        <f>IF($A90="","",INDEX(Каталог!$P$4:$P$500,$A90))</f>
        <v/>
      </c>
      <c r="I90" s="5"/>
      <c r="J90" s="5"/>
    </row>
    <row r="91" spans="1:10" x14ac:dyDescent="0.3">
      <c r="A91" s="29" t="str">
        <f>IFERROR(MATCH(ROW()-3,Каталог!$AF$4:$AF$500,0),"")</f>
        <v/>
      </c>
      <c r="B91" s="29" t="str">
        <f t="shared" si="2"/>
        <v/>
      </c>
      <c r="C91" s="30" t="str">
        <f>IF($A91="","",INDEX(Каталог!$G$4:$G$500,$A91)&amp;"")</f>
        <v/>
      </c>
      <c r="D91" s="33"/>
      <c r="E91" s="31" t="str">
        <f>IF($A91="","",INDEX(Каталог!$H$4:$H$500,$A91)&amp;"")</f>
        <v/>
      </c>
      <c r="F91" s="32" t="str">
        <f>IF($A91="","",INDEX(Каталог!$B$4:$B$500,$A91)&amp;"")</f>
        <v/>
      </c>
      <c r="G91" s="32" t="str">
        <f>IF($A91="","",INDEX(Каталог!$M$4:$M$500,$A91)&amp;"")</f>
        <v/>
      </c>
      <c r="H91" s="32" t="str">
        <f>IF($A91="","",INDEX(Каталог!$P$4:$P$500,$A91))</f>
        <v/>
      </c>
      <c r="I91" s="5"/>
      <c r="J91" s="5"/>
    </row>
    <row r="92" spans="1:10" x14ac:dyDescent="0.3">
      <c r="A92" s="29" t="str">
        <f>IFERROR(MATCH(ROW()-3,Каталог!$AF$4:$AF$500,0),"")</f>
        <v/>
      </c>
      <c r="B92" s="29" t="str">
        <f t="shared" si="2"/>
        <v/>
      </c>
      <c r="C92" s="30" t="str">
        <f>IF($A92="","",INDEX(Каталог!$G$4:$G$500,$A92)&amp;"")</f>
        <v/>
      </c>
      <c r="D92" s="33"/>
      <c r="E92" s="31" t="str">
        <f>IF($A92="","",INDEX(Каталог!$H$4:$H$500,$A92)&amp;"")</f>
        <v/>
      </c>
      <c r="F92" s="32" t="str">
        <f>IF($A92="","",INDEX(Каталог!$B$4:$B$500,$A92)&amp;"")</f>
        <v/>
      </c>
      <c r="G92" s="32" t="str">
        <f>IF($A92="","",INDEX(Каталог!$M$4:$M$500,$A92)&amp;"")</f>
        <v/>
      </c>
      <c r="H92" s="32" t="str">
        <f>IF($A92="","",INDEX(Каталог!$P$4:$P$500,$A92))</f>
        <v/>
      </c>
      <c r="I92" s="5"/>
      <c r="J92" s="5"/>
    </row>
    <row r="93" spans="1:10" x14ac:dyDescent="0.3">
      <c r="A93" s="29" t="str">
        <f>IFERROR(MATCH(ROW()-3,Каталог!$AF$4:$AF$500,0),"")</f>
        <v/>
      </c>
      <c r="B93" s="29" t="str">
        <f t="shared" si="2"/>
        <v/>
      </c>
      <c r="C93" s="30" t="str">
        <f>IF($A93="","",INDEX(Каталог!$G$4:$G$500,$A93)&amp;"")</f>
        <v/>
      </c>
      <c r="D93" s="33"/>
      <c r="E93" s="31" t="str">
        <f>IF($A93="","",INDEX(Каталог!$H$4:$H$500,$A93)&amp;"")</f>
        <v/>
      </c>
      <c r="F93" s="32" t="str">
        <f>IF($A93="","",INDEX(Каталог!$B$4:$B$500,$A93)&amp;"")</f>
        <v/>
      </c>
      <c r="G93" s="32" t="str">
        <f>IF($A93="","",INDEX(Каталог!$M$4:$M$500,$A93)&amp;"")</f>
        <v/>
      </c>
      <c r="H93" s="32" t="str">
        <f>IF($A93="","",INDEX(Каталог!$P$4:$P$500,$A93))</f>
        <v/>
      </c>
      <c r="I93" s="5"/>
      <c r="J93" s="5"/>
    </row>
    <row r="94" spans="1:10" x14ac:dyDescent="0.3">
      <c r="A94" s="29" t="str">
        <f>IFERROR(MATCH(ROW()-3,Каталог!$AF$4:$AF$500,0),"")</f>
        <v/>
      </c>
      <c r="B94" s="29" t="str">
        <f t="shared" si="2"/>
        <v/>
      </c>
      <c r="C94" s="30" t="str">
        <f>IF($A94="","",INDEX(Каталог!$G$4:$G$500,$A94)&amp;"")</f>
        <v/>
      </c>
      <c r="D94" s="33"/>
      <c r="E94" s="31" t="str">
        <f>IF($A94="","",INDEX(Каталог!$H$4:$H$500,$A94)&amp;"")</f>
        <v/>
      </c>
      <c r="F94" s="32" t="str">
        <f>IF($A94="","",INDEX(Каталог!$B$4:$B$500,$A94)&amp;"")</f>
        <v/>
      </c>
      <c r="G94" s="32" t="str">
        <f>IF($A94="","",INDEX(Каталог!$M$4:$M$500,$A94)&amp;"")</f>
        <v/>
      </c>
      <c r="H94" s="32" t="str">
        <f>IF($A94="","",INDEX(Каталог!$P$4:$P$500,$A94))</f>
        <v/>
      </c>
      <c r="I94" s="5"/>
      <c r="J94" s="5"/>
    </row>
    <row r="95" spans="1:10" x14ac:dyDescent="0.3">
      <c r="A95" s="29" t="str">
        <f>IFERROR(MATCH(ROW()-3,Каталог!$AF$4:$AF$500,0),"")</f>
        <v/>
      </c>
      <c r="B95" s="29" t="str">
        <f t="shared" si="2"/>
        <v/>
      </c>
      <c r="C95" s="30" t="str">
        <f>IF($A95="","",INDEX(Каталог!$G$4:$G$500,$A95)&amp;"")</f>
        <v/>
      </c>
      <c r="D95" s="33"/>
      <c r="E95" s="31" t="str">
        <f>IF($A95="","",INDEX(Каталог!$H$4:$H$500,$A95)&amp;"")</f>
        <v/>
      </c>
      <c r="F95" s="32" t="str">
        <f>IF($A95="","",INDEX(Каталог!$B$4:$B$500,$A95)&amp;"")</f>
        <v/>
      </c>
      <c r="G95" s="32" t="str">
        <f>IF($A95="","",INDEX(Каталог!$M$4:$M$500,$A95)&amp;"")</f>
        <v/>
      </c>
      <c r="H95" s="32" t="str">
        <f>IF($A95="","",INDEX(Каталог!$P$4:$P$500,$A95))</f>
        <v/>
      </c>
      <c r="I95" s="5"/>
      <c r="J95" s="5"/>
    </row>
    <row r="96" spans="1:10" x14ac:dyDescent="0.3">
      <c r="A96" s="29" t="str">
        <f>IFERROR(MATCH(ROW()-3,Каталог!$AF$4:$AF$500,0),"")</f>
        <v/>
      </c>
      <c r="B96" s="29" t="str">
        <f t="shared" si="2"/>
        <v/>
      </c>
      <c r="C96" s="30" t="str">
        <f>IF($A96="","",INDEX(Каталог!$G$4:$G$500,$A96)&amp;"")</f>
        <v/>
      </c>
      <c r="D96" s="33"/>
      <c r="E96" s="31" t="str">
        <f>IF($A96="","",INDEX(Каталог!$H$4:$H$500,$A96)&amp;"")</f>
        <v/>
      </c>
      <c r="F96" s="32" t="str">
        <f>IF($A96="","",INDEX(Каталог!$B$4:$B$500,$A96)&amp;"")</f>
        <v/>
      </c>
      <c r="G96" s="32" t="str">
        <f>IF($A96="","",INDEX(Каталог!$M$4:$M$500,$A96)&amp;"")</f>
        <v/>
      </c>
      <c r="H96" s="32" t="str">
        <f>IF($A96="","",INDEX(Каталог!$P$4:$P$500,$A96))</f>
        <v/>
      </c>
      <c r="I96" s="5"/>
      <c r="J96" s="5"/>
    </row>
    <row r="97" spans="1:10" x14ac:dyDescent="0.3">
      <c r="A97" s="29" t="str">
        <f>IFERROR(MATCH(ROW()-3,Каталог!$AF$4:$AF$500,0),"")</f>
        <v/>
      </c>
      <c r="B97" s="29" t="str">
        <f t="shared" si="2"/>
        <v/>
      </c>
      <c r="C97" s="30" t="str">
        <f>IF($A97="","",INDEX(Каталог!$G$4:$G$500,$A97)&amp;"")</f>
        <v/>
      </c>
      <c r="D97" s="33"/>
      <c r="E97" s="31" t="str">
        <f>IF($A97="","",INDEX(Каталог!$H$4:$H$500,$A97)&amp;"")</f>
        <v/>
      </c>
      <c r="F97" s="32" t="str">
        <f>IF($A97="","",INDEX(Каталог!$B$4:$B$500,$A97)&amp;"")</f>
        <v/>
      </c>
      <c r="G97" s="32" t="str">
        <f>IF($A97="","",INDEX(Каталог!$M$4:$M$500,$A97)&amp;"")</f>
        <v/>
      </c>
      <c r="H97" s="32" t="str">
        <f>IF($A97="","",INDEX(Каталог!$P$4:$P$500,$A97))</f>
        <v/>
      </c>
      <c r="I97" s="5"/>
      <c r="J97" s="5"/>
    </row>
    <row r="98" spans="1:10" x14ac:dyDescent="0.3">
      <c r="A98" s="29" t="str">
        <f>IFERROR(MATCH(ROW()-3,Каталог!$AF$4:$AF$500,0),"")</f>
        <v/>
      </c>
      <c r="B98" s="29" t="str">
        <f t="shared" si="2"/>
        <v/>
      </c>
      <c r="C98" s="30" t="str">
        <f>IF($A98="","",INDEX(Каталог!$G$4:$G$500,$A98)&amp;"")</f>
        <v/>
      </c>
      <c r="D98" s="33"/>
      <c r="E98" s="31" t="str">
        <f>IF($A98="","",INDEX(Каталог!$H$4:$H$500,$A98)&amp;"")</f>
        <v/>
      </c>
      <c r="F98" s="32" t="str">
        <f>IF($A98="","",INDEX(Каталог!$B$4:$B$500,$A98)&amp;"")</f>
        <v/>
      </c>
      <c r="G98" s="32" t="str">
        <f>IF($A98="","",INDEX(Каталог!$M$4:$M$500,$A98)&amp;"")</f>
        <v/>
      </c>
      <c r="H98" s="32" t="str">
        <f>IF($A98="","",INDEX(Каталог!$P$4:$P$500,$A98))</f>
        <v/>
      </c>
      <c r="I98" s="5"/>
      <c r="J98" s="5"/>
    </row>
    <row r="99" spans="1:10" x14ac:dyDescent="0.3">
      <c r="A99" s="29" t="str">
        <f>IFERROR(MATCH(ROW()-3,Каталог!$AF$4:$AF$500,0),"")</f>
        <v/>
      </c>
      <c r="B99" s="29" t="str">
        <f t="shared" si="2"/>
        <v/>
      </c>
      <c r="C99" s="30" t="str">
        <f>IF($A99="","",INDEX(Каталог!$G$4:$G$500,$A99)&amp;"")</f>
        <v/>
      </c>
      <c r="D99" s="33"/>
      <c r="E99" s="31" t="str">
        <f>IF($A99="","",INDEX(Каталог!$H$4:$H$500,$A99)&amp;"")</f>
        <v/>
      </c>
      <c r="F99" s="32" t="str">
        <f>IF($A99="","",INDEX(Каталог!$B$4:$B$500,$A99)&amp;"")</f>
        <v/>
      </c>
      <c r="G99" s="32" t="str">
        <f>IF($A99="","",INDEX(Каталог!$M$4:$M$500,$A99)&amp;"")</f>
        <v/>
      </c>
      <c r="H99" s="32" t="str">
        <f>IF($A99="","",INDEX(Каталог!$P$4:$P$500,$A99))</f>
        <v/>
      </c>
      <c r="I99" s="5"/>
      <c r="J99" s="5"/>
    </row>
    <row r="100" spans="1:10" x14ac:dyDescent="0.3">
      <c r="A100" s="29" t="str">
        <f>IFERROR(MATCH(ROW()-3,Каталог!$AF$4:$AF$500,0),"")</f>
        <v/>
      </c>
      <c r="B100" s="29" t="str">
        <f t="shared" ref="B100:B131" si="3">IF($A100="","",$B$3&amp;"."&amp;(ROW()-3))</f>
        <v/>
      </c>
      <c r="C100" s="30" t="str">
        <f>IF($A100="","",INDEX(Каталог!$G$4:$G$500,$A100)&amp;"")</f>
        <v/>
      </c>
      <c r="D100" s="33"/>
      <c r="E100" s="31" t="str">
        <f>IF($A100="","",INDEX(Каталог!$H$4:$H$500,$A100)&amp;"")</f>
        <v/>
      </c>
      <c r="F100" s="32" t="str">
        <f>IF($A100="","",INDEX(Каталог!$B$4:$B$500,$A100)&amp;"")</f>
        <v/>
      </c>
      <c r="G100" s="32" t="str">
        <f>IF($A100="","",INDEX(Каталог!$M$4:$M$500,$A100)&amp;"")</f>
        <v/>
      </c>
      <c r="H100" s="32" t="str">
        <f>IF($A100="","",INDEX(Каталог!$P$4:$P$500,$A100))</f>
        <v/>
      </c>
      <c r="I100" s="5"/>
      <c r="J100" s="5"/>
    </row>
    <row r="101" spans="1:10" x14ac:dyDescent="0.3">
      <c r="A101" s="29" t="str">
        <f>IFERROR(MATCH(ROW()-3,Каталог!$AF$4:$AF$500,0),"")</f>
        <v/>
      </c>
      <c r="B101" s="29" t="str">
        <f t="shared" si="3"/>
        <v/>
      </c>
      <c r="C101" s="30" t="str">
        <f>IF($A101="","",INDEX(Каталог!$G$4:$G$500,$A101)&amp;"")</f>
        <v/>
      </c>
      <c r="D101" s="33"/>
      <c r="E101" s="31" t="str">
        <f>IF($A101="","",INDEX(Каталог!$H$4:$H$500,$A101)&amp;"")</f>
        <v/>
      </c>
      <c r="F101" s="32" t="str">
        <f>IF($A101="","",INDEX(Каталог!$B$4:$B$500,$A101)&amp;"")</f>
        <v/>
      </c>
      <c r="G101" s="32" t="str">
        <f>IF($A101="","",INDEX(Каталог!$M$4:$M$500,$A101)&amp;"")</f>
        <v/>
      </c>
      <c r="H101" s="32" t="str">
        <f>IF($A101="","",INDEX(Каталог!$P$4:$P$500,$A101))</f>
        <v/>
      </c>
      <c r="I101" s="5"/>
      <c r="J101" s="5"/>
    </row>
    <row r="102" spans="1:10" x14ac:dyDescent="0.3">
      <c r="A102" s="29" t="str">
        <f>IFERROR(MATCH(ROW()-3,Каталог!$AF$4:$AF$500,0),"")</f>
        <v/>
      </c>
      <c r="B102" s="29" t="str">
        <f t="shared" si="3"/>
        <v/>
      </c>
      <c r="C102" s="30" t="str">
        <f>IF($A102="","",INDEX(Каталог!$G$4:$G$500,$A102)&amp;"")</f>
        <v/>
      </c>
      <c r="D102" s="33"/>
      <c r="E102" s="31" t="str">
        <f>IF($A102="","",INDEX(Каталог!$H$4:$H$500,$A102)&amp;"")</f>
        <v/>
      </c>
      <c r="F102" s="32" t="str">
        <f>IF($A102="","",INDEX(Каталог!$B$4:$B$500,$A102)&amp;"")</f>
        <v/>
      </c>
      <c r="G102" s="32" t="str">
        <f>IF($A102="","",INDEX(Каталог!$M$4:$M$500,$A102)&amp;"")</f>
        <v/>
      </c>
      <c r="H102" s="32" t="str">
        <f>IF($A102="","",INDEX(Каталог!$P$4:$P$500,$A102))</f>
        <v/>
      </c>
      <c r="I102" s="5"/>
      <c r="J102" s="5"/>
    </row>
    <row r="103" spans="1:10" x14ac:dyDescent="0.3">
      <c r="A103" s="29" t="str">
        <f>IFERROR(MATCH(ROW()-3,Каталог!$AF$4:$AF$500,0),"")</f>
        <v/>
      </c>
      <c r="B103" s="29" t="str">
        <f t="shared" si="3"/>
        <v/>
      </c>
      <c r="C103" s="30" t="str">
        <f>IF($A103="","",INDEX(Каталог!$G$4:$G$500,$A103)&amp;"")</f>
        <v/>
      </c>
      <c r="D103" s="33"/>
      <c r="E103" s="31" t="str">
        <f>IF($A103="","",INDEX(Каталог!$H$4:$H$500,$A103)&amp;"")</f>
        <v/>
      </c>
      <c r="F103" s="32" t="str">
        <f>IF($A103="","",INDEX(Каталог!$B$4:$B$500,$A103)&amp;"")</f>
        <v/>
      </c>
      <c r="G103" s="32" t="str">
        <f>IF($A103="","",INDEX(Каталог!$M$4:$M$500,$A103)&amp;"")</f>
        <v/>
      </c>
      <c r="H103" s="32" t="str">
        <f>IF($A103="","",INDEX(Каталог!$P$4:$P$500,$A103))</f>
        <v/>
      </c>
      <c r="I103" s="5"/>
      <c r="J103" s="5"/>
    </row>
    <row r="104" spans="1:10" x14ac:dyDescent="0.3">
      <c r="A104" s="29" t="str">
        <f>IFERROR(MATCH(ROW()-3,Каталог!$AF$4:$AF$500,0),"")</f>
        <v/>
      </c>
      <c r="B104" s="29" t="str">
        <f t="shared" si="3"/>
        <v/>
      </c>
      <c r="C104" s="30" t="str">
        <f>IF($A104="","",INDEX(Каталог!$G$4:$G$500,$A104)&amp;"")</f>
        <v/>
      </c>
      <c r="D104" s="33"/>
      <c r="E104" s="31" t="str">
        <f>IF($A104="","",INDEX(Каталог!$H$4:$H$500,$A104)&amp;"")</f>
        <v/>
      </c>
      <c r="F104" s="32" t="str">
        <f>IF($A104="","",INDEX(Каталог!$B$4:$B$500,$A104)&amp;"")</f>
        <v/>
      </c>
      <c r="G104" s="32" t="str">
        <f>IF($A104="","",INDEX(Каталог!$M$4:$M$500,$A104)&amp;"")</f>
        <v/>
      </c>
      <c r="H104" s="32" t="str">
        <f>IF($A104="","",INDEX(Каталог!$P$4:$P$500,$A104))</f>
        <v/>
      </c>
      <c r="I104" s="5"/>
      <c r="J104" s="5"/>
    </row>
    <row r="105" spans="1:10" x14ac:dyDescent="0.3">
      <c r="A105" s="29" t="str">
        <f>IFERROR(MATCH(ROW()-3,Каталог!$AF$4:$AF$500,0),"")</f>
        <v/>
      </c>
      <c r="B105" s="29" t="str">
        <f t="shared" si="3"/>
        <v/>
      </c>
      <c r="C105" s="30" t="str">
        <f>IF($A105="","",INDEX(Каталог!$G$4:$G$500,$A105)&amp;"")</f>
        <v/>
      </c>
      <c r="D105" s="33"/>
      <c r="E105" s="31" t="str">
        <f>IF($A105="","",INDEX(Каталог!$H$4:$H$500,$A105)&amp;"")</f>
        <v/>
      </c>
      <c r="F105" s="32" t="str">
        <f>IF($A105="","",INDEX(Каталог!$B$4:$B$500,$A105)&amp;"")</f>
        <v/>
      </c>
      <c r="G105" s="32" t="str">
        <f>IF($A105="","",INDEX(Каталог!$M$4:$M$500,$A105)&amp;"")</f>
        <v/>
      </c>
      <c r="H105" s="32" t="str">
        <f>IF($A105="","",INDEX(Каталог!$P$4:$P$500,$A105))</f>
        <v/>
      </c>
      <c r="I105" s="5"/>
      <c r="J105" s="5"/>
    </row>
    <row r="106" spans="1:10" x14ac:dyDescent="0.3">
      <c r="A106" s="29" t="str">
        <f>IFERROR(MATCH(ROW()-3,Каталог!$AF$4:$AF$500,0),"")</f>
        <v/>
      </c>
      <c r="B106" s="29" t="str">
        <f t="shared" si="3"/>
        <v/>
      </c>
      <c r="C106" s="30" t="str">
        <f>IF($A106="","",INDEX(Каталог!$G$4:$G$500,$A106)&amp;"")</f>
        <v/>
      </c>
      <c r="D106" s="33"/>
      <c r="E106" s="31" t="str">
        <f>IF($A106="","",INDEX(Каталог!$H$4:$H$500,$A106)&amp;"")</f>
        <v/>
      </c>
      <c r="F106" s="32" t="str">
        <f>IF($A106="","",INDEX(Каталог!$B$4:$B$500,$A106)&amp;"")</f>
        <v/>
      </c>
      <c r="G106" s="32" t="str">
        <f>IF($A106="","",INDEX(Каталог!$M$4:$M$500,$A106)&amp;"")</f>
        <v/>
      </c>
      <c r="H106" s="32" t="str">
        <f>IF($A106="","",INDEX(Каталог!$P$4:$P$500,$A106))</f>
        <v/>
      </c>
      <c r="I106" s="5"/>
      <c r="J106" s="5"/>
    </row>
    <row r="107" spans="1:10" x14ac:dyDescent="0.3">
      <c r="A107" s="29" t="str">
        <f>IFERROR(MATCH(ROW()-3,Каталог!$AF$4:$AF$500,0),"")</f>
        <v/>
      </c>
      <c r="B107" s="29" t="str">
        <f t="shared" si="3"/>
        <v/>
      </c>
      <c r="C107" s="30" t="str">
        <f>IF($A107="","",INDEX(Каталог!$G$4:$G$500,$A107)&amp;"")</f>
        <v/>
      </c>
      <c r="D107" s="33"/>
      <c r="E107" s="31" t="str">
        <f>IF($A107="","",INDEX(Каталог!$H$4:$H$500,$A107)&amp;"")</f>
        <v/>
      </c>
      <c r="F107" s="32" t="str">
        <f>IF($A107="","",INDEX(Каталог!$B$4:$B$500,$A107)&amp;"")</f>
        <v/>
      </c>
      <c r="G107" s="32" t="str">
        <f>IF($A107="","",INDEX(Каталог!$M$4:$M$500,$A107)&amp;"")</f>
        <v/>
      </c>
      <c r="H107" s="32" t="str">
        <f>IF($A107="","",INDEX(Каталог!$P$4:$P$500,$A107))</f>
        <v/>
      </c>
      <c r="I107" s="5"/>
      <c r="J107" s="5"/>
    </row>
    <row r="108" spans="1:10" x14ac:dyDescent="0.3">
      <c r="A108" s="29" t="str">
        <f>IFERROR(MATCH(ROW()-3,Каталог!$AF$4:$AF$500,0),"")</f>
        <v/>
      </c>
      <c r="B108" s="29" t="str">
        <f t="shared" si="3"/>
        <v/>
      </c>
      <c r="C108" s="30" t="str">
        <f>IF($A108="","",INDEX(Каталог!$G$4:$G$500,$A108)&amp;"")</f>
        <v/>
      </c>
      <c r="D108" s="33"/>
      <c r="E108" s="31" t="str">
        <f>IF($A108="","",INDEX(Каталог!$H$4:$H$500,$A108)&amp;"")</f>
        <v/>
      </c>
      <c r="F108" s="32" t="str">
        <f>IF($A108="","",INDEX(Каталог!$B$4:$B$500,$A108)&amp;"")</f>
        <v/>
      </c>
      <c r="G108" s="32" t="str">
        <f>IF($A108="","",INDEX(Каталог!$M$4:$M$500,$A108)&amp;"")</f>
        <v/>
      </c>
      <c r="H108" s="32" t="str">
        <f>IF($A108="","",INDEX(Каталог!$P$4:$P$500,$A108))</f>
        <v/>
      </c>
      <c r="I108" s="5"/>
      <c r="J108" s="5"/>
    </row>
    <row r="109" spans="1:10" x14ac:dyDescent="0.3">
      <c r="A109" s="29" t="str">
        <f>IFERROR(MATCH(ROW()-3,Каталог!$AF$4:$AF$500,0),"")</f>
        <v/>
      </c>
      <c r="B109" s="29" t="str">
        <f t="shared" si="3"/>
        <v/>
      </c>
      <c r="C109" s="30" t="str">
        <f>IF($A109="","",INDEX(Каталог!$G$4:$G$500,$A109)&amp;"")</f>
        <v/>
      </c>
      <c r="D109" s="33"/>
      <c r="E109" s="31" t="str">
        <f>IF($A109="","",INDEX(Каталог!$H$4:$H$500,$A109)&amp;"")</f>
        <v/>
      </c>
      <c r="F109" s="32" t="str">
        <f>IF($A109="","",INDEX(Каталог!$B$4:$B$500,$A109)&amp;"")</f>
        <v/>
      </c>
      <c r="G109" s="32" t="str">
        <f>IF($A109="","",INDEX(Каталог!$M$4:$M$500,$A109)&amp;"")</f>
        <v/>
      </c>
      <c r="H109" s="32" t="str">
        <f>IF($A109="","",INDEX(Каталог!$P$4:$P$500,$A109))</f>
        <v/>
      </c>
      <c r="I109" s="5"/>
      <c r="J109" s="5"/>
    </row>
    <row r="110" spans="1:10" x14ac:dyDescent="0.3">
      <c r="A110" s="29" t="str">
        <f>IFERROR(MATCH(ROW()-3,Каталог!$AF$4:$AF$500,0),"")</f>
        <v/>
      </c>
      <c r="B110" s="29" t="str">
        <f t="shared" si="3"/>
        <v/>
      </c>
      <c r="C110" s="30" t="str">
        <f>IF($A110="","",INDEX(Каталог!$G$4:$G$500,$A110)&amp;"")</f>
        <v/>
      </c>
      <c r="D110" s="33"/>
      <c r="E110" s="31" t="str">
        <f>IF($A110="","",INDEX(Каталог!$H$4:$H$500,$A110)&amp;"")</f>
        <v/>
      </c>
      <c r="F110" s="32" t="str">
        <f>IF($A110="","",INDEX(Каталог!$B$4:$B$500,$A110)&amp;"")</f>
        <v/>
      </c>
      <c r="G110" s="32" t="str">
        <f>IF($A110="","",INDEX(Каталог!$M$4:$M$500,$A110)&amp;"")</f>
        <v/>
      </c>
      <c r="H110" s="32" t="str">
        <f>IF($A110="","",INDEX(Каталог!$P$4:$P$500,$A110))</f>
        <v/>
      </c>
      <c r="I110" s="5"/>
      <c r="J110" s="5"/>
    </row>
    <row r="111" spans="1:10" x14ac:dyDescent="0.3">
      <c r="A111" s="29" t="str">
        <f>IFERROR(MATCH(ROW()-3,Каталог!$AF$4:$AF$500,0),"")</f>
        <v/>
      </c>
      <c r="B111" s="29" t="str">
        <f t="shared" si="3"/>
        <v/>
      </c>
      <c r="C111" s="30" t="str">
        <f>IF($A111="","",INDEX(Каталог!$G$4:$G$500,$A111)&amp;"")</f>
        <v/>
      </c>
      <c r="D111" s="33"/>
      <c r="E111" s="31" t="str">
        <f>IF($A111="","",INDEX(Каталог!$H$4:$H$500,$A111)&amp;"")</f>
        <v/>
      </c>
      <c r="F111" s="32" t="str">
        <f>IF($A111="","",INDEX(Каталог!$B$4:$B$500,$A111)&amp;"")</f>
        <v/>
      </c>
      <c r="G111" s="32" t="str">
        <f>IF($A111="","",INDEX(Каталог!$M$4:$M$500,$A111)&amp;"")</f>
        <v/>
      </c>
      <c r="H111" s="32" t="str">
        <f>IF($A111="","",INDEX(Каталог!$P$4:$P$500,$A111))</f>
        <v/>
      </c>
      <c r="I111" s="5"/>
      <c r="J111" s="5"/>
    </row>
    <row r="112" spans="1:10" x14ac:dyDescent="0.3">
      <c r="A112" s="29" t="str">
        <f>IFERROR(MATCH(ROW()-3,Каталог!$AF$4:$AF$500,0),"")</f>
        <v/>
      </c>
      <c r="B112" s="29" t="str">
        <f t="shared" si="3"/>
        <v/>
      </c>
      <c r="C112" s="30" t="str">
        <f>IF($A112="","",INDEX(Каталог!$G$4:$G$500,$A112)&amp;"")</f>
        <v/>
      </c>
      <c r="D112" s="33"/>
      <c r="E112" s="31" t="str">
        <f>IF($A112="","",INDEX(Каталог!$H$4:$H$500,$A112)&amp;"")</f>
        <v/>
      </c>
      <c r="F112" s="32" t="str">
        <f>IF($A112="","",INDEX(Каталог!$B$4:$B$500,$A112)&amp;"")</f>
        <v/>
      </c>
      <c r="G112" s="32" t="str">
        <f>IF($A112="","",INDEX(Каталог!$M$4:$M$500,$A112)&amp;"")</f>
        <v/>
      </c>
      <c r="H112" s="32" t="str">
        <f>IF($A112="","",INDEX(Каталог!$P$4:$P$500,$A112))</f>
        <v/>
      </c>
      <c r="I112" s="5"/>
      <c r="J112" s="5"/>
    </row>
    <row r="113" spans="1:10" x14ac:dyDescent="0.3">
      <c r="A113" s="29" t="str">
        <f>IFERROR(MATCH(ROW()-3,Каталог!$AF$4:$AF$500,0),"")</f>
        <v/>
      </c>
      <c r="B113" s="29" t="str">
        <f t="shared" si="3"/>
        <v/>
      </c>
      <c r="C113" s="30" t="str">
        <f>IF($A113="","",INDEX(Каталог!$G$4:$G$500,$A113)&amp;"")</f>
        <v/>
      </c>
      <c r="D113" s="33"/>
      <c r="E113" s="31" t="str">
        <f>IF($A113="","",INDEX(Каталог!$H$4:$H$500,$A113)&amp;"")</f>
        <v/>
      </c>
      <c r="F113" s="32" t="str">
        <f>IF($A113="","",INDEX(Каталог!$B$4:$B$500,$A113)&amp;"")</f>
        <v/>
      </c>
      <c r="G113" s="32" t="str">
        <f>IF($A113="","",INDEX(Каталог!$M$4:$M$500,$A113)&amp;"")</f>
        <v/>
      </c>
      <c r="H113" s="32" t="str">
        <f>IF($A113="","",INDEX(Каталог!$P$4:$P$500,$A113))</f>
        <v/>
      </c>
      <c r="I113" s="5"/>
      <c r="J113" s="5"/>
    </row>
    <row r="114" spans="1:10" x14ac:dyDescent="0.3">
      <c r="A114" s="29" t="str">
        <f>IFERROR(MATCH(ROW()-3,Каталог!$AF$4:$AF$500,0),"")</f>
        <v/>
      </c>
      <c r="B114" s="29" t="str">
        <f t="shared" si="3"/>
        <v/>
      </c>
      <c r="C114" s="30" t="str">
        <f>IF($A114="","",INDEX(Каталог!$G$4:$G$500,$A114)&amp;"")</f>
        <v/>
      </c>
      <c r="D114" s="33"/>
      <c r="E114" s="31" t="str">
        <f>IF($A114="","",INDEX(Каталог!$H$4:$H$500,$A114)&amp;"")</f>
        <v/>
      </c>
      <c r="F114" s="32" t="str">
        <f>IF($A114="","",INDEX(Каталог!$B$4:$B$500,$A114)&amp;"")</f>
        <v/>
      </c>
      <c r="G114" s="32" t="str">
        <f>IF($A114="","",INDEX(Каталог!$M$4:$M$500,$A114)&amp;"")</f>
        <v/>
      </c>
      <c r="H114" s="32" t="str">
        <f>IF($A114="","",INDEX(Каталог!$P$4:$P$500,$A114))</f>
        <v/>
      </c>
      <c r="I114" s="5"/>
      <c r="J114" s="5"/>
    </row>
    <row r="115" spans="1:10" x14ac:dyDescent="0.3">
      <c r="A115" s="29" t="str">
        <f>IFERROR(MATCH(ROW()-3,Каталог!$AF$4:$AF$500,0),"")</f>
        <v/>
      </c>
      <c r="B115" s="29" t="str">
        <f t="shared" si="3"/>
        <v/>
      </c>
      <c r="C115" s="30" t="str">
        <f>IF($A115="","",INDEX(Каталог!$G$4:$G$500,$A115)&amp;"")</f>
        <v/>
      </c>
      <c r="D115" s="33"/>
      <c r="E115" s="31" t="str">
        <f>IF($A115="","",INDEX(Каталог!$H$4:$H$500,$A115)&amp;"")</f>
        <v/>
      </c>
      <c r="F115" s="32" t="str">
        <f>IF($A115="","",INDEX(Каталог!$B$4:$B$500,$A115)&amp;"")</f>
        <v/>
      </c>
      <c r="G115" s="32" t="str">
        <f>IF($A115="","",INDEX(Каталог!$M$4:$M$500,$A115)&amp;"")</f>
        <v/>
      </c>
      <c r="H115" s="32" t="str">
        <f>IF($A115="","",INDEX(Каталог!$P$4:$P$500,$A115))</f>
        <v/>
      </c>
      <c r="I115" s="5"/>
      <c r="J115" s="5"/>
    </row>
    <row r="116" spans="1:10" x14ac:dyDescent="0.3">
      <c r="A116" s="29" t="str">
        <f>IFERROR(MATCH(ROW()-3,Каталог!$AF$4:$AF$500,0),"")</f>
        <v/>
      </c>
      <c r="B116" s="29" t="str">
        <f t="shared" si="3"/>
        <v/>
      </c>
      <c r="C116" s="30" t="str">
        <f>IF($A116="","",INDEX(Каталог!$G$4:$G$500,$A116)&amp;"")</f>
        <v/>
      </c>
      <c r="D116" s="33"/>
      <c r="E116" s="31" t="str">
        <f>IF($A116="","",INDEX(Каталог!$H$4:$H$500,$A116)&amp;"")</f>
        <v/>
      </c>
      <c r="F116" s="32" t="str">
        <f>IF($A116="","",INDEX(Каталог!$B$4:$B$500,$A116)&amp;"")</f>
        <v/>
      </c>
      <c r="G116" s="32" t="str">
        <f>IF($A116="","",INDEX(Каталог!$M$4:$M$500,$A116)&amp;"")</f>
        <v/>
      </c>
      <c r="H116" s="32" t="str">
        <f>IF($A116="","",INDEX(Каталог!$P$4:$P$500,$A116))</f>
        <v/>
      </c>
      <c r="I116" s="5"/>
      <c r="J116" s="5"/>
    </row>
    <row r="117" spans="1:10" x14ac:dyDescent="0.3">
      <c r="A117" s="29" t="str">
        <f>IFERROR(MATCH(ROW()-3,Каталог!$AF$4:$AF$500,0),"")</f>
        <v/>
      </c>
      <c r="B117" s="29" t="str">
        <f t="shared" si="3"/>
        <v/>
      </c>
      <c r="C117" s="30" t="str">
        <f>IF($A117="","",INDEX(Каталог!$G$4:$G$500,$A117)&amp;"")</f>
        <v/>
      </c>
      <c r="D117" s="33"/>
      <c r="E117" s="31" t="str">
        <f>IF($A117="","",INDEX(Каталог!$H$4:$H$500,$A117)&amp;"")</f>
        <v/>
      </c>
      <c r="F117" s="32" t="str">
        <f>IF($A117="","",INDEX(Каталог!$B$4:$B$500,$A117)&amp;"")</f>
        <v/>
      </c>
      <c r="G117" s="32" t="str">
        <f>IF($A117="","",INDEX(Каталог!$M$4:$M$500,$A117)&amp;"")</f>
        <v/>
      </c>
      <c r="H117" s="32" t="str">
        <f>IF($A117="","",INDEX(Каталог!$P$4:$P$500,$A117))</f>
        <v/>
      </c>
      <c r="I117" s="5"/>
      <c r="J117" s="5"/>
    </row>
    <row r="118" spans="1:10" x14ac:dyDescent="0.3">
      <c r="A118" s="29" t="str">
        <f>IFERROR(MATCH(ROW()-3,Каталог!$AF$4:$AF$500,0),"")</f>
        <v/>
      </c>
      <c r="B118" s="29" t="str">
        <f t="shared" si="3"/>
        <v/>
      </c>
      <c r="C118" s="30" t="str">
        <f>IF($A118="","",INDEX(Каталог!$G$4:$G$500,$A118)&amp;"")</f>
        <v/>
      </c>
      <c r="D118" s="33"/>
      <c r="E118" s="31" t="str">
        <f>IF($A118="","",INDEX(Каталог!$H$4:$H$500,$A118)&amp;"")</f>
        <v/>
      </c>
      <c r="F118" s="32" t="str">
        <f>IF($A118="","",INDEX(Каталог!$B$4:$B$500,$A118)&amp;"")</f>
        <v/>
      </c>
      <c r="G118" s="32" t="str">
        <f>IF($A118="","",INDEX(Каталог!$M$4:$M$500,$A118)&amp;"")</f>
        <v/>
      </c>
      <c r="H118" s="32" t="str">
        <f>IF($A118="","",INDEX(Каталог!$P$4:$P$500,$A118))</f>
        <v/>
      </c>
      <c r="I118" s="5"/>
      <c r="J118" s="5"/>
    </row>
    <row r="119" spans="1:10" x14ac:dyDescent="0.3">
      <c r="A119" s="29" t="str">
        <f>IFERROR(MATCH(ROW()-3,Каталог!$AF$4:$AF$500,0),"")</f>
        <v/>
      </c>
      <c r="B119" s="29" t="str">
        <f t="shared" si="3"/>
        <v/>
      </c>
      <c r="C119" s="30" t="str">
        <f>IF($A119="","",INDEX(Каталог!$G$4:$G$500,$A119)&amp;"")</f>
        <v/>
      </c>
      <c r="D119" s="33"/>
      <c r="E119" s="31" t="str">
        <f>IF($A119="","",INDEX(Каталог!$H$4:$H$500,$A119)&amp;"")</f>
        <v/>
      </c>
      <c r="F119" s="32" t="str">
        <f>IF($A119="","",INDEX(Каталог!$B$4:$B$500,$A119)&amp;"")</f>
        <v/>
      </c>
      <c r="G119" s="32" t="str">
        <f>IF($A119="","",INDEX(Каталог!$M$4:$M$500,$A119)&amp;"")</f>
        <v/>
      </c>
      <c r="H119" s="32" t="str">
        <f>IF($A119="","",INDEX(Каталог!$P$4:$P$500,$A119))</f>
        <v/>
      </c>
      <c r="I119" s="5"/>
      <c r="J119" s="5"/>
    </row>
    <row r="120" spans="1:10" x14ac:dyDescent="0.3">
      <c r="A120" s="29" t="str">
        <f>IFERROR(MATCH(ROW()-3,Каталог!$AF$4:$AF$500,0),"")</f>
        <v/>
      </c>
      <c r="B120" s="29" t="str">
        <f t="shared" si="3"/>
        <v/>
      </c>
      <c r="C120" s="30" t="str">
        <f>IF($A120="","",INDEX(Каталог!$G$4:$G$500,$A120)&amp;"")</f>
        <v/>
      </c>
      <c r="D120" s="33"/>
      <c r="E120" s="31" t="str">
        <f>IF($A120="","",INDEX(Каталог!$H$4:$H$500,$A120)&amp;"")</f>
        <v/>
      </c>
      <c r="F120" s="32" t="str">
        <f>IF($A120="","",INDEX(Каталог!$B$4:$B$500,$A120)&amp;"")</f>
        <v/>
      </c>
      <c r="G120" s="32" t="str">
        <f>IF($A120="","",INDEX(Каталог!$M$4:$M$500,$A120)&amp;"")</f>
        <v/>
      </c>
      <c r="H120" s="32" t="str">
        <f>IF($A120="","",INDEX(Каталог!$P$4:$P$500,$A120))</f>
        <v/>
      </c>
      <c r="I120" s="5"/>
      <c r="J120" s="5"/>
    </row>
    <row r="121" spans="1:10" x14ac:dyDescent="0.3">
      <c r="A121" s="29" t="str">
        <f>IFERROR(MATCH(ROW()-3,Каталог!$AF$4:$AF$500,0),"")</f>
        <v/>
      </c>
      <c r="B121" s="29" t="str">
        <f t="shared" si="3"/>
        <v/>
      </c>
      <c r="C121" s="30" t="str">
        <f>IF($A121="","",INDEX(Каталог!$G$4:$G$500,$A121)&amp;"")</f>
        <v/>
      </c>
      <c r="D121" s="33"/>
      <c r="E121" s="31" t="str">
        <f>IF($A121="","",INDEX(Каталог!$H$4:$H$500,$A121)&amp;"")</f>
        <v/>
      </c>
      <c r="F121" s="32" t="str">
        <f>IF($A121="","",INDEX(Каталог!$B$4:$B$500,$A121)&amp;"")</f>
        <v/>
      </c>
      <c r="G121" s="32" t="str">
        <f>IF($A121="","",INDEX(Каталог!$M$4:$M$500,$A121)&amp;"")</f>
        <v/>
      </c>
      <c r="H121" s="32" t="str">
        <f>IF($A121="","",INDEX(Каталог!$P$4:$P$500,$A121))</f>
        <v/>
      </c>
      <c r="I121" s="5"/>
      <c r="J121" s="5"/>
    </row>
    <row r="122" spans="1:10" x14ac:dyDescent="0.3">
      <c r="A122" s="29" t="str">
        <f>IFERROR(MATCH(ROW()-3,Каталог!$AF$4:$AF$500,0),"")</f>
        <v/>
      </c>
      <c r="B122" s="29" t="str">
        <f t="shared" si="3"/>
        <v/>
      </c>
      <c r="C122" s="30" t="str">
        <f>IF($A122="","",INDEX(Каталог!$G$4:$G$500,$A122)&amp;"")</f>
        <v/>
      </c>
      <c r="D122" s="33"/>
      <c r="E122" s="31" t="str">
        <f>IF($A122="","",INDEX(Каталог!$H$4:$H$500,$A122)&amp;"")</f>
        <v/>
      </c>
      <c r="F122" s="32" t="str">
        <f>IF($A122="","",INDEX(Каталог!$B$4:$B$500,$A122)&amp;"")</f>
        <v/>
      </c>
      <c r="G122" s="32" t="str">
        <f>IF($A122="","",INDEX(Каталог!$M$4:$M$500,$A122)&amp;"")</f>
        <v/>
      </c>
      <c r="H122" s="32" t="str">
        <f>IF($A122="","",INDEX(Каталог!$P$4:$P$500,$A122))</f>
        <v/>
      </c>
      <c r="I122" s="5"/>
      <c r="J122" s="5"/>
    </row>
    <row r="123" spans="1:10" x14ac:dyDescent="0.3">
      <c r="A123" s="29" t="str">
        <f>IFERROR(MATCH(ROW()-3,Каталог!$AF$4:$AF$500,0),"")</f>
        <v/>
      </c>
      <c r="B123" s="29" t="str">
        <f t="shared" si="3"/>
        <v/>
      </c>
      <c r="C123" s="30" t="str">
        <f>IF($A123="","",INDEX(Каталог!$G$4:$G$500,$A123)&amp;"")</f>
        <v/>
      </c>
      <c r="D123" s="33"/>
      <c r="E123" s="31" t="str">
        <f>IF($A123="","",INDEX(Каталог!$H$4:$H$500,$A123)&amp;"")</f>
        <v/>
      </c>
      <c r="F123" s="32" t="str">
        <f>IF($A123="","",INDEX(Каталог!$B$4:$B$500,$A123)&amp;"")</f>
        <v/>
      </c>
      <c r="G123" s="32" t="str">
        <f>IF($A123="","",INDEX(Каталог!$M$4:$M$500,$A123)&amp;"")</f>
        <v/>
      </c>
      <c r="H123" s="32" t="str">
        <f>IF($A123="","",INDEX(Каталог!$P$4:$P$500,$A123))</f>
        <v/>
      </c>
      <c r="I123" s="5"/>
      <c r="J123" s="5"/>
    </row>
    <row r="124" spans="1:10" x14ac:dyDescent="0.3">
      <c r="A124" s="29" t="str">
        <f>IFERROR(MATCH(ROW()-3,Каталог!$AF$4:$AF$500,0),"")</f>
        <v/>
      </c>
      <c r="B124" s="29" t="str">
        <f t="shared" si="3"/>
        <v/>
      </c>
      <c r="C124" s="30" t="str">
        <f>IF($A124="","",INDEX(Каталог!$G$4:$G$500,$A124)&amp;"")</f>
        <v/>
      </c>
      <c r="D124" s="33"/>
      <c r="E124" s="31" t="str">
        <f>IF($A124="","",INDEX(Каталог!$H$4:$H$500,$A124)&amp;"")</f>
        <v/>
      </c>
      <c r="F124" s="32" t="str">
        <f>IF($A124="","",INDEX(Каталог!$B$4:$B$500,$A124)&amp;"")</f>
        <v/>
      </c>
      <c r="G124" s="32" t="str">
        <f>IF($A124="","",INDEX(Каталог!$M$4:$M$500,$A124)&amp;"")</f>
        <v/>
      </c>
      <c r="H124" s="32" t="str">
        <f>IF($A124="","",INDEX(Каталог!$P$4:$P$500,$A124))</f>
        <v/>
      </c>
      <c r="I124" s="5"/>
      <c r="J124" s="5"/>
    </row>
    <row r="125" spans="1:10" x14ac:dyDescent="0.3">
      <c r="A125" s="29" t="str">
        <f>IFERROR(MATCH(ROW()-3,Каталог!$AF$4:$AF$500,0),"")</f>
        <v/>
      </c>
      <c r="B125" s="29" t="str">
        <f t="shared" si="3"/>
        <v/>
      </c>
      <c r="C125" s="30" t="str">
        <f>IF($A125="","",INDEX(Каталог!$G$4:$G$500,$A125)&amp;"")</f>
        <v/>
      </c>
      <c r="D125" s="33"/>
      <c r="E125" s="31" t="str">
        <f>IF($A125="","",INDEX(Каталог!$H$4:$H$500,$A125)&amp;"")</f>
        <v/>
      </c>
      <c r="F125" s="32" t="str">
        <f>IF($A125="","",INDEX(Каталог!$B$4:$B$500,$A125)&amp;"")</f>
        <v/>
      </c>
      <c r="G125" s="32" t="str">
        <f>IF($A125="","",INDEX(Каталог!$M$4:$M$500,$A125)&amp;"")</f>
        <v/>
      </c>
      <c r="H125" s="32" t="str">
        <f>IF($A125="","",INDEX(Каталог!$P$4:$P$500,$A125))</f>
        <v/>
      </c>
      <c r="I125" s="5"/>
      <c r="J125" s="5"/>
    </row>
    <row r="126" spans="1:10" x14ac:dyDescent="0.3">
      <c r="A126" s="29" t="str">
        <f>IFERROR(MATCH(ROW()-3,Каталог!$AF$4:$AF$500,0),"")</f>
        <v/>
      </c>
      <c r="B126" s="29" t="str">
        <f t="shared" si="3"/>
        <v/>
      </c>
      <c r="C126" s="30" t="str">
        <f>IF($A126="","",INDEX(Каталог!$G$4:$G$500,$A126)&amp;"")</f>
        <v/>
      </c>
      <c r="D126" s="33"/>
      <c r="E126" s="31" t="str">
        <f>IF($A126="","",INDEX(Каталог!$H$4:$H$500,$A126)&amp;"")</f>
        <v/>
      </c>
      <c r="F126" s="32" t="str">
        <f>IF($A126="","",INDEX(Каталог!$B$4:$B$500,$A126)&amp;"")</f>
        <v/>
      </c>
      <c r="G126" s="32" t="str">
        <f>IF($A126="","",INDEX(Каталог!$M$4:$M$500,$A126)&amp;"")</f>
        <v/>
      </c>
      <c r="H126" s="32" t="str">
        <f>IF($A126="","",INDEX(Каталог!$P$4:$P$500,$A126))</f>
        <v/>
      </c>
      <c r="I126" s="5"/>
      <c r="J126" s="5"/>
    </row>
    <row r="127" spans="1:10" x14ac:dyDescent="0.3">
      <c r="A127" s="29" t="str">
        <f>IFERROR(MATCH(ROW()-3,Каталог!$AF$4:$AF$500,0),"")</f>
        <v/>
      </c>
      <c r="B127" s="29" t="str">
        <f t="shared" si="3"/>
        <v/>
      </c>
      <c r="C127" s="30" t="str">
        <f>IF($A127="","",INDEX(Каталог!$G$4:$G$500,$A127)&amp;"")</f>
        <v/>
      </c>
      <c r="D127" s="33"/>
      <c r="E127" s="31" t="str">
        <f>IF($A127="","",INDEX(Каталог!$H$4:$H$500,$A127)&amp;"")</f>
        <v/>
      </c>
      <c r="F127" s="32" t="str">
        <f>IF($A127="","",INDEX(Каталог!$B$4:$B$500,$A127)&amp;"")</f>
        <v/>
      </c>
      <c r="G127" s="32" t="str">
        <f>IF($A127="","",INDEX(Каталог!$M$4:$M$500,$A127)&amp;"")</f>
        <v/>
      </c>
      <c r="H127" s="32" t="str">
        <f>IF($A127="","",INDEX(Каталог!$P$4:$P$500,$A127))</f>
        <v/>
      </c>
      <c r="I127" s="5"/>
      <c r="J127" s="5"/>
    </row>
    <row r="128" spans="1:10" x14ac:dyDescent="0.3">
      <c r="A128" s="29" t="str">
        <f>IFERROR(MATCH(ROW()-3,Каталог!$AF$4:$AF$500,0),"")</f>
        <v/>
      </c>
      <c r="B128" s="29" t="str">
        <f t="shared" si="3"/>
        <v/>
      </c>
      <c r="C128" s="30" t="str">
        <f>IF($A128="","",INDEX(Каталог!$G$4:$G$500,$A128)&amp;"")</f>
        <v/>
      </c>
      <c r="D128" s="33"/>
      <c r="E128" s="31" t="str">
        <f>IF($A128="","",INDEX(Каталог!$H$4:$H$500,$A128)&amp;"")</f>
        <v/>
      </c>
      <c r="F128" s="32" t="str">
        <f>IF($A128="","",INDEX(Каталог!$B$4:$B$500,$A128)&amp;"")</f>
        <v/>
      </c>
      <c r="G128" s="32" t="str">
        <f>IF($A128="","",INDEX(Каталог!$M$4:$M$500,$A128)&amp;"")</f>
        <v/>
      </c>
      <c r="H128" s="32" t="str">
        <f>IF($A128="","",INDEX(Каталог!$P$4:$P$500,$A128))</f>
        <v/>
      </c>
      <c r="I128" s="5"/>
      <c r="J128" s="5"/>
    </row>
    <row r="129" spans="1:10" x14ac:dyDescent="0.3">
      <c r="A129" s="29" t="str">
        <f>IFERROR(MATCH(ROW()-3,Каталог!$AF$4:$AF$500,0),"")</f>
        <v/>
      </c>
      <c r="B129" s="29" t="str">
        <f t="shared" si="3"/>
        <v/>
      </c>
      <c r="C129" s="30" t="str">
        <f>IF($A129="","",INDEX(Каталог!$G$4:$G$500,$A129)&amp;"")</f>
        <v/>
      </c>
      <c r="D129" s="33"/>
      <c r="E129" s="31" t="str">
        <f>IF($A129="","",INDEX(Каталог!$H$4:$H$500,$A129)&amp;"")</f>
        <v/>
      </c>
      <c r="F129" s="32" t="str">
        <f>IF($A129="","",INDEX(Каталог!$B$4:$B$500,$A129)&amp;"")</f>
        <v/>
      </c>
      <c r="G129" s="32" t="str">
        <f>IF($A129="","",INDEX(Каталог!$M$4:$M$500,$A129)&amp;"")</f>
        <v/>
      </c>
      <c r="H129" s="32" t="str">
        <f>IF($A129="","",INDEX(Каталог!$P$4:$P$500,$A129))</f>
        <v/>
      </c>
      <c r="I129" s="5"/>
      <c r="J129" s="5"/>
    </row>
    <row r="130" spans="1:10" x14ac:dyDescent="0.3">
      <c r="A130" s="29" t="str">
        <f>IFERROR(MATCH(ROW()-3,Каталог!$AF$4:$AF$500,0),"")</f>
        <v/>
      </c>
      <c r="B130" s="29" t="str">
        <f t="shared" si="3"/>
        <v/>
      </c>
      <c r="C130" s="30" t="str">
        <f>IF($A130="","",INDEX(Каталог!$G$4:$G$500,$A130)&amp;"")</f>
        <v/>
      </c>
      <c r="D130" s="33"/>
      <c r="E130" s="31" t="str">
        <f>IF($A130="","",INDEX(Каталог!$H$4:$H$500,$A130)&amp;"")</f>
        <v/>
      </c>
      <c r="F130" s="32" t="str">
        <f>IF($A130="","",INDEX(Каталог!$B$4:$B$500,$A130)&amp;"")</f>
        <v/>
      </c>
      <c r="G130" s="32" t="str">
        <f>IF($A130="","",INDEX(Каталог!$M$4:$M$500,$A130)&amp;"")</f>
        <v/>
      </c>
      <c r="H130" s="32" t="str">
        <f>IF($A130="","",INDEX(Каталог!$P$4:$P$500,$A130))</f>
        <v/>
      </c>
      <c r="I130" s="5"/>
      <c r="J130" s="5"/>
    </row>
    <row r="131" spans="1:10" x14ac:dyDescent="0.3">
      <c r="A131" s="29" t="str">
        <f>IFERROR(MATCH(ROW()-3,Каталог!$AF$4:$AF$500,0),"")</f>
        <v/>
      </c>
      <c r="B131" s="29" t="str">
        <f t="shared" si="3"/>
        <v/>
      </c>
      <c r="C131" s="30" t="str">
        <f>IF($A131="","",INDEX(Каталог!$G$4:$G$500,$A131)&amp;"")</f>
        <v/>
      </c>
      <c r="D131" s="33"/>
      <c r="E131" s="31" t="str">
        <f>IF($A131="","",INDEX(Каталог!$H$4:$H$500,$A131)&amp;"")</f>
        <v/>
      </c>
      <c r="F131" s="32" t="str">
        <f>IF($A131="","",INDEX(Каталог!$B$4:$B$500,$A131)&amp;"")</f>
        <v/>
      </c>
      <c r="G131" s="32" t="str">
        <f>IF($A131="","",INDEX(Каталог!$M$4:$M$500,$A131)&amp;"")</f>
        <v/>
      </c>
      <c r="H131" s="32" t="str">
        <f>IF($A131="","",INDEX(Каталог!$P$4:$P$500,$A131))</f>
        <v/>
      </c>
      <c r="I131" s="5"/>
      <c r="J131" s="5"/>
    </row>
    <row r="132" spans="1:10" x14ac:dyDescent="0.3">
      <c r="A132" s="29" t="str">
        <f>IFERROR(MATCH(ROW()-3,Каталог!$AF$4:$AF$500,0),"")</f>
        <v/>
      </c>
      <c r="B132" s="29" t="str">
        <f t="shared" ref="B132:B160" si="4">IF($A132="","",$B$3&amp;"."&amp;(ROW()-3))</f>
        <v/>
      </c>
      <c r="C132" s="30" t="str">
        <f>IF($A132="","",INDEX(Каталог!$G$4:$G$500,$A132)&amp;"")</f>
        <v/>
      </c>
      <c r="D132" s="33"/>
      <c r="E132" s="31" t="str">
        <f>IF($A132="","",INDEX(Каталог!$H$4:$H$500,$A132)&amp;"")</f>
        <v/>
      </c>
      <c r="F132" s="32" t="str">
        <f>IF($A132="","",INDEX(Каталог!$B$4:$B$500,$A132)&amp;"")</f>
        <v/>
      </c>
      <c r="G132" s="32" t="str">
        <f>IF($A132="","",INDEX(Каталог!$M$4:$M$500,$A132)&amp;"")</f>
        <v/>
      </c>
      <c r="H132" s="32" t="str">
        <f>IF($A132="","",INDEX(Каталог!$P$4:$P$500,$A132))</f>
        <v/>
      </c>
      <c r="I132" s="5"/>
      <c r="J132" s="5"/>
    </row>
    <row r="133" spans="1:10" x14ac:dyDescent="0.3">
      <c r="A133" s="29" t="str">
        <f>IFERROR(MATCH(ROW()-3,Каталог!$AF$4:$AF$500,0),"")</f>
        <v/>
      </c>
      <c r="B133" s="29" t="str">
        <f t="shared" si="4"/>
        <v/>
      </c>
      <c r="C133" s="30" t="str">
        <f>IF($A133="","",INDEX(Каталог!$G$4:$G$500,$A133)&amp;"")</f>
        <v/>
      </c>
      <c r="D133" s="33"/>
      <c r="E133" s="31" t="str">
        <f>IF($A133="","",INDEX(Каталог!$H$4:$H$500,$A133)&amp;"")</f>
        <v/>
      </c>
      <c r="F133" s="32" t="str">
        <f>IF($A133="","",INDEX(Каталог!$B$4:$B$500,$A133)&amp;"")</f>
        <v/>
      </c>
      <c r="G133" s="32" t="str">
        <f>IF($A133="","",INDEX(Каталог!$M$4:$M$500,$A133)&amp;"")</f>
        <v/>
      </c>
      <c r="H133" s="32" t="str">
        <f>IF($A133="","",INDEX(Каталог!$P$4:$P$500,$A133))</f>
        <v/>
      </c>
      <c r="I133" s="5"/>
      <c r="J133" s="5"/>
    </row>
    <row r="134" spans="1:10" x14ac:dyDescent="0.3">
      <c r="A134" s="29" t="str">
        <f>IFERROR(MATCH(ROW()-3,Каталог!$AF$4:$AF$500,0),"")</f>
        <v/>
      </c>
      <c r="B134" s="29" t="str">
        <f t="shared" si="4"/>
        <v/>
      </c>
      <c r="C134" s="30" t="str">
        <f>IF($A134="","",INDEX(Каталог!$G$4:$G$500,$A134)&amp;"")</f>
        <v/>
      </c>
      <c r="D134" s="33"/>
      <c r="E134" s="31" t="str">
        <f>IF($A134="","",INDEX(Каталог!$H$4:$H$500,$A134)&amp;"")</f>
        <v/>
      </c>
      <c r="F134" s="32" t="str">
        <f>IF($A134="","",INDEX(Каталог!$B$4:$B$500,$A134)&amp;"")</f>
        <v/>
      </c>
      <c r="G134" s="32" t="str">
        <f>IF($A134="","",INDEX(Каталог!$M$4:$M$500,$A134)&amp;"")</f>
        <v/>
      </c>
      <c r="H134" s="32" t="str">
        <f>IF($A134="","",INDEX(Каталог!$P$4:$P$500,$A134))</f>
        <v/>
      </c>
      <c r="I134" s="5"/>
      <c r="J134" s="5"/>
    </row>
    <row r="135" spans="1:10" x14ac:dyDescent="0.3">
      <c r="A135" s="29" t="str">
        <f>IFERROR(MATCH(ROW()-3,Каталог!$AF$4:$AF$500,0),"")</f>
        <v/>
      </c>
      <c r="B135" s="29" t="str">
        <f t="shared" si="4"/>
        <v/>
      </c>
      <c r="C135" s="30" t="str">
        <f>IF($A135="","",INDEX(Каталог!$G$4:$G$500,$A135)&amp;"")</f>
        <v/>
      </c>
      <c r="D135" s="33"/>
      <c r="E135" s="31" t="str">
        <f>IF($A135="","",INDEX(Каталог!$H$4:$H$500,$A135)&amp;"")</f>
        <v/>
      </c>
      <c r="F135" s="32" t="str">
        <f>IF($A135="","",INDEX(Каталог!$B$4:$B$500,$A135)&amp;"")</f>
        <v/>
      </c>
      <c r="G135" s="32" t="str">
        <f>IF($A135="","",INDEX(Каталог!$M$4:$M$500,$A135)&amp;"")</f>
        <v/>
      </c>
      <c r="H135" s="32" t="str">
        <f>IF($A135="","",INDEX(Каталог!$P$4:$P$500,$A135))</f>
        <v/>
      </c>
      <c r="I135" s="5"/>
      <c r="J135" s="5"/>
    </row>
    <row r="136" spans="1:10" x14ac:dyDescent="0.3">
      <c r="A136" s="29" t="str">
        <f>IFERROR(MATCH(ROW()-3,Каталог!$AF$4:$AF$500,0),"")</f>
        <v/>
      </c>
      <c r="B136" s="29" t="str">
        <f t="shared" si="4"/>
        <v/>
      </c>
      <c r="C136" s="30" t="str">
        <f>IF($A136="","",INDEX(Каталог!$G$4:$G$500,$A136)&amp;"")</f>
        <v/>
      </c>
      <c r="D136" s="33"/>
      <c r="E136" s="31" t="str">
        <f>IF($A136="","",INDEX(Каталог!$H$4:$H$500,$A136)&amp;"")</f>
        <v/>
      </c>
      <c r="F136" s="32" t="str">
        <f>IF($A136="","",INDEX(Каталог!$B$4:$B$500,$A136)&amp;"")</f>
        <v/>
      </c>
      <c r="G136" s="32" t="str">
        <f>IF($A136="","",INDEX(Каталог!$M$4:$M$500,$A136)&amp;"")</f>
        <v/>
      </c>
      <c r="H136" s="32" t="str">
        <f>IF($A136="","",INDEX(Каталог!$P$4:$P$500,$A136))</f>
        <v/>
      </c>
      <c r="I136" s="5"/>
      <c r="J136" s="5"/>
    </row>
    <row r="137" spans="1:10" x14ac:dyDescent="0.3">
      <c r="A137" s="29" t="str">
        <f>IFERROR(MATCH(ROW()-3,Каталог!$AF$4:$AF$500,0),"")</f>
        <v/>
      </c>
      <c r="B137" s="29" t="str">
        <f t="shared" si="4"/>
        <v/>
      </c>
      <c r="C137" s="30" t="str">
        <f>IF($A137="","",INDEX(Каталог!$G$4:$G$500,$A137)&amp;"")</f>
        <v/>
      </c>
      <c r="D137" s="33"/>
      <c r="E137" s="31" t="str">
        <f>IF($A137="","",INDEX(Каталог!$H$4:$H$500,$A137)&amp;"")</f>
        <v/>
      </c>
      <c r="F137" s="32" t="str">
        <f>IF($A137="","",INDEX(Каталог!$B$4:$B$500,$A137)&amp;"")</f>
        <v/>
      </c>
      <c r="G137" s="32" t="str">
        <f>IF($A137="","",INDEX(Каталог!$M$4:$M$500,$A137)&amp;"")</f>
        <v/>
      </c>
      <c r="H137" s="32" t="str">
        <f>IF($A137="","",INDEX(Каталог!$P$4:$P$500,$A137))</f>
        <v/>
      </c>
      <c r="I137" s="5"/>
      <c r="J137" s="5"/>
    </row>
    <row r="138" spans="1:10" x14ac:dyDescent="0.3">
      <c r="A138" s="29" t="str">
        <f>IFERROR(MATCH(ROW()-3,Каталог!$AF$4:$AF$500,0),"")</f>
        <v/>
      </c>
      <c r="B138" s="29" t="str">
        <f t="shared" si="4"/>
        <v/>
      </c>
      <c r="C138" s="30" t="str">
        <f>IF($A138="","",INDEX(Каталог!$G$4:$G$500,$A138)&amp;"")</f>
        <v/>
      </c>
      <c r="D138" s="33"/>
      <c r="E138" s="31" t="str">
        <f>IF($A138="","",INDEX(Каталог!$H$4:$H$500,$A138)&amp;"")</f>
        <v/>
      </c>
      <c r="F138" s="32" t="str">
        <f>IF($A138="","",INDEX(Каталог!$B$4:$B$500,$A138)&amp;"")</f>
        <v/>
      </c>
      <c r="G138" s="32" t="str">
        <f>IF($A138="","",INDEX(Каталог!$M$4:$M$500,$A138)&amp;"")</f>
        <v/>
      </c>
      <c r="H138" s="32" t="str">
        <f>IF($A138="","",INDEX(Каталог!$P$4:$P$500,$A138))</f>
        <v/>
      </c>
      <c r="I138" s="5"/>
      <c r="J138" s="5"/>
    </row>
    <row r="139" spans="1:10" x14ac:dyDescent="0.3">
      <c r="A139" s="29" t="str">
        <f>IFERROR(MATCH(ROW()-3,Каталог!$AF$4:$AF$500,0),"")</f>
        <v/>
      </c>
      <c r="B139" s="29" t="str">
        <f t="shared" si="4"/>
        <v/>
      </c>
      <c r="C139" s="30" t="str">
        <f>IF($A139="","",INDEX(Каталог!$G$4:$G$500,$A139)&amp;"")</f>
        <v/>
      </c>
      <c r="D139" s="33"/>
      <c r="E139" s="31" t="str">
        <f>IF($A139="","",INDEX(Каталог!$H$4:$H$500,$A139)&amp;"")</f>
        <v/>
      </c>
      <c r="F139" s="32" t="str">
        <f>IF($A139="","",INDEX(Каталог!$B$4:$B$500,$A139)&amp;"")</f>
        <v/>
      </c>
      <c r="G139" s="32" t="str">
        <f>IF($A139="","",INDEX(Каталог!$M$4:$M$500,$A139)&amp;"")</f>
        <v/>
      </c>
      <c r="H139" s="32" t="str">
        <f>IF($A139="","",INDEX(Каталог!$P$4:$P$500,$A139))</f>
        <v/>
      </c>
      <c r="I139" s="5"/>
      <c r="J139" s="5"/>
    </row>
    <row r="140" spans="1:10" x14ac:dyDescent="0.3">
      <c r="A140" s="29" t="str">
        <f>IFERROR(MATCH(ROW()-3,Каталог!$AF$4:$AF$500,0),"")</f>
        <v/>
      </c>
      <c r="B140" s="29" t="str">
        <f t="shared" si="4"/>
        <v/>
      </c>
      <c r="C140" s="30" t="str">
        <f>IF($A140="","",INDEX(Каталог!$G$4:$G$500,$A140)&amp;"")</f>
        <v/>
      </c>
      <c r="D140" s="33"/>
      <c r="E140" s="31" t="str">
        <f>IF($A140="","",INDEX(Каталог!$H$4:$H$500,$A140)&amp;"")</f>
        <v/>
      </c>
      <c r="F140" s="32" t="str">
        <f>IF($A140="","",INDEX(Каталог!$B$4:$B$500,$A140)&amp;"")</f>
        <v/>
      </c>
      <c r="G140" s="32" t="str">
        <f>IF($A140="","",INDEX(Каталог!$M$4:$M$500,$A140)&amp;"")</f>
        <v/>
      </c>
      <c r="H140" s="32" t="str">
        <f>IF($A140="","",INDEX(Каталог!$P$4:$P$500,$A140))</f>
        <v/>
      </c>
      <c r="I140" s="5"/>
      <c r="J140" s="5"/>
    </row>
    <row r="141" spans="1:10" x14ac:dyDescent="0.3">
      <c r="A141" s="29" t="str">
        <f>IFERROR(MATCH(ROW()-3,Каталог!$AF$4:$AF$500,0),"")</f>
        <v/>
      </c>
      <c r="B141" s="29" t="str">
        <f t="shared" si="4"/>
        <v/>
      </c>
      <c r="C141" s="30" t="str">
        <f>IF($A141="","",INDEX(Каталог!$G$4:$G$500,$A141)&amp;"")</f>
        <v/>
      </c>
      <c r="D141" s="33"/>
      <c r="E141" s="31" t="str">
        <f>IF($A141="","",INDEX(Каталог!$H$4:$H$500,$A141)&amp;"")</f>
        <v/>
      </c>
      <c r="F141" s="32" t="str">
        <f>IF($A141="","",INDEX(Каталог!$B$4:$B$500,$A141)&amp;"")</f>
        <v/>
      </c>
      <c r="G141" s="32" t="str">
        <f>IF($A141="","",INDEX(Каталог!$M$4:$M$500,$A141)&amp;"")</f>
        <v/>
      </c>
      <c r="H141" s="32" t="str">
        <f>IF($A141="","",INDEX(Каталог!$P$4:$P$500,$A141))</f>
        <v/>
      </c>
      <c r="I141" s="5"/>
      <c r="J141" s="5"/>
    </row>
    <row r="142" spans="1:10" x14ac:dyDescent="0.3">
      <c r="A142" s="29" t="str">
        <f>IFERROR(MATCH(ROW()-3,Каталог!$AF$4:$AF$500,0),"")</f>
        <v/>
      </c>
      <c r="B142" s="29" t="str">
        <f t="shared" si="4"/>
        <v/>
      </c>
      <c r="C142" s="30" t="str">
        <f>IF($A142="","",INDEX(Каталог!$G$4:$G$500,$A142)&amp;"")</f>
        <v/>
      </c>
      <c r="D142" s="33"/>
      <c r="E142" s="31" t="str">
        <f>IF($A142="","",INDEX(Каталог!$H$4:$H$500,$A142)&amp;"")</f>
        <v/>
      </c>
      <c r="F142" s="32" t="str">
        <f>IF($A142="","",INDEX(Каталог!$B$4:$B$500,$A142)&amp;"")</f>
        <v/>
      </c>
      <c r="G142" s="32" t="str">
        <f>IF($A142="","",INDEX(Каталог!$M$4:$M$500,$A142)&amp;"")</f>
        <v/>
      </c>
      <c r="H142" s="32" t="str">
        <f>IF($A142="","",INDEX(Каталог!$P$4:$P$500,$A142))</f>
        <v/>
      </c>
      <c r="I142" s="5"/>
      <c r="J142" s="5"/>
    </row>
    <row r="143" spans="1:10" x14ac:dyDescent="0.3">
      <c r="A143" s="29" t="str">
        <f>IFERROR(MATCH(ROW()-3,Каталог!$AF$4:$AF$500,0),"")</f>
        <v/>
      </c>
      <c r="B143" s="29" t="str">
        <f t="shared" si="4"/>
        <v/>
      </c>
      <c r="C143" s="30" t="str">
        <f>IF($A143="","",INDEX(Каталог!$G$4:$G$500,$A143)&amp;"")</f>
        <v/>
      </c>
      <c r="D143" s="33"/>
      <c r="E143" s="31" t="str">
        <f>IF($A143="","",INDEX(Каталог!$H$4:$H$500,$A143)&amp;"")</f>
        <v/>
      </c>
      <c r="F143" s="32" t="str">
        <f>IF($A143="","",INDEX(Каталог!$B$4:$B$500,$A143)&amp;"")</f>
        <v/>
      </c>
      <c r="G143" s="32" t="str">
        <f>IF($A143="","",INDEX(Каталог!$M$4:$M$500,$A143)&amp;"")</f>
        <v/>
      </c>
      <c r="H143" s="32" t="str">
        <f>IF($A143="","",INDEX(Каталог!$P$4:$P$500,$A143))</f>
        <v/>
      </c>
      <c r="I143" s="5"/>
      <c r="J143" s="5"/>
    </row>
    <row r="144" spans="1:10" x14ac:dyDescent="0.3">
      <c r="A144" s="29" t="str">
        <f>IFERROR(MATCH(ROW()-3,Каталог!$AF$4:$AF$500,0),"")</f>
        <v/>
      </c>
      <c r="B144" s="29" t="str">
        <f t="shared" si="4"/>
        <v/>
      </c>
      <c r="C144" s="30" t="str">
        <f>IF($A144="","",INDEX(Каталог!$G$4:$G$500,$A144)&amp;"")</f>
        <v/>
      </c>
      <c r="D144" s="33"/>
      <c r="E144" s="31" t="str">
        <f>IF($A144="","",INDEX(Каталог!$H$4:$H$500,$A144)&amp;"")</f>
        <v/>
      </c>
      <c r="F144" s="32" t="str">
        <f>IF($A144="","",INDEX(Каталог!$B$4:$B$500,$A144)&amp;"")</f>
        <v/>
      </c>
      <c r="G144" s="32" t="str">
        <f>IF($A144="","",INDEX(Каталог!$M$4:$M$500,$A144)&amp;"")</f>
        <v/>
      </c>
      <c r="H144" s="32" t="str">
        <f>IF($A144="","",INDEX(Каталог!$P$4:$P$500,$A144))</f>
        <v/>
      </c>
      <c r="I144" s="5"/>
      <c r="J144" s="5"/>
    </row>
    <row r="145" spans="1:10" x14ac:dyDescent="0.3">
      <c r="A145" s="29" t="str">
        <f>IFERROR(MATCH(ROW()-3,Каталог!$AF$4:$AF$500,0),"")</f>
        <v/>
      </c>
      <c r="B145" s="29" t="str">
        <f t="shared" si="4"/>
        <v/>
      </c>
      <c r="C145" s="30" t="str">
        <f>IF($A145="","",INDEX(Каталог!$G$4:$G$500,$A145)&amp;"")</f>
        <v/>
      </c>
      <c r="D145" s="33"/>
      <c r="E145" s="31" t="str">
        <f>IF($A145="","",INDEX(Каталог!$H$4:$H$500,$A145)&amp;"")</f>
        <v/>
      </c>
      <c r="F145" s="32" t="str">
        <f>IF($A145="","",INDEX(Каталог!$B$4:$B$500,$A145)&amp;"")</f>
        <v/>
      </c>
      <c r="G145" s="32" t="str">
        <f>IF($A145="","",INDEX(Каталог!$M$4:$M$500,$A145)&amp;"")</f>
        <v/>
      </c>
      <c r="H145" s="32" t="str">
        <f>IF($A145="","",INDEX(Каталог!$P$4:$P$500,$A145))</f>
        <v/>
      </c>
      <c r="I145" s="5"/>
      <c r="J145" s="5"/>
    </row>
    <row r="146" spans="1:10" x14ac:dyDescent="0.3">
      <c r="A146" s="29" t="str">
        <f>IFERROR(MATCH(ROW()-3,Каталог!$AF$4:$AF$500,0),"")</f>
        <v/>
      </c>
      <c r="B146" s="29" t="str">
        <f t="shared" si="4"/>
        <v/>
      </c>
      <c r="C146" s="30" t="str">
        <f>IF($A146="","",INDEX(Каталог!$G$4:$G$500,$A146)&amp;"")</f>
        <v/>
      </c>
      <c r="D146" s="33"/>
      <c r="E146" s="31" t="str">
        <f>IF($A146="","",INDEX(Каталог!$H$4:$H$500,$A146)&amp;"")</f>
        <v/>
      </c>
      <c r="F146" s="32" t="str">
        <f>IF($A146="","",INDEX(Каталог!$B$4:$B$500,$A146)&amp;"")</f>
        <v/>
      </c>
      <c r="G146" s="32" t="str">
        <f>IF($A146="","",INDEX(Каталог!$M$4:$M$500,$A146)&amp;"")</f>
        <v/>
      </c>
      <c r="H146" s="32" t="str">
        <f>IF($A146="","",INDEX(Каталог!$P$4:$P$500,$A146))</f>
        <v/>
      </c>
      <c r="I146" s="5"/>
      <c r="J146" s="5"/>
    </row>
    <row r="147" spans="1:10" x14ac:dyDescent="0.3">
      <c r="A147" s="29" t="str">
        <f>IFERROR(MATCH(ROW()-3,Каталог!$AF$4:$AF$500,0),"")</f>
        <v/>
      </c>
      <c r="B147" s="29" t="str">
        <f t="shared" si="4"/>
        <v/>
      </c>
      <c r="C147" s="30" t="str">
        <f>IF($A147="","",INDEX(Каталог!$G$4:$G$500,$A147)&amp;"")</f>
        <v/>
      </c>
      <c r="D147" s="33"/>
      <c r="E147" s="31" t="str">
        <f>IF($A147="","",INDEX(Каталог!$H$4:$H$500,$A147)&amp;"")</f>
        <v/>
      </c>
      <c r="F147" s="32" t="str">
        <f>IF($A147="","",INDEX(Каталог!$B$4:$B$500,$A147)&amp;"")</f>
        <v/>
      </c>
      <c r="G147" s="32" t="str">
        <f>IF($A147="","",INDEX(Каталог!$M$4:$M$500,$A147)&amp;"")</f>
        <v/>
      </c>
      <c r="H147" s="32" t="str">
        <f>IF($A147="","",INDEX(Каталог!$P$4:$P$500,$A147))</f>
        <v/>
      </c>
      <c r="I147" s="5"/>
      <c r="J147" s="5"/>
    </row>
    <row r="148" spans="1:10" x14ac:dyDescent="0.3">
      <c r="A148" s="29" t="str">
        <f>IFERROR(MATCH(ROW()-3,Каталог!$AF$4:$AF$500,0),"")</f>
        <v/>
      </c>
      <c r="B148" s="29" t="str">
        <f t="shared" si="4"/>
        <v/>
      </c>
      <c r="C148" s="30" t="str">
        <f>IF($A148="","",INDEX(Каталог!$G$4:$G$500,$A148)&amp;"")</f>
        <v/>
      </c>
      <c r="D148" s="33"/>
      <c r="E148" s="31" t="str">
        <f>IF($A148="","",INDEX(Каталог!$H$4:$H$500,$A148)&amp;"")</f>
        <v/>
      </c>
      <c r="F148" s="32" t="str">
        <f>IF($A148="","",INDEX(Каталог!$B$4:$B$500,$A148)&amp;"")</f>
        <v/>
      </c>
      <c r="G148" s="32" t="str">
        <f>IF($A148="","",INDEX(Каталог!$M$4:$M$500,$A148)&amp;"")</f>
        <v/>
      </c>
      <c r="H148" s="32" t="str">
        <f>IF($A148="","",INDEX(Каталог!$P$4:$P$500,$A148))</f>
        <v/>
      </c>
      <c r="I148" s="5"/>
      <c r="J148" s="5"/>
    </row>
    <row r="149" spans="1:10" x14ac:dyDescent="0.3">
      <c r="A149" s="29" t="str">
        <f>IFERROR(MATCH(ROW()-3,Каталог!$AF$4:$AF$500,0),"")</f>
        <v/>
      </c>
      <c r="B149" s="29" t="str">
        <f t="shared" si="4"/>
        <v/>
      </c>
      <c r="C149" s="30" t="str">
        <f>IF($A149="","",INDEX(Каталог!$G$4:$G$500,$A149)&amp;"")</f>
        <v/>
      </c>
      <c r="D149" s="33"/>
      <c r="E149" s="31" t="str">
        <f>IF($A149="","",INDEX(Каталог!$H$4:$H$500,$A149)&amp;"")</f>
        <v/>
      </c>
      <c r="F149" s="32" t="str">
        <f>IF($A149="","",INDEX(Каталог!$B$4:$B$500,$A149)&amp;"")</f>
        <v/>
      </c>
      <c r="G149" s="32" t="str">
        <f>IF($A149="","",INDEX(Каталог!$M$4:$M$500,$A149)&amp;"")</f>
        <v/>
      </c>
      <c r="H149" s="32" t="str">
        <f>IF($A149="","",INDEX(Каталог!$P$4:$P$500,$A149))</f>
        <v/>
      </c>
      <c r="I149" s="5"/>
      <c r="J149" s="5"/>
    </row>
    <row r="150" spans="1:10" x14ac:dyDescent="0.3">
      <c r="A150" s="29" t="str">
        <f>IFERROR(MATCH(ROW()-3,Каталог!$AF$4:$AF$500,0),"")</f>
        <v/>
      </c>
      <c r="B150" s="29" t="str">
        <f t="shared" si="4"/>
        <v/>
      </c>
      <c r="C150" s="30" t="str">
        <f>IF($A150="","",INDEX(Каталог!$G$4:$G$500,$A150)&amp;"")</f>
        <v/>
      </c>
      <c r="D150" s="33"/>
      <c r="E150" s="31" t="str">
        <f>IF($A150="","",INDEX(Каталог!$H$4:$H$500,$A150)&amp;"")</f>
        <v/>
      </c>
      <c r="F150" s="32" t="str">
        <f>IF($A150="","",INDEX(Каталог!$B$4:$B$500,$A150)&amp;"")</f>
        <v/>
      </c>
      <c r="G150" s="32" t="str">
        <f>IF($A150="","",INDEX(Каталог!$M$4:$M$500,$A150)&amp;"")</f>
        <v/>
      </c>
      <c r="H150" s="32" t="str">
        <f>IF($A150="","",INDEX(Каталог!$P$4:$P$500,$A150))</f>
        <v/>
      </c>
      <c r="I150" s="5"/>
      <c r="J150" s="5"/>
    </row>
    <row r="151" spans="1:10" x14ac:dyDescent="0.3">
      <c r="A151" s="29" t="str">
        <f>IFERROR(MATCH(ROW()-3,Каталог!$AF$4:$AF$500,0),"")</f>
        <v/>
      </c>
      <c r="B151" s="29" t="str">
        <f t="shared" si="4"/>
        <v/>
      </c>
      <c r="C151" s="30" t="str">
        <f>IF($A151="","",INDEX(Каталог!$G$4:$G$500,$A151)&amp;"")</f>
        <v/>
      </c>
      <c r="D151" s="33"/>
      <c r="E151" s="31" t="str">
        <f>IF($A151="","",INDEX(Каталог!$H$4:$H$500,$A151)&amp;"")</f>
        <v/>
      </c>
      <c r="F151" s="32" t="str">
        <f>IF($A151="","",INDEX(Каталог!$B$4:$B$500,$A151)&amp;"")</f>
        <v/>
      </c>
      <c r="G151" s="32" t="str">
        <f>IF($A151="","",INDEX(Каталог!$M$4:$M$500,$A151)&amp;"")</f>
        <v/>
      </c>
      <c r="H151" s="32" t="str">
        <f>IF($A151="","",INDEX(Каталог!$P$4:$P$500,$A151))</f>
        <v/>
      </c>
      <c r="I151" s="5"/>
      <c r="J151" s="5"/>
    </row>
    <row r="152" spans="1:10" x14ac:dyDescent="0.3">
      <c r="A152" s="29" t="str">
        <f>IFERROR(MATCH(ROW()-3,Каталог!$AF$4:$AF$500,0),"")</f>
        <v/>
      </c>
      <c r="B152" s="29" t="str">
        <f t="shared" si="4"/>
        <v/>
      </c>
      <c r="C152" s="30" t="str">
        <f>IF($A152="","",INDEX(Каталог!$G$4:$G$500,$A152)&amp;"")</f>
        <v/>
      </c>
      <c r="D152" s="33"/>
      <c r="E152" s="31" t="str">
        <f>IF($A152="","",INDEX(Каталог!$H$4:$H$500,$A152)&amp;"")</f>
        <v/>
      </c>
      <c r="F152" s="32" t="str">
        <f>IF($A152="","",INDEX(Каталог!$B$4:$B$500,$A152)&amp;"")</f>
        <v/>
      </c>
      <c r="G152" s="32" t="str">
        <f>IF($A152="","",INDEX(Каталог!$M$4:$M$500,$A152)&amp;"")</f>
        <v/>
      </c>
      <c r="H152" s="32" t="str">
        <f>IF($A152="","",INDEX(Каталог!$P$4:$P$500,$A152))</f>
        <v/>
      </c>
      <c r="I152" s="5"/>
      <c r="J152" s="5"/>
    </row>
    <row r="153" spans="1:10" x14ac:dyDescent="0.3">
      <c r="A153" s="29" t="str">
        <f>IFERROR(MATCH(ROW()-3,Каталог!$AF$4:$AF$500,0),"")</f>
        <v/>
      </c>
      <c r="B153" s="29" t="str">
        <f t="shared" si="4"/>
        <v/>
      </c>
      <c r="C153" s="30" t="str">
        <f>IF($A153="","",INDEX(Каталог!$G$4:$G$500,$A153)&amp;"")</f>
        <v/>
      </c>
      <c r="D153" s="33"/>
      <c r="E153" s="31" t="str">
        <f>IF($A153="","",INDEX(Каталог!$H$4:$H$500,$A153)&amp;"")</f>
        <v/>
      </c>
      <c r="F153" s="32" t="str">
        <f>IF($A153="","",INDEX(Каталог!$B$4:$B$500,$A153)&amp;"")</f>
        <v/>
      </c>
      <c r="G153" s="32" t="str">
        <f>IF($A153="","",INDEX(Каталог!$M$4:$M$500,$A153)&amp;"")</f>
        <v/>
      </c>
      <c r="H153" s="32" t="str">
        <f>IF($A153="","",INDEX(Каталог!$P$4:$P$500,$A153))</f>
        <v/>
      </c>
      <c r="I153" s="5"/>
      <c r="J153" s="5"/>
    </row>
    <row r="154" spans="1:10" x14ac:dyDescent="0.3">
      <c r="A154" s="29" t="str">
        <f>IFERROR(MATCH(ROW()-3,Каталог!$AF$4:$AF$500,0),"")</f>
        <v/>
      </c>
      <c r="B154" s="29" t="str">
        <f t="shared" si="4"/>
        <v/>
      </c>
      <c r="C154" s="30" t="str">
        <f>IF($A154="","",INDEX(Каталог!$G$4:$G$500,$A154)&amp;"")</f>
        <v/>
      </c>
      <c r="D154" s="33"/>
      <c r="E154" s="31" t="str">
        <f>IF($A154="","",INDEX(Каталог!$H$4:$H$500,$A154)&amp;"")</f>
        <v/>
      </c>
      <c r="F154" s="32" t="str">
        <f>IF($A154="","",INDEX(Каталог!$B$4:$B$500,$A154)&amp;"")</f>
        <v/>
      </c>
      <c r="G154" s="32" t="str">
        <f>IF($A154="","",INDEX(Каталог!$M$4:$M$500,$A154)&amp;"")</f>
        <v/>
      </c>
      <c r="H154" s="32" t="str">
        <f>IF($A154="","",INDEX(Каталог!$P$4:$P$500,$A154))</f>
        <v/>
      </c>
      <c r="I154" s="5"/>
      <c r="J154" s="5"/>
    </row>
    <row r="155" spans="1:10" x14ac:dyDescent="0.3">
      <c r="A155" s="29" t="str">
        <f>IFERROR(MATCH(ROW()-3,Каталог!$AF$4:$AF$500,0),"")</f>
        <v/>
      </c>
      <c r="B155" s="29" t="str">
        <f t="shared" si="4"/>
        <v/>
      </c>
      <c r="C155" s="30" t="str">
        <f>IF($A155="","",INDEX(Каталог!$G$4:$G$500,$A155)&amp;"")</f>
        <v/>
      </c>
      <c r="D155" s="33"/>
      <c r="E155" s="31" t="str">
        <f>IF($A155="","",INDEX(Каталог!$H$4:$H$500,$A155)&amp;"")</f>
        <v/>
      </c>
      <c r="F155" s="32" t="str">
        <f>IF($A155="","",INDEX(Каталог!$B$4:$B$500,$A155)&amp;"")</f>
        <v/>
      </c>
      <c r="G155" s="32" t="str">
        <f>IF($A155="","",INDEX(Каталог!$M$4:$M$500,$A155)&amp;"")</f>
        <v/>
      </c>
      <c r="H155" s="32" t="str">
        <f>IF($A155="","",INDEX(Каталог!$P$4:$P$500,$A155))</f>
        <v/>
      </c>
      <c r="I155" s="5"/>
      <c r="J155" s="5"/>
    </row>
    <row r="156" spans="1:10" x14ac:dyDescent="0.3">
      <c r="A156" s="29" t="str">
        <f>IFERROR(MATCH(ROW()-3,Каталог!$AF$4:$AF$500,0),"")</f>
        <v/>
      </c>
      <c r="B156" s="29" t="str">
        <f t="shared" si="4"/>
        <v/>
      </c>
      <c r="C156" s="30" t="str">
        <f>IF($A156="","",INDEX(Каталог!$G$4:$G$500,$A156)&amp;"")</f>
        <v/>
      </c>
      <c r="D156" s="33"/>
      <c r="E156" s="31" t="str">
        <f>IF($A156="","",INDEX(Каталог!$H$4:$H$500,$A156)&amp;"")</f>
        <v/>
      </c>
      <c r="F156" s="32" t="str">
        <f>IF($A156="","",INDEX(Каталог!$B$4:$B$500,$A156)&amp;"")</f>
        <v/>
      </c>
      <c r="G156" s="32" t="str">
        <f>IF($A156="","",INDEX(Каталог!$M$4:$M$500,$A156)&amp;"")</f>
        <v/>
      </c>
      <c r="H156" s="32" t="str">
        <f>IF($A156="","",INDEX(Каталог!$P$4:$P$500,$A156))</f>
        <v/>
      </c>
      <c r="I156" s="5"/>
      <c r="J156" s="5"/>
    </row>
    <row r="157" spans="1:10" x14ac:dyDescent="0.3">
      <c r="A157" s="29" t="str">
        <f>IFERROR(MATCH(ROW()-3,Каталог!$AF$4:$AF$500,0),"")</f>
        <v/>
      </c>
      <c r="B157" s="29" t="str">
        <f t="shared" si="4"/>
        <v/>
      </c>
      <c r="C157" s="30" t="str">
        <f>IF($A157="","",INDEX(Каталог!$G$4:$G$500,$A157)&amp;"")</f>
        <v/>
      </c>
      <c r="D157" s="33"/>
      <c r="E157" s="31" t="str">
        <f>IF($A157="","",INDEX(Каталог!$H$4:$H$500,$A157)&amp;"")</f>
        <v/>
      </c>
      <c r="F157" s="32" t="str">
        <f>IF($A157="","",INDEX(Каталог!$B$4:$B$500,$A157)&amp;"")</f>
        <v/>
      </c>
      <c r="G157" s="32" t="str">
        <f>IF($A157="","",INDEX(Каталог!$M$4:$M$500,$A157)&amp;"")</f>
        <v/>
      </c>
      <c r="H157" s="32" t="str">
        <f>IF($A157="","",INDEX(Каталог!$P$4:$P$500,$A157))</f>
        <v/>
      </c>
      <c r="I157" s="5"/>
      <c r="J157" s="5"/>
    </row>
    <row r="158" spans="1:10" x14ac:dyDescent="0.3">
      <c r="A158" s="29" t="str">
        <f>IFERROR(MATCH(ROW()-3,Каталог!$AF$4:$AF$500,0),"")</f>
        <v/>
      </c>
      <c r="B158" s="29" t="str">
        <f t="shared" si="4"/>
        <v/>
      </c>
      <c r="C158" s="30" t="str">
        <f>IF($A158="","",INDEX(Каталог!$G$4:$G$500,$A158)&amp;"")</f>
        <v/>
      </c>
      <c r="D158" s="33"/>
      <c r="E158" s="31" t="str">
        <f>IF($A158="","",INDEX(Каталог!$H$4:$H$500,$A158)&amp;"")</f>
        <v/>
      </c>
      <c r="F158" s="32" t="str">
        <f>IF($A158="","",INDEX(Каталог!$B$4:$B$500,$A158)&amp;"")</f>
        <v/>
      </c>
      <c r="G158" s="32" t="str">
        <f>IF($A158="","",INDEX(Каталог!$M$4:$M$500,$A158)&amp;"")</f>
        <v/>
      </c>
      <c r="H158" s="32" t="str">
        <f>IF($A158="","",INDEX(Каталог!$P$4:$P$500,$A158))</f>
        <v/>
      </c>
      <c r="I158" s="5"/>
      <c r="J158" s="5"/>
    </row>
    <row r="159" spans="1:10" x14ac:dyDescent="0.3">
      <c r="A159" s="29" t="str">
        <f>IFERROR(MATCH(ROW()-3,Каталог!$AF$4:$AF$500,0),"")</f>
        <v/>
      </c>
      <c r="B159" s="29" t="str">
        <f t="shared" si="4"/>
        <v/>
      </c>
      <c r="C159" s="30" t="str">
        <f>IF($A159="","",INDEX(Каталог!$G$4:$G$500,$A159)&amp;"")</f>
        <v/>
      </c>
      <c r="D159" s="33"/>
      <c r="E159" s="31" t="str">
        <f>IF($A159="","",INDEX(Каталог!$H$4:$H$500,$A159)&amp;"")</f>
        <v/>
      </c>
      <c r="F159" s="32" t="str">
        <f>IF($A159="","",INDEX(Каталог!$B$4:$B$500,$A159)&amp;"")</f>
        <v/>
      </c>
      <c r="G159" s="32" t="str">
        <f>IF($A159="","",INDEX(Каталог!$M$4:$M$500,$A159)&amp;"")</f>
        <v/>
      </c>
      <c r="H159" s="32" t="str">
        <f>IF($A159="","",INDEX(Каталог!$P$4:$P$500,$A159))</f>
        <v/>
      </c>
      <c r="I159" s="5"/>
      <c r="J159" s="5"/>
    </row>
    <row r="160" spans="1:10" x14ac:dyDescent="0.3">
      <c r="A160" s="29" t="str">
        <f>IFERROR(MATCH(ROW()-3,Каталог!$AF$4:$AF$500,0),"")</f>
        <v/>
      </c>
      <c r="B160" s="29" t="str">
        <f t="shared" si="4"/>
        <v/>
      </c>
      <c r="C160" s="30" t="str">
        <f>IF($A160="","",INDEX(Каталог!$G$4:$G$500,$A160)&amp;"")</f>
        <v/>
      </c>
      <c r="D160" s="33"/>
      <c r="E160" s="31" t="str">
        <f>IF($A160="","",INDEX(Каталог!$H$4:$H$500,$A160)&amp;"")</f>
        <v/>
      </c>
      <c r="F160" s="32" t="str">
        <f>IF($A160="","",INDEX(Каталог!$B$4:$B$500,$A160)&amp;"")</f>
        <v/>
      </c>
      <c r="G160" s="32" t="str">
        <f>IF($A160="","",INDEX(Каталог!$M$4:$M$500,$A160)&amp;"")</f>
        <v/>
      </c>
      <c r="H160" s="32" t="str">
        <f>IF($A160="","",INDEX(Каталог!$P$4:$P$500,$A160))</f>
        <v/>
      </c>
      <c r="I160" s="5"/>
      <c r="J160" s="5"/>
    </row>
  </sheetData>
  <phoneticPr fontId="3"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00000000-000E-0000-0D00-000001000000}">
            <xm:f>Каталог!$R$28&lt;&gt;""</xm:f>
            <x14:dxf>
              <font>
                <b/>
                <color rgb="FF9C0006"/>
              </font>
              <fill>
                <patternFill>
                  <bgColor rgb="FFFFC7CE"/>
                </patternFill>
              </fill>
            </x14:dxf>
          </x14:cfRule>
          <xm:sqref>C1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9">
    <tabColor rgb="FF70AD47"/>
    <outlinePr summaryBelow="0" summaryRight="0"/>
  </sheetPr>
  <dimension ref="A1:CA1000"/>
  <sheetViews>
    <sheetView zoomScale="85" zoomScaleNormal="85" workbookViewId="0">
      <pane xSplit="3" ySplit="2" topLeftCell="D54" activePane="bottomRight" state="frozen"/>
      <selection pane="topRight"/>
      <selection pane="bottomLeft"/>
      <selection pane="bottomRight" activeCell="N64" sqref="N64"/>
    </sheetView>
  </sheetViews>
  <sheetFormatPr defaultRowHeight="14.4" outlineLevelCol="1" x14ac:dyDescent="0.3"/>
  <cols>
    <col min="1" max="3" width="6" customWidth="1"/>
    <col min="4" max="4" width="9" customWidth="1"/>
    <col min="5" max="5" width="15" customWidth="1"/>
    <col min="6" max="7" width="8" customWidth="1"/>
    <col min="8" max="8" width="15" customWidth="1"/>
    <col min="9" max="9" width="15.33203125" customWidth="1"/>
    <col min="10" max="10" width="17.88671875" customWidth="1"/>
    <col min="11" max="11" width="20.5546875" customWidth="1"/>
    <col min="12" max="12" width="12" customWidth="1"/>
    <col min="13" max="13" width="7" customWidth="1"/>
    <col min="14" max="14" width="9" customWidth="1"/>
    <col min="15" max="15" width="6" customWidth="1"/>
    <col min="16" max="16" width="14" customWidth="1"/>
    <col min="17" max="17" width="26" customWidth="1"/>
    <col min="18" max="18" width="16" customWidth="1"/>
    <col min="19" max="19" width="40" customWidth="1"/>
    <col min="20" max="21" width="7" customWidth="1"/>
    <col min="22" max="22" width="6" customWidth="1" collapsed="1"/>
    <col min="23" max="23" width="17" hidden="1" customWidth="1" outlineLevel="1"/>
    <col min="24" max="24" width="14" hidden="1" customWidth="1" outlineLevel="1"/>
    <col min="25" max="25" width="11" customWidth="1" collapsed="1"/>
    <col min="26" max="27" width="8" hidden="1" customWidth="1" outlineLevel="1"/>
    <col min="28" max="28" width="9" hidden="1" customWidth="1" outlineLevel="1"/>
    <col min="29" max="29" width="11" hidden="1" customWidth="1" outlineLevel="1"/>
    <col min="30" max="30" width="50" hidden="1" customWidth="1" outlineLevel="1"/>
    <col min="31" max="31" width="3" customWidth="1" collapsed="1"/>
    <col min="32" max="53" width="9" hidden="1" customWidth="1" outlineLevel="1"/>
    <col min="54" max="64" width="6" hidden="1" customWidth="1" outlineLevel="1"/>
    <col min="65" max="77" width="8" hidden="1" customWidth="1" outlineLevel="1"/>
    <col min="78" max="79" width="0" hidden="1" customWidth="1" outlineLevel="1"/>
  </cols>
  <sheetData>
    <row r="1" spans="1:79" ht="21.6" customHeight="1" x14ac:dyDescent="0.3">
      <c r="A1" s="102" t="s">
        <v>420</v>
      </c>
      <c r="B1" s="103"/>
      <c r="C1" s="103"/>
      <c r="D1" s="45" t="s">
        <v>421</v>
      </c>
      <c r="E1" s="106" t="s">
        <v>422</v>
      </c>
      <c r="F1" s="107"/>
      <c r="G1" s="107"/>
      <c r="H1" s="107"/>
      <c r="I1" s="108" t="s">
        <v>423</v>
      </c>
      <c r="J1" s="109"/>
      <c r="K1" s="109"/>
      <c r="L1" s="110" t="s">
        <v>424</v>
      </c>
      <c r="M1" s="111"/>
      <c r="N1" s="111"/>
      <c r="O1" s="111"/>
      <c r="P1" s="52" t="s">
        <v>425</v>
      </c>
      <c r="Q1" s="41" t="s">
        <v>426</v>
      </c>
      <c r="R1" s="102" t="s">
        <v>427</v>
      </c>
      <c r="S1" s="103"/>
      <c r="T1" s="103"/>
      <c r="U1" s="103"/>
      <c r="V1" s="103"/>
      <c r="W1" s="102" t="s">
        <v>428</v>
      </c>
      <c r="X1" s="103"/>
      <c r="Y1" s="104" t="s">
        <v>429</v>
      </c>
      <c r="Z1" s="105"/>
      <c r="AA1" s="105"/>
      <c r="AB1" s="105"/>
      <c r="AC1" s="105"/>
      <c r="AD1" s="105"/>
      <c r="AE1" s="66" t="str">
        <f>"Ошибок: "&amp;COUNTIF($BU$3:$BU$3000,2)&amp;"   Предупреждений: "&amp;COUNTIF($BU$3:$BU$3000,1)</f>
        <v>Ошибок: 1   Предупреждений: 3</v>
      </c>
      <c r="AF1" s="36" t="s">
        <v>430</v>
      </c>
      <c r="BC1" s="34" t="s">
        <v>431</v>
      </c>
    </row>
    <row r="2" spans="1:79" ht="84" customHeight="1" x14ac:dyDescent="0.3">
      <c r="A2" s="40" t="s">
        <v>4</v>
      </c>
      <c r="B2" s="43" t="s">
        <v>432</v>
      </c>
      <c r="C2" s="43" t="s">
        <v>433</v>
      </c>
      <c r="D2" s="44" t="s">
        <v>434</v>
      </c>
      <c r="E2" s="44" t="s">
        <v>435</v>
      </c>
      <c r="F2" s="46" t="s">
        <v>1380</v>
      </c>
      <c r="G2" s="48" t="s">
        <v>436</v>
      </c>
      <c r="H2" s="48" t="s">
        <v>7</v>
      </c>
      <c r="I2" s="44" t="s">
        <v>437</v>
      </c>
      <c r="J2" s="46" t="s">
        <v>438</v>
      </c>
      <c r="K2" s="46" t="s">
        <v>439</v>
      </c>
      <c r="L2" s="44" t="s">
        <v>440</v>
      </c>
      <c r="M2" s="50" t="s">
        <v>441</v>
      </c>
      <c r="N2" s="46" t="s">
        <v>442</v>
      </c>
      <c r="O2" s="50" t="s">
        <v>443</v>
      </c>
      <c r="P2" s="51" t="s">
        <v>444</v>
      </c>
      <c r="Q2" s="40" t="s">
        <v>9</v>
      </c>
      <c r="R2" s="40" t="s">
        <v>445</v>
      </c>
      <c r="S2" s="43" t="s">
        <v>6</v>
      </c>
      <c r="T2" s="43" t="s">
        <v>446</v>
      </c>
      <c r="U2" s="43" t="s">
        <v>447</v>
      </c>
      <c r="V2" s="43" t="s">
        <v>448</v>
      </c>
      <c r="W2" s="40" t="s">
        <v>7</v>
      </c>
      <c r="X2" s="43" t="s">
        <v>443</v>
      </c>
      <c r="Y2" s="44" t="s">
        <v>449</v>
      </c>
      <c r="Z2" s="60" t="s">
        <v>450</v>
      </c>
      <c r="AA2" s="60" t="s">
        <v>451</v>
      </c>
      <c r="AB2" s="60" t="s">
        <v>526</v>
      </c>
      <c r="AC2" s="60" t="s">
        <v>452</v>
      </c>
      <c r="AD2" s="60" t="s">
        <v>453</v>
      </c>
      <c r="AE2" s="60" t="s">
        <v>733</v>
      </c>
      <c r="AF2" s="35" t="s">
        <v>454</v>
      </c>
      <c r="AG2" s="35" t="s">
        <v>455</v>
      </c>
      <c r="AH2" s="35" t="s">
        <v>456</v>
      </c>
      <c r="AI2" s="35" t="s">
        <v>457</v>
      </c>
      <c r="AJ2" s="35" t="s">
        <v>458</v>
      </c>
      <c r="AK2" s="35" t="s">
        <v>459</v>
      </c>
      <c r="AL2" s="35" t="s">
        <v>460</v>
      </c>
      <c r="AM2" s="35" t="s">
        <v>461</v>
      </c>
      <c r="AN2" s="35" t="s">
        <v>462</v>
      </c>
      <c r="AO2" s="35" t="s">
        <v>463</v>
      </c>
      <c r="AP2" s="35" t="s">
        <v>464</v>
      </c>
      <c r="AQ2" s="35" t="s">
        <v>465</v>
      </c>
      <c r="AR2" s="35" t="s">
        <v>466</v>
      </c>
      <c r="AS2" s="35" t="s">
        <v>467</v>
      </c>
      <c r="AT2" s="35" t="s">
        <v>468</v>
      </c>
      <c r="AU2" s="35" t="s">
        <v>469</v>
      </c>
      <c r="AV2" s="35" t="s">
        <v>470</v>
      </c>
      <c r="AW2" s="35" t="s">
        <v>471</v>
      </c>
      <c r="AX2" s="35" t="s">
        <v>472</v>
      </c>
      <c r="AY2" s="35" t="s">
        <v>473</v>
      </c>
      <c r="AZ2" s="35" t="s">
        <v>474</v>
      </c>
      <c r="BA2" s="35" t="s">
        <v>475</v>
      </c>
      <c r="BB2" s="35" t="s">
        <v>527</v>
      </c>
      <c r="BD2" s="35" t="s">
        <v>476</v>
      </c>
      <c r="BE2" s="35" t="s">
        <v>477</v>
      </c>
      <c r="BF2" s="35" t="s">
        <v>478</v>
      </c>
      <c r="BG2" s="35" t="s">
        <v>479</v>
      </c>
      <c r="BH2" s="35" t="s">
        <v>480</v>
      </c>
      <c r="BI2" s="35" t="s">
        <v>481</v>
      </c>
      <c r="BJ2" s="35" t="s">
        <v>482</v>
      </c>
      <c r="BK2" s="35" t="s">
        <v>483</v>
      </c>
      <c r="BL2" s="35" t="s">
        <v>484</v>
      </c>
      <c r="BM2" s="35" t="s">
        <v>734</v>
      </c>
      <c r="BN2" s="35" t="s">
        <v>735</v>
      </c>
      <c r="BO2" s="35" t="s">
        <v>736</v>
      </c>
      <c r="BP2" s="35" t="s">
        <v>737</v>
      </c>
      <c r="BQ2" s="35" t="s">
        <v>738</v>
      </c>
      <c r="BR2" s="35" t="s">
        <v>739</v>
      </c>
      <c r="BS2" s="35" t="s">
        <v>740</v>
      </c>
      <c r="BT2" s="35" t="s">
        <v>741</v>
      </c>
      <c r="BU2" s="35" t="s">
        <v>742</v>
      </c>
      <c r="BV2" s="35" t="s">
        <v>743</v>
      </c>
      <c r="BW2" s="35" t="s">
        <v>744</v>
      </c>
      <c r="BX2" s="35" t="s">
        <v>745</v>
      </c>
      <c r="BY2" s="35" t="s">
        <v>746</v>
      </c>
      <c r="BZ2" t="s">
        <v>978</v>
      </c>
      <c r="CA2" t="s">
        <v>981</v>
      </c>
    </row>
    <row r="3" spans="1:79" x14ac:dyDescent="0.3">
      <c r="A3" s="39" t="str" cm="1">
        <f t="array" ref="A3:A56">_xlfn.LET(_xlpm.v,_xlfn._xlws.FILTER(Линии[Щит],Линии[_№ места (итог)]&lt;&gt;""),IF(_xlpm.v="","",_xlpm.v))</f>
        <v>ВРУ</v>
      </c>
      <c r="B3" s="42" cm="1">
        <f t="array" ref="B3:B56">_xlfn.LET(_xlpm.v,_xlfn._xlws.FILTER(Линии[_№ места (итог)],Линии[_№ места (итог)]&lt;&gt;""),IF(_xlpm.v="","",_xlpm.v))</f>
        <v>1</v>
      </c>
      <c r="C3" s="42" cm="1">
        <f t="array" ref="C3:C56">_xlfn.LET(_xlpm.v,_xlfn._xlws.FILTER(Линии[Лист схемы],Линии[_№ места (итог)]&lt;&gt;""),IF(_xlpm.v="","",_xlpm.v))</f>
        <v>1</v>
      </c>
      <c r="D3" s="75" t="str" cm="1">
        <f t="array" ref="D3:D56">_xlfn.LET(_xlpm.v,_xlfn._xlws.FILTER(Линии[Шина],Линии[_№ места (итог)]&lt;&gt;""),IF(_xlpm.v="","",_xlpm.v))</f>
        <v/>
      </c>
      <c r="E3" s="75" t="str" cm="1">
        <f t="array" ref="E3:E56">_xlfn.LET(_xlpm.v,_xlfn._xlws.FILTER(Линии[_автомат для схемы],Линии[_№ места (итог)]&lt;&gt;""),IF(_xlpm.v="","",_xlpm.v))</f>
        <v>авто</v>
      </c>
      <c r="F3" s="76" t="str" cm="1">
        <f t="array" ref="F3:F56">_xlfn.LET(_xlpm.v,_xlfn._xlws.FILTER(Линии[_мА для схемы],Линии[_№ места (итог)]&lt;&gt;""),IF(_xlpm.v="","",_xlpm.v))</f>
        <v/>
      </c>
      <c r="G3" s="47" t="str" cm="1">
        <f t="array" ref="G3:G56">_xlfn.LET(_xlpm.v,_xlfn._xlws.FILTER(Линии[QF],Линии[_№ места (итог)]&lt;&gt;""),IF(_xlpm.v="","",_xlpm.v))</f>
        <v/>
      </c>
      <c r="H3" s="47" t="str" cm="1">
        <f t="array" ref="H3:H56">_xlfn.LET(_xlpm.v,_xlfn._xlws.FILTER(Линии[Автомат (схема)],Линии[_№ места (итог)]&lt;&gt;""),IF(_xlpm.v="","",_xlpm.v))</f>
        <v>3P С80А</v>
      </c>
      <c r="I3" s="75" t="str" cm="1">
        <f t="array" ref="I3:I56">_xlfn.LET(_xlpm.v,_xlfn._xlws.FILTER(Линии[Аппарат 1],Линии[_№ места (итог)]&lt;&gt;""),IF(_xlpm.v="","",_xlpm.v))</f>
        <v/>
      </c>
      <c r="J3" s="76" t="str" cm="1">
        <f t="array" ref="J3:J56">_xlfn.LET(_xlpm.v,_xlfn._xlws.FILTER(Линии[Аппарат 2],Линии[_№ места (итог)]&lt;&gt;""),IF(_xlpm.v="","",_xlpm.v))</f>
        <v/>
      </c>
      <c r="K3" s="76" t="str" cm="1">
        <f t="array" ref="K3:K56">_xlfn.LET(_xlpm.v,_xlfn._xlws.FILTER(Линии[Аппарат 3],Линии[_№ места (итог)]&lt;&gt;""),IF(_xlpm.v="","",_xlpm.v))</f>
        <v/>
      </c>
      <c r="L3" s="75" t="str" cm="1">
        <f t="array" ref="L3:L56">_xlfn.LET(_xlpm.v,_xlfn._xlws.FILTER(Линии[Модуль],Линии[_№ места (итог)]&lt;&gt;""),IF(_xlpm.v="","",_xlpm.v))</f>
        <v/>
      </c>
      <c r="M3" s="49" t="str" cm="1">
        <f t="array" ref="M3:M56">_xlfn.LET(_xlpm.v,_xlfn._xlws.FILTER(Линии[_Модуль (схема)],Линии[_№ места (итог)]&lt;&gt;""),IF(_xlpm.v="","",_xlpm.v))</f>
        <v/>
      </c>
      <c r="N3" s="76" t="str" cm="1">
        <f t="array" ref="N3:N56">_xlfn.LET(_xlpm.v,_xlfn._xlws.FILTER(Линии[Канал],Линии[_№ места (итог)]&lt;&gt;""),IF(_xlpm.v="","",_xlpm.v))</f>
        <v/>
      </c>
      <c r="O3" s="49" t="str" cm="1">
        <f t="array" ref="O3:O56">_xlfn.LET(_xlpm.v,_xlfn._xlws.FILTER(Линии[Канал (итог)],Линии[_№ места (итог)]&lt;&gt;""),IF(_xlpm.v="","",_xlpm.v))</f>
        <v/>
      </c>
      <c r="P3" s="77" t="str" cm="1">
        <f t="array" ref="P3:P56">_xlfn.LET(_xlpm.v,_xlfn._xlws.FILTER(Линии[Клемма (итог)],Линии[_№ места (итог)]&lt;&gt;""),IF(_xlpm.v="","",_xlpm.v))</f>
        <v/>
      </c>
      <c r="Q3" s="53" t="str" cm="1">
        <f t="array" ref="Q3:Q56">_xlfn.LET(_xlpm.v,_xlfn._xlws.FILTER(Линии[Кабель (строкой)],Линии[_№ места (итог)]&lt;&gt;""),IF(_xlpm.v="","",_xlpm.v))</f>
        <v>ВВГнг(А)-LS (5х95)</v>
      </c>
      <c r="R3" s="54" t="str" cm="1">
        <f t="array" ref="R3:R56">_xlfn.LET(_xlpm.v,_xlfn._xlws.FILTER(Линии[Номер линии],Линии[_№ места (итог)]&lt;&gt;""),IF(_xlpm.v="","",_xlpm.v))</f>
        <v>Ввод.1</v>
      </c>
      <c r="S3" s="55" t="str" cm="1">
        <f t="array" ref="S3:S56">_xlfn.LET(_xlpm.v,_xlfn._xlws.FILTER(Линии[Наименование (итог)],Линии[_№ места (итог)]&lt;&gt;""),IF(_xlpm.v="","",_xlpm.v))</f>
        <v>Ввод 1 от ТП</v>
      </c>
      <c r="T3" s="56" cm="1">
        <f t="array" ref="T3:T56">_xlfn.LET(_xlpm.v,_xlfn._xlws.FILTER(Линии[_Р схемы],Линии[_№ места (итог)]&lt;&gt;""),IF(_xlpm.v="","",_xlpm.v))</f>
        <v>43.93</v>
      </c>
      <c r="U3" s="56" cm="1">
        <f t="array" ref="U3:U56">_xlfn.LET(_xlpm.v,_xlfn._xlws.FILTER(Линии[_Ток схемы],Линии[_№ места (итог)]&lt;&gt;""),IF(_xlpm.v="","",_xlpm.v))</f>
        <v>56.9</v>
      </c>
      <c r="V3" s="42" t="str" cm="1">
        <f t="array" ref="V3:V56">_xlfn.LET(_xlpm.v,_xlfn._xlws.FILTER(Линии[_фаза итог],Линии[_№ места (итог)]&lt;&gt;""),IF(_xlpm.v="","",_xlpm.v))</f>
        <v>L1,L2,L3</v>
      </c>
      <c r="W3" s="57" t="str" cm="1">
        <f t="array" ref="W3:W56">_xlfn.LET(_xlpm.v,_xlfn._xlws.FILTER(Линии[Проверка автомата],Линии[_№ места (итог)]&lt;&gt;""),IF(_xlpm.v="","",_xlpm.v))</f>
        <v>ok</v>
      </c>
      <c r="X3" s="58" t="str" cm="1">
        <f t="array" ref="X3:X56">_xlfn.LET(_xlpm.v,_xlfn._xlws.FILTER(Линии[Проверка канала],Линии[_№ места (итог)]&lt;&gt;""),IF(_xlpm.v="","",_xlpm.v))</f>
        <v/>
      </c>
      <c r="Y3" s="75" t="str" cm="1">
        <f t="array" ref="Y3:Y56">_xlfn.LET(_xlpm.v,_xlfn._xlws.FILTER(Линии[Режим],Линии[_№ места (итог)]&lt;&gt;""),IF(_xlpm.v="","",_xlpm.v))</f>
        <v>вручную</v>
      </c>
      <c r="Z3" s="59" cm="1">
        <f t="array" ref="Z3:Z56">_xlfn.LET(_xlpm.v,_xlfn._xlws.FILTER(Линии[_ток группы],Линии[_№ места (итог)]&lt;&gt;""),IF(_xlpm.v="","",_xlpm.v))</f>
        <v>56.895065355139202</v>
      </c>
      <c r="AA3" s="61" cm="1">
        <f t="array" ref="AA3:AA56">_xlfn.LET(_xlpm.v,_xlfn._xlws.FILTER(Линии[_авто номинал],Линии[_№ места (итог)]&lt;&gt;""),IF(_xlpm.v="","",_xlpm.v))</f>
        <v>80</v>
      </c>
      <c r="AB3" s="61" cm="1">
        <f t="array" ref="AB3:AB56">_xlfn.LET(_xlpm.v,_xlfn._xlws.FILTER(Линии[_макс. автомат по кабелю],Линии[_№ места (итог)]&lt;&gt;""),IF(_xlpm.v="","",_xlpm.v))</f>
        <v>200</v>
      </c>
      <c r="AC3" s="61" t="str" cm="1">
        <f t="array" ref="AC3:AC56">_xlfn.LET(_xlpm.v,_xlfn._xlws.FILTER(Линии[_модель (схема)],Линии[_№ места (итог)]&lt;&gt;""),IF(_xlpm.v="","",_xlpm.v))</f>
        <v/>
      </c>
      <c r="AD3" s="62" t="str" cm="1">
        <f t="array" ref="AD3:AD56">_xlfn.LET(_xlpm.v,_xlfn._xlws.FILTER(Линии[_цепь],Линии[_№ места (итог)]&lt;&gt;""),IF(_xlpm.v="","",_xlpm.v))</f>
        <v/>
      </c>
      <c r="AE3" s="62" t="str" cm="1">
        <f t="array" ref="AE3:AE56">_xlfn.LET(_xlpm.v,_xlfn._xlws.FILTER(Линии[_статус],Линии[_№ места (итог)]&lt;&gt;""),IF(_xlpm.v="","",_xlpm.v))</f>
        <v/>
      </c>
      <c r="AF3" s="34" t="str" cm="1">
        <f t="array" ref="AF3:AF56">_xlfn.LET(_xlpm.v,_xlfn._xlws.FILTER(Линии[_гр.],Линии[_№ места (итог)]&lt;&gt;""),IF(_xlpm.v="","",_xlpm.v))</f>
        <v/>
      </c>
      <c r="AG3" s="34" t="str" cm="1">
        <f t="array" ref="AG3:AG56">_xlfn.LET(_xlpm.v,_xlfn._xlws.FILTER(Линии[_QF гр.],Линии[_№ места (итог)]&lt;&gt;""),IF(_xlpm.v="","",_xlpm.v))</f>
        <v/>
      </c>
      <c r="AH3" s="34" t="str" cm="1">
        <f t="array" ref="AH3:AH56">_xlfn.LET(_xlpm.v,_xlfn._xlws.FILTER(Линии[_модуль гр.],Линии[_№ места (итог)]&lt;&gt;""),IF(_xlpm.v="","",_xlpm.v))</f>
        <v/>
      </c>
      <c r="AI3" s="34" t="str" cm="1">
        <f t="array" ref="AI3:AI56">_xlfn.LET(_xlpm.v,_xlfn._xlws.FILTER(Линии[_модель гр.],Линии[_№ места (итог)]&lt;&gt;""),IF(_xlpm.v="","",_xlpm.v))</f>
        <v/>
      </c>
      <c r="AJ3" s="34" t="str" cm="1">
        <f t="array" ref="AJ3:AJ56">_xlfn.LET(_xlpm.v,_xlfn._xlws.FILTER(Линии[_QF нач.],Линии[_№ места (итог)]&lt;&gt;""),IF(_xlpm.v="","",_xlpm.v))</f>
        <v/>
      </c>
      <c r="AK3" s="34" cm="1">
        <f t="array" ref="AK3:AK56">_xlfn.LET(_xlpm.v,_xlfn._xlws.FILTER(Линии[_фаз],Линии[_№ места (итог)]&lt;&gt;""),IF(_xlpm.v="","",_xlpm.v))</f>
        <v>3</v>
      </c>
      <c r="AL3" s="34" t="str" cm="1">
        <f t="array" ref="AL3:AL56">_xlfn.LET(_xlpm.v,_xlfn._xlws.FILTER(Линии[Код],Линии[_№ места (итог)]&lt;&gt;""),IF(_xlpm.v="","",_xlpm.v))</f>
        <v>Ввод</v>
      </c>
      <c r="AM3" s="34" cm="1">
        <f t="array" ref="AM3:AM56">_xlfn.LET(_xlpm.v,_xlfn._xlws.FILTER(Линии[_дифзащита по коду, мА],Линии[_№ места (итог)]&lt;&gt;""),IF(_xlpm.v="","",_xlpm.v))</f>
        <v>0</v>
      </c>
      <c r="AN3" s="34" cm="1">
        <f t="array" ref="AN3:AN56">_xlfn.LET(_xlpm.v,_xlfn._xlws.FILTER(Линии[_в кабель выше],Линии[_№ места (итог)]&lt;&gt;""),IF(_xlpm.v="","",_xlpm.v))</f>
        <v>0</v>
      </c>
      <c r="AO3" s="34" cm="1">
        <f t="array" ref="AO3:AO56">_xlfn.LET(_xlpm.v,_xlfn._xlws.FILTER(Линии[_авто номинал],Линии[_№ места (итог)]&lt;&gt;""),IF(_xlpm.v="","",_xlpm.v))</f>
        <v>80</v>
      </c>
      <c r="AP3" s="34" cm="1">
        <f t="array" ref="AP3:AP56">_xlfn.LET(_xlpm.v,_xlfn._xlws.FILTER(Линии[_макс. автомат по кабелю],Линии[_№ места (итог)]&lt;&gt;""),IF(_xlpm.v="","",_xlpm.v))</f>
        <v>200</v>
      </c>
      <c r="AQ3" s="34" cm="1">
        <f t="array" ref="AQ3:AQ56">_xlfn.LET(_xlpm.v,_xlfn._xlws.FILTER(Линии[_номинал итог],Линии[_№ места (итог)]&lt;&gt;""),IF(_xlpm.v="","",_xlpm.v))</f>
        <v>80</v>
      </c>
      <c r="AR3" s="34" cm="1">
        <f t="array" ref="AR3:AR56">_xlfn.LET(_xlpm.v,_xlfn._xlws.FILTER(Линии[_фаз группы],Линии[_№ места (итог)]&lt;&gt;""),IF(_xlpm.v="","",_xlpm.v))</f>
        <v>3</v>
      </c>
      <c r="AS3" s="34" cm="1">
        <f t="array" ref="AS3:AS56">_xlfn.LET(_xlpm.v,_xlfn._xlws.FILTER(Линии[_дифзащита гр. (0/1)],Линии[_№ места (итог)]&lt;&gt;""),IF(_xlpm.v="","",_xlpm.v))</f>
        <v>0</v>
      </c>
      <c r="AT3" s="34" t="str" cm="1">
        <f t="array" ref="AT3:AT56">_xlfn.LET(_xlpm.v,_xlfn._xlws.FILTER(Линии[_полюса],Линии[_№ места (итог)]&lt;&gt;""),IF(_xlpm.v="","",_xlpm.v))</f>
        <v>3P</v>
      </c>
      <c r="AU3" s="34" cm="1">
        <f t="array" ref="AU3:AU56">_xlfn.LET(_xlpm.v,_xlfn._xlws.FILTER(Линии[_номинал итог],Линии[_№ места (итог)]&lt;&gt;""),IF(_xlpm.v="","",_xlpm.v))</f>
        <v>80</v>
      </c>
      <c r="AV3" s="34" t="str" cm="1">
        <f t="array" ref="AV3:AV56">_xlfn.LET(_xlpm.v,_xlfn._xlws.FILTER(Линии[_префикс],Линии[_№ места (итог)]&lt;&gt;""),IF(_xlpm.v="","",_xlpm.v))</f>
        <v/>
      </c>
      <c r="AW3" s="34" t="str" cm="1">
        <f t="array" ref="AW3:AW56">_xlfn.LET(_xlpm.v,_xlfn._xlws.FILTER(Линии[_модуль нач.],Линии[_№ места (итог)]&lt;&gt;""),IF(_xlpm.v="","",_xlpm.v))</f>
        <v/>
      </c>
      <c r="AX3" s="34" t="str" cm="1">
        <f t="array" ref="AX3:AX56">_xlfn.LET(_xlpm.v,_xlfn._xlws.FILTER(Линии[_посл. канал],Линии[_№ места (итог)]&lt;&gt;""),IF(_xlpm.v="","",_xlpm.v))</f>
        <v/>
      </c>
      <c r="AY3" s="34" cm="1">
        <f t="array" ref="AY3:AY56">_xlfn.LET(_xlpm.v,_xlfn._xlws.FILTER(Линии[_клемма],Линии[_№ места (итог)]&lt;&gt;""),IF(_xlpm.v="","",_xlpm.v))</f>
        <v>0</v>
      </c>
      <c r="AZ3" s="34" t="str" cm="1">
        <f t="array" ref="AZ3:AZ56">_xlfn.LET(_xlpm.v,_xlfn._xlws.FILTER(Линии[_аппараты гр.],Линии[_№ места (итог)]&lt;&gt;""),IF(_xlpm.v="","",_xlpm.v))</f>
        <v/>
      </c>
      <c r="BA3" s="34" cm="1">
        <f t="array" ref="BA3:BA56">_xlfn.LET(_xlpm.v,_xlfn._xlws.FILTER(Линии[_БП/тр-р],Линии[_№ места (итог)]&lt;&gt;""),IF(_xlpm.v="","",_xlpm.v))</f>
        <v>0</v>
      </c>
      <c r="BB3" s="34" cm="1">
        <f t="array" ref="BB3:BB56">_xlfn.LET(_xlpm.v,_xlfn._xlws.FILTER(Линии[_мин. по типу],Линии[_№ места (итог)]&lt;&gt;""),IF(_xlpm.v="","",_xlpm.v))</f>
        <v>0</v>
      </c>
      <c r="BD3" s="34" cm="1">
        <f t="array" ref="BD3:BD56">_xlfn.LET(_xlpm.v,_xlfn._xlws.FILTER(Линии[_draw],Линии[_№ места (итог)]&lt;&gt;""),IF(_xlpm.v="","",_xlpm.v))</f>
        <v>0</v>
      </c>
      <c r="BE3" s="34" cm="1">
        <f t="array" ref="BE3:BE56">_xlfn.LET(_xlpm.v,_xlfn._xlws.FILTER(Линии[_bus2],Линии[_№ места (итог)]&lt;&gt;""),IF(_xlpm.v="","",_xlpm.v))</f>
        <v>0</v>
      </c>
      <c r="BF3" s="34" cm="1">
        <f t="array" ref="BF3:BF56">_xlfn.LET(_xlpm.v,_xlfn._xlws.FILTER(Линии[_rcd],Линии[_№ места (итог)]&lt;&gt;""),IF(_xlpm.v="","",_xlpm.v))</f>
        <v>0</v>
      </c>
      <c r="BG3" s="34" t="str" cm="1">
        <f t="array" ref="BG3:BG56">_xlfn.LET(_xlpm.v,_xlfn._xlws.FILTER(Линии[_chtype],Линии[_№ места (итог)]&lt;&gt;""),IF(_xlpm.v="","",_xlpm.v))</f>
        <v/>
      </c>
      <c r="BH3" s="34" t="str" cm="1">
        <f t="array" ref="BH3:BH56">_xlfn.LET(_xlpm.v,_xlfn._xlws.FILTER(Линии[_dev1],Линии[_№ места (итог)]&lt;&gt;""),IF(_xlpm.v="","",_xlpm.v))</f>
        <v/>
      </c>
      <c r="BI3" s="34" t="str" cm="1">
        <f t="array" ref="BI3:BI56">_xlfn.LET(_xlpm.v,_xlfn._xlws.FILTER(Линии[_dev2],Линии[_№ места (итог)]&lt;&gt;""),IF(_xlpm.v="","",_xlpm.v))</f>
        <v/>
      </c>
      <c r="BJ3" s="34" t="str" cm="1">
        <f t="array" ref="BJ3:BJ56">_xlfn.LET(_xlpm.v,_xlfn._xlws.FILTER(Линии[_dev3],Линии[_№ места (итог)]&lt;&gt;""),IF(_xlpm.v="","",_xlpm.v))</f>
        <v/>
      </c>
      <c r="BK3" s="34" t="str" cm="1">
        <f t="array" ref="BK3:BK56">_xlfn.LET(_xlpm.v,_xlfn._xlws.FILTER(Линии[_sym],Линии[_№ места (итог)]&lt;&gt;""),IF(_xlpm.v="","",_xlpm.v))</f>
        <v>BOX</v>
      </c>
      <c r="BL3" s="34" cm="1">
        <f t="array" ref="BL3:BL56">_xlfn.LET(_xlpm.v,_xlfn._xlws.FILTER(Линии[_hasline],Линии[_№ места (итог)]&lt;&gt;""),IF(_xlpm.v="","",_xlpm.v))</f>
        <v>1</v>
      </c>
      <c r="BM3" s="34" cm="1">
        <f t="array" ref="BM3:BM56">_xlfn.LET(_xlpm.v,_xlfn._xlws.FILTER(Линии[_тип автомата №],Линии[_№ места (итог)]&lt;&gt;""),IF(_xlpm.v="","",_xlpm.v))</f>
        <v>1</v>
      </c>
      <c r="BN3" s="34" t="str" cm="1">
        <f t="array" ref="BN3:BN56">_xlfn.LET(_xlpm.v,_xlfn._xlws.FILTER(Линии[_аппарат 1 №],Линии[_№ места (итог)]&lt;&gt;""),IF(_xlpm.v="","",_xlpm.v))</f>
        <v/>
      </c>
      <c r="BO3" s="34" t="str" cm="1">
        <f t="array" ref="BO3:BO56">_xlfn.LET(_xlpm.v,_xlfn._xlws.FILTER(Линии[_аппарат 2 №],Линии[_№ места (итог)]&lt;&gt;""),IF(_xlpm.v="","",_xlpm.v))</f>
        <v/>
      </c>
      <c r="BP3" s="34" t="str" cm="1">
        <f t="array" ref="BP3:BP56">_xlfn.LET(_xlpm.v,_xlfn._xlws.FILTER(Линии[_аппарат 3 №],Линии[_№ места (итог)]&lt;&gt;""),IF(_xlpm.v="","",_xlpm.v))</f>
        <v/>
      </c>
      <c r="BQ3" s="34" t="str" cm="1">
        <f t="array" ref="BQ3:BQ56">_xlfn.LET(_xlpm.v,_xlfn._xlws.FILTER(Линии[_кабель клеммы],Линии[_№ места (итог)]&lt;&gt;""),IF(_xlpm.v="","",_xlpm.v))</f>
        <v/>
      </c>
      <c r="BR3" s="34" t="str" cm="1">
        <f t="array" ref="BR3:BR56">_xlfn.LET(_xlpm.v,_xlfn._xlws.FILTER(Линии[_вид клеммы №],Линии[_№ места (итог)]&lt;&gt;""),IF(_xlpm.v="","",_xlpm.v))</f>
        <v/>
      </c>
      <c r="BS3" s="34" t="str" cm="1">
        <f t="array" ref="BS3:BS56">_xlfn.LET(_xlpm.v,_xlfn._xlws.FILTER(Линии[_модуль №],Линии[_№ места (итог)]&lt;&gt;""),IF(_xlpm.v="","",_xlpm.v))</f>
        <v/>
      </c>
      <c r="BT3" s="34" t="str" cm="1">
        <f t="array" ref="BT3:BT56">_xlfn.LET(_xlpm.v,_xlfn._xlws.FILTER(Линии[_модель №],Линии[_№ места (итог)]&lt;&gt;""),IF(_xlpm.v="","",_xlpm.v))</f>
        <v/>
      </c>
      <c r="BU3" s="34" cm="1">
        <f t="array" ref="BU3:BU56">_xlfn.LET(_xlpm.v,_xlfn._xlws.FILTER(Линии[_уровень],Линии[_№ места (итог)]&lt;&gt;""),IF(_xlpm.v="","",_xlpm.v))</f>
        <v>0</v>
      </c>
      <c r="BV3" s="34" cm="1">
        <f t="array" ref="BV3:BV56">_xlfn.LET(_xlpm.v,_xlfn._xlws.FILTER(Линии[_№ линии],Линии[_№ места (итог)]&lt;&gt;""),IF(_xlpm.v="","",_xlpm.v))</f>
        <v>1</v>
      </c>
      <c r="BW3" s="34" cm="1">
        <f t="array" ref="BW3:BW56">_xlfn.LET(_xlpm.v,_xlfn._xlws.FILTER(Линии[_3L клемм],Линии[_№ места (итог)]&lt;&gt;""),IF(_xlpm.v="","",_xlpm.v))</f>
        <v>0</v>
      </c>
      <c r="BX3" s="34" cm="1">
        <f t="array" ref="BX3:BX56">_xlfn.LET(_xlpm.v,_xlfn._xlws.FILTER(Линии[_доп. проходных],Линии[_№ места (итог)]&lt;&gt;""),IF(_xlpm.v="","",_xlpm.v))</f>
        <v>0</v>
      </c>
      <c r="BY3" s="34" cm="1">
        <f t="array" ref="BY3:BY56">_xlfn.LET(_xlpm.v,_xlfn._xlws.FILTER(Линии[_УГО (рус)],Линии[_№ места (итог)]&lt;&gt;""),IF(_xlpm.v="","",_xlpm.v))</f>
        <v>0</v>
      </c>
      <c r="BZ3" cm="1">
        <f t="array" ref="BZ3:BZ56">_xlfn.LET(_xlpm.v,_xlfn._xlws.FILTER(Линии[_№ щита],Линии[_№ места (итог)]&lt;&gt;""),IF(_xlpm.v="","",_xlpm.v))</f>
        <v>1</v>
      </c>
      <c r="CA3" t="str" cm="1">
        <f t="array" ref="CA3:CA56">_xlfn.LET(_xlpm.v,_xlfn._xlws.FILTER(Линии[_зона],Линии[_№ места (итог)]&lt;&gt;""),IF(_xlpm.v="","",_xlpm.v))</f>
        <v>вводной узел</v>
      </c>
    </row>
    <row r="4" spans="1:79" x14ac:dyDescent="0.3">
      <c r="A4" s="39" t="str">
        <v>ВРУ</v>
      </c>
      <c r="B4" s="42">
        <v>3</v>
      </c>
      <c r="C4" s="42">
        <v>1</v>
      </c>
      <c r="D4" s="75" t="str">
        <v/>
      </c>
      <c r="E4" s="75" t="str">
        <v>авто</v>
      </c>
      <c r="F4" s="76" t="str">
        <v/>
      </c>
      <c r="G4" s="47" t="str">
        <v/>
      </c>
      <c r="H4" s="47" t="str">
        <v>3P С80А</v>
      </c>
      <c r="I4" s="75" t="str">
        <v/>
      </c>
      <c r="J4" s="76" t="str">
        <v/>
      </c>
      <c r="K4" s="76" t="str">
        <v/>
      </c>
      <c r="L4" s="75" t="str">
        <v/>
      </c>
      <c r="M4" s="49" t="str">
        <v/>
      </c>
      <c r="N4" s="76" t="str">
        <v/>
      </c>
      <c r="O4" s="49" t="str">
        <v/>
      </c>
      <c r="P4" s="77" t="str">
        <v/>
      </c>
      <c r="Q4" s="53" t="str">
        <v>ВВГнг(А)-LS (5х95)</v>
      </c>
      <c r="R4" s="54" t="str">
        <v>Ввод.2</v>
      </c>
      <c r="S4" s="55" t="str">
        <v>Ввод 2 от ТП</v>
      </c>
      <c r="T4" s="56">
        <v>43.93</v>
      </c>
      <c r="U4" s="56">
        <v>56.9</v>
      </c>
      <c r="V4" s="42" t="str">
        <v>L1,L2,L3</v>
      </c>
      <c r="W4" s="57" t="str">
        <v>ok</v>
      </c>
      <c r="X4" s="58" t="str">
        <v/>
      </c>
      <c r="Y4" s="75" t="str">
        <v>вручную</v>
      </c>
      <c r="Z4" s="59">
        <v>56.895065355139202</v>
      </c>
      <c r="AA4" s="61">
        <v>80</v>
      </c>
      <c r="AB4" s="61">
        <v>200</v>
      </c>
      <c r="AC4" s="61" t="str">
        <v/>
      </c>
      <c r="AD4" s="62" t="str">
        <v/>
      </c>
      <c r="AE4" s="62" t="str">
        <v/>
      </c>
      <c r="AF4" s="34" t="str">
        <v/>
      </c>
      <c r="AG4" s="34" t="str">
        <v/>
      </c>
      <c r="AH4" s="34" t="str">
        <v/>
      </c>
      <c r="AI4" s="34" t="str">
        <v/>
      </c>
      <c r="AJ4" s="34" t="str">
        <v/>
      </c>
      <c r="AK4" s="34">
        <v>3</v>
      </c>
      <c r="AL4" s="34" t="str">
        <v>Ввод</v>
      </c>
      <c r="AM4" s="34">
        <v>0</v>
      </c>
      <c r="AN4" s="34">
        <v>0</v>
      </c>
      <c r="AO4" s="34">
        <v>80</v>
      </c>
      <c r="AP4" s="34">
        <v>200</v>
      </c>
      <c r="AQ4" s="34">
        <v>80</v>
      </c>
      <c r="AR4" s="34">
        <v>3</v>
      </c>
      <c r="AS4" s="34">
        <v>0</v>
      </c>
      <c r="AT4" s="34" t="str">
        <v>3P</v>
      </c>
      <c r="AU4" s="34">
        <v>80</v>
      </c>
      <c r="AV4" s="34" t="str">
        <v/>
      </c>
      <c r="AW4" s="34" t="str">
        <v/>
      </c>
      <c r="AX4" s="34" t="str">
        <v/>
      </c>
      <c r="AY4" s="34">
        <v>0</v>
      </c>
      <c r="AZ4" s="34" t="str">
        <v/>
      </c>
      <c r="BA4" s="34">
        <v>0</v>
      </c>
      <c r="BB4" s="34">
        <v>0</v>
      </c>
      <c r="BD4" s="34">
        <v>0</v>
      </c>
      <c r="BE4" s="34">
        <v>0</v>
      </c>
      <c r="BF4" s="34">
        <v>0</v>
      </c>
      <c r="BG4" s="34" t="str">
        <v/>
      </c>
      <c r="BH4" s="34" t="str">
        <v/>
      </c>
      <c r="BI4" s="34" t="str">
        <v/>
      </c>
      <c r="BJ4" s="34" t="str">
        <v/>
      </c>
      <c r="BK4" s="34" t="str">
        <v>BOX</v>
      </c>
      <c r="BL4" s="34">
        <v>1</v>
      </c>
      <c r="BM4" s="34" t="str">
        <v/>
      </c>
      <c r="BN4" s="34" t="str">
        <v/>
      </c>
      <c r="BO4" s="34" t="str">
        <v/>
      </c>
      <c r="BP4" s="34" t="str">
        <v/>
      </c>
      <c r="BQ4" s="34" t="str">
        <v/>
      </c>
      <c r="BR4" s="34" t="str">
        <v/>
      </c>
      <c r="BS4" s="34" t="str">
        <v/>
      </c>
      <c r="BT4" s="34" t="str">
        <v/>
      </c>
      <c r="BU4" s="34">
        <v>0</v>
      </c>
      <c r="BV4" s="34">
        <v>2</v>
      </c>
      <c r="BW4" s="34">
        <v>0</v>
      </c>
      <c r="BX4" s="34">
        <v>0</v>
      </c>
      <c r="BY4" s="34">
        <v>0</v>
      </c>
      <c r="BZ4">
        <v>1</v>
      </c>
      <c r="CA4" t="str">
        <v>вводной узел</v>
      </c>
    </row>
    <row r="5" spans="1:79" x14ac:dyDescent="0.3">
      <c r="A5" s="39" t="str">
        <v>ВРУ</v>
      </c>
      <c r="B5" s="42">
        <v>4</v>
      </c>
      <c r="C5" s="42">
        <v>1</v>
      </c>
      <c r="D5" s="75" t="str">
        <v/>
      </c>
      <c r="E5" s="75" t="str">
        <v>авто</v>
      </c>
      <c r="F5" s="76" t="str">
        <v/>
      </c>
      <c r="G5" s="47" t="str">
        <v>QF1</v>
      </c>
      <c r="H5" s="47" t="str">
        <v>1P С6А</v>
      </c>
      <c r="I5" s="75" t="str">
        <v/>
      </c>
      <c r="J5" s="76" t="str">
        <v/>
      </c>
      <c r="K5" s="76" t="str">
        <v/>
      </c>
      <c r="L5" s="75" t="str">
        <v/>
      </c>
      <c r="M5" s="49" t="str">
        <v/>
      </c>
      <c r="N5" s="76" t="str">
        <v/>
      </c>
      <c r="O5" s="49" t="str">
        <v/>
      </c>
      <c r="P5" s="77" t="str">
        <v>XT1</v>
      </c>
      <c r="Q5" s="53" t="str">
        <v>ВВГнг(А)-LS (3х1,5) L=3-0,02%</v>
      </c>
      <c r="R5" s="54" t="str">
        <v>АСУ.0.001.1</v>
      </c>
      <c r="S5" s="55" t="str">
        <v>Питание автоматики АВР</v>
      </c>
      <c r="T5" s="56">
        <v>0.1</v>
      </c>
      <c r="U5" s="56">
        <v>0.46</v>
      </c>
      <c r="V5" s="42" t="str">
        <v>L3</v>
      </c>
      <c r="W5" s="57" t="str">
        <v>ok</v>
      </c>
      <c r="X5" s="58" t="str">
        <v/>
      </c>
      <c r="Y5" s="75" t="str">
        <v>рисовать</v>
      </c>
      <c r="Z5" s="59">
        <v>0.455802844097073</v>
      </c>
      <c r="AA5" s="61">
        <v>6</v>
      </c>
      <c r="AB5" s="61">
        <v>16</v>
      </c>
      <c r="AC5" s="61" t="str">
        <v/>
      </c>
      <c r="AD5" s="62" t="str">
        <v>QF1 → XT1</v>
      </c>
      <c r="AE5" s="62" t="str">
        <v/>
      </c>
      <c r="AF5" s="34">
        <v>1</v>
      </c>
      <c r="AG5" s="34" t="str">
        <v>QF1</v>
      </c>
      <c r="AH5" s="34" t="str">
        <v/>
      </c>
      <c r="AI5" s="34" t="str">
        <v/>
      </c>
      <c r="AJ5" s="34" t="str">
        <v>QF1</v>
      </c>
      <c r="AK5" s="34">
        <v>1</v>
      </c>
      <c r="AL5" s="34" t="str">
        <v>АСУ</v>
      </c>
      <c r="AM5" s="34">
        <v>0</v>
      </c>
      <c r="AN5" s="34">
        <v>0</v>
      </c>
      <c r="AO5" s="34">
        <v>6</v>
      </c>
      <c r="AP5" s="34">
        <v>16</v>
      </c>
      <c r="AQ5" s="34">
        <v>6</v>
      </c>
      <c r="AR5" s="34">
        <v>1</v>
      </c>
      <c r="AS5" s="34">
        <v>0</v>
      </c>
      <c r="AT5" s="34" t="str">
        <v>1P</v>
      </c>
      <c r="AU5" s="34">
        <v>6</v>
      </c>
      <c r="AV5" s="34" t="str">
        <v/>
      </c>
      <c r="AW5" s="34" t="str">
        <v/>
      </c>
      <c r="AX5" s="34" t="str">
        <v/>
      </c>
      <c r="AY5" s="34">
        <v>1</v>
      </c>
      <c r="AZ5" s="34" t="str">
        <v/>
      </c>
      <c r="BA5" s="34">
        <v>0</v>
      </c>
      <c r="BB5" s="34">
        <v>0</v>
      </c>
      <c r="BD5" s="34">
        <v>1</v>
      </c>
      <c r="BE5" s="34">
        <v>0</v>
      </c>
      <c r="BF5" s="34">
        <v>0</v>
      </c>
      <c r="BG5" s="34" t="str">
        <v/>
      </c>
      <c r="BH5" s="34" t="str">
        <v/>
      </c>
      <c r="BI5" s="34" t="str">
        <v/>
      </c>
      <c r="BJ5" s="34" t="str">
        <v/>
      </c>
      <c r="BK5" s="34" t="str">
        <v>BOX</v>
      </c>
      <c r="BL5" s="34">
        <v>1</v>
      </c>
      <c r="BM5" s="34">
        <v>2</v>
      </c>
      <c r="BN5" s="34" t="str">
        <v/>
      </c>
      <c r="BO5" s="34" t="str">
        <v/>
      </c>
      <c r="BP5" s="34" t="str">
        <v/>
      </c>
      <c r="BQ5" s="34" t="str">
        <v>3х1,5</v>
      </c>
      <c r="BR5" s="34">
        <v>1</v>
      </c>
      <c r="BS5" s="34" t="str">
        <v/>
      </c>
      <c r="BT5" s="34" t="str">
        <v/>
      </c>
      <c r="BU5" s="34">
        <v>0</v>
      </c>
      <c r="BV5" s="34">
        <v>3</v>
      </c>
      <c r="BW5" s="34">
        <v>1</v>
      </c>
      <c r="BX5" s="34">
        <v>0</v>
      </c>
      <c r="BY5" s="34" t="str">
        <v>Прочее (прямоуг. с подписью)</v>
      </c>
      <c r="BZ5">
        <v>1</v>
      </c>
      <c r="CA5" t="str">
        <v>вводной узел</v>
      </c>
    </row>
    <row r="6" spans="1:79" x14ac:dyDescent="0.3">
      <c r="A6" s="39" t="str">
        <v>ВРУ</v>
      </c>
      <c r="B6" s="42">
        <v>20</v>
      </c>
      <c r="C6" s="42">
        <v>2</v>
      </c>
      <c r="D6" s="75" t="str">
        <v/>
      </c>
      <c r="E6" s="75" t="str">
        <v>авто</v>
      </c>
      <c r="F6" s="76">
        <v>30</v>
      </c>
      <c r="G6" s="47" t="str">
        <v>QFD2</v>
      </c>
      <c r="H6" s="47" t="str">
        <v>2P С16А 30мА</v>
      </c>
      <c r="I6" s="75" t="str">
        <v/>
      </c>
      <c r="J6" s="76" t="str">
        <v/>
      </c>
      <c r="K6" s="76" t="str">
        <v/>
      </c>
      <c r="L6" s="75" t="str">
        <v/>
      </c>
      <c r="M6" s="49" t="str">
        <v/>
      </c>
      <c r="N6" s="76" t="str">
        <v/>
      </c>
      <c r="O6" s="49" t="str">
        <v/>
      </c>
      <c r="P6" s="77" t="str">
        <v>XT2</v>
      </c>
      <c r="Q6" s="53" t="str">
        <v>ВВГнг(А)-LS (3х2,5) L=18-0,92%</v>
      </c>
      <c r="R6" s="54" t="str">
        <v>R.0.004.1</v>
      </c>
      <c r="S6" s="55" t="str">
        <v>Розетки техпомещения</v>
      </c>
      <c r="T6" s="56">
        <v>1.5</v>
      </c>
      <c r="U6" s="56">
        <v>6.84</v>
      </c>
      <c r="V6" s="42" t="str">
        <v>L3</v>
      </c>
      <c r="W6" s="57" t="str">
        <v>ok</v>
      </c>
      <c r="X6" s="58" t="str">
        <v/>
      </c>
      <c r="Y6" s="75" t="str">
        <v/>
      </c>
      <c r="Z6" s="59">
        <v>6.8370426614560946</v>
      </c>
      <c r="AA6" s="61">
        <v>16</v>
      </c>
      <c r="AB6" s="61">
        <v>25</v>
      </c>
      <c r="AC6" s="61" t="str">
        <v/>
      </c>
      <c r="AD6" s="62" t="str">
        <v>QFD2 → XT2</v>
      </c>
      <c r="AE6" s="62" t="str">
        <v/>
      </c>
      <c r="AF6" s="34">
        <v>2</v>
      </c>
      <c r="AG6" s="34" t="str">
        <v>QFD2</v>
      </c>
      <c r="AH6" s="34" t="str">
        <v/>
      </c>
      <c r="AI6" s="34" t="str">
        <v/>
      </c>
      <c r="AJ6" s="34" t="str">
        <v>QFD2</v>
      </c>
      <c r="AK6" s="34">
        <v>1</v>
      </c>
      <c r="AL6" s="34" t="str">
        <v>R</v>
      </c>
      <c r="AM6" s="34">
        <v>30</v>
      </c>
      <c r="AN6" s="34">
        <v>0</v>
      </c>
      <c r="AO6" s="34">
        <v>16</v>
      </c>
      <c r="AP6" s="34">
        <v>25</v>
      </c>
      <c r="AQ6" s="34">
        <v>16</v>
      </c>
      <c r="AR6" s="34">
        <v>1</v>
      </c>
      <c r="AS6" s="34">
        <v>1</v>
      </c>
      <c r="AT6" s="34" t="str">
        <v>2P</v>
      </c>
      <c r="AU6" s="34">
        <v>16</v>
      </c>
      <c r="AV6" s="34" t="str">
        <v/>
      </c>
      <c r="AW6" s="34" t="str">
        <v/>
      </c>
      <c r="AX6" s="34" t="str">
        <v/>
      </c>
      <c r="AY6" s="34">
        <v>1</v>
      </c>
      <c r="AZ6" s="34" t="str">
        <v/>
      </c>
      <c r="BA6" s="34">
        <v>0</v>
      </c>
      <c r="BB6" s="34">
        <v>16</v>
      </c>
      <c r="BD6" s="34">
        <v>1</v>
      </c>
      <c r="BE6" s="34">
        <v>0</v>
      </c>
      <c r="BF6" s="34">
        <v>1</v>
      </c>
      <c r="BG6" s="34" t="str">
        <v/>
      </c>
      <c r="BH6" s="34" t="str">
        <v/>
      </c>
      <c r="BI6" s="34" t="str">
        <v/>
      </c>
      <c r="BJ6" s="34" t="str">
        <v/>
      </c>
      <c r="BK6" s="34" t="str">
        <v>SOCKET</v>
      </c>
      <c r="BL6" s="34">
        <v>1</v>
      </c>
      <c r="BM6" s="34">
        <v>3</v>
      </c>
      <c r="BN6" s="34" t="str">
        <v/>
      </c>
      <c r="BO6" s="34" t="str">
        <v/>
      </c>
      <c r="BP6" s="34" t="str">
        <v/>
      </c>
      <c r="BQ6" s="34" t="str">
        <v>3х2,5</v>
      </c>
      <c r="BR6" s="34">
        <v>2</v>
      </c>
      <c r="BS6" s="34" t="str">
        <v/>
      </c>
      <c r="BT6" s="34" t="str">
        <v/>
      </c>
      <c r="BU6" s="34">
        <v>0</v>
      </c>
      <c r="BV6" s="34">
        <v>4</v>
      </c>
      <c r="BW6" s="34">
        <v>1</v>
      </c>
      <c r="BX6" s="34">
        <v>0</v>
      </c>
      <c r="BY6" s="34" t="str">
        <v>Розетка</v>
      </c>
      <c r="BZ6">
        <v>1</v>
      </c>
      <c r="CA6" t="str">
        <v>линии</v>
      </c>
    </row>
    <row r="7" spans="1:79" x14ac:dyDescent="0.3">
      <c r="A7" s="39" t="str">
        <v>ВРУ</v>
      </c>
      <c r="B7" s="42">
        <v>21</v>
      </c>
      <c r="C7" s="42">
        <v>2</v>
      </c>
      <c r="D7" s="75" t="str">
        <v/>
      </c>
      <c r="E7" s="75" t="str">
        <v>авто</v>
      </c>
      <c r="F7" s="76" t="str">
        <v/>
      </c>
      <c r="G7" s="47" t="str">
        <v>QF3</v>
      </c>
      <c r="H7" s="47" t="str">
        <v>3P С40А</v>
      </c>
      <c r="I7" s="75" t="str">
        <v/>
      </c>
      <c r="J7" s="76" t="str">
        <v/>
      </c>
      <c r="K7" s="76" t="str">
        <v/>
      </c>
      <c r="L7" s="75" t="str">
        <v/>
      </c>
      <c r="M7" s="49" t="str">
        <v/>
      </c>
      <c r="N7" s="76" t="str">
        <v/>
      </c>
      <c r="O7" s="49" t="str">
        <v/>
      </c>
      <c r="P7" s="77" t="str">
        <v>XT3</v>
      </c>
      <c r="Q7" s="53" t="str">
        <v>ВВГнг(А)-LS (5х10) L=25-0,69%</v>
      </c>
      <c r="R7" s="54" t="str">
        <v>ЩР-1</v>
      </c>
      <c r="S7" s="55" t="str">
        <v>Щит ЩР-1</v>
      </c>
      <c r="T7" s="56">
        <v>19.22</v>
      </c>
      <c r="U7" s="56">
        <v>29.94</v>
      </c>
      <c r="V7" s="42" t="str">
        <v>L1,L2,L3</v>
      </c>
      <c r="W7" s="57" t="str">
        <v>ok</v>
      </c>
      <c r="X7" s="58" t="str">
        <v/>
      </c>
      <c r="Y7" s="75" t="str">
        <v/>
      </c>
      <c r="Z7" s="59">
        <v>29.932612698433285</v>
      </c>
      <c r="AA7" s="61">
        <v>40</v>
      </c>
      <c r="AB7" s="61">
        <v>50</v>
      </c>
      <c r="AC7" s="61" t="str">
        <v/>
      </c>
      <c r="AD7" s="62" t="str">
        <v>QF3 → XT3</v>
      </c>
      <c r="AE7" s="62" t="str">
        <v/>
      </c>
      <c r="AF7" s="34">
        <v>3</v>
      </c>
      <c r="AG7" s="34" t="str">
        <v>QF3</v>
      </c>
      <c r="AH7" s="34" t="str">
        <v/>
      </c>
      <c r="AI7" s="34" t="str">
        <v/>
      </c>
      <c r="AJ7" s="34" t="str">
        <v>QF3</v>
      </c>
      <c r="AK7" s="34">
        <v>3</v>
      </c>
      <c r="AL7" s="34" t="str">
        <v>ЩР-1</v>
      </c>
      <c r="AM7" s="34">
        <v>0</v>
      </c>
      <c r="AN7" s="34">
        <v>0</v>
      </c>
      <c r="AO7" s="34">
        <v>40</v>
      </c>
      <c r="AP7" s="34">
        <v>50</v>
      </c>
      <c r="AQ7" s="34">
        <v>40</v>
      </c>
      <c r="AR7" s="34">
        <v>3</v>
      </c>
      <c r="AS7" s="34">
        <v>0</v>
      </c>
      <c r="AT7" s="34" t="str">
        <v>3P</v>
      </c>
      <c r="AU7" s="34">
        <v>40</v>
      </c>
      <c r="AV7" s="34" t="str">
        <v/>
      </c>
      <c r="AW7" s="34" t="str">
        <v/>
      </c>
      <c r="AX7" s="34" t="str">
        <v/>
      </c>
      <c r="AY7" s="34">
        <v>1</v>
      </c>
      <c r="AZ7" s="34" t="str">
        <v/>
      </c>
      <c r="BA7" s="34">
        <v>0</v>
      </c>
      <c r="BB7" s="34">
        <v>0</v>
      </c>
      <c r="BD7" s="34">
        <v>1</v>
      </c>
      <c r="BE7" s="34">
        <v>0</v>
      </c>
      <c r="BF7" s="34">
        <v>0</v>
      </c>
      <c r="BG7" s="34" t="str">
        <v/>
      </c>
      <c r="BH7" s="34" t="str">
        <v/>
      </c>
      <c r="BI7" s="34" t="str">
        <v/>
      </c>
      <c r="BJ7" s="34" t="str">
        <v/>
      </c>
      <c r="BK7" s="34" t="str">
        <v>BOX</v>
      </c>
      <c r="BL7" s="34">
        <v>1</v>
      </c>
      <c r="BM7" s="34">
        <v>4</v>
      </c>
      <c r="BN7" s="34" t="str">
        <v/>
      </c>
      <c r="BO7" s="34" t="str">
        <v/>
      </c>
      <c r="BP7" s="34" t="str">
        <v/>
      </c>
      <c r="BQ7" s="34" t="str">
        <v>5х10</v>
      </c>
      <c r="BR7" s="34">
        <v>3</v>
      </c>
      <c r="BS7" s="34" t="str">
        <v/>
      </c>
      <c r="BT7" s="34" t="str">
        <v/>
      </c>
      <c r="BU7" s="34">
        <v>0</v>
      </c>
      <c r="BV7" s="34">
        <v>5</v>
      </c>
      <c r="BW7" s="34">
        <v>1</v>
      </c>
      <c r="BX7" s="34">
        <v>2</v>
      </c>
      <c r="BY7" s="34" t="str">
        <v/>
      </c>
      <c r="BZ7">
        <v>1</v>
      </c>
      <c r="CA7" t="str">
        <v>линии</v>
      </c>
    </row>
    <row r="8" spans="1:79" x14ac:dyDescent="0.3">
      <c r="A8" s="39" t="str">
        <v>ВРУ</v>
      </c>
      <c r="B8" s="42">
        <v>22</v>
      </c>
      <c r="C8" s="42">
        <v>2</v>
      </c>
      <c r="D8" s="75" t="str">
        <v/>
      </c>
      <c r="E8" s="75" t="str">
        <v>авто</v>
      </c>
      <c r="F8" s="76" t="str">
        <v/>
      </c>
      <c r="G8" s="47" t="str">
        <v>QF4</v>
      </c>
      <c r="H8" s="47" t="str">
        <v>3P С25А</v>
      </c>
      <c r="I8" s="75" t="str">
        <v/>
      </c>
      <c r="J8" s="76" t="str">
        <v/>
      </c>
      <c r="K8" s="76" t="str">
        <v/>
      </c>
      <c r="L8" s="75" t="str">
        <v/>
      </c>
      <c r="M8" s="49" t="str">
        <v/>
      </c>
      <c r="N8" s="76" t="str">
        <v/>
      </c>
      <c r="O8" s="49" t="str">
        <v/>
      </c>
      <c r="P8" s="77" t="str">
        <v>XT4</v>
      </c>
      <c r="Q8" s="53" t="str">
        <v>ВВГнг(А)-LS (5х4) L=40-1,55%</v>
      </c>
      <c r="R8" s="54" t="str">
        <v>ЩС</v>
      </c>
      <c r="S8" s="55" t="str">
        <v>Щит ЩС</v>
      </c>
      <c r="T8" s="56">
        <v>11.35</v>
      </c>
      <c r="U8" s="56">
        <v>19.28</v>
      </c>
      <c r="V8" s="42" t="str">
        <v>L1,L2,L3</v>
      </c>
      <c r="W8" s="57" t="str">
        <v>ok</v>
      </c>
      <c r="X8" s="58" t="str">
        <v/>
      </c>
      <c r="Y8" s="75" t="str">
        <v/>
      </c>
      <c r="Z8" s="59">
        <v>19.279564640802732</v>
      </c>
      <c r="AA8" s="61">
        <v>25</v>
      </c>
      <c r="AB8" s="61">
        <v>32</v>
      </c>
      <c r="AC8" s="61" t="str">
        <v/>
      </c>
      <c r="AD8" s="62" t="str">
        <v>QF4 → XT4</v>
      </c>
      <c r="AE8" s="62" t="str">
        <v/>
      </c>
      <c r="AF8" s="34">
        <v>4</v>
      </c>
      <c r="AG8" s="34" t="str">
        <v>QF4</v>
      </c>
      <c r="AH8" s="34" t="str">
        <v/>
      </c>
      <c r="AI8" s="34" t="str">
        <v/>
      </c>
      <c r="AJ8" s="34" t="str">
        <v>QF4</v>
      </c>
      <c r="AK8" s="34">
        <v>3</v>
      </c>
      <c r="AL8" s="34" t="str">
        <v>ЩС</v>
      </c>
      <c r="AM8" s="34">
        <v>0</v>
      </c>
      <c r="AN8" s="34">
        <v>0</v>
      </c>
      <c r="AO8" s="34">
        <v>25</v>
      </c>
      <c r="AP8" s="34">
        <v>32</v>
      </c>
      <c r="AQ8" s="34">
        <v>25</v>
      </c>
      <c r="AR8" s="34">
        <v>3</v>
      </c>
      <c r="AS8" s="34">
        <v>0</v>
      </c>
      <c r="AT8" s="34" t="str">
        <v>3P</v>
      </c>
      <c r="AU8" s="34">
        <v>25</v>
      </c>
      <c r="AV8" s="34" t="str">
        <v/>
      </c>
      <c r="AW8" s="34" t="str">
        <v/>
      </c>
      <c r="AX8" s="34" t="str">
        <v/>
      </c>
      <c r="AY8" s="34">
        <v>1</v>
      </c>
      <c r="AZ8" s="34" t="str">
        <v/>
      </c>
      <c r="BA8" s="34">
        <v>0</v>
      </c>
      <c r="BB8" s="34">
        <v>0</v>
      </c>
      <c r="BD8" s="34">
        <v>1</v>
      </c>
      <c r="BE8" s="34">
        <v>0</v>
      </c>
      <c r="BF8" s="34">
        <v>0</v>
      </c>
      <c r="BG8" s="34" t="str">
        <v/>
      </c>
      <c r="BH8" s="34" t="str">
        <v/>
      </c>
      <c r="BI8" s="34" t="str">
        <v/>
      </c>
      <c r="BJ8" s="34" t="str">
        <v/>
      </c>
      <c r="BK8" s="34" t="str">
        <v>BOX</v>
      </c>
      <c r="BL8" s="34">
        <v>1</v>
      </c>
      <c r="BM8" s="34">
        <v>5</v>
      </c>
      <c r="BN8" s="34" t="str">
        <v/>
      </c>
      <c r="BO8" s="34" t="str">
        <v/>
      </c>
      <c r="BP8" s="34" t="str">
        <v/>
      </c>
      <c r="BQ8" s="34" t="str">
        <v>5х4</v>
      </c>
      <c r="BR8" s="34">
        <v>4</v>
      </c>
      <c r="BS8" s="34" t="str">
        <v/>
      </c>
      <c r="BT8" s="34" t="str">
        <v/>
      </c>
      <c r="BU8" s="34">
        <v>0</v>
      </c>
      <c r="BV8" s="34">
        <v>6</v>
      </c>
      <c r="BW8" s="34">
        <v>1</v>
      </c>
      <c r="BX8" s="34">
        <v>2</v>
      </c>
      <c r="BY8" s="34" t="str">
        <v/>
      </c>
      <c r="BZ8">
        <v>1</v>
      </c>
      <c r="CA8" t="str">
        <v>линии</v>
      </c>
    </row>
    <row r="9" spans="1:79" x14ac:dyDescent="0.3">
      <c r="A9" s="39" t="str">
        <v>ВРУ</v>
      </c>
      <c r="B9" s="42">
        <v>23</v>
      </c>
      <c r="C9" s="42">
        <v>2</v>
      </c>
      <c r="D9" s="75" t="str">
        <v/>
      </c>
      <c r="E9" s="75" t="str">
        <v>авто</v>
      </c>
      <c r="F9" s="76" t="str">
        <v/>
      </c>
      <c r="G9" s="47" t="str">
        <v>QF5</v>
      </c>
      <c r="H9" s="47" t="str">
        <v>3P С6А</v>
      </c>
      <c r="I9" s="75" t="str">
        <v/>
      </c>
      <c r="J9" s="76" t="str">
        <v/>
      </c>
      <c r="K9" s="76" t="str">
        <v/>
      </c>
      <c r="L9" s="75" t="str">
        <v/>
      </c>
      <c r="M9" s="49" t="str">
        <v/>
      </c>
      <c r="N9" s="76" t="str">
        <v/>
      </c>
      <c r="O9" s="49" t="str">
        <v/>
      </c>
      <c r="P9" s="77" t="str">
        <v>XT5</v>
      </c>
      <c r="Q9" s="53" t="str">
        <v>ВВГнг(А)-LS (5х1,5) L=15-0,12%</v>
      </c>
      <c r="R9" s="54" t="str">
        <v>ЩГП</v>
      </c>
      <c r="S9" s="55" t="str">
        <v>Щит ЩГП</v>
      </c>
      <c r="T9" s="56">
        <v>0.5</v>
      </c>
      <c r="U9" s="56">
        <v>1.21</v>
      </c>
      <c r="V9" s="42" t="str">
        <v>L1,L2,L3</v>
      </c>
      <c r="W9" s="57" t="str">
        <v>ok</v>
      </c>
      <c r="X9" s="58" t="str">
        <v/>
      </c>
      <c r="Y9" s="75" t="str">
        <v/>
      </c>
      <c r="Z9" s="59">
        <v>1.2033195084162727</v>
      </c>
      <c r="AA9" s="61">
        <v>6</v>
      </c>
      <c r="AB9" s="61">
        <v>16</v>
      </c>
      <c r="AC9" s="61" t="str">
        <v/>
      </c>
      <c r="AD9" s="62" t="str">
        <v>QF5 → XT5</v>
      </c>
      <c r="AE9" s="62" t="str">
        <v/>
      </c>
      <c r="AF9" s="34">
        <v>5</v>
      </c>
      <c r="AG9" s="34" t="str">
        <v>QF5</v>
      </c>
      <c r="AH9" s="34" t="str">
        <v/>
      </c>
      <c r="AI9" s="34" t="str">
        <v/>
      </c>
      <c r="AJ9" s="34" t="str">
        <v>QF5</v>
      </c>
      <c r="AK9" s="34">
        <v>3</v>
      </c>
      <c r="AL9" s="34" t="str">
        <v>ЩГП</v>
      </c>
      <c r="AM9" s="34">
        <v>0</v>
      </c>
      <c r="AN9" s="34">
        <v>0</v>
      </c>
      <c r="AO9" s="34">
        <v>6</v>
      </c>
      <c r="AP9" s="34">
        <v>16</v>
      </c>
      <c r="AQ9" s="34">
        <v>6</v>
      </c>
      <c r="AR9" s="34">
        <v>3</v>
      </c>
      <c r="AS9" s="34">
        <v>0</v>
      </c>
      <c r="AT9" s="34" t="str">
        <v>3P</v>
      </c>
      <c r="AU9" s="34">
        <v>6</v>
      </c>
      <c r="AV9" s="34" t="str">
        <v/>
      </c>
      <c r="AW9" s="34" t="str">
        <v/>
      </c>
      <c r="AX9" s="34" t="str">
        <v/>
      </c>
      <c r="AY9" s="34">
        <v>1</v>
      </c>
      <c r="AZ9" s="34" t="str">
        <v/>
      </c>
      <c r="BA9" s="34">
        <v>0</v>
      </c>
      <c r="BB9" s="34">
        <v>0</v>
      </c>
      <c r="BD9" s="34">
        <v>1</v>
      </c>
      <c r="BE9" s="34">
        <v>0</v>
      </c>
      <c r="BF9" s="34">
        <v>0</v>
      </c>
      <c r="BG9" s="34" t="str">
        <v/>
      </c>
      <c r="BH9" s="34" t="str">
        <v/>
      </c>
      <c r="BI9" s="34" t="str">
        <v/>
      </c>
      <c r="BJ9" s="34" t="str">
        <v/>
      </c>
      <c r="BK9" s="34" t="str">
        <v>BOX</v>
      </c>
      <c r="BL9" s="34">
        <v>1</v>
      </c>
      <c r="BM9" s="34">
        <v>6</v>
      </c>
      <c r="BN9" s="34" t="str">
        <v/>
      </c>
      <c r="BO9" s="34" t="str">
        <v/>
      </c>
      <c r="BP9" s="34" t="str">
        <v/>
      </c>
      <c r="BQ9" s="34" t="str">
        <v>5х1,5</v>
      </c>
      <c r="BR9" s="34">
        <v>5</v>
      </c>
      <c r="BS9" s="34" t="str">
        <v/>
      </c>
      <c r="BT9" s="34" t="str">
        <v/>
      </c>
      <c r="BU9" s="34">
        <v>0</v>
      </c>
      <c r="BV9" s="34">
        <v>7</v>
      </c>
      <c r="BW9" s="34">
        <v>1</v>
      </c>
      <c r="BX9" s="34">
        <v>2</v>
      </c>
      <c r="BY9" s="34" t="str">
        <v/>
      </c>
      <c r="BZ9">
        <v>1</v>
      </c>
      <c r="CA9" t="str">
        <v>линии</v>
      </c>
    </row>
    <row r="10" spans="1:79" x14ac:dyDescent="0.3">
      <c r="A10" s="39" t="str">
        <v>ВРУ</v>
      </c>
      <c r="B10" s="42">
        <v>24</v>
      </c>
      <c r="C10" s="42">
        <v>2</v>
      </c>
      <c r="D10" s="75" t="str">
        <v/>
      </c>
      <c r="E10" s="75" t="str">
        <v>авто</v>
      </c>
      <c r="F10" s="76" t="str">
        <v/>
      </c>
      <c r="G10" s="47" t="str">
        <v>QF6</v>
      </c>
      <c r="H10" s="47" t="str">
        <v>1P С10А</v>
      </c>
      <c r="I10" s="75" t="str">
        <v/>
      </c>
      <c r="J10" s="76" t="str">
        <v/>
      </c>
      <c r="K10" s="76" t="str">
        <v/>
      </c>
      <c r="L10" s="75" t="str">
        <v/>
      </c>
      <c r="M10" s="49" t="str">
        <v/>
      </c>
      <c r="N10" s="76" t="str">
        <v/>
      </c>
      <c r="O10" s="49" t="str">
        <v/>
      </c>
      <c r="P10" s="77" t="str">
        <v>XT6</v>
      </c>
      <c r="Q10" s="53" t="str">
        <v>ВВГнг(А)-FRLS (3х1,5) L=12-0,95%</v>
      </c>
      <c r="R10" s="54" t="str">
        <v>ЩСПЗ.1</v>
      </c>
      <c r="S10" s="55" t="str">
        <v>Щит СПЗ, ввод 1</v>
      </c>
      <c r="T10" s="56">
        <v>3.4</v>
      </c>
      <c r="U10" s="56">
        <v>7.42</v>
      </c>
      <c r="V10" s="42" t="str">
        <v>L2</v>
      </c>
      <c r="W10" s="57" t="str">
        <v>ok</v>
      </c>
      <c r="X10" s="58" t="str">
        <v/>
      </c>
      <c r="Y10" s="75" t="str">
        <v/>
      </c>
      <c r="Z10" s="59">
        <v>7.4141743201689332</v>
      </c>
      <c r="AA10" s="61">
        <v>10</v>
      </c>
      <c r="AB10" s="61">
        <v>16</v>
      </c>
      <c r="AC10" s="61" t="str">
        <v/>
      </c>
      <c r="AD10" s="62" t="str">
        <v>QF6 → XT6</v>
      </c>
      <c r="AE10" s="62" t="str">
        <v/>
      </c>
      <c r="AF10" s="34">
        <v>6</v>
      </c>
      <c r="AG10" s="34" t="str">
        <v>QF6</v>
      </c>
      <c r="AH10" s="34" t="str">
        <v/>
      </c>
      <c r="AI10" s="34" t="str">
        <v/>
      </c>
      <c r="AJ10" s="34" t="str">
        <v>QF6</v>
      </c>
      <c r="AK10" s="34">
        <v>1</v>
      </c>
      <c r="AL10" s="34" t="str">
        <v>ЩСПЗ</v>
      </c>
      <c r="AM10" s="34">
        <v>0</v>
      </c>
      <c r="AN10" s="34">
        <v>0</v>
      </c>
      <c r="AO10" s="34">
        <v>10</v>
      </c>
      <c r="AP10" s="34">
        <v>16</v>
      </c>
      <c r="AQ10" s="34">
        <v>10</v>
      </c>
      <c r="AR10" s="34">
        <v>1</v>
      </c>
      <c r="AS10" s="34">
        <v>0</v>
      </c>
      <c r="AT10" s="34" t="str">
        <v>1P</v>
      </c>
      <c r="AU10" s="34">
        <v>10</v>
      </c>
      <c r="AV10" s="34" t="str">
        <v/>
      </c>
      <c r="AW10" s="34" t="str">
        <v/>
      </c>
      <c r="AX10" s="34" t="str">
        <v/>
      </c>
      <c r="AY10" s="34">
        <v>1</v>
      </c>
      <c r="AZ10" s="34" t="str">
        <v/>
      </c>
      <c r="BA10" s="34">
        <v>0</v>
      </c>
      <c r="BB10" s="34">
        <v>0</v>
      </c>
      <c r="BD10" s="34">
        <v>1</v>
      </c>
      <c r="BE10" s="34">
        <v>0</v>
      </c>
      <c r="BF10" s="34">
        <v>0</v>
      </c>
      <c r="BG10" s="34" t="str">
        <v/>
      </c>
      <c r="BH10" s="34" t="str">
        <v/>
      </c>
      <c r="BI10" s="34" t="str">
        <v/>
      </c>
      <c r="BJ10" s="34" t="str">
        <v/>
      </c>
      <c r="BK10" s="34" t="str">
        <v>BOX</v>
      </c>
      <c r="BL10" s="34">
        <v>1</v>
      </c>
      <c r="BM10" s="34">
        <v>7</v>
      </c>
      <c r="BN10" s="34" t="str">
        <v/>
      </c>
      <c r="BO10" s="34" t="str">
        <v/>
      </c>
      <c r="BP10" s="34" t="str">
        <v/>
      </c>
      <c r="BQ10" s="34" t="str">
        <v>3х1,5</v>
      </c>
      <c r="BR10" s="34" t="str">
        <v/>
      </c>
      <c r="BS10" s="34" t="str">
        <v/>
      </c>
      <c r="BT10" s="34" t="str">
        <v/>
      </c>
      <c r="BU10" s="34">
        <v>0</v>
      </c>
      <c r="BV10" s="34">
        <v>8</v>
      </c>
      <c r="BW10" s="34">
        <v>1</v>
      </c>
      <c r="BX10" s="34">
        <v>0</v>
      </c>
      <c r="BY10" s="34" t="str">
        <v/>
      </c>
      <c r="BZ10">
        <v>1</v>
      </c>
      <c r="CA10" t="str">
        <v>линии</v>
      </c>
    </row>
    <row r="11" spans="1:79" x14ac:dyDescent="0.3">
      <c r="A11" s="39" t="str">
        <v>ВРУ</v>
      </c>
      <c r="B11" s="42">
        <v>25</v>
      </c>
      <c r="C11" s="42">
        <v>2</v>
      </c>
      <c r="D11" s="75" t="str">
        <v/>
      </c>
      <c r="E11" s="75" t="str">
        <v>авто</v>
      </c>
      <c r="F11" s="76" t="str">
        <v/>
      </c>
      <c r="G11" s="47" t="str">
        <v>QF7</v>
      </c>
      <c r="H11" s="47" t="str">
        <v>1P С6А</v>
      </c>
      <c r="I11" s="75" t="str">
        <v/>
      </c>
      <c r="J11" s="76" t="str">
        <v/>
      </c>
      <c r="K11" s="76" t="str">
        <v/>
      </c>
      <c r="L11" s="75" t="str">
        <v/>
      </c>
      <c r="M11" s="49" t="str">
        <v/>
      </c>
      <c r="N11" s="76" t="str">
        <v/>
      </c>
      <c r="O11" s="49" t="str">
        <v/>
      </c>
      <c r="P11" s="77" t="str">
        <v>XT7</v>
      </c>
      <c r="Q11" s="53" t="str">
        <v>ВВГнг(А)-FRLS (3х1,5) L=12-0%</v>
      </c>
      <c r="R11" s="54" t="str">
        <v>ЩСПЗ.2</v>
      </c>
      <c r="S11" s="55" t="str">
        <v>Щит СПЗ, ввод 2 (резерв)</v>
      </c>
      <c r="T11" s="56">
        <v>0</v>
      </c>
      <c r="U11" s="56">
        <v>0</v>
      </c>
      <c r="V11" s="42" t="str">
        <v>L3</v>
      </c>
      <c r="W11" s="57" t="str">
        <v>ok</v>
      </c>
      <c r="X11" s="58" t="str">
        <v/>
      </c>
      <c r="Y11" s="75" t="str">
        <v/>
      </c>
      <c r="Z11" s="59">
        <v>0</v>
      </c>
      <c r="AA11" s="61">
        <v>6</v>
      </c>
      <c r="AB11" s="61">
        <v>16</v>
      </c>
      <c r="AC11" s="61" t="str">
        <v/>
      </c>
      <c r="AD11" s="62" t="str">
        <v>QF7 → XT7</v>
      </c>
      <c r="AE11" s="62" t="str">
        <v/>
      </c>
      <c r="AF11" s="34">
        <v>7</v>
      </c>
      <c r="AG11" s="34" t="str">
        <v>QF7</v>
      </c>
      <c r="AH11" s="34" t="str">
        <v/>
      </c>
      <c r="AI11" s="34" t="str">
        <v/>
      </c>
      <c r="AJ11" s="34" t="str">
        <v>QF7</v>
      </c>
      <c r="AK11" s="34">
        <v>1</v>
      </c>
      <c r="AL11" s="34" t="str">
        <v>ЩСПЗ</v>
      </c>
      <c r="AM11" s="34">
        <v>0</v>
      </c>
      <c r="AN11" s="34">
        <v>0</v>
      </c>
      <c r="AO11" s="34">
        <v>6</v>
      </c>
      <c r="AP11" s="34">
        <v>16</v>
      </c>
      <c r="AQ11" s="34">
        <v>6</v>
      </c>
      <c r="AR11" s="34">
        <v>1</v>
      </c>
      <c r="AS11" s="34">
        <v>0</v>
      </c>
      <c r="AT11" s="34" t="str">
        <v>1P</v>
      </c>
      <c r="AU11" s="34">
        <v>6</v>
      </c>
      <c r="AV11" s="34" t="str">
        <v/>
      </c>
      <c r="AW11" s="34" t="str">
        <v/>
      </c>
      <c r="AX11" s="34" t="str">
        <v/>
      </c>
      <c r="AY11" s="34">
        <v>1</v>
      </c>
      <c r="AZ11" s="34" t="str">
        <v/>
      </c>
      <c r="BA11" s="34">
        <v>0</v>
      </c>
      <c r="BB11" s="34">
        <v>0</v>
      </c>
      <c r="BD11" s="34">
        <v>1</v>
      </c>
      <c r="BE11" s="34">
        <v>0</v>
      </c>
      <c r="BF11" s="34">
        <v>0</v>
      </c>
      <c r="BG11" s="34" t="str">
        <v/>
      </c>
      <c r="BH11" s="34" t="str">
        <v/>
      </c>
      <c r="BI11" s="34" t="str">
        <v/>
      </c>
      <c r="BJ11" s="34" t="str">
        <v/>
      </c>
      <c r="BK11" s="34" t="str">
        <v>BOX</v>
      </c>
      <c r="BL11" s="34">
        <v>1</v>
      </c>
      <c r="BM11" s="34" t="str">
        <v/>
      </c>
      <c r="BN11" s="34" t="str">
        <v/>
      </c>
      <c r="BO11" s="34" t="str">
        <v/>
      </c>
      <c r="BP11" s="34" t="str">
        <v/>
      </c>
      <c r="BQ11" s="34" t="str">
        <v>3х1,5</v>
      </c>
      <c r="BR11" s="34" t="str">
        <v/>
      </c>
      <c r="BS11" s="34" t="str">
        <v/>
      </c>
      <c r="BT11" s="34" t="str">
        <v/>
      </c>
      <c r="BU11" s="34">
        <v>0</v>
      </c>
      <c r="BV11" s="34">
        <v>9</v>
      </c>
      <c r="BW11" s="34">
        <v>1</v>
      </c>
      <c r="BX11" s="34">
        <v>0</v>
      </c>
      <c r="BY11" s="34" t="str">
        <v/>
      </c>
      <c r="BZ11">
        <v>1</v>
      </c>
      <c r="CA11" t="str">
        <v>линии</v>
      </c>
    </row>
    <row r="12" spans="1:79" x14ac:dyDescent="0.3">
      <c r="A12" s="39" t="str">
        <v>ВРУ</v>
      </c>
      <c r="B12" s="42">
        <v>26</v>
      </c>
      <c r="C12" s="42">
        <v>2</v>
      </c>
      <c r="D12" s="75" t="str">
        <v/>
      </c>
      <c r="E12" s="75" t="str">
        <v>авто</v>
      </c>
      <c r="F12" s="76" t="str">
        <v/>
      </c>
      <c r="G12" s="47" t="str">
        <v>QF8</v>
      </c>
      <c r="H12" s="47" t="str">
        <v>1P С16А</v>
      </c>
      <c r="I12" s="75" t="str">
        <v/>
      </c>
      <c r="J12" s="76" t="str">
        <v/>
      </c>
      <c r="K12" s="76" t="str">
        <v/>
      </c>
      <c r="L12" s="75" t="str">
        <v/>
      </c>
      <c r="M12" s="49" t="str">
        <v/>
      </c>
      <c r="N12" s="76" t="str">
        <v/>
      </c>
      <c r="O12" s="49" t="str">
        <v/>
      </c>
      <c r="P12" s="77" t="str">
        <v>XT8</v>
      </c>
      <c r="Q12" s="53" t="str">
        <v>ВВГнг(А)-LS (3х1,5) L=19-2,15%</v>
      </c>
      <c r="R12" s="54" t="str">
        <v>КМН.0.001.1</v>
      </c>
      <c r="S12" s="55" t="str">
        <v>Электрокамин, пом. 001</v>
      </c>
      <c r="T12" s="56">
        <v>2</v>
      </c>
      <c r="U12" s="56">
        <v>9.1199999999999992</v>
      </c>
      <c r="V12" s="42" t="str">
        <v>L3</v>
      </c>
      <c r="W12" s="57" t="str">
        <v>ok</v>
      </c>
      <c r="X12" s="58" t="str">
        <v/>
      </c>
      <c r="Y12" s="75" t="str">
        <v/>
      </c>
      <c r="Z12" s="59">
        <v>9.1160568819414589</v>
      </c>
      <c r="AA12" s="61">
        <v>16</v>
      </c>
      <c r="AB12" s="61">
        <v>16</v>
      </c>
      <c r="AC12" s="61" t="str">
        <v/>
      </c>
      <c r="AD12" s="62" t="str">
        <v>QF8 → XT8</v>
      </c>
      <c r="AE12" s="62" t="str">
        <v/>
      </c>
      <c r="AF12" s="34">
        <v>8</v>
      </c>
      <c r="AG12" s="34" t="str">
        <v>QF8</v>
      </c>
      <c r="AH12" s="34" t="str">
        <v/>
      </c>
      <c r="AI12" s="34" t="str">
        <v/>
      </c>
      <c r="AJ12" s="34" t="str">
        <v>QF8</v>
      </c>
      <c r="AK12" s="34">
        <v>1</v>
      </c>
      <c r="AL12" s="34" t="str">
        <v>КМН</v>
      </c>
      <c r="AM12" s="34">
        <v>0</v>
      </c>
      <c r="AN12" s="34">
        <v>0</v>
      </c>
      <c r="AO12" s="34">
        <v>16</v>
      </c>
      <c r="AP12" s="34">
        <v>16</v>
      </c>
      <c r="AQ12" s="34">
        <v>16</v>
      </c>
      <c r="AR12" s="34">
        <v>1</v>
      </c>
      <c r="AS12" s="34">
        <v>0</v>
      </c>
      <c r="AT12" s="34" t="str">
        <v>1P</v>
      </c>
      <c r="AU12" s="34">
        <v>16</v>
      </c>
      <c r="AV12" s="34" t="str">
        <v/>
      </c>
      <c r="AW12" s="34" t="str">
        <v/>
      </c>
      <c r="AX12" s="34" t="str">
        <v/>
      </c>
      <c r="AY12" s="34">
        <v>1</v>
      </c>
      <c r="AZ12" s="34" t="str">
        <v/>
      </c>
      <c r="BA12" s="34">
        <v>0</v>
      </c>
      <c r="BB12" s="34">
        <v>0</v>
      </c>
      <c r="BD12" s="34">
        <v>1</v>
      </c>
      <c r="BE12" s="34">
        <v>0</v>
      </c>
      <c r="BF12" s="34">
        <v>0</v>
      </c>
      <c r="BG12" s="34" t="str">
        <v/>
      </c>
      <c r="BH12" s="34" t="str">
        <v/>
      </c>
      <c r="BI12" s="34" t="str">
        <v/>
      </c>
      <c r="BJ12" s="34" t="str">
        <v/>
      </c>
      <c r="BK12" s="34" t="str">
        <v>HEAT</v>
      </c>
      <c r="BL12" s="34">
        <v>1</v>
      </c>
      <c r="BM12" s="34">
        <v>8</v>
      </c>
      <c r="BN12" s="34" t="str">
        <v/>
      </c>
      <c r="BO12" s="34" t="str">
        <v/>
      </c>
      <c r="BP12" s="34" t="str">
        <v/>
      </c>
      <c r="BQ12" s="34" t="str">
        <v>3х1,5</v>
      </c>
      <c r="BR12" s="34" t="str">
        <v/>
      </c>
      <c r="BS12" s="34" t="str">
        <v/>
      </c>
      <c r="BT12" s="34" t="str">
        <v/>
      </c>
      <c r="BU12" s="34">
        <v>0</v>
      </c>
      <c r="BV12" s="34">
        <v>10</v>
      </c>
      <c r="BW12" s="34">
        <v>1</v>
      </c>
      <c r="BX12" s="34">
        <v>0</v>
      </c>
      <c r="BY12" s="34" t="str">
        <v>Нагреватель</v>
      </c>
      <c r="BZ12">
        <v>1</v>
      </c>
      <c r="CA12" t="str">
        <v>линии</v>
      </c>
    </row>
    <row r="13" spans="1:79" x14ac:dyDescent="0.3">
      <c r="A13" s="39" t="str">
        <v>ВРУ</v>
      </c>
      <c r="B13" s="42">
        <v>27</v>
      </c>
      <c r="C13" s="42">
        <v>2</v>
      </c>
      <c r="D13" s="75" t="str">
        <v/>
      </c>
      <c r="E13" s="75" t="str">
        <v>авто</v>
      </c>
      <c r="F13" s="76">
        <v>30</v>
      </c>
      <c r="G13" s="47" t="str">
        <v>QFD9</v>
      </c>
      <c r="H13" s="47" t="str">
        <v>2P С32А 30мА</v>
      </c>
      <c r="I13" s="75" t="str">
        <v/>
      </c>
      <c r="J13" s="76" t="str">
        <v/>
      </c>
      <c r="K13" s="76" t="str">
        <v/>
      </c>
      <c r="L13" s="75" t="str">
        <v/>
      </c>
      <c r="M13" s="49" t="str">
        <v/>
      </c>
      <c r="N13" s="76" t="str">
        <v/>
      </c>
      <c r="O13" s="49" t="str">
        <v/>
      </c>
      <c r="P13" s="77" t="str">
        <v>XT9</v>
      </c>
      <c r="Q13" s="53" t="str">
        <v>ВВГнг(А)-LS (3х6) L=11-0,78%</v>
      </c>
      <c r="R13" s="54" t="str">
        <v>ПН.0.002.1</v>
      </c>
      <c r="S13" s="55" t="str">
        <v>Проточный водонагреватель, пом. 002</v>
      </c>
      <c r="T13" s="56">
        <v>5</v>
      </c>
      <c r="U13" s="56">
        <v>22.8</v>
      </c>
      <c r="V13" s="42" t="str">
        <v>L1</v>
      </c>
      <c r="W13" s="57" t="str">
        <v>ok</v>
      </c>
      <c r="X13" s="58" t="str">
        <v/>
      </c>
      <c r="Y13" s="75" t="str">
        <v/>
      </c>
      <c r="Z13" s="59">
        <v>22.790142204853648</v>
      </c>
      <c r="AA13" s="61">
        <v>32</v>
      </c>
      <c r="AB13" s="61">
        <v>50</v>
      </c>
      <c r="AC13" s="61" t="str">
        <v/>
      </c>
      <c r="AD13" s="62" t="str">
        <v>QFD9 → XT9</v>
      </c>
      <c r="AE13" s="62" t="str">
        <v/>
      </c>
      <c r="AF13" s="34">
        <v>9</v>
      </c>
      <c r="AG13" s="34" t="str">
        <v>QFD9</v>
      </c>
      <c r="AH13" s="34" t="str">
        <v/>
      </c>
      <c r="AI13" s="34" t="str">
        <v/>
      </c>
      <c r="AJ13" s="34" t="str">
        <v>QFD9</v>
      </c>
      <c r="AK13" s="34">
        <v>1</v>
      </c>
      <c r="AL13" s="34" t="str">
        <v>ПН</v>
      </c>
      <c r="AM13" s="34">
        <v>30</v>
      </c>
      <c r="AN13" s="34">
        <v>0</v>
      </c>
      <c r="AO13" s="34">
        <v>32</v>
      </c>
      <c r="AP13" s="34">
        <v>50</v>
      </c>
      <c r="AQ13" s="34">
        <v>32</v>
      </c>
      <c r="AR13" s="34">
        <v>1</v>
      </c>
      <c r="AS13" s="34">
        <v>1</v>
      </c>
      <c r="AT13" s="34" t="str">
        <v>2P</v>
      </c>
      <c r="AU13" s="34">
        <v>32</v>
      </c>
      <c r="AV13" s="34" t="str">
        <v/>
      </c>
      <c r="AW13" s="34" t="str">
        <v/>
      </c>
      <c r="AX13" s="34" t="str">
        <v/>
      </c>
      <c r="AY13" s="34">
        <v>1</v>
      </c>
      <c r="AZ13" s="34" t="str">
        <v/>
      </c>
      <c r="BA13" s="34">
        <v>0</v>
      </c>
      <c r="BB13" s="34">
        <v>0</v>
      </c>
      <c r="BD13" s="34">
        <v>1</v>
      </c>
      <c r="BE13" s="34">
        <v>0</v>
      </c>
      <c r="BF13" s="34">
        <v>1</v>
      </c>
      <c r="BG13" s="34" t="str">
        <v/>
      </c>
      <c r="BH13" s="34" t="str">
        <v/>
      </c>
      <c r="BI13" s="34" t="str">
        <v/>
      </c>
      <c r="BJ13" s="34" t="str">
        <v/>
      </c>
      <c r="BK13" s="34" t="str">
        <v>HEAT</v>
      </c>
      <c r="BL13" s="34">
        <v>1</v>
      </c>
      <c r="BM13" s="34">
        <v>9</v>
      </c>
      <c r="BN13" s="34" t="str">
        <v/>
      </c>
      <c r="BO13" s="34" t="str">
        <v/>
      </c>
      <c r="BP13" s="34" t="str">
        <v/>
      </c>
      <c r="BQ13" s="34" t="str">
        <v>3х6</v>
      </c>
      <c r="BR13" s="34">
        <v>6</v>
      </c>
      <c r="BS13" s="34" t="str">
        <v/>
      </c>
      <c r="BT13" s="34" t="str">
        <v/>
      </c>
      <c r="BU13" s="34">
        <v>0</v>
      </c>
      <c r="BV13" s="34">
        <v>11</v>
      </c>
      <c r="BW13" s="34">
        <v>1</v>
      </c>
      <c r="BX13" s="34">
        <v>0</v>
      </c>
      <c r="BY13" s="34" t="str">
        <v>Нагреватель</v>
      </c>
      <c r="BZ13">
        <v>1</v>
      </c>
      <c r="CA13" t="str">
        <v>линии</v>
      </c>
    </row>
    <row r="14" spans="1:79" x14ac:dyDescent="0.3">
      <c r="A14" s="39" t="str">
        <v>ВРУ</v>
      </c>
      <c r="B14" s="42">
        <v>5</v>
      </c>
      <c r="C14" s="42">
        <v>1</v>
      </c>
      <c r="D14" s="75" t="str">
        <v/>
      </c>
      <c r="E14" s="75" t="str">
        <v>авто</v>
      </c>
      <c r="F14" s="76" t="str">
        <v/>
      </c>
      <c r="G14" s="47" t="str">
        <v>QF10</v>
      </c>
      <c r="H14" s="47" t="str">
        <v>1P С6А</v>
      </c>
      <c r="I14" s="75" t="str">
        <v/>
      </c>
      <c r="J14" s="76" t="str">
        <v/>
      </c>
      <c r="K14" s="76" t="str">
        <v/>
      </c>
      <c r="L14" s="75" t="str">
        <v/>
      </c>
      <c r="M14" s="49" t="str">
        <v/>
      </c>
      <c r="N14" s="76" t="str">
        <v/>
      </c>
      <c r="O14" s="49" t="str">
        <v/>
      </c>
      <c r="P14" s="77" t="str">
        <v>XT11</v>
      </c>
      <c r="Q14" s="53" t="str">
        <v>ВВГнг(А)-LS (3х1,5) L=10-0,22%</v>
      </c>
      <c r="R14" s="54" t="str">
        <v>ЩБП</v>
      </c>
      <c r="S14" s="55" t="str">
        <v>Щит блоков питания LED</v>
      </c>
      <c r="T14" s="56">
        <v>0.56000000000000005</v>
      </c>
      <c r="U14" s="56">
        <v>1.72</v>
      </c>
      <c r="V14" s="42" t="str">
        <v>L2</v>
      </c>
      <c r="W14" s="57" t="str">
        <v>ok</v>
      </c>
      <c r="X14" s="58" t="str">
        <v/>
      </c>
      <c r="Y14" s="75" t="str">
        <v/>
      </c>
      <c r="Z14" s="59">
        <v>1.7138186938049942</v>
      </c>
      <c r="AA14" s="61">
        <v>6</v>
      </c>
      <c r="AB14" s="61">
        <v>16</v>
      </c>
      <c r="AC14" s="61" t="str">
        <v/>
      </c>
      <c r="AD14" s="62" t="str">
        <v>QF10 → XT11</v>
      </c>
      <c r="AE14" s="62" t="str">
        <v/>
      </c>
      <c r="AF14" s="34">
        <v>10</v>
      </c>
      <c r="AG14" s="34" t="str">
        <v>QF10</v>
      </c>
      <c r="AH14" s="34" t="str">
        <v/>
      </c>
      <c r="AI14" s="34" t="str">
        <v/>
      </c>
      <c r="AJ14" s="34" t="str">
        <v>QF10</v>
      </c>
      <c r="AK14" s="34">
        <v>1</v>
      </c>
      <c r="AL14" s="34" t="str">
        <v>ЩБП</v>
      </c>
      <c r="AM14" s="34">
        <v>0</v>
      </c>
      <c r="AN14" s="34">
        <v>0</v>
      </c>
      <c r="AO14" s="34">
        <v>6</v>
      </c>
      <c r="AP14" s="34">
        <v>16</v>
      </c>
      <c r="AQ14" s="34">
        <v>6</v>
      </c>
      <c r="AR14" s="34">
        <v>1</v>
      </c>
      <c r="AS14" s="34">
        <v>0</v>
      </c>
      <c r="AT14" s="34" t="str">
        <v>1P</v>
      </c>
      <c r="AU14" s="34">
        <v>6</v>
      </c>
      <c r="AV14" s="34" t="str">
        <v/>
      </c>
      <c r="AW14" s="34" t="str">
        <v/>
      </c>
      <c r="AX14" s="34" t="str">
        <v/>
      </c>
      <c r="AY14" s="34">
        <v>1</v>
      </c>
      <c r="AZ14" s="34" t="str">
        <v/>
      </c>
      <c r="BA14" s="34">
        <v>0</v>
      </c>
      <c r="BB14" s="34">
        <v>0</v>
      </c>
      <c r="BD14" s="34">
        <v>1</v>
      </c>
      <c r="BE14" s="34">
        <v>0</v>
      </c>
      <c r="BF14" s="34">
        <v>0</v>
      </c>
      <c r="BG14" s="34" t="str">
        <v/>
      </c>
      <c r="BH14" s="34" t="str">
        <v/>
      </c>
      <c r="BI14" s="34" t="str">
        <v/>
      </c>
      <c r="BJ14" s="34" t="str">
        <v/>
      </c>
      <c r="BK14" s="34" t="str">
        <v>BOX</v>
      </c>
      <c r="BL14" s="34">
        <v>1</v>
      </c>
      <c r="BM14" s="34" t="str">
        <v/>
      </c>
      <c r="BN14" s="34" t="str">
        <v/>
      </c>
      <c r="BO14" s="34" t="str">
        <v/>
      </c>
      <c r="BP14" s="34" t="str">
        <v/>
      </c>
      <c r="BQ14" s="34" t="str">
        <v>3х1,5</v>
      </c>
      <c r="BR14" s="34" t="str">
        <v/>
      </c>
      <c r="BS14" s="34" t="str">
        <v/>
      </c>
      <c r="BT14" s="34" t="str">
        <v/>
      </c>
      <c r="BU14" s="34">
        <v>0</v>
      </c>
      <c r="BV14" s="34">
        <v>13</v>
      </c>
      <c r="BW14" s="34">
        <v>1</v>
      </c>
      <c r="BX14" s="34">
        <v>0</v>
      </c>
      <c r="BY14" s="34" t="str">
        <v/>
      </c>
      <c r="BZ14">
        <v>1</v>
      </c>
      <c r="CA14" t="str">
        <v>линии</v>
      </c>
    </row>
    <row r="15" spans="1:79" x14ac:dyDescent="0.3">
      <c r="A15" s="39" t="str">
        <v>ЩБП</v>
      </c>
      <c r="B15" s="42">
        <v>1</v>
      </c>
      <c r="C15" s="42">
        <v>1</v>
      </c>
      <c r="D15" s="75" t="str">
        <v/>
      </c>
      <c r="E15" s="75" t="str">
        <v>авто</v>
      </c>
      <c r="F15" s="76" t="str">
        <v/>
      </c>
      <c r="G15" s="47" t="str">
        <v/>
      </c>
      <c r="H15" s="47" t="str">
        <v>1P С6А</v>
      </c>
      <c r="I15" s="75" t="str">
        <v/>
      </c>
      <c r="J15" s="76" t="str">
        <v/>
      </c>
      <c r="K15" s="76" t="str">
        <v/>
      </c>
      <c r="L15" s="75" t="str">
        <v/>
      </c>
      <c r="M15" s="49" t="str">
        <v/>
      </c>
      <c r="N15" s="76" t="str">
        <v/>
      </c>
      <c r="O15" s="49" t="str">
        <v/>
      </c>
      <c r="P15" s="77" t="str">
        <v/>
      </c>
      <c r="Q15" s="53" t="str">
        <v>ВВГнг(А)-LS (3х2,5)</v>
      </c>
      <c r="R15" s="54" t="str">
        <v>Ввод.1</v>
      </c>
      <c r="S15" s="55" t="str">
        <v>Ввод питающей линии</v>
      </c>
      <c r="T15" s="56">
        <v>0.56000000000000005</v>
      </c>
      <c r="U15" s="56">
        <v>1.72</v>
      </c>
      <c r="V15" s="42" t="str">
        <v>L3</v>
      </c>
      <c r="W15" s="57" t="str">
        <v>ok</v>
      </c>
      <c r="X15" s="58" t="str">
        <v/>
      </c>
      <c r="Y15" s="75" t="str">
        <v>вручную</v>
      </c>
      <c r="Z15" s="59">
        <v>1.7138186938049942</v>
      </c>
      <c r="AA15" s="61">
        <v>6</v>
      </c>
      <c r="AB15" s="61">
        <v>25</v>
      </c>
      <c r="AC15" s="61" t="str">
        <v/>
      </c>
      <c r="AD15" s="62" t="str">
        <v/>
      </c>
      <c r="AE15" s="62" t="str">
        <v/>
      </c>
      <c r="AF15" s="34" t="str">
        <v/>
      </c>
      <c r="AG15" s="34" t="str">
        <v/>
      </c>
      <c r="AH15" s="34" t="str">
        <v/>
      </c>
      <c r="AI15" s="34" t="str">
        <v/>
      </c>
      <c r="AJ15" s="34" t="str">
        <v/>
      </c>
      <c r="AK15" s="34">
        <v>1</v>
      </c>
      <c r="AL15" s="34" t="str">
        <v>Ввод</v>
      </c>
      <c r="AM15" s="34">
        <v>0</v>
      </c>
      <c r="AN15" s="34">
        <v>0</v>
      </c>
      <c r="AO15" s="34">
        <v>6</v>
      </c>
      <c r="AP15" s="34">
        <v>25</v>
      </c>
      <c r="AQ15" s="34">
        <v>6</v>
      </c>
      <c r="AR15" s="34">
        <v>1</v>
      </c>
      <c r="AS15" s="34">
        <v>0</v>
      </c>
      <c r="AT15" s="34" t="str">
        <v>1P</v>
      </c>
      <c r="AU15" s="34">
        <v>6</v>
      </c>
      <c r="AV15" s="34" t="str">
        <v/>
      </c>
      <c r="AW15" s="34" t="str">
        <v/>
      </c>
      <c r="AX15" s="34" t="str">
        <v/>
      </c>
      <c r="AY15" s="34">
        <v>0</v>
      </c>
      <c r="AZ15" s="34" t="str">
        <v/>
      </c>
      <c r="BA15" s="34">
        <v>0</v>
      </c>
      <c r="BB15" s="34">
        <v>0</v>
      </c>
      <c r="BD15" s="34">
        <v>0</v>
      </c>
      <c r="BE15" s="34">
        <v>0</v>
      </c>
      <c r="BF15" s="34">
        <v>0</v>
      </c>
      <c r="BG15" s="34" t="str">
        <v/>
      </c>
      <c r="BH15" s="34" t="str">
        <v/>
      </c>
      <c r="BI15" s="34" t="str">
        <v/>
      </c>
      <c r="BJ15" s="34" t="str">
        <v/>
      </c>
      <c r="BK15" s="34" t="str">
        <v>BOX</v>
      </c>
      <c r="BL15" s="34">
        <v>1</v>
      </c>
      <c r="BM15" s="34" t="str">
        <v/>
      </c>
      <c r="BN15" s="34" t="str">
        <v/>
      </c>
      <c r="BO15" s="34" t="str">
        <v/>
      </c>
      <c r="BP15" s="34" t="str">
        <v/>
      </c>
      <c r="BQ15" s="34" t="str">
        <v/>
      </c>
      <c r="BR15" s="34" t="str">
        <v/>
      </c>
      <c r="BS15" s="34" t="str">
        <v/>
      </c>
      <c r="BT15" s="34" t="str">
        <v/>
      </c>
      <c r="BU15" s="34">
        <v>0</v>
      </c>
      <c r="BV15" s="34">
        <v>14</v>
      </c>
      <c r="BW15" s="34">
        <v>0</v>
      </c>
      <c r="BX15" s="34">
        <v>0</v>
      </c>
      <c r="BY15" s="34">
        <v>0</v>
      </c>
      <c r="BZ15">
        <v>2</v>
      </c>
      <c r="CA15" t="str">
        <v>вводной узел</v>
      </c>
    </row>
    <row r="16" spans="1:79" x14ac:dyDescent="0.3">
      <c r="A16" s="39" t="str">
        <v>ЩБП</v>
      </c>
      <c r="B16" s="42">
        <v>3</v>
      </c>
      <c r="C16" s="42">
        <v>1</v>
      </c>
      <c r="D16" s="75" t="str">
        <v/>
      </c>
      <c r="E16" s="75" t="str">
        <v>авто</v>
      </c>
      <c r="F16" s="76" t="str">
        <v/>
      </c>
      <c r="G16" s="47" t="str">
        <v>QF1</v>
      </c>
      <c r="H16" s="47" t="str">
        <v>1P С10А</v>
      </c>
      <c r="I16" s="75" t="str">
        <v>МК-5-1</v>
      </c>
      <c r="J16" s="76" t="str">
        <v>БП 24V 480W</v>
      </c>
      <c r="K16" s="76" t="str">
        <v/>
      </c>
      <c r="L16" s="75" t="str">
        <v>SMART-DALI-104</v>
      </c>
      <c r="M16" s="49" t="str">
        <v>Di.1</v>
      </c>
      <c r="N16" s="76" t="str">
        <v/>
      </c>
      <c r="O16" s="49">
        <v>1</v>
      </c>
      <c r="P16" s="77" t="str">
        <v>XT1</v>
      </c>
      <c r="Q16" s="53" t="str">
        <v>ВВГнг(А)-LS (2х4) L=21-4,11%</v>
      </c>
      <c r="R16" s="54" t="str">
        <v>LD.1.01.1</v>
      </c>
      <c r="S16" s="55" t="str">
        <v>LED-лента 24 В, пом. 01</v>
      </c>
      <c r="T16" s="56">
        <v>0.1</v>
      </c>
      <c r="U16" s="56">
        <v>4.17</v>
      </c>
      <c r="V16" s="42" t="str">
        <v>L1</v>
      </c>
      <c r="W16" s="57" t="str">
        <v>ok</v>
      </c>
      <c r="X16" s="58" t="str">
        <v/>
      </c>
      <c r="Y16" s="75" t="str">
        <v/>
      </c>
      <c r="Z16" s="59">
        <v>2.1422733672562431</v>
      </c>
      <c r="AA16" s="61">
        <v>10</v>
      </c>
      <c r="AB16" s="61">
        <v>32</v>
      </c>
      <c r="AC16" s="61" t="str">
        <v>SMART-DALI-104</v>
      </c>
      <c r="AD16" s="62" t="str">
        <v>QF1 → МК-5-1 → БП 24V 480W → Di.1 к.1 → XT1</v>
      </c>
      <c r="AE16" s="62" t="str">
        <v>БП 480 Вт &lt; нужно 633 Вт (×1,3)</v>
      </c>
      <c r="AF16" s="34">
        <v>1</v>
      </c>
      <c r="AG16" s="34" t="str">
        <v>QF1</v>
      </c>
      <c r="AH16" s="34" t="str">
        <v>Di.1</v>
      </c>
      <c r="AI16" s="34" t="str">
        <v>SMART-DALI-104</v>
      </c>
      <c r="AJ16" s="34" t="str">
        <v>QF1</v>
      </c>
      <c r="AK16" s="34">
        <v>1</v>
      </c>
      <c r="AL16" s="34" t="str">
        <v>LD</v>
      </c>
      <c r="AM16" s="34">
        <v>0</v>
      </c>
      <c r="AN16" s="34">
        <v>0</v>
      </c>
      <c r="AO16" s="34">
        <v>10</v>
      </c>
      <c r="AP16" s="34">
        <v>32</v>
      </c>
      <c r="AQ16" s="34">
        <v>10</v>
      </c>
      <c r="AR16" s="34">
        <v>1</v>
      </c>
      <c r="AS16" s="34">
        <v>0</v>
      </c>
      <c r="AT16" s="34" t="str">
        <v>1P</v>
      </c>
      <c r="AU16" s="34">
        <v>10</v>
      </c>
      <c r="AV16" s="34" t="str">
        <v>Di</v>
      </c>
      <c r="AW16" s="34" t="str">
        <v>Di.1</v>
      </c>
      <c r="AX16" s="34">
        <v>1</v>
      </c>
      <c r="AY16" s="34">
        <v>1</v>
      </c>
      <c r="AZ16" s="34" t="str">
        <v>МК-5-1 → БП 24V 480W</v>
      </c>
      <c r="BA16" s="34">
        <v>1</v>
      </c>
      <c r="BB16" s="34">
        <v>10</v>
      </c>
      <c r="BD16" s="34">
        <v>1</v>
      </c>
      <c r="BE16" s="34">
        <v>0</v>
      </c>
      <c r="BF16" s="34">
        <v>0</v>
      </c>
      <c r="BG16" s="34" t="str">
        <v/>
      </c>
      <c r="BH16" s="34" t="str">
        <v>MK</v>
      </c>
      <c r="BI16" s="34" t="str">
        <v>PS</v>
      </c>
      <c r="BJ16" s="34" t="str">
        <v/>
      </c>
      <c r="BK16" s="34" t="str">
        <v>LAMP</v>
      </c>
      <c r="BL16" s="34">
        <v>1</v>
      </c>
      <c r="BM16" s="34" t="str">
        <v/>
      </c>
      <c r="BN16" s="34">
        <v>1</v>
      </c>
      <c r="BO16" s="34">
        <v>2</v>
      </c>
      <c r="BP16" s="34" t="str">
        <v/>
      </c>
      <c r="BQ16" s="34" t="str">
        <v>2х4</v>
      </c>
      <c r="BR16" s="34">
        <v>7</v>
      </c>
      <c r="BS16" s="34">
        <v>1</v>
      </c>
      <c r="BT16" s="34">
        <v>1</v>
      </c>
      <c r="BU16" s="34">
        <v>1</v>
      </c>
      <c r="BV16" s="34">
        <v>15</v>
      </c>
      <c r="BW16" s="34">
        <v>1</v>
      </c>
      <c r="BX16" s="34">
        <v>0</v>
      </c>
      <c r="BY16" s="34" t="str">
        <v>Светильник</v>
      </c>
      <c r="BZ16">
        <v>2</v>
      </c>
      <c r="CA16" t="str">
        <v>линии</v>
      </c>
    </row>
    <row r="17" spans="1:79" x14ac:dyDescent="0.3">
      <c r="A17" s="39" t="str">
        <v>ЩБП</v>
      </c>
      <c r="B17" s="42">
        <v>4</v>
      </c>
      <c r="C17" s="42">
        <v>1</v>
      </c>
      <c r="D17" s="75" t="str">
        <v/>
      </c>
      <c r="E17" s="75" t="str">
        <v/>
      </c>
      <c r="F17" s="76" t="str">
        <v/>
      </c>
      <c r="G17" s="47" t="str">
        <v>QF1</v>
      </c>
      <c r="H17" s="47" t="str">
        <v/>
      </c>
      <c r="I17" s="75" t="str">
        <v/>
      </c>
      <c r="J17" s="76" t="str">
        <v/>
      </c>
      <c r="K17" s="76" t="str">
        <v/>
      </c>
      <c r="L17" s="75" t="str">
        <v/>
      </c>
      <c r="M17" s="49" t="str">
        <v>Di.1</v>
      </c>
      <c r="N17" s="76" t="str">
        <v/>
      </c>
      <c r="O17" s="49">
        <v>2</v>
      </c>
      <c r="P17" s="77" t="str">
        <v>XT2</v>
      </c>
      <c r="Q17" s="53" t="str">
        <v>ВВГнг(А)-LS (2х6) L=27-3,52%</v>
      </c>
      <c r="R17" s="54" t="str">
        <v>LD.1.01.2</v>
      </c>
      <c r="S17" s="55" t="str">
        <v>LED-лента 24 В, пом. 01</v>
      </c>
      <c r="T17" s="56">
        <v>0.1</v>
      </c>
      <c r="U17" s="56">
        <v>4.17</v>
      </c>
      <c r="V17" s="42" t="str">
        <v>L1</v>
      </c>
      <c r="W17" s="57" t="str">
        <v>ok</v>
      </c>
      <c r="X17" s="58" t="str">
        <v/>
      </c>
      <c r="Y17" s="75" t="str">
        <v/>
      </c>
      <c r="Z17" s="59" t="str">
        <v/>
      </c>
      <c r="AA17" s="61">
        <v>10</v>
      </c>
      <c r="AB17" s="61">
        <v>50</v>
      </c>
      <c r="AC17" s="61" t="str">
        <v>SMART-DALI-104</v>
      </c>
      <c r="AD17" s="62" t="str">
        <v>QF1 → МК-5-1 → БП 24V 480W → Di.1 к.2 → XT2</v>
      </c>
      <c r="AE17" s="62" t="str">
        <v/>
      </c>
      <c r="AF17" s="34">
        <v>1</v>
      </c>
      <c r="AG17" s="34" t="str">
        <v>QF1</v>
      </c>
      <c r="AH17" s="34" t="str">
        <v>Di.1</v>
      </c>
      <c r="AI17" s="34" t="str">
        <v>SMART-DALI-104</v>
      </c>
      <c r="AJ17" s="34" t="str">
        <v/>
      </c>
      <c r="AK17" s="34">
        <v>1</v>
      </c>
      <c r="AL17" s="34" t="str">
        <v>LD</v>
      </c>
      <c r="AM17" s="34">
        <v>0</v>
      </c>
      <c r="AN17" s="34">
        <v>0</v>
      </c>
      <c r="AO17" s="34">
        <v>10</v>
      </c>
      <c r="AP17" s="34">
        <v>50</v>
      </c>
      <c r="AQ17" s="34" t="str">
        <v/>
      </c>
      <c r="AR17" s="34">
        <v>1</v>
      </c>
      <c r="AS17" s="34" t="str">
        <v/>
      </c>
      <c r="AT17" s="34" t="str">
        <v>1P</v>
      </c>
      <c r="AU17" s="34" t="str">
        <v/>
      </c>
      <c r="AV17" s="34" t="str">
        <v/>
      </c>
      <c r="AW17" s="34" t="str">
        <v/>
      </c>
      <c r="AX17" s="34">
        <v>2</v>
      </c>
      <c r="AY17" s="34">
        <v>1</v>
      </c>
      <c r="AZ17" s="34" t="str">
        <v>МК-5-1 → БП 24V 480W</v>
      </c>
      <c r="BA17" s="34">
        <v>1</v>
      </c>
      <c r="BB17" s="34">
        <v>10</v>
      </c>
      <c r="BD17" s="34">
        <v>1</v>
      </c>
      <c r="BE17" s="34">
        <v>0</v>
      </c>
      <c r="BF17" s="34">
        <v>0</v>
      </c>
      <c r="BG17" s="34" t="str">
        <v/>
      </c>
      <c r="BH17" s="34" t="str">
        <v/>
      </c>
      <c r="BI17" s="34" t="str">
        <v/>
      </c>
      <c r="BJ17" s="34" t="str">
        <v/>
      </c>
      <c r="BK17" s="34" t="str">
        <v>LAMP</v>
      </c>
      <c r="BL17" s="34">
        <v>1</v>
      </c>
      <c r="BM17" s="34" t="str">
        <v/>
      </c>
      <c r="BN17" s="34" t="str">
        <v/>
      </c>
      <c r="BO17" s="34" t="str">
        <v/>
      </c>
      <c r="BP17" s="34" t="str">
        <v/>
      </c>
      <c r="BQ17" s="34" t="str">
        <v>2х6</v>
      </c>
      <c r="BR17" s="34">
        <v>8</v>
      </c>
      <c r="BS17" s="34" t="str">
        <v/>
      </c>
      <c r="BT17" s="34" t="str">
        <v/>
      </c>
      <c r="BU17" s="34">
        <v>0</v>
      </c>
      <c r="BV17" s="34">
        <v>16</v>
      </c>
      <c r="BW17" s="34">
        <v>1</v>
      </c>
      <c r="BX17" s="34">
        <v>0</v>
      </c>
      <c r="BY17" s="34" t="str">
        <v>Светильник</v>
      </c>
      <c r="BZ17">
        <v>2</v>
      </c>
      <c r="CA17" t="str">
        <v>линии</v>
      </c>
    </row>
    <row r="18" spans="1:79" x14ac:dyDescent="0.3">
      <c r="A18" s="39" t="str">
        <v>ЩБП</v>
      </c>
      <c r="B18" s="42">
        <v>5</v>
      </c>
      <c r="C18" s="42">
        <v>1</v>
      </c>
      <c r="D18" s="75" t="str">
        <v/>
      </c>
      <c r="E18" s="75" t="str">
        <v/>
      </c>
      <c r="F18" s="76" t="str">
        <v/>
      </c>
      <c r="G18" s="47" t="str">
        <v>QF1</v>
      </c>
      <c r="H18" s="47" t="str">
        <v/>
      </c>
      <c r="I18" s="75" t="str">
        <v/>
      </c>
      <c r="J18" s="76" t="str">
        <v/>
      </c>
      <c r="K18" s="76" t="str">
        <v/>
      </c>
      <c r="L18" s="75" t="str">
        <v/>
      </c>
      <c r="M18" s="49" t="str">
        <v>Di.1</v>
      </c>
      <c r="N18" s="76" t="str">
        <v/>
      </c>
      <c r="O18" s="49">
        <v>3</v>
      </c>
      <c r="P18" s="77" t="str">
        <v>XT3</v>
      </c>
      <c r="Q18" s="53" t="str">
        <v>ВВГнг(А)-LS (2х10) L=36-3,38%</v>
      </c>
      <c r="R18" s="54" t="str">
        <v>LD.1.02.1</v>
      </c>
      <c r="S18" s="55" t="str">
        <v>LED-лента 24 В, пом. 02</v>
      </c>
      <c r="T18" s="56">
        <v>0.12</v>
      </c>
      <c r="U18" s="56">
        <v>5</v>
      </c>
      <c r="V18" s="42" t="str">
        <v>L1</v>
      </c>
      <c r="W18" s="57" t="str">
        <v>ok</v>
      </c>
      <c r="X18" s="58" t="str">
        <v/>
      </c>
      <c r="Y18" s="75" t="str">
        <v/>
      </c>
      <c r="Z18" s="59" t="str">
        <v/>
      </c>
      <c r="AA18" s="61">
        <v>10</v>
      </c>
      <c r="AB18" s="61">
        <v>63</v>
      </c>
      <c r="AC18" s="61" t="str">
        <v>SMART-DALI-104</v>
      </c>
      <c r="AD18" s="62" t="str">
        <v>QF1 → МК-5-1 → БП 24V 480W → Di.1 к.3 → XT3</v>
      </c>
      <c r="AE18" s="62" t="str">
        <v/>
      </c>
      <c r="AF18" s="34">
        <v>1</v>
      </c>
      <c r="AG18" s="34" t="str">
        <v>QF1</v>
      </c>
      <c r="AH18" s="34" t="str">
        <v>Di.1</v>
      </c>
      <c r="AI18" s="34" t="str">
        <v>SMART-DALI-104</v>
      </c>
      <c r="AJ18" s="34" t="str">
        <v/>
      </c>
      <c r="AK18" s="34">
        <v>1</v>
      </c>
      <c r="AL18" s="34" t="str">
        <v>LD</v>
      </c>
      <c r="AM18" s="34">
        <v>0</v>
      </c>
      <c r="AN18" s="34">
        <v>0</v>
      </c>
      <c r="AO18" s="34">
        <v>10</v>
      </c>
      <c r="AP18" s="34">
        <v>63</v>
      </c>
      <c r="AQ18" s="34" t="str">
        <v/>
      </c>
      <c r="AR18" s="34">
        <v>1</v>
      </c>
      <c r="AS18" s="34" t="str">
        <v/>
      </c>
      <c r="AT18" s="34" t="str">
        <v>1P</v>
      </c>
      <c r="AU18" s="34" t="str">
        <v/>
      </c>
      <c r="AV18" s="34" t="str">
        <v/>
      </c>
      <c r="AW18" s="34" t="str">
        <v/>
      </c>
      <c r="AX18" s="34">
        <v>3</v>
      </c>
      <c r="AY18" s="34">
        <v>1</v>
      </c>
      <c r="AZ18" s="34" t="str">
        <v>МК-5-1 → БП 24V 480W</v>
      </c>
      <c r="BA18" s="34">
        <v>1</v>
      </c>
      <c r="BB18" s="34">
        <v>10</v>
      </c>
      <c r="BD18" s="34">
        <v>1</v>
      </c>
      <c r="BE18" s="34">
        <v>0</v>
      </c>
      <c r="BF18" s="34">
        <v>0</v>
      </c>
      <c r="BG18" s="34" t="str">
        <v/>
      </c>
      <c r="BH18" s="34" t="str">
        <v/>
      </c>
      <c r="BI18" s="34" t="str">
        <v/>
      </c>
      <c r="BJ18" s="34" t="str">
        <v/>
      </c>
      <c r="BK18" s="34" t="str">
        <v>LAMP</v>
      </c>
      <c r="BL18" s="34">
        <v>1</v>
      </c>
      <c r="BM18" s="34" t="str">
        <v/>
      </c>
      <c r="BN18" s="34" t="str">
        <v/>
      </c>
      <c r="BO18" s="34" t="str">
        <v/>
      </c>
      <c r="BP18" s="34" t="str">
        <v/>
      </c>
      <c r="BQ18" s="34" t="str">
        <v>2х10</v>
      </c>
      <c r="BR18" s="34">
        <v>9</v>
      </c>
      <c r="BS18" s="34" t="str">
        <v/>
      </c>
      <c r="BT18" s="34" t="str">
        <v/>
      </c>
      <c r="BU18" s="34">
        <v>0</v>
      </c>
      <c r="BV18" s="34">
        <v>17</v>
      </c>
      <c r="BW18" s="34">
        <v>1</v>
      </c>
      <c r="BX18" s="34">
        <v>0</v>
      </c>
      <c r="BY18" s="34" t="str">
        <v>Светильник</v>
      </c>
      <c r="BZ18">
        <v>2</v>
      </c>
      <c r="CA18" t="str">
        <v>линии</v>
      </c>
    </row>
    <row r="19" spans="1:79" x14ac:dyDescent="0.3">
      <c r="A19" s="39" t="str">
        <v>ЩБП</v>
      </c>
      <c r="B19" s="42">
        <v>6</v>
      </c>
      <c r="C19" s="42">
        <v>1</v>
      </c>
      <c r="D19" s="75" t="str">
        <v/>
      </c>
      <c r="E19" s="75" t="str">
        <v/>
      </c>
      <c r="F19" s="76" t="str">
        <v/>
      </c>
      <c r="G19" s="47" t="str">
        <v>QF1</v>
      </c>
      <c r="H19" s="47" t="str">
        <v/>
      </c>
      <c r="I19" s="75" t="str">
        <v/>
      </c>
      <c r="J19" s="76" t="str">
        <v/>
      </c>
      <c r="K19" s="76" t="str">
        <v/>
      </c>
      <c r="L19" s="75" t="str">
        <v/>
      </c>
      <c r="M19" s="49" t="str">
        <v>Di.1</v>
      </c>
      <c r="N19" s="76" t="str">
        <v/>
      </c>
      <c r="O19" s="49">
        <v>4</v>
      </c>
      <c r="P19" s="77" t="str">
        <v>XT4</v>
      </c>
      <c r="Q19" s="53" t="str">
        <v>ВВГнг(А)-LS (2х16) L=43-3,15%</v>
      </c>
      <c r="R19" s="54" t="str">
        <v>LD.1.03.1</v>
      </c>
      <c r="S19" s="55" t="str">
        <v>LED-лента 24 В, пом. 03</v>
      </c>
      <c r="T19" s="56">
        <v>0.15</v>
      </c>
      <c r="U19" s="56">
        <v>6.25</v>
      </c>
      <c r="V19" s="42" t="str">
        <v>L1</v>
      </c>
      <c r="W19" s="57" t="str">
        <v>ok</v>
      </c>
      <c r="X19" s="58" t="str">
        <v/>
      </c>
      <c r="Y19" s="75" t="str">
        <v/>
      </c>
      <c r="Z19" s="59" t="str">
        <v/>
      </c>
      <c r="AA19" s="61">
        <v>10</v>
      </c>
      <c r="AB19" s="61">
        <v>80</v>
      </c>
      <c r="AC19" s="61" t="str">
        <v>SMART-DALI-104</v>
      </c>
      <c r="AD19" s="62" t="str">
        <v>QF1 → МК-5-1 → БП 24V 480W → Di.1 к.4 → XT4</v>
      </c>
      <c r="AE19" s="62" t="str">
        <v>Di.1 канал 4: 6,3 А &gt; 5 А</v>
      </c>
      <c r="AF19" s="34">
        <v>1</v>
      </c>
      <c r="AG19" s="34" t="str">
        <v>QF1</v>
      </c>
      <c r="AH19" s="34" t="str">
        <v>Di.1</v>
      </c>
      <c r="AI19" s="34" t="str">
        <v>SMART-DALI-104</v>
      </c>
      <c r="AJ19" s="34" t="str">
        <v/>
      </c>
      <c r="AK19" s="34">
        <v>1</v>
      </c>
      <c r="AL19" s="34" t="str">
        <v>LD</v>
      </c>
      <c r="AM19" s="34">
        <v>0</v>
      </c>
      <c r="AN19" s="34">
        <v>0</v>
      </c>
      <c r="AO19" s="34">
        <v>10</v>
      </c>
      <c r="AP19" s="34">
        <v>80</v>
      </c>
      <c r="AQ19" s="34" t="str">
        <v/>
      </c>
      <c r="AR19" s="34">
        <v>1</v>
      </c>
      <c r="AS19" s="34" t="str">
        <v/>
      </c>
      <c r="AT19" s="34" t="str">
        <v>1P</v>
      </c>
      <c r="AU19" s="34" t="str">
        <v/>
      </c>
      <c r="AV19" s="34" t="str">
        <v/>
      </c>
      <c r="AW19" s="34" t="str">
        <v/>
      </c>
      <c r="AX19" s="34">
        <v>4</v>
      </c>
      <c r="AY19" s="34">
        <v>1</v>
      </c>
      <c r="AZ19" s="34" t="str">
        <v>МК-5-1 → БП 24V 480W</v>
      </c>
      <c r="BA19" s="34">
        <v>1</v>
      </c>
      <c r="BB19" s="34">
        <v>10</v>
      </c>
      <c r="BD19" s="34">
        <v>1</v>
      </c>
      <c r="BE19" s="34">
        <v>0</v>
      </c>
      <c r="BF19" s="34">
        <v>0</v>
      </c>
      <c r="BG19" s="34" t="str">
        <v/>
      </c>
      <c r="BH19" s="34" t="str">
        <v/>
      </c>
      <c r="BI19" s="34" t="str">
        <v/>
      </c>
      <c r="BJ19" s="34" t="str">
        <v/>
      </c>
      <c r="BK19" s="34" t="str">
        <v>LAMP</v>
      </c>
      <c r="BL19" s="34">
        <v>1</v>
      </c>
      <c r="BM19" s="34" t="str">
        <v/>
      </c>
      <c r="BN19" s="34" t="str">
        <v/>
      </c>
      <c r="BO19" s="34" t="str">
        <v/>
      </c>
      <c r="BP19" s="34" t="str">
        <v/>
      </c>
      <c r="BQ19" s="34" t="str">
        <v>2х16</v>
      </c>
      <c r="BR19" s="34">
        <v>10</v>
      </c>
      <c r="BS19" s="34" t="str">
        <v/>
      </c>
      <c r="BT19" s="34" t="str">
        <v/>
      </c>
      <c r="BU19" s="34">
        <v>2</v>
      </c>
      <c r="BV19" s="34">
        <v>18</v>
      </c>
      <c r="BW19" s="34">
        <v>1</v>
      </c>
      <c r="BX19" s="34">
        <v>0</v>
      </c>
      <c r="BY19" s="34" t="str">
        <v>Светильник</v>
      </c>
      <c r="BZ19">
        <v>2</v>
      </c>
      <c r="CA19" t="str">
        <v>линии</v>
      </c>
    </row>
    <row r="20" spans="1:79" x14ac:dyDescent="0.3">
      <c r="A20" s="39" t="str">
        <v>ЩБП</v>
      </c>
      <c r="B20" s="42">
        <v>7</v>
      </c>
      <c r="C20" s="42">
        <v>1</v>
      </c>
      <c r="D20" s="75" t="str">
        <v/>
      </c>
      <c r="E20" s="75" t="str">
        <v>авто</v>
      </c>
      <c r="F20" s="76" t="str">
        <v/>
      </c>
      <c r="G20" s="47" t="str">
        <v>QF2</v>
      </c>
      <c r="H20" s="47" t="str">
        <v>1P С10А</v>
      </c>
      <c r="I20" s="75" t="str">
        <v>МК-5-1</v>
      </c>
      <c r="J20" s="76" t="str">
        <v>БП 24V 75W</v>
      </c>
      <c r="K20" s="76" t="str">
        <v/>
      </c>
      <c r="L20" s="75" t="str">
        <v>-</v>
      </c>
      <c r="M20" s="49" t="str">
        <v/>
      </c>
      <c r="N20" s="76" t="str">
        <v/>
      </c>
      <c r="O20" s="49" t="str">
        <v/>
      </c>
      <c r="P20" s="77" t="str">
        <v>XT5</v>
      </c>
      <c r="Q20" s="53" t="str">
        <v>ВВГнг(А)-LS (2х1,5) L=15-3,91%</v>
      </c>
      <c r="R20" s="54" t="str">
        <v>LD.1.04.1</v>
      </c>
      <c r="S20" s="55" t="str">
        <v>LED-подсветка ниши, пом. 04</v>
      </c>
      <c r="T20" s="56">
        <v>0.05</v>
      </c>
      <c r="U20" s="56">
        <v>2.09</v>
      </c>
      <c r="V20" s="42" t="str">
        <v>L2</v>
      </c>
      <c r="W20" s="57" t="str">
        <v>ok</v>
      </c>
      <c r="X20" s="58" t="str">
        <v/>
      </c>
      <c r="Y20" s="75" t="str">
        <v/>
      </c>
      <c r="Z20" s="59">
        <v>0.41022255968736565</v>
      </c>
      <c r="AA20" s="61">
        <v>10</v>
      </c>
      <c r="AB20" s="61">
        <v>16</v>
      </c>
      <c r="AC20" s="61" t="str">
        <v/>
      </c>
      <c r="AD20" s="62" t="str">
        <v>QF2 → МК-5-1 → БП 24V 75W → XT5</v>
      </c>
      <c r="AE20" s="62" t="str">
        <v>БП 75 Вт &lt; нужно 121 Вт (×1,3)</v>
      </c>
      <c r="AF20" s="34">
        <v>2</v>
      </c>
      <c r="AG20" s="34" t="str">
        <v>QF2</v>
      </c>
      <c r="AH20" s="34" t="str">
        <v/>
      </c>
      <c r="AI20" s="34" t="str">
        <v/>
      </c>
      <c r="AJ20" s="34" t="str">
        <v>QF2</v>
      </c>
      <c r="AK20" s="34">
        <v>1</v>
      </c>
      <c r="AL20" s="34" t="str">
        <v>LD</v>
      </c>
      <c r="AM20" s="34">
        <v>0</v>
      </c>
      <c r="AN20" s="34">
        <v>0</v>
      </c>
      <c r="AO20" s="34">
        <v>10</v>
      </c>
      <c r="AP20" s="34">
        <v>16</v>
      </c>
      <c r="AQ20" s="34">
        <v>10</v>
      </c>
      <c r="AR20" s="34">
        <v>1</v>
      </c>
      <c r="AS20" s="34">
        <v>0</v>
      </c>
      <c r="AT20" s="34" t="str">
        <v>1P</v>
      </c>
      <c r="AU20" s="34">
        <v>10</v>
      </c>
      <c r="AV20" s="34" t="str">
        <v/>
      </c>
      <c r="AW20" s="34" t="str">
        <v/>
      </c>
      <c r="AX20" s="34" t="str">
        <v/>
      </c>
      <c r="AY20" s="34">
        <v>1</v>
      </c>
      <c r="AZ20" s="34" t="str">
        <v>МК-5-1 → БП 24V 75W</v>
      </c>
      <c r="BA20" s="34">
        <v>1</v>
      </c>
      <c r="BB20" s="34">
        <v>10</v>
      </c>
      <c r="BD20" s="34">
        <v>1</v>
      </c>
      <c r="BE20" s="34">
        <v>0</v>
      </c>
      <c r="BF20" s="34">
        <v>0</v>
      </c>
      <c r="BG20" s="34" t="str">
        <v/>
      </c>
      <c r="BH20" s="34" t="str">
        <v>MK</v>
      </c>
      <c r="BI20" s="34" t="str">
        <v>PS</v>
      </c>
      <c r="BJ20" s="34" t="str">
        <v/>
      </c>
      <c r="BK20" s="34" t="str">
        <v>LAMP</v>
      </c>
      <c r="BL20" s="34">
        <v>1</v>
      </c>
      <c r="BM20" s="34" t="str">
        <v/>
      </c>
      <c r="BN20" s="34" t="str">
        <v/>
      </c>
      <c r="BO20" s="34">
        <v>3</v>
      </c>
      <c r="BP20" s="34" t="str">
        <v/>
      </c>
      <c r="BQ20" s="34" t="str">
        <v>2х1,5</v>
      </c>
      <c r="BR20" s="34">
        <v>11</v>
      </c>
      <c r="BS20" s="34" t="str">
        <v/>
      </c>
      <c r="BT20" s="34" t="str">
        <v/>
      </c>
      <c r="BU20" s="34">
        <v>1</v>
      </c>
      <c r="BV20" s="34">
        <v>19</v>
      </c>
      <c r="BW20" s="34">
        <v>1</v>
      </c>
      <c r="BX20" s="34">
        <v>0</v>
      </c>
      <c r="BY20" s="34" t="str">
        <v>Светильник</v>
      </c>
      <c r="BZ20">
        <v>2</v>
      </c>
      <c r="CA20" t="str">
        <v>линии</v>
      </c>
    </row>
    <row r="21" spans="1:79" x14ac:dyDescent="0.3">
      <c r="A21" s="39" t="str">
        <v>ЩБП</v>
      </c>
      <c r="B21" s="42">
        <v>8</v>
      </c>
      <c r="C21" s="42">
        <v>1</v>
      </c>
      <c r="D21" s="75" t="str">
        <v/>
      </c>
      <c r="E21" s="75" t="str">
        <v/>
      </c>
      <c r="F21" s="76" t="str">
        <v/>
      </c>
      <c r="G21" s="47" t="str">
        <v>QF2</v>
      </c>
      <c r="H21" s="47" t="str">
        <v/>
      </c>
      <c r="I21" s="75" t="str">
        <v/>
      </c>
      <c r="J21" s="76" t="str">
        <v/>
      </c>
      <c r="K21" s="76" t="str">
        <v/>
      </c>
      <c r="L21" s="75" t="str">
        <v/>
      </c>
      <c r="M21" s="49" t="str">
        <v/>
      </c>
      <c r="N21" s="76" t="str">
        <v/>
      </c>
      <c r="O21" s="49" t="str">
        <v/>
      </c>
      <c r="P21" s="77" t="str">
        <v>XT6</v>
      </c>
      <c r="Q21" s="53" t="str">
        <v>ВВГнг(А)-LS (2х1,5) L=13-2,71%</v>
      </c>
      <c r="R21" s="54" t="str">
        <v>LD.1.04.2</v>
      </c>
      <c r="S21" s="55" t="str">
        <v>LED-подсветка ниши, пом. 04</v>
      </c>
      <c r="T21" s="56">
        <v>0.04</v>
      </c>
      <c r="U21" s="56">
        <v>1.67</v>
      </c>
      <c r="V21" s="42" t="str">
        <v>L2</v>
      </c>
      <c r="W21" s="57" t="str">
        <v>ok</v>
      </c>
      <c r="X21" s="58" t="str">
        <v/>
      </c>
      <c r="Y21" s="75" t="str">
        <v/>
      </c>
      <c r="Z21" s="59" t="str">
        <v/>
      </c>
      <c r="AA21" s="61">
        <v>10</v>
      </c>
      <c r="AB21" s="61">
        <v>16</v>
      </c>
      <c r="AC21" s="61" t="str">
        <v/>
      </c>
      <c r="AD21" s="62" t="str">
        <v>QF2 → МК-5-1 → БП 24V 75W → XT6</v>
      </c>
      <c r="AE21" s="62" t="str">
        <v/>
      </c>
      <c r="AF21" s="34">
        <v>2</v>
      </c>
      <c r="AG21" s="34" t="str">
        <v>QF2</v>
      </c>
      <c r="AH21" s="34" t="str">
        <v/>
      </c>
      <c r="AI21" s="34" t="str">
        <v/>
      </c>
      <c r="AJ21" s="34" t="str">
        <v/>
      </c>
      <c r="AK21" s="34">
        <v>1</v>
      </c>
      <c r="AL21" s="34" t="str">
        <v>LD</v>
      </c>
      <c r="AM21" s="34">
        <v>0</v>
      </c>
      <c r="AN21" s="34">
        <v>0</v>
      </c>
      <c r="AO21" s="34">
        <v>10</v>
      </c>
      <c r="AP21" s="34">
        <v>16</v>
      </c>
      <c r="AQ21" s="34" t="str">
        <v/>
      </c>
      <c r="AR21" s="34">
        <v>1</v>
      </c>
      <c r="AS21" s="34" t="str">
        <v/>
      </c>
      <c r="AT21" s="34" t="str">
        <v>1P</v>
      </c>
      <c r="AU21" s="34" t="str">
        <v/>
      </c>
      <c r="AV21" s="34" t="str">
        <v/>
      </c>
      <c r="AW21" s="34" t="str">
        <v/>
      </c>
      <c r="AX21" s="34" t="str">
        <v/>
      </c>
      <c r="AY21" s="34">
        <v>1</v>
      </c>
      <c r="AZ21" s="34" t="str">
        <v>МК-5-1 → БП 24V 75W</v>
      </c>
      <c r="BA21" s="34">
        <v>1</v>
      </c>
      <c r="BB21" s="34">
        <v>10</v>
      </c>
      <c r="BD21" s="34">
        <v>1</v>
      </c>
      <c r="BE21" s="34">
        <v>0</v>
      </c>
      <c r="BF21" s="34">
        <v>0</v>
      </c>
      <c r="BG21" s="34" t="str">
        <v/>
      </c>
      <c r="BH21" s="34" t="str">
        <v/>
      </c>
      <c r="BI21" s="34" t="str">
        <v/>
      </c>
      <c r="BJ21" s="34" t="str">
        <v/>
      </c>
      <c r="BK21" s="34" t="str">
        <v>LAMP</v>
      </c>
      <c r="BL21" s="34">
        <v>1</v>
      </c>
      <c r="BM21" s="34" t="str">
        <v/>
      </c>
      <c r="BN21" s="34" t="str">
        <v/>
      </c>
      <c r="BO21" s="34" t="str">
        <v/>
      </c>
      <c r="BP21" s="34" t="str">
        <v/>
      </c>
      <c r="BQ21" s="34" t="str">
        <v>2х1,5</v>
      </c>
      <c r="BR21" s="34" t="str">
        <v/>
      </c>
      <c r="BS21" s="34" t="str">
        <v/>
      </c>
      <c r="BT21" s="34" t="str">
        <v/>
      </c>
      <c r="BU21" s="34">
        <v>0</v>
      </c>
      <c r="BV21" s="34">
        <v>20</v>
      </c>
      <c r="BW21" s="34">
        <v>1</v>
      </c>
      <c r="BX21" s="34">
        <v>0</v>
      </c>
      <c r="BY21" s="34" t="str">
        <v>Светильник</v>
      </c>
      <c r="BZ21">
        <v>2</v>
      </c>
      <c r="CA21" t="str">
        <v>линии</v>
      </c>
    </row>
    <row r="22" spans="1:79" x14ac:dyDescent="0.3">
      <c r="A22" s="39" t="str">
        <v>ЩГП</v>
      </c>
      <c r="B22" s="42">
        <v>1</v>
      </c>
      <c r="C22" s="42">
        <v>1</v>
      </c>
      <c r="D22" s="75" t="str">
        <v/>
      </c>
      <c r="E22" s="75" t="str">
        <v>авто</v>
      </c>
      <c r="F22" s="76" t="str">
        <v/>
      </c>
      <c r="G22" s="47" t="str">
        <v/>
      </c>
      <c r="H22" s="47" t="str">
        <v>3P С6А</v>
      </c>
      <c r="I22" s="75" t="str">
        <v/>
      </c>
      <c r="J22" s="76" t="str">
        <v/>
      </c>
      <c r="K22" s="76" t="str">
        <v/>
      </c>
      <c r="L22" s="75" t="str">
        <v/>
      </c>
      <c r="M22" s="49" t="str">
        <v/>
      </c>
      <c r="N22" s="76" t="str">
        <v/>
      </c>
      <c r="O22" s="49" t="str">
        <v/>
      </c>
      <c r="P22" s="77" t="str">
        <v/>
      </c>
      <c r="Q22" s="53" t="str">
        <v>ВВГнг(А)-LS (5х6)</v>
      </c>
      <c r="R22" s="54" t="str">
        <v>Ввод.1</v>
      </c>
      <c r="S22" s="55" t="str">
        <v>Ввод питающей линии</v>
      </c>
      <c r="T22" s="56">
        <v>0.5</v>
      </c>
      <c r="U22" s="56">
        <v>1.21</v>
      </c>
      <c r="V22" s="42" t="str">
        <v>L1,L2,L3</v>
      </c>
      <c r="W22" s="57" t="str">
        <v>ok</v>
      </c>
      <c r="X22" s="58" t="str">
        <v/>
      </c>
      <c r="Y22" s="75" t="str">
        <v>вручную</v>
      </c>
      <c r="Z22" s="59">
        <v>1.2033195084162727</v>
      </c>
      <c r="AA22" s="61">
        <v>6</v>
      </c>
      <c r="AB22" s="61">
        <v>32</v>
      </c>
      <c r="AC22" s="61" t="str">
        <v/>
      </c>
      <c r="AD22" s="62" t="str">
        <v/>
      </c>
      <c r="AE22" s="62" t="str">
        <v/>
      </c>
      <c r="AF22" s="34" t="str">
        <v/>
      </c>
      <c r="AG22" s="34" t="str">
        <v/>
      </c>
      <c r="AH22" s="34" t="str">
        <v/>
      </c>
      <c r="AI22" s="34" t="str">
        <v/>
      </c>
      <c r="AJ22" s="34" t="str">
        <v/>
      </c>
      <c r="AK22" s="34">
        <v>3</v>
      </c>
      <c r="AL22" s="34" t="str">
        <v>Ввод</v>
      </c>
      <c r="AM22" s="34">
        <v>0</v>
      </c>
      <c r="AN22" s="34">
        <v>0</v>
      </c>
      <c r="AO22" s="34">
        <v>6</v>
      </c>
      <c r="AP22" s="34">
        <v>32</v>
      </c>
      <c r="AQ22" s="34">
        <v>6</v>
      </c>
      <c r="AR22" s="34">
        <v>3</v>
      </c>
      <c r="AS22" s="34">
        <v>0</v>
      </c>
      <c r="AT22" s="34" t="str">
        <v>3P</v>
      </c>
      <c r="AU22" s="34">
        <v>6</v>
      </c>
      <c r="AV22" s="34" t="str">
        <v/>
      </c>
      <c r="AW22" s="34" t="str">
        <v/>
      </c>
      <c r="AX22" s="34" t="str">
        <v/>
      </c>
      <c r="AY22" s="34">
        <v>0</v>
      </c>
      <c r="AZ22" s="34" t="str">
        <v/>
      </c>
      <c r="BA22" s="34">
        <v>0</v>
      </c>
      <c r="BB22" s="34">
        <v>0</v>
      </c>
      <c r="BD22" s="34">
        <v>0</v>
      </c>
      <c r="BE22" s="34">
        <v>0</v>
      </c>
      <c r="BF22" s="34">
        <v>0</v>
      </c>
      <c r="BG22" s="34" t="str">
        <v/>
      </c>
      <c r="BH22" s="34" t="str">
        <v/>
      </c>
      <c r="BI22" s="34" t="str">
        <v/>
      </c>
      <c r="BJ22" s="34" t="str">
        <v/>
      </c>
      <c r="BK22" s="34" t="str">
        <v>BOX</v>
      </c>
      <c r="BL22" s="34">
        <v>1</v>
      </c>
      <c r="BM22" s="34" t="str">
        <v/>
      </c>
      <c r="BN22" s="34" t="str">
        <v/>
      </c>
      <c r="BO22" s="34" t="str">
        <v/>
      </c>
      <c r="BP22" s="34" t="str">
        <v/>
      </c>
      <c r="BQ22" s="34" t="str">
        <v/>
      </c>
      <c r="BR22" s="34" t="str">
        <v/>
      </c>
      <c r="BS22" s="34" t="str">
        <v/>
      </c>
      <c r="BT22" s="34" t="str">
        <v/>
      </c>
      <c r="BU22" s="34">
        <v>0</v>
      </c>
      <c r="BV22" s="34">
        <v>21</v>
      </c>
      <c r="BW22" s="34">
        <v>0</v>
      </c>
      <c r="BX22" s="34">
        <v>0</v>
      </c>
      <c r="BY22" s="34">
        <v>0</v>
      </c>
      <c r="BZ22">
        <v>3</v>
      </c>
      <c r="CA22" t="str">
        <v>вводной узел</v>
      </c>
    </row>
    <row r="23" spans="1:79" x14ac:dyDescent="0.3">
      <c r="A23" s="39" t="str">
        <v>ЩГП</v>
      </c>
      <c r="B23" s="42">
        <v>3</v>
      </c>
      <c r="C23" s="42">
        <v>1</v>
      </c>
      <c r="D23" s="75" t="str">
        <v>ИБП</v>
      </c>
      <c r="E23" s="75" t="str">
        <v>авто</v>
      </c>
      <c r="F23" s="76" t="str">
        <v/>
      </c>
      <c r="G23" s="47" t="str">
        <v>QF1</v>
      </c>
      <c r="H23" s="47" t="str">
        <v>1P С6А</v>
      </c>
      <c r="I23" s="75" t="str">
        <v/>
      </c>
      <c r="J23" s="76" t="str">
        <v/>
      </c>
      <c r="K23" s="76" t="str">
        <v/>
      </c>
      <c r="L23" s="75" t="str">
        <v/>
      </c>
      <c r="M23" s="49" t="str">
        <v/>
      </c>
      <c r="N23" s="76" t="str">
        <v/>
      </c>
      <c r="O23" s="49" t="str">
        <v/>
      </c>
      <c r="P23" s="77" t="str">
        <v>XT1</v>
      </c>
      <c r="Q23" s="53" t="str">
        <v>ВВГнг(А)-LS (3х1,5) L=9-0,11%</v>
      </c>
      <c r="R23" s="54" t="str">
        <v>АПС.0.01.1</v>
      </c>
      <c r="S23" s="55" t="str">
        <v>Реле АПС, пом. 01</v>
      </c>
      <c r="T23" s="56">
        <v>0.2</v>
      </c>
      <c r="U23" s="56">
        <v>0.92</v>
      </c>
      <c r="V23" s="42" t="str">
        <v>L2</v>
      </c>
      <c r="W23" s="57" t="str">
        <v>ok</v>
      </c>
      <c r="X23" s="58" t="str">
        <v/>
      </c>
      <c r="Y23" s="75" t="str">
        <v/>
      </c>
      <c r="Z23" s="59">
        <v>0.911605688194146</v>
      </c>
      <c r="AA23" s="61">
        <v>6</v>
      </c>
      <c r="AB23" s="61">
        <v>16</v>
      </c>
      <c r="AC23" s="61" t="str">
        <v/>
      </c>
      <c r="AD23" s="62" t="str">
        <v>QF1 → XT1</v>
      </c>
      <c r="AE23" s="62" t="str">
        <v/>
      </c>
      <c r="AF23" s="34">
        <v>1</v>
      </c>
      <c r="AG23" s="34" t="str">
        <v>QF1</v>
      </c>
      <c r="AH23" s="34" t="str">
        <v/>
      </c>
      <c r="AI23" s="34" t="str">
        <v/>
      </c>
      <c r="AJ23" s="34" t="str">
        <v>QF1</v>
      </c>
      <c r="AK23" s="34">
        <v>1</v>
      </c>
      <c r="AL23" s="34" t="str">
        <v>АПС</v>
      </c>
      <c r="AM23" s="34">
        <v>0</v>
      </c>
      <c r="AN23" s="34">
        <v>0</v>
      </c>
      <c r="AO23" s="34">
        <v>6</v>
      </c>
      <c r="AP23" s="34">
        <v>16</v>
      </c>
      <c r="AQ23" s="34">
        <v>6</v>
      </c>
      <c r="AR23" s="34">
        <v>1</v>
      </c>
      <c r="AS23" s="34">
        <v>0</v>
      </c>
      <c r="AT23" s="34" t="str">
        <v>1P</v>
      </c>
      <c r="AU23" s="34">
        <v>6</v>
      </c>
      <c r="AV23" s="34" t="str">
        <v/>
      </c>
      <c r="AW23" s="34" t="str">
        <v/>
      </c>
      <c r="AX23" s="34" t="str">
        <v/>
      </c>
      <c r="AY23" s="34">
        <v>1</v>
      </c>
      <c r="AZ23" s="34" t="str">
        <v/>
      </c>
      <c r="BA23" s="34">
        <v>0</v>
      </c>
      <c r="BB23" s="34">
        <v>0</v>
      </c>
      <c r="BD23" s="34">
        <v>1</v>
      </c>
      <c r="BE23" s="34">
        <v>1</v>
      </c>
      <c r="BF23" s="34">
        <v>0</v>
      </c>
      <c r="BG23" s="34" t="str">
        <v/>
      </c>
      <c r="BH23" s="34" t="str">
        <v/>
      </c>
      <c r="BI23" s="34" t="str">
        <v/>
      </c>
      <c r="BJ23" s="34" t="str">
        <v/>
      </c>
      <c r="BK23" s="34" t="str">
        <v>BOX</v>
      </c>
      <c r="BL23" s="34">
        <v>1</v>
      </c>
      <c r="BM23" s="34" t="str">
        <v/>
      </c>
      <c r="BN23" s="34" t="str">
        <v/>
      </c>
      <c r="BO23" s="34" t="str">
        <v/>
      </c>
      <c r="BP23" s="34" t="str">
        <v/>
      </c>
      <c r="BQ23" s="34" t="str">
        <v>3х1,5</v>
      </c>
      <c r="BR23" s="34" t="str">
        <v/>
      </c>
      <c r="BS23" s="34" t="str">
        <v/>
      </c>
      <c r="BT23" s="34" t="str">
        <v/>
      </c>
      <c r="BU23" s="34">
        <v>0</v>
      </c>
      <c r="BV23" s="34">
        <v>22</v>
      </c>
      <c r="BW23" s="34">
        <v>1</v>
      </c>
      <c r="BX23" s="34">
        <v>0</v>
      </c>
      <c r="BY23" s="34">
        <v>0</v>
      </c>
      <c r="BZ23">
        <v>3</v>
      </c>
      <c r="CA23" t="str">
        <v>линии</v>
      </c>
    </row>
    <row r="24" spans="1:79" x14ac:dyDescent="0.3">
      <c r="A24" s="39" t="str">
        <v>ЩГП</v>
      </c>
      <c r="B24" s="42">
        <v>4</v>
      </c>
      <c r="C24" s="42">
        <v>1</v>
      </c>
      <c r="D24" s="75" t="str">
        <v>ИБП</v>
      </c>
      <c r="E24" s="75" t="str">
        <v>авто</v>
      </c>
      <c r="F24" s="76" t="str">
        <v/>
      </c>
      <c r="G24" s="47" t="str">
        <v>QF2</v>
      </c>
      <c r="H24" s="47" t="str">
        <v>1P С10А</v>
      </c>
      <c r="I24" s="75" t="str">
        <v/>
      </c>
      <c r="J24" s="76" t="str">
        <v/>
      </c>
      <c r="K24" s="76" t="str">
        <v/>
      </c>
      <c r="L24" s="75" t="str">
        <v/>
      </c>
      <c r="M24" s="49" t="str">
        <v/>
      </c>
      <c r="N24" s="76" t="str">
        <v/>
      </c>
      <c r="O24" s="49" t="str">
        <v/>
      </c>
      <c r="P24" s="77" t="str">
        <v>XT2</v>
      </c>
      <c r="Q24" s="53" t="str">
        <v>ВВГнг(А)-LS (3х1,5) L=21-0,36%</v>
      </c>
      <c r="R24" s="54" t="str">
        <v>L.0.02.1</v>
      </c>
      <c r="S24" s="55" t="str">
        <v>Аварийное освещение (шина ИБП)</v>
      </c>
      <c r="T24" s="56">
        <v>0.3</v>
      </c>
      <c r="U24" s="56">
        <v>1.37</v>
      </c>
      <c r="V24" s="42" t="str">
        <v>L1</v>
      </c>
      <c r="W24" s="57" t="str">
        <v>ok</v>
      </c>
      <c r="X24" s="58" t="str">
        <v/>
      </c>
      <c r="Y24" s="75" t="str">
        <v/>
      </c>
      <c r="Z24" s="59">
        <v>1.3674085322912188</v>
      </c>
      <c r="AA24" s="61">
        <v>10</v>
      </c>
      <c r="AB24" s="61">
        <v>16</v>
      </c>
      <c r="AC24" s="61" t="str">
        <v/>
      </c>
      <c r="AD24" s="62" t="str">
        <v>QF2 → XT2</v>
      </c>
      <c r="AE24" s="62" t="str">
        <v/>
      </c>
      <c r="AF24" s="34">
        <v>2</v>
      </c>
      <c r="AG24" s="34" t="str">
        <v>QF2</v>
      </c>
      <c r="AH24" s="34" t="str">
        <v/>
      </c>
      <c r="AI24" s="34" t="str">
        <v/>
      </c>
      <c r="AJ24" s="34" t="str">
        <v>QF2</v>
      </c>
      <c r="AK24" s="34">
        <v>1</v>
      </c>
      <c r="AL24" s="34" t="str">
        <v>L</v>
      </c>
      <c r="AM24" s="34">
        <v>0</v>
      </c>
      <c r="AN24" s="34">
        <v>0</v>
      </c>
      <c r="AO24" s="34">
        <v>10</v>
      </c>
      <c r="AP24" s="34">
        <v>16</v>
      </c>
      <c r="AQ24" s="34">
        <v>10</v>
      </c>
      <c r="AR24" s="34">
        <v>1</v>
      </c>
      <c r="AS24" s="34">
        <v>0</v>
      </c>
      <c r="AT24" s="34" t="str">
        <v>1P</v>
      </c>
      <c r="AU24" s="34">
        <v>10</v>
      </c>
      <c r="AV24" s="34" t="str">
        <v/>
      </c>
      <c r="AW24" s="34" t="str">
        <v/>
      </c>
      <c r="AX24" s="34" t="str">
        <v/>
      </c>
      <c r="AY24" s="34">
        <v>1</v>
      </c>
      <c r="AZ24" s="34" t="str">
        <v/>
      </c>
      <c r="BA24" s="34">
        <v>0</v>
      </c>
      <c r="BB24" s="34">
        <v>10</v>
      </c>
      <c r="BD24" s="34">
        <v>1</v>
      </c>
      <c r="BE24" s="34">
        <v>1</v>
      </c>
      <c r="BF24" s="34">
        <v>0</v>
      </c>
      <c r="BG24" s="34" t="str">
        <v/>
      </c>
      <c r="BH24" s="34" t="str">
        <v/>
      </c>
      <c r="BI24" s="34" t="str">
        <v/>
      </c>
      <c r="BJ24" s="34" t="str">
        <v/>
      </c>
      <c r="BK24" s="34" t="str">
        <v>LAMP</v>
      </c>
      <c r="BL24" s="34">
        <v>1</v>
      </c>
      <c r="BM24" s="34" t="str">
        <v/>
      </c>
      <c r="BN24" s="34" t="str">
        <v/>
      </c>
      <c r="BO24" s="34" t="str">
        <v/>
      </c>
      <c r="BP24" s="34" t="str">
        <v/>
      </c>
      <c r="BQ24" s="34" t="str">
        <v>3х1,5</v>
      </c>
      <c r="BR24" s="34" t="str">
        <v/>
      </c>
      <c r="BS24" s="34" t="str">
        <v/>
      </c>
      <c r="BT24" s="34" t="str">
        <v/>
      </c>
      <c r="BU24" s="34">
        <v>0</v>
      </c>
      <c r="BV24" s="34">
        <v>23</v>
      </c>
      <c r="BW24" s="34">
        <v>1</v>
      </c>
      <c r="BX24" s="34">
        <v>0</v>
      </c>
      <c r="BY24" s="34" t="str">
        <v>Светильник</v>
      </c>
      <c r="BZ24">
        <v>3</v>
      </c>
      <c r="CA24" t="str">
        <v>линии</v>
      </c>
    </row>
    <row r="25" spans="1:79" x14ac:dyDescent="0.3">
      <c r="A25" s="39" t="str">
        <v>ЩР-1</v>
      </c>
      <c r="B25" s="42">
        <v>1</v>
      </c>
      <c r="C25" s="42">
        <v>1</v>
      </c>
      <c r="D25" s="75" t="str">
        <v/>
      </c>
      <c r="E25" s="75" t="str">
        <v>авто</v>
      </c>
      <c r="F25" s="76" t="str">
        <v/>
      </c>
      <c r="G25" s="47" t="str">
        <v/>
      </c>
      <c r="H25" s="47" t="str">
        <v>3P С40А</v>
      </c>
      <c r="I25" s="75" t="str">
        <v/>
      </c>
      <c r="J25" s="76" t="str">
        <v/>
      </c>
      <c r="K25" s="76" t="str">
        <v/>
      </c>
      <c r="L25" s="75" t="str">
        <v/>
      </c>
      <c r="M25" s="49" t="str">
        <v/>
      </c>
      <c r="N25" s="76" t="str">
        <v/>
      </c>
      <c r="O25" s="49" t="str">
        <v/>
      </c>
      <c r="P25" s="77" t="str">
        <v/>
      </c>
      <c r="Q25" s="53" t="str">
        <v>ВВГнг(А)-LS (5х10)</v>
      </c>
      <c r="R25" s="54" t="str">
        <v>Ввод.1</v>
      </c>
      <c r="S25" s="55" t="str">
        <v>Ввод питающей линии</v>
      </c>
      <c r="T25" s="56">
        <v>19.22</v>
      </c>
      <c r="U25" s="56">
        <v>29.94</v>
      </c>
      <c r="V25" s="42" t="str">
        <v>L1,L2,L3</v>
      </c>
      <c r="W25" s="57" t="str">
        <v>ok</v>
      </c>
      <c r="X25" s="58" t="str">
        <v/>
      </c>
      <c r="Y25" s="75" t="str">
        <v>вручную</v>
      </c>
      <c r="Z25" s="59">
        <v>29.932612698433285</v>
      </c>
      <c r="AA25" s="61">
        <v>40</v>
      </c>
      <c r="AB25" s="61">
        <v>50</v>
      </c>
      <c r="AC25" s="61" t="str">
        <v/>
      </c>
      <c r="AD25" s="62" t="str">
        <v/>
      </c>
      <c r="AE25" s="62" t="str">
        <v/>
      </c>
      <c r="AF25" s="34" t="str">
        <v/>
      </c>
      <c r="AG25" s="34" t="str">
        <v/>
      </c>
      <c r="AH25" s="34" t="str">
        <v/>
      </c>
      <c r="AI25" s="34" t="str">
        <v/>
      </c>
      <c r="AJ25" s="34" t="str">
        <v/>
      </c>
      <c r="AK25" s="34">
        <v>3</v>
      </c>
      <c r="AL25" s="34" t="str">
        <v>Ввод</v>
      </c>
      <c r="AM25" s="34">
        <v>0</v>
      </c>
      <c r="AN25" s="34">
        <v>0</v>
      </c>
      <c r="AO25" s="34">
        <v>40</v>
      </c>
      <c r="AP25" s="34">
        <v>50</v>
      </c>
      <c r="AQ25" s="34">
        <v>40</v>
      </c>
      <c r="AR25" s="34">
        <v>3</v>
      </c>
      <c r="AS25" s="34">
        <v>0</v>
      </c>
      <c r="AT25" s="34" t="str">
        <v>3P</v>
      </c>
      <c r="AU25" s="34">
        <v>40</v>
      </c>
      <c r="AV25" s="34" t="str">
        <v/>
      </c>
      <c r="AW25" s="34" t="str">
        <v/>
      </c>
      <c r="AX25" s="34" t="str">
        <v/>
      </c>
      <c r="AY25" s="34">
        <v>0</v>
      </c>
      <c r="AZ25" s="34" t="str">
        <v/>
      </c>
      <c r="BA25" s="34">
        <v>0</v>
      </c>
      <c r="BB25" s="34">
        <v>0</v>
      </c>
      <c r="BD25" s="34">
        <v>0</v>
      </c>
      <c r="BE25" s="34">
        <v>0</v>
      </c>
      <c r="BF25" s="34">
        <v>0</v>
      </c>
      <c r="BG25" s="34" t="str">
        <v/>
      </c>
      <c r="BH25" s="34" t="str">
        <v/>
      </c>
      <c r="BI25" s="34" t="str">
        <v/>
      </c>
      <c r="BJ25" s="34" t="str">
        <v/>
      </c>
      <c r="BK25" s="34" t="str">
        <v>BOX</v>
      </c>
      <c r="BL25" s="34">
        <v>1</v>
      </c>
      <c r="BM25" s="34" t="str">
        <v/>
      </c>
      <c r="BN25" s="34" t="str">
        <v/>
      </c>
      <c r="BO25" s="34" t="str">
        <v/>
      </c>
      <c r="BP25" s="34" t="str">
        <v/>
      </c>
      <c r="BQ25" s="34" t="str">
        <v/>
      </c>
      <c r="BR25" s="34" t="str">
        <v/>
      </c>
      <c r="BS25" s="34" t="str">
        <v/>
      </c>
      <c r="BT25" s="34" t="str">
        <v/>
      </c>
      <c r="BU25" s="34">
        <v>0</v>
      </c>
      <c r="BV25" s="34">
        <v>24</v>
      </c>
      <c r="BW25" s="34">
        <v>0</v>
      </c>
      <c r="BX25" s="34">
        <v>0</v>
      </c>
      <c r="BY25" s="34">
        <v>0</v>
      </c>
      <c r="BZ25">
        <v>4</v>
      </c>
      <c r="CA25" t="str">
        <v>вводной узел</v>
      </c>
    </row>
    <row r="26" spans="1:79" x14ac:dyDescent="0.3">
      <c r="A26" s="39" t="str">
        <v>ЩР-1</v>
      </c>
      <c r="B26" s="42">
        <v>4</v>
      </c>
      <c r="C26" s="42">
        <v>1</v>
      </c>
      <c r="D26" s="75" t="str">
        <v/>
      </c>
      <c r="E26" s="75" t="str">
        <v>авто</v>
      </c>
      <c r="F26" s="76">
        <v>30</v>
      </c>
      <c r="G26" s="47" t="str">
        <v>QFD1</v>
      </c>
      <c r="H26" s="47" t="str">
        <v>2P С16А 30мА</v>
      </c>
      <c r="I26" s="75" t="str">
        <v/>
      </c>
      <c r="J26" s="76" t="str">
        <v/>
      </c>
      <c r="K26" s="76" t="str">
        <v/>
      </c>
      <c r="L26" s="75" t="str">
        <v/>
      </c>
      <c r="M26" s="49" t="str">
        <v/>
      </c>
      <c r="N26" s="76" t="str">
        <v/>
      </c>
      <c r="O26" s="49" t="str">
        <v/>
      </c>
      <c r="P26" s="77" t="str">
        <v>XT1</v>
      </c>
      <c r="Q26" s="53" t="str">
        <v>ВВГнг(А)-LS (3х2,5) L=36-2,2%</v>
      </c>
      <c r="R26" s="54" t="str">
        <v>R.1.01.1</v>
      </c>
      <c r="S26" s="55" t="str">
        <v>Розеточная группа, пом. 01</v>
      </c>
      <c r="T26" s="56">
        <v>1.8</v>
      </c>
      <c r="U26" s="56">
        <v>8.2099999999999991</v>
      </c>
      <c r="V26" s="42" t="str">
        <v>L1</v>
      </c>
      <c r="W26" s="57" t="str">
        <v>ok</v>
      </c>
      <c r="X26" s="58" t="str">
        <v/>
      </c>
      <c r="Y26" s="75" t="str">
        <v/>
      </c>
      <c r="Z26" s="59">
        <v>8.2044511937473139</v>
      </c>
      <c r="AA26" s="61">
        <v>16</v>
      </c>
      <c r="AB26" s="61">
        <v>25</v>
      </c>
      <c r="AC26" s="61" t="str">
        <v/>
      </c>
      <c r="AD26" s="62" t="str">
        <v>QFD1 → XT1</v>
      </c>
      <c r="AE26" s="62" t="str">
        <v/>
      </c>
      <c r="AF26" s="34">
        <v>1</v>
      </c>
      <c r="AG26" s="34" t="str">
        <v>QFD1</v>
      </c>
      <c r="AH26" s="34" t="str">
        <v/>
      </c>
      <c r="AI26" s="34" t="str">
        <v/>
      </c>
      <c r="AJ26" s="34" t="str">
        <v>QFD1</v>
      </c>
      <c r="AK26" s="34">
        <v>1</v>
      </c>
      <c r="AL26" s="34" t="str">
        <v>R</v>
      </c>
      <c r="AM26" s="34">
        <v>30</v>
      </c>
      <c r="AN26" s="34">
        <v>0</v>
      </c>
      <c r="AO26" s="34">
        <v>16</v>
      </c>
      <c r="AP26" s="34">
        <v>25</v>
      </c>
      <c r="AQ26" s="34">
        <v>16</v>
      </c>
      <c r="AR26" s="34">
        <v>1</v>
      </c>
      <c r="AS26" s="34">
        <v>1</v>
      </c>
      <c r="AT26" s="34" t="str">
        <v>2P</v>
      </c>
      <c r="AU26" s="34">
        <v>16</v>
      </c>
      <c r="AV26" s="34" t="str">
        <v/>
      </c>
      <c r="AW26" s="34" t="str">
        <v/>
      </c>
      <c r="AX26" s="34" t="str">
        <v/>
      </c>
      <c r="AY26" s="34">
        <v>1</v>
      </c>
      <c r="AZ26" s="34" t="str">
        <v/>
      </c>
      <c r="BA26" s="34">
        <v>0</v>
      </c>
      <c r="BB26" s="34">
        <v>16</v>
      </c>
      <c r="BD26" s="34">
        <v>1</v>
      </c>
      <c r="BE26" s="34">
        <v>0</v>
      </c>
      <c r="BF26" s="34">
        <v>1</v>
      </c>
      <c r="BG26" s="34" t="str">
        <v/>
      </c>
      <c r="BH26" s="34" t="str">
        <v/>
      </c>
      <c r="BI26" s="34" t="str">
        <v/>
      </c>
      <c r="BJ26" s="34" t="str">
        <v/>
      </c>
      <c r="BK26" s="34" t="str">
        <v>SOCKET</v>
      </c>
      <c r="BL26" s="34">
        <v>1</v>
      </c>
      <c r="BM26" s="34" t="str">
        <v/>
      </c>
      <c r="BN26" s="34" t="str">
        <v/>
      </c>
      <c r="BO26" s="34" t="str">
        <v/>
      </c>
      <c r="BP26" s="34" t="str">
        <v/>
      </c>
      <c r="BQ26" s="34" t="str">
        <v>3х2,5</v>
      </c>
      <c r="BR26" s="34" t="str">
        <v/>
      </c>
      <c r="BS26" s="34" t="str">
        <v/>
      </c>
      <c r="BT26" s="34" t="str">
        <v/>
      </c>
      <c r="BU26" s="34">
        <v>0</v>
      </c>
      <c r="BV26" s="34">
        <v>25</v>
      </c>
      <c r="BW26" s="34">
        <v>1</v>
      </c>
      <c r="BX26" s="34">
        <v>0</v>
      </c>
      <c r="BY26" s="34" t="str">
        <v>Розетка</v>
      </c>
      <c r="BZ26">
        <v>4</v>
      </c>
      <c r="CA26" t="str">
        <v>линии</v>
      </c>
    </row>
    <row r="27" spans="1:79" x14ac:dyDescent="0.3">
      <c r="A27" s="39" t="str">
        <v>ЩР-1</v>
      </c>
      <c r="B27" s="42">
        <v>5</v>
      </c>
      <c r="C27" s="42">
        <v>1</v>
      </c>
      <c r="D27" s="75" t="str">
        <v/>
      </c>
      <c r="E27" s="75" t="str">
        <v>авто</v>
      </c>
      <c r="F27" s="76">
        <v>30</v>
      </c>
      <c r="G27" s="47" t="str">
        <v>QFD2</v>
      </c>
      <c r="H27" s="47" t="str">
        <v>2P С16А 30мА</v>
      </c>
      <c r="I27" s="75" t="str">
        <v/>
      </c>
      <c r="J27" s="76" t="str">
        <v/>
      </c>
      <c r="K27" s="76" t="str">
        <v/>
      </c>
      <c r="L27" s="75" t="str">
        <v/>
      </c>
      <c r="M27" s="49" t="str">
        <v/>
      </c>
      <c r="N27" s="76" t="str">
        <v/>
      </c>
      <c r="O27" s="49" t="str">
        <v/>
      </c>
      <c r="P27" s="77" t="str">
        <v>XT2</v>
      </c>
      <c r="Q27" s="53" t="str">
        <v>ВВГнг(А)-LS (3х2,5) L=25-1,28%</v>
      </c>
      <c r="R27" s="54" t="str">
        <v>R.1.02.1</v>
      </c>
      <c r="S27" s="55" t="str">
        <v>Розеточная группа, пом. 02</v>
      </c>
      <c r="T27" s="56">
        <v>1.5</v>
      </c>
      <c r="U27" s="56">
        <v>6.84</v>
      </c>
      <c r="V27" s="42" t="str">
        <v>L1</v>
      </c>
      <c r="W27" s="57" t="str">
        <v>ok</v>
      </c>
      <c r="X27" s="58" t="str">
        <v/>
      </c>
      <c r="Y27" s="75" t="str">
        <v/>
      </c>
      <c r="Z27" s="59">
        <v>11.395071102426824</v>
      </c>
      <c r="AA27" s="61">
        <v>16</v>
      </c>
      <c r="AB27" s="61">
        <v>25</v>
      </c>
      <c r="AC27" s="61" t="str">
        <v/>
      </c>
      <c r="AD27" s="62" t="str">
        <v>QFD2 → XT2</v>
      </c>
      <c r="AE27" s="62" t="str">
        <v/>
      </c>
      <c r="AF27" s="34">
        <v>2</v>
      </c>
      <c r="AG27" s="34" t="str">
        <v>QFD2</v>
      </c>
      <c r="AH27" s="34" t="str">
        <v/>
      </c>
      <c r="AI27" s="34" t="str">
        <v/>
      </c>
      <c r="AJ27" s="34" t="str">
        <v>QFD2</v>
      </c>
      <c r="AK27" s="34">
        <v>1</v>
      </c>
      <c r="AL27" s="34" t="str">
        <v>R</v>
      </c>
      <c r="AM27" s="34">
        <v>30</v>
      </c>
      <c r="AN27" s="34">
        <v>0</v>
      </c>
      <c r="AO27" s="34">
        <v>16</v>
      </c>
      <c r="AP27" s="34">
        <v>25</v>
      </c>
      <c r="AQ27" s="34">
        <v>16</v>
      </c>
      <c r="AR27" s="34">
        <v>1</v>
      </c>
      <c r="AS27" s="34">
        <v>1</v>
      </c>
      <c r="AT27" s="34" t="str">
        <v>2P</v>
      </c>
      <c r="AU27" s="34">
        <v>16</v>
      </c>
      <c r="AV27" s="34" t="str">
        <v/>
      </c>
      <c r="AW27" s="34" t="str">
        <v/>
      </c>
      <c r="AX27" s="34" t="str">
        <v/>
      </c>
      <c r="AY27" s="34">
        <v>1</v>
      </c>
      <c r="AZ27" s="34" t="str">
        <v/>
      </c>
      <c r="BA27" s="34">
        <v>0</v>
      </c>
      <c r="BB27" s="34">
        <v>16</v>
      </c>
      <c r="BD27" s="34">
        <v>1</v>
      </c>
      <c r="BE27" s="34">
        <v>0</v>
      </c>
      <c r="BF27" s="34">
        <v>1</v>
      </c>
      <c r="BG27" s="34" t="str">
        <v/>
      </c>
      <c r="BH27" s="34" t="str">
        <v/>
      </c>
      <c r="BI27" s="34" t="str">
        <v/>
      </c>
      <c r="BJ27" s="34" t="str">
        <v/>
      </c>
      <c r="BK27" s="34" t="str">
        <v>SOCKET</v>
      </c>
      <c r="BL27" s="34">
        <v>1</v>
      </c>
      <c r="BM27" s="34" t="str">
        <v/>
      </c>
      <c r="BN27" s="34" t="str">
        <v/>
      </c>
      <c r="BO27" s="34" t="str">
        <v/>
      </c>
      <c r="BP27" s="34" t="str">
        <v/>
      </c>
      <c r="BQ27" s="34" t="str">
        <v>3х2,5</v>
      </c>
      <c r="BR27" s="34" t="str">
        <v/>
      </c>
      <c r="BS27" s="34" t="str">
        <v/>
      </c>
      <c r="BT27" s="34" t="str">
        <v/>
      </c>
      <c r="BU27" s="34">
        <v>0</v>
      </c>
      <c r="BV27" s="34">
        <v>26</v>
      </c>
      <c r="BW27" s="34">
        <v>1</v>
      </c>
      <c r="BX27" s="34">
        <v>0</v>
      </c>
      <c r="BY27" s="34" t="str">
        <v>Розетка</v>
      </c>
      <c r="BZ27">
        <v>4</v>
      </c>
      <c r="CA27" t="str">
        <v>линии</v>
      </c>
    </row>
    <row r="28" spans="1:79" x14ac:dyDescent="0.3">
      <c r="A28" s="39" t="str">
        <v>ЩР-1</v>
      </c>
      <c r="B28" s="42">
        <v>6</v>
      </c>
      <c r="C28" s="42">
        <v>1</v>
      </c>
      <c r="D28" s="75" t="str">
        <v/>
      </c>
      <c r="E28" s="75" t="str">
        <v/>
      </c>
      <c r="F28" s="76" t="str">
        <v/>
      </c>
      <c r="G28" s="47" t="str">
        <v>QFD2</v>
      </c>
      <c r="H28" s="47" t="str">
        <v/>
      </c>
      <c r="I28" s="75" t="str">
        <v/>
      </c>
      <c r="J28" s="76" t="str">
        <v/>
      </c>
      <c r="K28" s="76" t="str">
        <v/>
      </c>
      <c r="L28" s="75" t="str">
        <v/>
      </c>
      <c r="M28" s="49" t="str">
        <v/>
      </c>
      <c r="N28" s="76" t="str">
        <v/>
      </c>
      <c r="O28" s="49" t="str">
        <v/>
      </c>
      <c r="P28" s="77" t="str">
        <v>XT3</v>
      </c>
      <c r="Q28" s="53" t="str">
        <v>ВВГнг(А)-LS (3х2,5) L=18-0,61%</v>
      </c>
      <c r="R28" s="54" t="str">
        <v>R.1.02.2</v>
      </c>
      <c r="S28" s="55" t="str">
        <v>Розеточная группа, пом. 02</v>
      </c>
      <c r="T28" s="56">
        <v>1</v>
      </c>
      <c r="U28" s="56">
        <v>4.5599999999999996</v>
      </c>
      <c r="V28" s="42" t="str">
        <v>L1</v>
      </c>
      <c r="W28" s="57" t="str">
        <v>ok</v>
      </c>
      <c r="X28" s="58" t="str">
        <v/>
      </c>
      <c r="Y28" s="75" t="str">
        <v/>
      </c>
      <c r="Z28" s="59" t="str">
        <v/>
      </c>
      <c r="AA28" s="61">
        <v>16</v>
      </c>
      <c r="AB28" s="61">
        <v>25</v>
      </c>
      <c r="AC28" s="61" t="str">
        <v/>
      </c>
      <c r="AD28" s="62" t="str">
        <v>QFD2 → XT3</v>
      </c>
      <c r="AE28" s="62" t="str">
        <v/>
      </c>
      <c r="AF28" s="34">
        <v>2</v>
      </c>
      <c r="AG28" s="34" t="str">
        <v>QFD2</v>
      </c>
      <c r="AH28" s="34" t="str">
        <v/>
      </c>
      <c r="AI28" s="34" t="str">
        <v/>
      </c>
      <c r="AJ28" s="34" t="str">
        <v/>
      </c>
      <c r="AK28" s="34">
        <v>1</v>
      </c>
      <c r="AL28" s="34" t="str">
        <v>R</v>
      </c>
      <c r="AM28" s="34">
        <v>30</v>
      </c>
      <c r="AN28" s="34">
        <v>0</v>
      </c>
      <c r="AO28" s="34">
        <v>16</v>
      </c>
      <c r="AP28" s="34">
        <v>25</v>
      </c>
      <c r="AQ28" s="34" t="str">
        <v/>
      </c>
      <c r="AR28" s="34">
        <v>1</v>
      </c>
      <c r="AS28" s="34" t="str">
        <v/>
      </c>
      <c r="AT28" s="34" t="str">
        <v>1P</v>
      </c>
      <c r="AU28" s="34" t="str">
        <v/>
      </c>
      <c r="AV28" s="34" t="str">
        <v/>
      </c>
      <c r="AW28" s="34" t="str">
        <v/>
      </c>
      <c r="AX28" s="34" t="str">
        <v/>
      </c>
      <c r="AY28" s="34">
        <v>1</v>
      </c>
      <c r="AZ28" s="34" t="str">
        <v/>
      </c>
      <c r="BA28" s="34">
        <v>0</v>
      </c>
      <c r="BB28" s="34">
        <v>16</v>
      </c>
      <c r="BD28" s="34">
        <v>1</v>
      </c>
      <c r="BE28" s="34">
        <v>0</v>
      </c>
      <c r="BF28" s="34">
        <v>0</v>
      </c>
      <c r="BG28" s="34" t="str">
        <v/>
      </c>
      <c r="BH28" s="34" t="str">
        <v/>
      </c>
      <c r="BI28" s="34" t="str">
        <v/>
      </c>
      <c r="BJ28" s="34" t="str">
        <v/>
      </c>
      <c r="BK28" s="34" t="str">
        <v>SOCKET</v>
      </c>
      <c r="BL28" s="34">
        <v>1</v>
      </c>
      <c r="BM28" s="34" t="str">
        <v/>
      </c>
      <c r="BN28" s="34" t="str">
        <v/>
      </c>
      <c r="BO28" s="34" t="str">
        <v/>
      </c>
      <c r="BP28" s="34" t="str">
        <v/>
      </c>
      <c r="BQ28" s="34" t="str">
        <v>3х2,5</v>
      </c>
      <c r="BR28" s="34" t="str">
        <v/>
      </c>
      <c r="BS28" s="34" t="str">
        <v/>
      </c>
      <c r="BT28" s="34" t="str">
        <v/>
      </c>
      <c r="BU28" s="34">
        <v>0</v>
      </c>
      <c r="BV28" s="34">
        <v>27</v>
      </c>
      <c r="BW28" s="34">
        <v>1</v>
      </c>
      <c r="BX28" s="34">
        <v>0</v>
      </c>
      <c r="BY28" s="34" t="str">
        <v>Розетка</v>
      </c>
      <c r="BZ28">
        <v>4</v>
      </c>
      <c r="CA28" t="str">
        <v>линии</v>
      </c>
    </row>
    <row r="29" spans="1:79" x14ac:dyDescent="0.3">
      <c r="A29" s="39" t="str">
        <v>ЩР-1</v>
      </c>
      <c r="B29" s="42">
        <v>7</v>
      </c>
      <c r="C29" s="42">
        <v>1</v>
      </c>
      <c r="D29" s="75" t="str">
        <v/>
      </c>
      <c r="E29" s="75" t="str">
        <v>авто</v>
      </c>
      <c r="F29" s="76">
        <v>10</v>
      </c>
      <c r="G29" s="47" t="str">
        <v>QFD3</v>
      </c>
      <c r="H29" s="47" t="str">
        <v>2P С16А 10мА</v>
      </c>
      <c r="I29" s="75" t="str">
        <v/>
      </c>
      <c r="J29" s="76" t="str">
        <v/>
      </c>
      <c r="K29" s="76" t="str">
        <v/>
      </c>
      <c r="L29" s="75" t="str">
        <v/>
      </c>
      <c r="M29" s="49" t="str">
        <v/>
      </c>
      <c r="N29" s="76" t="str">
        <v/>
      </c>
      <c r="O29" s="49" t="str">
        <v/>
      </c>
      <c r="P29" s="77" t="str">
        <v>XT4</v>
      </c>
      <c r="Q29" s="53" t="str">
        <v>ВВГнг(А)-LS (3х2,5) L=11-0,75%</v>
      </c>
      <c r="R29" s="54" t="str">
        <v>R.1.03.1</v>
      </c>
      <c r="S29" s="55" t="str">
        <v>Розетки ванной (дифзащита 10 мА)</v>
      </c>
      <c r="T29" s="56">
        <v>2</v>
      </c>
      <c r="U29" s="56">
        <v>9.1199999999999992</v>
      </c>
      <c r="V29" s="42" t="str">
        <v>L2</v>
      </c>
      <c r="W29" s="57" t="str">
        <v>ok</v>
      </c>
      <c r="X29" s="58" t="str">
        <v/>
      </c>
      <c r="Y29" s="75" t="str">
        <v/>
      </c>
      <c r="Z29" s="59">
        <v>9.1160568819414589</v>
      </c>
      <c r="AA29" s="61">
        <v>16</v>
      </c>
      <c r="AB29" s="61">
        <v>25</v>
      </c>
      <c r="AC29" s="61" t="str">
        <v/>
      </c>
      <c r="AD29" s="62" t="str">
        <v>QFD3 → XT4</v>
      </c>
      <c r="AE29" s="62" t="str">
        <v>ток утечки 3,8 мА &gt; 1/3 уставки (10 мА)</v>
      </c>
      <c r="AF29" s="34">
        <v>3</v>
      </c>
      <c r="AG29" s="34" t="str">
        <v>QFD3</v>
      </c>
      <c r="AH29" s="34" t="str">
        <v/>
      </c>
      <c r="AI29" s="34" t="str">
        <v/>
      </c>
      <c r="AJ29" s="34" t="str">
        <v>QFD3</v>
      </c>
      <c r="AK29" s="34">
        <v>1</v>
      </c>
      <c r="AL29" s="34" t="str">
        <v>R</v>
      </c>
      <c r="AM29" s="34">
        <v>30</v>
      </c>
      <c r="AN29" s="34">
        <v>0</v>
      </c>
      <c r="AO29" s="34">
        <v>16</v>
      </c>
      <c r="AP29" s="34">
        <v>25</v>
      </c>
      <c r="AQ29" s="34">
        <v>16</v>
      </c>
      <c r="AR29" s="34">
        <v>1</v>
      </c>
      <c r="AS29" s="34">
        <v>1</v>
      </c>
      <c r="AT29" s="34" t="str">
        <v>2P</v>
      </c>
      <c r="AU29" s="34">
        <v>16</v>
      </c>
      <c r="AV29" s="34" t="str">
        <v/>
      </c>
      <c r="AW29" s="34" t="str">
        <v/>
      </c>
      <c r="AX29" s="34" t="str">
        <v/>
      </c>
      <c r="AY29" s="34">
        <v>1</v>
      </c>
      <c r="AZ29" s="34" t="str">
        <v/>
      </c>
      <c r="BA29" s="34">
        <v>0</v>
      </c>
      <c r="BB29" s="34">
        <v>16</v>
      </c>
      <c r="BD29" s="34">
        <v>1</v>
      </c>
      <c r="BE29" s="34">
        <v>0</v>
      </c>
      <c r="BF29" s="34">
        <v>1</v>
      </c>
      <c r="BG29" s="34" t="str">
        <v/>
      </c>
      <c r="BH29" s="34" t="str">
        <v/>
      </c>
      <c r="BI29" s="34" t="str">
        <v/>
      </c>
      <c r="BJ29" s="34" t="str">
        <v/>
      </c>
      <c r="BK29" s="34" t="str">
        <v>SOCKET</v>
      </c>
      <c r="BL29" s="34">
        <v>1</v>
      </c>
      <c r="BM29" s="34">
        <v>10</v>
      </c>
      <c r="BN29" s="34" t="str">
        <v/>
      </c>
      <c r="BO29" s="34" t="str">
        <v/>
      </c>
      <c r="BP29" s="34" t="str">
        <v/>
      </c>
      <c r="BQ29" s="34" t="str">
        <v>3х2,5</v>
      </c>
      <c r="BR29" s="34" t="str">
        <v/>
      </c>
      <c r="BS29" s="34" t="str">
        <v/>
      </c>
      <c r="BT29" s="34" t="str">
        <v/>
      </c>
      <c r="BU29" s="34">
        <v>1</v>
      </c>
      <c r="BV29" s="34">
        <v>28</v>
      </c>
      <c r="BW29" s="34">
        <v>1</v>
      </c>
      <c r="BX29" s="34">
        <v>0</v>
      </c>
      <c r="BY29" s="34" t="str">
        <v>Розетка</v>
      </c>
      <c r="BZ29">
        <v>4</v>
      </c>
      <c r="CA29" t="str">
        <v>линии</v>
      </c>
    </row>
    <row r="30" spans="1:79" x14ac:dyDescent="0.3">
      <c r="A30" s="39" t="str">
        <v>ЩР-1</v>
      </c>
      <c r="B30" s="42">
        <v>8</v>
      </c>
      <c r="C30" s="42">
        <v>1</v>
      </c>
      <c r="D30" s="75" t="str">
        <v/>
      </c>
      <c r="E30" s="75" t="str">
        <v>авто</v>
      </c>
      <c r="F30" s="76" t="str">
        <v/>
      </c>
      <c r="G30" s="47" t="str">
        <v>QF4</v>
      </c>
      <c r="H30" s="47" t="str">
        <v>1P С10А</v>
      </c>
      <c r="I30" s="75" t="str">
        <v/>
      </c>
      <c r="J30" s="76" t="str">
        <v/>
      </c>
      <c r="K30" s="76" t="str">
        <v/>
      </c>
      <c r="L30" s="75" t="str">
        <v>ZIOMB16V3</v>
      </c>
      <c r="M30" s="49" t="str">
        <v>R.1</v>
      </c>
      <c r="N30" s="76" t="str">
        <v/>
      </c>
      <c r="O30" s="49">
        <v>1</v>
      </c>
      <c r="P30" s="77" t="str">
        <v>XT5</v>
      </c>
      <c r="Q30" s="53" t="str">
        <v>ВВГнг(А)-LS (3х1,5) L=15-0,26%</v>
      </c>
      <c r="R30" s="54" t="str">
        <v>L.1.01.1</v>
      </c>
      <c r="S30" s="55" t="str">
        <v>Группа освещения, пом. 01</v>
      </c>
      <c r="T30" s="56">
        <v>0.3</v>
      </c>
      <c r="U30" s="56">
        <v>1.37</v>
      </c>
      <c r="V30" s="42" t="str">
        <v>L3</v>
      </c>
      <c r="W30" s="57" t="str">
        <v>ok</v>
      </c>
      <c r="X30" s="58" t="str">
        <v/>
      </c>
      <c r="Y30" s="75" t="str">
        <v/>
      </c>
      <c r="Z30" s="59">
        <v>3.8743241748251203</v>
      </c>
      <c r="AA30" s="61">
        <v>10</v>
      </c>
      <c r="AB30" s="61">
        <v>16</v>
      </c>
      <c r="AC30" s="61" t="str">
        <v>ZIOMB16V3</v>
      </c>
      <c r="AD30" s="62" t="str">
        <v>QF4 → R.1 к.1 → XT5</v>
      </c>
      <c r="AE30" s="62" t="str">
        <v/>
      </c>
      <c r="AF30" s="34">
        <v>4</v>
      </c>
      <c r="AG30" s="34" t="str">
        <v>QF4</v>
      </c>
      <c r="AH30" s="34" t="str">
        <v>R.1</v>
      </c>
      <c r="AI30" s="34" t="str">
        <v>ZIOMB16V3</v>
      </c>
      <c r="AJ30" s="34" t="str">
        <v>QF4</v>
      </c>
      <c r="AK30" s="34">
        <v>1</v>
      </c>
      <c r="AL30" s="34" t="str">
        <v>L</v>
      </c>
      <c r="AM30" s="34">
        <v>0</v>
      </c>
      <c r="AN30" s="34">
        <v>0</v>
      </c>
      <c r="AO30" s="34">
        <v>10</v>
      </c>
      <c r="AP30" s="34">
        <v>16</v>
      </c>
      <c r="AQ30" s="34">
        <v>10</v>
      </c>
      <c r="AR30" s="34">
        <v>1</v>
      </c>
      <c r="AS30" s="34">
        <v>0</v>
      </c>
      <c r="AT30" s="34" t="str">
        <v>1P</v>
      </c>
      <c r="AU30" s="34">
        <v>10</v>
      </c>
      <c r="AV30" s="34" t="str">
        <v>R</v>
      </c>
      <c r="AW30" s="34" t="str">
        <v>R.1</v>
      </c>
      <c r="AX30" s="34">
        <v>1</v>
      </c>
      <c r="AY30" s="34">
        <v>1</v>
      </c>
      <c r="AZ30" s="34" t="str">
        <v/>
      </c>
      <c r="BA30" s="34">
        <v>0</v>
      </c>
      <c r="BB30" s="34">
        <v>10</v>
      </c>
      <c r="BD30" s="34">
        <v>1</v>
      </c>
      <c r="BE30" s="34">
        <v>0</v>
      </c>
      <c r="BF30" s="34">
        <v>0</v>
      </c>
      <c r="BG30" s="34" t="str">
        <v/>
      </c>
      <c r="BH30" s="34" t="str">
        <v/>
      </c>
      <c r="BI30" s="34" t="str">
        <v/>
      </c>
      <c r="BJ30" s="34" t="str">
        <v/>
      </c>
      <c r="BK30" s="34" t="str">
        <v>LAMP</v>
      </c>
      <c r="BL30" s="34">
        <v>1</v>
      </c>
      <c r="BM30" s="34" t="str">
        <v/>
      </c>
      <c r="BN30" s="34" t="str">
        <v/>
      </c>
      <c r="BO30" s="34" t="str">
        <v/>
      </c>
      <c r="BP30" s="34" t="str">
        <v/>
      </c>
      <c r="BQ30" s="34" t="str">
        <v>3х1,5</v>
      </c>
      <c r="BR30" s="34" t="str">
        <v/>
      </c>
      <c r="BS30" s="34">
        <v>2</v>
      </c>
      <c r="BT30" s="34">
        <v>2</v>
      </c>
      <c r="BU30" s="34">
        <v>0</v>
      </c>
      <c r="BV30" s="34">
        <v>29</v>
      </c>
      <c r="BW30" s="34">
        <v>1</v>
      </c>
      <c r="BX30" s="34">
        <v>0</v>
      </c>
      <c r="BY30" s="34" t="str">
        <v>Светильник</v>
      </c>
      <c r="BZ30">
        <v>4</v>
      </c>
      <c r="CA30" t="str">
        <v>линии</v>
      </c>
    </row>
    <row r="31" spans="1:79" x14ac:dyDescent="0.3">
      <c r="A31" s="39" t="str">
        <v>ЩР-1</v>
      </c>
      <c r="B31" s="42">
        <v>9</v>
      </c>
      <c r="C31" s="42">
        <v>1</v>
      </c>
      <c r="D31" s="75" t="str">
        <v/>
      </c>
      <c r="E31" s="75" t="str">
        <v/>
      </c>
      <c r="F31" s="76" t="str">
        <v/>
      </c>
      <c r="G31" s="47" t="str">
        <v>QF4</v>
      </c>
      <c r="H31" s="47" t="str">
        <v/>
      </c>
      <c r="I31" s="75" t="str">
        <v/>
      </c>
      <c r="J31" s="76" t="str">
        <v/>
      </c>
      <c r="K31" s="76" t="str">
        <v/>
      </c>
      <c r="L31" s="75" t="str">
        <v/>
      </c>
      <c r="M31" s="49" t="str">
        <v>R.1</v>
      </c>
      <c r="N31" s="76" t="str">
        <v/>
      </c>
      <c r="O31" s="49">
        <v>2</v>
      </c>
      <c r="P31" s="77" t="str">
        <v>XT6</v>
      </c>
      <c r="Q31" s="53" t="str">
        <v>ВВГнг(А)-LS (3х1,5) L=17-0,2%</v>
      </c>
      <c r="R31" s="54" t="str">
        <v>L.1.02.1</v>
      </c>
      <c r="S31" s="55" t="str">
        <v>Группа освещения, пом. 02</v>
      </c>
      <c r="T31" s="56">
        <v>0.2</v>
      </c>
      <c r="U31" s="56">
        <v>0.92</v>
      </c>
      <c r="V31" s="42" t="str">
        <v>L3</v>
      </c>
      <c r="W31" s="57" t="str">
        <v>ok</v>
      </c>
      <c r="X31" s="58" t="str">
        <v/>
      </c>
      <c r="Y31" s="75" t="str">
        <v/>
      </c>
      <c r="Z31" s="59" t="str">
        <v/>
      </c>
      <c r="AA31" s="61">
        <v>10</v>
      </c>
      <c r="AB31" s="61">
        <v>16</v>
      </c>
      <c r="AC31" s="61" t="str">
        <v>ZIOMB16V3</v>
      </c>
      <c r="AD31" s="62" t="str">
        <v>QF4 → R.1 к.2 → XT6</v>
      </c>
      <c r="AE31" s="62" t="str">
        <v/>
      </c>
      <c r="AF31" s="34">
        <v>4</v>
      </c>
      <c r="AG31" s="34" t="str">
        <v>QF4</v>
      </c>
      <c r="AH31" s="34" t="str">
        <v>R.1</v>
      </c>
      <c r="AI31" s="34" t="str">
        <v>ZIOMB16V3</v>
      </c>
      <c r="AJ31" s="34" t="str">
        <v/>
      </c>
      <c r="AK31" s="34">
        <v>1</v>
      </c>
      <c r="AL31" s="34" t="str">
        <v>L</v>
      </c>
      <c r="AM31" s="34">
        <v>0</v>
      </c>
      <c r="AN31" s="34">
        <v>0</v>
      </c>
      <c r="AO31" s="34">
        <v>10</v>
      </c>
      <c r="AP31" s="34">
        <v>16</v>
      </c>
      <c r="AQ31" s="34" t="str">
        <v/>
      </c>
      <c r="AR31" s="34">
        <v>1</v>
      </c>
      <c r="AS31" s="34" t="str">
        <v/>
      </c>
      <c r="AT31" s="34" t="str">
        <v>1P</v>
      </c>
      <c r="AU31" s="34" t="str">
        <v/>
      </c>
      <c r="AV31" s="34" t="str">
        <v/>
      </c>
      <c r="AW31" s="34" t="str">
        <v/>
      </c>
      <c r="AX31" s="34">
        <v>2</v>
      </c>
      <c r="AY31" s="34">
        <v>1</v>
      </c>
      <c r="AZ31" s="34" t="str">
        <v/>
      </c>
      <c r="BA31" s="34">
        <v>0</v>
      </c>
      <c r="BB31" s="34">
        <v>10</v>
      </c>
      <c r="BD31" s="34">
        <v>1</v>
      </c>
      <c r="BE31" s="34">
        <v>0</v>
      </c>
      <c r="BF31" s="34">
        <v>0</v>
      </c>
      <c r="BG31" s="34" t="str">
        <v/>
      </c>
      <c r="BH31" s="34" t="str">
        <v/>
      </c>
      <c r="BI31" s="34" t="str">
        <v/>
      </c>
      <c r="BJ31" s="34" t="str">
        <v/>
      </c>
      <c r="BK31" s="34" t="str">
        <v>LAMP</v>
      </c>
      <c r="BL31" s="34">
        <v>1</v>
      </c>
      <c r="BM31" s="34" t="str">
        <v/>
      </c>
      <c r="BN31" s="34" t="str">
        <v/>
      </c>
      <c r="BO31" s="34" t="str">
        <v/>
      </c>
      <c r="BP31" s="34" t="str">
        <v/>
      </c>
      <c r="BQ31" s="34" t="str">
        <v>3х1,5</v>
      </c>
      <c r="BR31" s="34" t="str">
        <v/>
      </c>
      <c r="BS31" s="34" t="str">
        <v/>
      </c>
      <c r="BT31" s="34" t="str">
        <v/>
      </c>
      <c r="BU31" s="34">
        <v>0</v>
      </c>
      <c r="BV31" s="34">
        <v>30</v>
      </c>
      <c r="BW31" s="34">
        <v>1</v>
      </c>
      <c r="BX31" s="34">
        <v>0</v>
      </c>
      <c r="BY31" s="34" t="str">
        <v>Светильник</v>
      </c>
      <c r="BZ31">
        <v>4</v>
      </c>
      <c r="CA31" t="str">
        <v>линии</v>
      </c>
    </row>
    <row r="32" spans="1:79" x14ac:dyDescent="0.3">
      <c r="A32" s="39" t="str">
        <v>ЩР-1</v>
      </c>
      <c r="B32" s="42">
        <v>10</v>
      </c>
      <c r="C32" s="42">
        <v>1</v>
      </c>
      <c r="D32" s="75" t="str">
        <v/>
      </c>
      <c r="E32" s="75" t="str">
        <v/>
      </c>
      <c r="F32" s="76" t="str">
        <v/>
      </c>
      <c r="G32" s="47" t="str">
        <v>QF4</v>
      </c>
      <c r="H32" s="47" t="str">
        <v/>
      </c>
      <c r="I32" s="75" t="str">
        <v/>
      </c>
      <c r="J32" s="76" t="str">
        <v/>
      </c>
      <c r="K32" s="76" t="str">
        <v/>
      </c>
      <c r="L32" s="75" t="str">
        <v/>
      </c>
      <c r="M32" s="49" t="str">
        <v>R.1</v>
      </c>
      <c r="N32" s="76" t="str">
        <v>=</v>
      </c>
      <c r="O32" s="49">
        <v>2</v>
      </c>
      <c r="P32" s="77" t="str">
        <v>XT7</v>
      </c>
      <c r="Q32" s="53" t="str">
        <v>ВВГнг(А)-LS (3х1,5) L=7-0,04%</v>
      </c>
      <c r="R32" s="54" t="str">
        <v>L.1.02.2</v>
      </c>
      <c r="S32" s="55" t="str">
        <v>Группа освещения, пом. 02</v>
      </c>
      <c r="T32" s="56">
        <v>0.1</v>
      </c>
      <c r="U32" s="56">
        <v>0.46</v>
      </c>
      <c r="V32" s="42" t="str">
        <v>L3</v>
      </c>
      <c r="W32" s="57" t="str">
        <v>ok</v>
      </c>
      <c r="X32" s="58" t="str">
        <v/>
      </c>
      <c r="Y32" s="75" t="str">
        <v/>
      </c>
      <c r="Z32" s="59" t="str">
        <v/>
      </c>
      <c r="AA32" s="61">
        <v>10</v>
      </c>
      <c r="AB32" s="61">
        <v>16</v>
      </c>
      <c r="AC32" s="61" t="str">
        <v>ZIOMB16V3</v>
      </c>
      <c r="AD32" s="62" t="str">
        <v>QF4 → R.1 к.2 → XT7</v>
      </c>
      <c r="AE32" s="62" t="str">
        <v/>
      </c>
      <c r="AF32" s="34">
        <v>4</v>
      </c>
      <c r="AG32" s="34" t="str">
        <v>QF4</v>
      </c>
      <c r="AH32" s="34" t="str">
        <v>R.1</v>
      </c>
      <c r="AI32" s="34" t="str">
        <v>ZIOMB16V3</v>
      </c>
      <c r="AJ32" s="34" t="str">
        <v/>
      </c>
      <c r="AK32" s="34">
        <v>1</v>
      </c>
      <c r="AL32" s="34" t="str">
        <v>L</v>
      </c>
      <c r="AM32" s="34">
        <v>0</v>
      </c>
      <c r="AN32" s="34">
        <v>0</v>
      </c>
      <c r="AO32" s="34">
        <v>10</v>
      </c>
      <c r="AP32" s="34">
        <v>16</v>
      </c>
      <c r="AQ32" s="34" t="str">
        <v/>
      </c>
      <c r="AR32" s="34">
        <v>1</v>
      </c>
      <c r="AS32" s="34" t="str">
        <v/>
      </c>
      <c r="AT32" s="34" t="str">
        <v>1P</v>
      </c>
      <c r="AU32" s="34" t="str">
        <v/>
      </c>
      <c r="AV32" s="34" t="str">
        <v/>
      </c>
      <c r="AW32" s="34" t="str">
        <v/>
      </c>
      <c r="AX32" s="34">
        <v>2</v>
      </c>
      <c r="AY32" s="34">
        <v>1</v>
      </c>
      <c r="AZ32" s="34" t="str">
        <v/>
      </c>
      <c r="BA32" s="34">
        <v>0</v>
      </c>
      <c r="BB32" s="34">
        <v>10</v>
      </c>
      <c r="BD32" s="34">
        <v>1</v>
      </c>
      <c r="BE32" s="34">
        <v>0</v>
      </c>
      <c r="BF32" s="34">
        <v>0</v>
      </c>
      <c r="BG32" s="34" t="str">
        <v>=</v>
      </c>
      <c r="BH32" s="34" t="str">
        <v/>
      </c>
      <c r="BI32" s="34" t="str">
        <v/>
      </c>
      <c r="BJ32" s="34" t="str">
        <v/>
      </c>
      <c r="BK32" s="34" t="str">
        <v>LAMP</v>
      </c>
      <c r="BL32" s="34">
        <v>1</v>
      </c>
      <c r="BM32" s="34" t="str">
        <v/>
      </c>
      <c r="BN32" s="34" t="str">
        <v/>
      </c>
      <c r="BO32" s="34" t="str">
        <v/>
      </c>
      <c r="BP32" s="34" t="str">
        <v/>
      </c>
      <c r="BQ32" s="34" t="str">
        <v>3х1,5</v>
      </c>
      <c r="BR32" s="34" t="str">
        <v/>
      </c>
      <c r="BS32" s="34" t="str">
        <v/>
      </c>
      <c r="BT32" s="34" t="str">
        <v/>
      </c>
      <c r="BU32" s="34">
        <v>0</v>
      </c>
      <c r="BV32" s="34">
        <v>31</v>
      </c>
      <c r="BW32" s="34">
        <v>1</v>
      </c>
      <c r="BX32" s="34">
        <v>0</v>
      </c>
      <c r="BY32" s="34" t="str">
        <v>Светильник</v>
      </c>
      <c r="BZ32">
        <v>4</v>
      </c>
      <c r="CA32" t="str">
        <v>линии</v>
      </c>
    </row>
    <row r="33" spans="1:79" x14ac:dyDescent="0.3">
      <c r="A33" s="39" t="str">
        <v>ЩР-1</v>
      </c>
      <c r="B33" s="42">
        <v>11</v>
      </c>
      <c r="C33" s="42">
        <v>1</v>
      </c>
      <c r="D33" s="75" t="str">
        <v/>
      </c>
      <c r="E33" s="75" t="str">
        <v/>
      </c>
      <c r="F33" s="76" t="str">
        <v/>
      </c>
      <c r="G33" s="47" t="str">
        <v>QF4</v>
      </c>
      <c r="H33" s="47" t="str">
        <v/>
      </c>
      <c r="I33" s="75" t="str">
        <v/>
      </c>
      <c r="J33" s="76" t="str">
        <v/>
      </c>
      <c r="K33" s="76" t="str">
        <v/>
      </c>
      <c r="L33" s="75" t="str">
        <v/>
      </c>
      <c r="M33" s="49" t="str">
        <v>R.1</v>
      </c>
      <c r="N33" s="76" t="str">
        <v>р</v>
      </c>
      <c r="O33" s="49">
        <v>3</v>
      </c>
      <c r="P33" s="77" t="str">
        <v/>
      </c>
      <c r="Q33" s="53" t="str">
        <v/>
      </c>
      <c r="R33" s="54" t="str">
        <v/>
      </c>
      <c r="S33" s="55" t="str">
        <v/>
      </c>
      <c r="T33" s="56" t="str">
        <v/>
      </c>
      <c r="U33" s="56" t="str">
        <v/>
      </c>
      <c r="V33" s="42" t="str">
        <v/>
      </c>
      <c r="W33" s="57" t="str">
        <v/>
      </c>
      <c r="X33" s="58" t="str">
        <v/>
      </c>
      <c r="Y33" s="75" t="str">
        <v/>
      </c>
      <c r="Z33" s="59" t="str">
        <v/>
      </c>
      <c r="AA33" s="61" t="str">
        <v/>
      </c>
      <c r="AB33" s="61" t="str">
        <v/>
      </c>
      <c r="AC33" s="61" t="str">
        <v>ZIOMB16V3</v>
      </c>
      <c r="AD33" s="62" t="str">
        <v>QF4 → R.1 к.3</v>
      </c>
      <c r="AE33" s="62" t="str">
        <v/>
      </c>
      <c r="AF33" s="34">
        <v>4</v>
      </c>
      <c r="AG33" s="34" t="str">
        <v>QF4</v>
      </c>
      <c r="AH33" s="34" t="str">
        <v>R.1</v>
      </c>
      <c r="AI33" s="34" t="str">
        <v>ZIOMB16V3</v>
      </c>
      <c r="AJ33" s="34" t="str">
        <v/>
      </c>
      <c r="AK33" s="34" t="str">
        <v/>
      </c>
      <c r="AL33" s="34" t="str">
        <v/>
      </c>
      <c r="AM33" s="34">
        <v>0</v>
      </c>
      <c r="AN33" s="34">
        <v>0</v>
      </c>
      <c r="AO33" s="34" t="str">
        <v/>
      </c>
      <c r="AP33" s="34" t="str">
        <v/>
      </c>
      <c r="AQ33" s="34" t="str">
        <v/>
      </c>
      <c r="AR33" s="34" t="str">
        <v/>
      </c>
      <c r="AS33" s="34" t="str">
        <v/>
      </c>
      <c r="AT33" s="34" t="str">
        <v/>
      </c>
      <c r="AU33" s="34" t="str">
        <v/>
      </c>
      <c r="AV33" s="34" t="str">
        <v/>
      </c>
      <c r="AW33" s="34" t="str">
        <v/>
      </c>
      <c r="AX33" s="34">
        <v>3</v>
      </c>
      <c r="AY33" s="34">
        <v>0</v>
      </c>
      <c r="AZ33" s="34" t="str">
        <v/>
      </c>
      <c r="BA33" s="34">
        <v>0</v>
      </c>
      <c r="BB33" s="34">
        <v>0</v>
      </c>
      <c r="BD33" s="34">
        <v>1</v>
      </c>
      <c r="BE33" s="34">
        <v>0</v>
      </c>
      <c r="BF33" s="34">
        <v>0</v>
      </c>
      <c r="BG33" s="34" t="str">
        <v>R</v>
      </c>
      <c r="BH33" s="34" t="str">
        <v/>
      </c>
      <c r="BI33" s="34" t="str">
        <v/>
      </c>
      <c r="BJ33" s="34" t="str">
        <v/>
      </c>
      <c r="BK33" s="34" t="str">
        <v/>
      </c>
      <c r="BL33" s="34">
        <v>0</v>
      </c>
      <c r="BM33" s="34" t="str">
        <v/>
      </c>
      <c r="BN33" s="34" t="str">
        <v/>
      </c>
      <c r="BO33" s="34" t="str">
        <v/>
      </c>
      <c r="BP33" s="34" t="str">
        <v/>
      </c>
      <c r="BQ33" s="34" t="str">
        <v/>
      </c>
      <c r="BR33" s="34" t="str">
        <v/>
      </c>
      <c r="BS33" s="34" t="str">
        <v/>
      </c>
      <c r="BT33" s="34" t="str">
        <v/>
      </c>
      <c r="BU33" s="34">
        <v>0</v>
      </c>
      <c r="BV33" s="34" t="str">
        <v/>
      </c>
      <c r="BW33" s="34">
        <v>0</v>
      </c>
      <c r="BX33" s="34">
        <v>0</v>
      </c>
      <c r="BY33" s="34" t="str">
        <v/>
      </c>
      <c r="BZ33">
        <v>4</v>
      </c>
      <c r="CA33" t="str">
        <v>линии</v>
      </c>
    </row>
    <row r="34" spans="1:79" x14ac:dyDescent="0.3">
      <c r="A34" s="39" t="str">
        <v>ЩР-1</v>
      </c>
      <c r="B34" s="42">
        <v>12</v>
      </c>
      <c r="C34" s="42">
        <v>1</v>
      </c>
      <c r="D34" s="75" t="str">
        <v/>
      </c>
      <c r="E34" s="75" t="str">
        <v/>
      </c>
      <c r="F34" s="76" t="str">
        <v/>
      </c>
      <c r="G34" s="47" t="str">
        <v>QF4</v>
      </c>
      <c r="H34" s="47" t="str">
        <v/>
      </c>
      <c r="I34" s="75" t="str">
        <v/>
      </c>
      <c r="J34" s="76" t="str">
        <v/>
      </c>
      <c r="K34" s="76" t="str">
        <v/>
      </c>
      <c r="L34" s="75" t="str">
        <v/>
      </c>
      <c r="M34" s="49" t="str">
        <v>R.1</v>
      </c>
      <c r="N34" s="76" t="str">
        <v/>
      </c>
      <c r="O34" s="49">
        <v>4</v>
      </c>
      <c r="P34" s="77" t="str">
        <v>XT8</v>
      </c>
      <c r="Q34" s="53" t="str">
        <v>ВВГнг(А)-LS (3х1,5) L=12-0,17%</v>
      </c>
      <c r="R34" s="54" t="str">
        <v>L.1.03.1</v>
      </c>
      <c r="S34" s="55" t="str">
        <v>Группа освещения, пом. 03</v>
      </c>
      <c r="T34" s="56">
        <v>0.25</v>
      </c>
      <c r="U34" s="56">
        <v>1.1399999999999999</v>
      </c>
      <c r="V34" s="42" t="str">
        <v>L3</v>
      </c>
      <c r="W34" s="57" t="str">
        <v>ok</v>
      </c>
      <c r="X34" s="58" t="str">
        <v/>
      </c>
      <c r="Y34" s="75" t="str">
        <v/>
      </c>
      <c r="Z34" s="59" t="str">
        <v/>
      </c>
      <c r="AA34" s="61">
        <v>10</v>
      </c>
      <c r="AB34" s="61">
        <v>16</v>
      </c>
      <c r="AC34" s="61" t="str">
        <v>ZIOMB16V3</v>
      </c>
      <c r="AD34" s="62" t="str">
        <v>QF4 → R.1 к.4 → XT8</v>
      </c>
      <c r="AE34" s="62" t="str">
        <v/>
      </c>
      <c r="AF34" s="34">
        <v>4</v>
      </c>
      <c r="AG34" s="34" t="str">
        <v>QF4</v>
      </c>
      <c r="AH34" s="34" t="str">
        <v>R.1</v>
      </c>
      <c r="AI34" s="34" t="str">
        <v>ZIOMB16V3</v>
      </c>
      <c r="AJ34" s="34" t="str">
        <v/>
      </c>
      <c r="AK34" s="34">
        <v>1</v>
      </c>
      <c r="AL34" s="34" t="str">
        <v>L</v>
      </c>
      <c r="AM34" s="34">
        <v>0</v>
      </c>
      <c r="AN34" s="34">
        <v>0</v>
      </c>
      <c r="AO34" s="34">
        <v>10</v>
      </c>
      <c r="AP34" s="34">
        <v>16</v>
      </c>
      <c r="AQ34" s="34" t="str">
        <v/>
      </c>
      <c r="AR34" s="34">
        <v>1</v>
      </c>
      <c r="AS34" s="34" t="str">
        <v/>
      </c>
      <c r="AT34" s="34" t="str">
        <v>1P</v>
      </c>
      <c r="AU34" s="34" t="str">
        <v/>
      </c>
      <c r="AV34" s="34" t="str">
        <v/>
      </c>
      <c r="AW34" s="34" t="str">
        <v/>
      </c>
      <c r="AX34" s="34">
        <v>4</v>
      </c>
      <c r="AY34" s="34">
        <v>1</v>
      </c>
      <c r="AZ34" s="34" t="str">
        <v/>
      </c>
      <c r="BA34" s="34">
        <v>0</v>
      </c>
      <c r="BB34" s="34">
        <v>10</v>
      </c>
      <c r="BD34" s="34">
        <v>1</v>
      </c>
      <c r="BE34" s="34">
        <v>0</v>
      </c>
      <c r="BF34" s="34">
        <v>0</v>
      </c>
      <c r="BG34" s="34" t="str">
        <v/>
      </c>
      <c r="BH34" s="34" t="str">
        <v/>
      </c>
      <c r="BI34" s="34" t="str">
        <v/>
      </c>
      <c r="BJ34" s="34" t="str">
        <v/>
      </c>
      <c r="BK34" s="34" t="str">
        <v>LAMP</v>
      </c>
      <c r="BL34" s="34">
        <v>1</v>
      </c>
      <c r="BM34" s="34" t="str">
        <v/>
      </c>
      <c r="BN34" s="34" t="str">
        <v/>
      </c>
      <c r="BO34" s="34" t="str">
        <v/>
      </c>
      <c r="BP34" s="34" t="str">
        <v/>
      </c>
      <c r="BQ34" s="34" t="str">
        <v>3х1,5</v>
      </c>
      <c r="BR34" s="34" t="str">
        <v/>
      </c>
      <c r="BS34" s="34" t="str">
        <v/>
      </c>
      <c r="BT34" s="34" t="str">
        <v/>
      </c>
      <c r="BU34" s="34">
        <v>0</v>
      </c>
      <c r="BV34" s="34">
        <v>32</v>
      </c>
      <c r="BW34" s="34">
        <v>1</v>
      </c>
      <c r="BX34" s="34">
        <v>0</v>
      </c>
      <c r="BY34" s="34" t="str">
        <v>Светильник</v>
      </c>
      <c r="BZ34">
        <v>4</v>
      </c>
      <c r="CA34" t="str">
        <v>линии</v>
      </c>
    </row>
    <row r="35" spans="1:79" x14ac:dyDescent="0.3">
      <c r="A35" s="39" t="str">
        <v>ЩР-1</v>
      </c>
      <c r="B35" s="42">
        <v>13</v>
      </c>
      <c r="C35" s="42">
        <v>1</v>
      </c>
      <c r="D35" s="75" t="str">
        <v/>
      </c>
      <c r="E35" s="75" t="str">
        <v>авто</v>
      </c>
      <c r="F35" s="76" t="str">
        <v/>
      </c>
      <c r="G35" s="47" t="str">
        <v>QF5</v>
      </c>
      <c r="H35" s="47" t="str">
        <v>1P С10А</v>
      </c>
      <c r="I35" s="75" t="str">
        <v>БП 24V 75W</v>
      </c>
      <c r="J35" s="76" t="str">
        <v/>
      </c>
      <c r="K35" s="76" t="str">
        <v/>
      </c>
      <c r="L35" s="75" t="str">
        <v>-</v>
      </c>
      <c r="M35" s="49" t="str">
        <v/>
      </c>
      <c r="N35" s="76" t="str">
        <v/>
      </c>
      <c r="O35" s="49" t="str">
        <v/>
      </c>
      <c r="P35" s="77" t="str">
        <v>XT9</v>
      </c>
      <c r="Q35" s="53" t="str">
        <v>ВВГнг(А)-LS (3х1,5) L=9-0,04%</v>
      </c>
      <c r="R35" s="54" t="str">
        <v>LED.1.01.1</v>
      </c>
      <c r="S35" s="55" t="str">
        <v>Светодиодное освещение, пом. 01</v>
      </c>
      <c r="T35" s="56">
        <v>7.0000000000000007E-2</v>
      </c>
      <c r="U35" s="56">
        <v>0.32</v>
      </c>
      <c r="V35" s="42" t="str">
        <v>L1</v>
      </c>
      <c r="W35" s="57" t="str">
        <v>ok</v>
      </c>
      <c r="X35" s="58" t="str">
        <v/>
      </c>
      <c r="Y35" s="75" t="str">
        <v/>
      </c>
      <c r="Z35" s="59">
        <v>0.31906199086795112</v>
      </c>
      <c r="AA35" s="61">
        <v>10</v>
      </c>
      <c r="AB35" s="61">
        <v>16</v>
      </c>
      <c r="AC35" s="61" t="str">
        <v/>
      </c>
      <c r="AD35" s="62" t="str">
        <v>QF5 → БП 24V 75W → XT9</v>
      </c>
      <c r="AE35" s="62" t="str">
        <v/>
      </c>
      <c r="AF35" s="34">
        <v>5</v>
      </c>
      <c r="AG35" s="34" t="str">
        <v>QF5</v>
      </c>
      <c r="AH35" s="34" t="str">
        <v/>
      </c>
      <c r="AI35" s="34" t="str">
        <v/>
      </c>
      <c r="AJ35" s="34" t="str">
        <v>QF5</v>
      </c>
      <c r="AK35" s="34">
        <v>1</v>
      </c>
      <c r="AL35" s="34" t="str">
        <v>LED</v>
      </c>
      <c r="AM35" s="34">
        <v>0</v>
      </c>
      <c r="AN35" s="34">
        <v>0</v>
      </c>
      <c r="AO35" s="34">
        <v>10</v>
      </c>
      <c r="AP35" s="34">
        <v>16</v>
      </c>
      <c r="AQ35" s="34">
        <v>10</v>
      </c>
      <c r="AR35" s="34">
        <v>1</v>
      </c>
      <c r="AS35" s="34">
        <v>0</v>
      </c>
      <c r="AT35" s="34" t="str">
        <v>1P</v>
      </c>
      <c r="AU35" s="34">
        <v>10</v>
      </c>
      <c r="AV35" s="34" t="str">
        <v/>
      </c>
      <c r="AW35" s="34" t="str">
        <v/>
      </c>
      <c r="AX35" s="34" t="str">
        <v/>
      </c>
      <c r="AY35" s="34">
        <v>1</v>
      </c>
      <c r="AZ35" s="34" t="str">
        <v>БП 24V 75W</v>
      </c>
      <c r="BA35" s="34">
        <v>1</v>
      </c>
      <c r="BB35" s="34">
        <v>10</v>
      </c>
      <c r="BD35" s="34">
        <v>1</v>
      </c>
      <c r="BE35" s="34">
        <v>0</v>
      </c>
      <c r="BF35" s="34">
        <v>0</v>
      </c>
      <c r="BG35" s="34" t="str">
        <v/>
      </c>
      <c r="BH35" s="34" t="str">
        <v>PS</v>
      </c>
      <c r="BI35" s="34" t="str">
        <v/>
      </c>
      <c r="BJ35" s="34" t="str">
        <v/>
      </c>
      <c r="BK35" s="34" t="str">
        <v>LAMP</v>
      </c>
      <c r="BL35" s="34">
        <v>1</v>
      </c>
      <c r="BM35" s="34" t="str">
        <v/>
      </c>
      <c r="BN35" s="34" t="str">
        <v/>
      </c>
      <c r="BO35" s="34" t="str">
        <v/>
      </c>
      <c r="BP35" s="34" t="str">
        <v/>
      </c>
      <c r="BQ35" s="34" t="str">
        <v>3х1,5</v>
      </c>
      <c r="BR35" s="34" t="str">
        <v/>
      </c>
      <c r="BS35" s="34" t="str">
        <v/>
      </c>
      <c r="BT35" s="34" t="str">
        <v/>
      </c>
      <c r="BU35" s="34">
        <v>0</v>
      </c>
      <c r="BV35" s="34">
        <v>33</v>
      </c>
      <c r="BW35" s="34">
        <v>1</v>
      </c>
      <c r="BX35" s="34">
        <v>0</v>
      </c>
      <c r="BY35" s="34" t="str">
        <v>Светильник</v>
      </c>
      <c r="BZ35">
        <v>4</v>
      </c>
      <c r="CA35" t="str">
        <v>линии</v>
      </c>
    </row>
    <row r="36" spans="1:79" x14ac:dyDescent="0.3">
      <c r="A36" s="39" t="str">
        <v>ЩР-1</v>
      </c>
      <c r="B36" s="42">
        <v>14</v>
      </c>
      <c r="C36" s="42">
        <v>1</v>
      </c>
      <c r="D36" s="75" t="str">
        <v/>
      </c>
      <c r="E36" s="75" t="str">
        <v>авто</v>
      </c>
      <c r="F36" s="76">
        <v>30</v>
      </c>
      <c r="G36" s="47" t="str">
        <v>QFD6</v>
      </c>
      <c r="H36" s="47" t="str">
        <v>2P С16А 30мА</v>
      </c>
      <c r="I36" s="75" t="str">
        <v>КМ NCH8-40/40</v>
      </c>
      <c r="J36" s="76" t="str">
        <v/>
      </c>
      <c r="K36" s="76" t="str">
        <v/>
      </c>
      <c r="L36" s="75" t="str">
        <v/>
      </c>
      <c r="M36" s="49" t="str">
        <v/>
      </c>
      <c r="N36" s="76" t="str">
        <v/>
      </c>
      <c r="O36" s="49" t="str">
        <v/>
      </c>
      <c r="P36" s="77" t="str">
        <v>XT10</v>
      </c>
      <c r="Q36" s="53" t="str">
        <v>ВВГнг(А)-LS (3х1,5) L=16-2,26%</v>
      </c>
      <c r="R36" s="54" t="str">
        <v>ТП.1.01.1</v>
      </c>
      <c r="S36" s="55" t="str">
        <v>Теплый пол, пом. 01</v>
      </c>
      <c r="T36" s="56">
        <v>2.5</v>
      </c>
      <c r="U36" s="56">
        <v>11.4</v>
      </c>
      <c r="V36" s="42" t="str">
        <v>L3</v>
      </c>
      <c r="W36" s="57" t="str">
        <v>ok</v>
      </c>
      <c r="X36" s="58" t="str">
        <v/>
      </c>
      <c r="Y36" s="75" t="str">
        <v/>
      </c>
      <c r="Z36" s="59">
        <v>11.395071102426824</v>
      </c>
      <c r="AA36" s="61">
        <v>16</v>
      </c>
      <c r="AB36" s="61">
        <v>16</v>
      </c>
      <c r="AC36" s="61" t="str">
        <v/>
      </c>
      <c r="AD36" s="62" t="str">
        <v>QFD6 → КМ NCH8-40/40 → XT10</v>
      </c>
      <c r="AE36" s="62" t="str">
        <v/>
      </c>
      <c r="AF36" s="34">
        <v>6</v>
      </c>
      <c r="AG36" s="34" t="str">
        <v>QFD6</v>
      </c>
      <c r="AH36" s="34" t="str">
        <v/>
      </c>
      <c r="AI36" s="34" t="str">
        <v/>
      </c>
      <c r="AJ36" s="34" t="str">
        <v>QFD6</v>
      </c>
      <c r="AK36" s="34">
        <v>1</v>
      </c>
      <c r="AL36" s="34" t="str">
        <v>ТП</v>
      </c>
      <c r="AM36" s="34">
        <v>30</v>
      </c>
      <c r="AN36" s="34">
        <v>0</v>
      </c>
      <c r="AO36" s="34">
        <v>16</v>
      </c>
      <c r="AP36" s="34">
        <v>16</v>
      </c>
      <c r="AQ36" s="34">
        <v>16</v>
      </c>
      <c r="AR36" s="34">
        <v>1</v>
      </c>
      <c r="AS36" s="34">
        <v>1</v>
      </c>
      <c r="AT36" s="34" t="str">
        <v>2P</v>
      </c>
      <c r="AU36" s="34">
        <v>16</v>
      </c>
      <c r="AV36" s="34" t="str">
        <v/>
      </c>
      <c r="AW36" s="34" t="str">
        <v/>
      </c>
      <c r="AX36" s="34" t="str">
        <v/>
      </c>
      <c r="AY36" s="34">
        <v>1</v>
      </c>
      <c r="AZ36" s="34" t="str">
        <v>КМ NCH8-40/40</v>
      </c>
      <c r="BA36" s="34">
        <v>0</v>
      </c>
      <c r="BB36" s="34">
        <v>0</v>
      </c>
      <c r="BD36" s="34">
        <v>1</v>
      </c>
      <c r="BE36" s="34">
        <v>0</v>
      </c>
      <c r="BF36" s="34">
        <v>1</v>
      </c>
      <c r="BG36" s="34" t="str">
        <v/>
      </c>
      <c r="BH36" s="34" t="str">
        <v>KM</v>
      </c>
      <c r="BI36" s="34" t="str">
        <v/>
      </c>
      <c r="BJ36" s="34" t="str">
        <v/>
      </c>
      <c r="BK36" s="34" t="str">
        <v>HEAT</v>
      </c>
      <c r="BL36" s="34">
        <v>1</v>
      </c>
      <c r="BM36" s="34" t="str">
        <v/>
      </c>
      <c r="BN36" s="34">
        <v>4</v>
      </c>
      <c r="BO36" s="34" t="str">
        <v/>
      </c>
      <c r="BP36" s="34" t="str">
        <v/>
      </c>
      <c r="BQ36" s="34" t="str">
        <v>3х1,5</v>
      </c>
      <c r="BR36" s="34" t="str">
        <v/>
      </c>
      <c r="BS36" s="34" t="str">
        <v/>
      </c>
      <c r="BT36" s="34" t="str">
        <v/>
      </c>
      <c r="BU36" s="34">
        <v>0</v>
      </c>
      <c r="BV36" s="34">
        <v>34</v>
      </c>
      <c r="BW36" s="34">
        <v>1</v>
      </c>
      <c r="BX36" s="34">
        <v>0</v>
      </c>
      <c r="BY36" s="34" t="str">
        <v>Нагреватель</v>
      </c>
      <c r="BZ36">
        <v>4</v>
      </c>
      <c r="CA36" t="str">
        <v>линии</v>
      </c>
    </row>
    <row r="37" spans="1:79" x14ac:dyDescent="0.3">
      <c r="A37" s="39" t="str">
        <v>ЩР-1</v>
      </c>
      <c r="B37" s="42">
        <v>15</v>
      </c>
      <c r="C37" s="42">
        <v>1</v>
      </c>
      <c r="D37" s="75" t="str">
        <v/>
      </c>
      <c r="E37" s="75" t="str">
        <v/>
      </c>
      <c r="F37" s="76" t="str">
        <v/>
      </c>
      <c r="G37" s="47" t="str">
        <v>QFD6</v>
      </c>
      <c r="H37" s="47" t="str">
        <v/>
      </c>
      <c r="I37" s="75" t="str">
        <v/>
      </c>
      <c r="J37" s="76" t="str">
        <v/>
      </c>
      <c r="K37" s="76" t="str">
        <v/>
      </c>
      <c r="L37" s="75" t="str">
        <v/>
      </c>
      <c r="M37" s="49" t="str">
        <v/>
      </c>
      <c r="N37" s="76" t="str">
        <v>+</v>
      </c>
      <c r="O37" s="49" t="str">
        <v/>
      </c>
      <c r="P37" s="77" t="str">
        <v>XT11</v>
      </c>
      <c r="Q37" s="53" t="str">
        <v/>
      </c>
      <c r="R37" s="54" t="str">
        <v/>
      </c>
      <c r="S37" s="55" t="str">
        <v/>
      </c>
      <c r="T37" s="56" t="str">
        <v/>
      </c>
      <c r="U37" s="56" t="str">
        <v/>
      </c>
      <c r="V37" s="42" t="str">
        <v/>
      </c>
      <c r="W37" s="57" t="str">
        <v/>
      </c>
      <c r="X37" s="58" t="str">
        <v/>
      </c>
      <c r="Y37" s="75" t="str">
        <v/>
      </c>
      <c r="Z37" s="59" t="str">
        <v/>
      </c>
      <c r="AA37" s="61" t="str">
        <v/>
      </c>
      <c r="AB37" s="61" t="str">
        <v/>
      </c>
      <c r="AC37" s="61" t="str">
        <v/>
      </c>
      <c r="AD37" s="62" t="str">
        <v>QFD6 → КМ NCH8-40/40 → XT11 → (в кабель выше)</v>
      </c>
      <c r="AE37" s="62" t="str">
        <v/>
      </c>
      <c r="AF37" s="34">
        <v>6</v>
      </c>
      <c r="AG37" s="34" t="str">
        <v>QFD6</v>
      </c>
      <c r="AH37" s="34" t="str">
        <v/>
      </c>
      <c r="AI37" s="34" t="str">
        <v/>
      </c>
      <c r="AJ37" s="34" t="str">
        <v/>
      </c>
      <c r="AK37" s="34" t="str">
        <v/>
      </c>
      <c r="AL37" s="34" t="str">
        <v/>
      </c>
      <c r="AM37" s="34">
        <v>0</v>
      </c>
      <c r="AN37" s="34">
        <v>1</v>
      </c>
      <c r="AO37" s="34" t="str">
        <v/>
      </c>
      <c r="AP37" s="34" t="str">
        <v/>
      </c>
      <c r="AQ37" s="34" t="str">
        <v/>
      </c>
      <c r="AR37" s="34" t="str">
        <v/>
      </c>
      <c r="AS37" s="34" t="str">
        <v/>
      </c>
      <c r="AT37" s="34" t="str">
        <v/>
      </c>
      <c r="AU37" s="34" t="str">
        <v/>
      </c>
      <c r="AV37" s="34" t="str">
        <v/>
      </c>
      <c r="AW37" s="34" t="str">
        <v/>
      </c>
      <c r="AX37" s="34" t="str">
        <v/>
      </c>
      <c r="AY37" s="34">
        <v>1</v>
      </c>
      <c r="AZ37" s="34" t="str">
        <v>КМ NCH8-40/40</v>
      </c>
      <c r="BA37" s="34">
        <v>0</v>
      </c>
      <c r="BB37" s="34">
        <v>0</v>
      </c>
      <c r="BD37" s="34">
        <v>1</v>
      </c>
      <c r="BE37" s="34">
        <v>0</v>
      </c>
      <c r="BF37" s="34">
        <v>0</v>
      </c>
      <c r="BG37" s="34" t="str">
        <v>+</v>
      </c>
      <c r="BH37" s="34" t="str">
        <v/>
      </c>
      <c r="BI37" s="34" t="str">
        <v/>
      </c>
      <c r="BJ37" s="34" t="str">
        <v/>
      </c>
      <c r="BK37" s="34" t="str">
        <v/>
      </c>
      <c r="BL37" s="34">
        <v>0</v>
      </c>
      <c r="BM37" s="34" t="str">
        <v/>
      </c>
      <c r="BN37" s="34" t="str">
        <v/>
      </c>
      <c r="BO37" s="34" t="str">
        <v/>
      </c>
      <c r="BP37" s="34" t="str">
        <v/>
      </c>
      <c r="BQ37" s="34" t="str">
        <v>?</v>
      </c>
      <c r="BR37" s="34">
        <v>12</v>
      </c>
      <c r="BS37" s="34" t="str">
        <v/>
      </c>
      <c r="BT37" s="34" t="str">
        <v/>
      </c>
      <c r="BU37" s="34">
        <v>0</v>
      </c>
      <c r="BV37" s="34" t="str">
        <v/>
      </c>
      <c r="BW37" s="34">
        <v>1</v>
      </c>
      <c r="BX37" s="34">
        <v>0</v>
      </c>
      <c r="BY37" s="34" t="str">
        <v/>
      </c>
      <c r="BZ37">
        <v>4</v>
      </c>
      <c r="CA37" t="str">
        <v>линии</v>
      </c>
    </row>
    <row r="38" spans="1:79" x14ac:dyDescent="0.3">
      <c r="A38" s="39" t="str">
        <v>ЩР-1</v>
      </c>
      <c r="B38" s="42">
        <v>16</v>
      </c>
      <c r="C38" s="42">
        <v>1</v>
      </c>
      <c r="D38" s="75" t="str">
        <v/>
      </c>
      <c r="E38" s="75" t="str">
        <v>авто</v>
      </c>
      <c r="F38" s="76" t="str">
        <v/>
      </c>
      <c r="G38" s="47" t="str">
        <v>QF7</v>
      </c>
      <c r="H38" s="47" t="str">
        <v>3P С10А</v>
      </c>
      <c r="I38" s="75" t="str">
        <v/>
      </c>
      <c r="J38" s="76" t="str">
        <v/>
      </c>
      <c r="K38" s="76" t="str">
        <v/>
      </c>
      <c r="L38" s="75" t="str">
        <v/>
      </c>
      <c r="M38" s="49" t="str">
        <v/>
      </c>
      <c r="N38" s="76" t="str">
        <v/>
      </c>
      <c r="O38" s="49" t="str">
        <v/>
      </c>
      <c r="P38" s="77" t="str">
        <v>XT12</v>
      </c>
      <c r="Q38" s="53" t="str">
        <v>ВВГнг(А)-LS (5х1,5) L=21-0,6%</v>
      </c>
      <c r="R38" s="54" t="str">
        <v>ПВ.1.01.1</v>
      </c>
      <c r="S38" s="55" t="str">
        <v>Приточно-вытяжная установка, пом. 01</v>
      </c>
      <c r="T38" s="56">
        <v>3</v>
      </c>
      <c r="U38" s="56">
        <v>5.42</v>
      </c>
      <c r="V38" s="42" t="str">
        <v>L1,L2,L3</v>
      </c>
      <c r="W38" s="57" t="str">
        <v>ok</v>
      </c>
      <c r="X38" s="58" t="str">
        <v/>
      </c>
      <c r="Y38" s="75" t="str">
        <v/>
      </c>
      <c r="Z38" s="59">
        <v>5.4126587736527414</v>
      </c>
      <c r="AA38" s="61">
        <v>10</v>
      </c>
      <c r="AB38" s="61">
        <v>16</v>
      </c>
      <c r="AC38" s="61" t="str">
        <v/>
      </c>
      <c r="AD38" s="62" t="str">
        <v>QF7 → XT12</v>
      </c>
      <c r="AE38" s="62" t="str">
        <v/>
      </c>
      <c r="AF38" s="34">
        <v>7</v>
      </c>
      <c r="AG38" s="34" t="str">
        <v>QF7</v>
      </c>
      <c r="AH38" s="34" t="str">
        <v/>
      </c>
      <c r="AI38" s="34" t="str">
        <v/>
      </c>
      <c r="AJ38" s="34" t="str">
        <v>QF7</v>
      </c>
      <c r="AK38" s="34">
        <v>3</v>
      </c>
      <c r="AL38" s="34" t="str">
        <v>ПВ</v>
      </c>
      <c r="AM38" s="34">
        <v>0</v>
      </c>
      <c r="AN38" s="34">
        <v>0</v>
      </c>
      <c r="AO38" s="34">
        <v>10</v>
      </c>
      <c r="AP38" s="34">
        <v>16</v>
      </c>
      <c r="AQ38" s="34">
        <v>10</v>
      </c>
      <c r="AR38" s="34">
        <v>3</v>
      </c>
      <c r="AS38" s="34">
        <v>0</v>
      </c>
      <c r="AT38" s="34" t="str">
        <v>3P</v>
      </c>
      <c r="AU38" s="34">
        <v>10</v>
      </c>
      <c r="AV38" s="34" t="str">
        <v/>
      </c>
      <c r="AW38" s="34" t="str">
        <v/>
      </c>
      <c r="AX38" s="34" t="str">
        <v/>
      </c>
      <c r="AY38" s="34">
        <v>1</v>
      </c>
      <c r="AZ38" s="34" t="str">
        <v/>
      </c>
      <c r="BA38" s="34">
        <v>0</v>
      </c>
      <c r="BB38" s="34">
        <v>0</v>
      </c>
      <c r="BD38" s="34">
        <v>1</v>
      </c>
      <c r="BE38" s="34">
        <v>0</v>
      </c>
      <c r="BF38" s="34">
        <v>0</v>
      </c>
      <c r="BG38" s="34" t="str">
        <v/>
      </c>
      <c r="BH38" s="34" t="str">
        <v/>
      </c>
      <c r="BI38" s="34" t="str">
        <v/>
      </c>
      <c r="BJ38" s="34" t="str">
        <v/>
      </c>
      <c r="BK38" s="34" t="str">
        <v>BOX</v>
      </c>
      <c r="BL38" s="34">
        <v>1</v>
      </c>
      <c r="BM38" s="34">
        <v>11</v>
      </c>
      <c r="BN38" s="34" t="str">
        <v/>
      </c>
      <c r="BO38" s="34" t="str">
        <v/>
      </c>
      <c r="BP38" s="34" t="str">
        <v/>
      </c>
      <c r="BQ38" s="34" t="str">
        <v>5х1,5</v>
      </c>
      <c r="BR38" s="34" t="str">
        <v/>
      </c>
      <c r="BS38" s="34" t="str">
        <v/>
      </c>
      <c r="BT38" s="34" t="str">
        <v/>
      </c>
      <c r="BU38" s="34">
        <v>0</v>
      </c>
      <c r="BV38" s="34">
        <v>35</v>
      </c>
      <c r="BW38" s="34">
        <v>1</v>
      </c>
      <c r="BX38" s="34">
        <v>2</v>
      </c>
      <c r="BY38" s="34">
        <v>0</v>
      </c>
      <c r="BZ38">
        <v>4</v>
      </c>
      <c r="CA38" t="str">
        <v>линии</v>
      </c>
    </row>
    <row r="39" spans="1:79" x14ac:dyDescent="0.3">
      <c r="A39" s="39" t="str">
        <v>ЩР-1</v>
      </c>
      <c r="B39" s="42">
        <v>17</v>
      </c>
      <c r="C39" s="42">
        <v>1</v>
      </c>
      <c r="D39" s="75" t="str">
        <v/>
      </c>
      <c r="E39" s="75" t="str">
        <v>авто</v>
      </c>
      <c r="F39" s="76" t="str">
        <v/>
      </c>
      <c r="G39" s="47" t="str">
        <v>QF8</v>
      </c>
      <c r="H39" s="47" t="str">
        <v>1P С10А</v>
      </c>
      <c r="I39" s="75" t="str">
        <v/>
      </c>
      <c r="J39" s="76" t="str">
        <v/>
      </c>
      <c r="K39" s="76" t="str">
        <v/>
      </c>
      <c r="L39" s="75" t="str">
        <v/>
      </c>
      <c r="M39" s="49" t="str">
        <v/>
      </c>
      <c r="N39" s="76" t="str">
        <v/>
      </c>
      <c r="O39" s="49" t="str">
        <v/>
      </c>
      <c r="P39" s="77" t="str">
        <v>XT13</v>
      </c>
      <c r="Q39" s="53" t="str">
        <v>ВВГнг(А)-LS (3х1,5) L=19-1,29%</v>
      </c>
      <c r="R39" s="54" t="str">
        <v>K.1.01.1</v>
      </c>
      <c r="S39" s="55" t="str">
        <v>Кондиционер (cos φ вручную)</v>
      </c>
      <c r="T39" s="56">
        <v>1.2</v>
      </c>
      <c r="U39" s="56">
        <v>5.47</v>
      </c>
      <c r="V39" s="42" t="str">
        <v>L3</v>
      </c>
      <c r="W39" s="57" t="str">
        <v>ok</v>
      </c>
      <c r="X39" s="58" t="str">
        <v/>
      </c>
      <c r="Y39" s="75" t="str">
        <v/>
      </c>
      <c r="Z39" s="59">
        <v>5.4696341291648753</v>
      </c>
      <c r="AA39" s="61">
        <v>10</v>
      </c>
      <c r="AB39" s="61">
        <v>16</v>
      </c>
      <c r="AC39" s="61" t="str">
        <v/>
      </c>
      <c r="AD39" s="62" t="str">
        <v>QF8 → XT13</v>
      </c>
      <c r="AE39" s="62" t="str">
        <v/>
      </c>
      <c r="AF39" s="34">
        <v>8</v>
      </c>
      <c r="AG39" s="34" t="str">
        <v>QF8</v>
      </c>
      <c r="AH39" s="34" t="str">
        <v/>
      </c>
      <c r="AI39" s="34" t="str">
        <v/>
      </c>
      <c r="AJ39" s="34" t="str">
        <v>QF8</v>
      </c>
      <c r="AK39" s="34">
        <v>1</v>
      </c>
      <c r="AL39" s="34" t="str">
        <v>K</v>
      </c>
      <c r="AM39" s="34">
        <v>0</v>
      </c>
      <c r="AN39" s="34">
        <v>0</v>
      </c>
      <c r="AO39" s="34">
        <v>10</v>
      </c>
      <c r="AP39" s="34">
        <v>16</v>
      </c>
      <c r="AQ39" s="34">
        <v>10</v>
      </c>
      <c r="AR39" s="34">
        <v>1</v>
      </c>
      <c r="AS39" s="34">
        <v>0</v>
      </c>
      <c r="AT39" s="34" t="str">
        <v>1P</v>
      </c>
      <c r="AU39" s="34">
        <v>10</v>
      </c>
      <c r="AV39" s="34" t="str">
        <v/>
      </c>
      <c r="AW39" s="34" t="str">
        <v/>
      </c>
      <c r="AX39" s="34" t="str">
        <v/>
      </c>
      <c r="AY39" s="34">
        <v>1</v>
      </c>
      <c r="AZ39" s="34" t="str">
        <v/>
      </c>
      <c r="BA39" s="34">
        <v>0</v>
      </c>
      <c r="BB39" s="34">
        <v>0</v>
      </c>
      <c r="BD39" s="34">
        <v>1</v>
      </c>
      <c r="BE39" s="34">
        <v>0</v>
      </c>
      <c r="BF39" s="34">
        <v>0</v>
      </c>
      <c r="BG39" s="34" t="str">
        <v/>
      </c>
      <c r="BH39" s="34" t="str">
        <v/>
      </c>
      <c r="BI39" s="34" t="str">
        <v/>
      </c>
      <c r="BJ39" s="34" t="str">
        <v/>
      </c>
      <c r="BK39" s="34" t="str">
        <v>MOTOR</v>
      </c>
      <c r="BL39" s="34">
        <v>1</v>
      </c>
      <c r="BM39" s="34" t="str">
        <v/>
      </c>
      <c r="BN39" s="34" t="str">
        <v/>
      </c>
      <c r="BO39" s="34" t="str">
        <v/>
      </c>
      <c r="BP39" s="34" t="str">
        <v/>
      </c>
      <c r="BQ39" s="34" t="str">
        <v>3х1,5</v>
      </c>
      <c r="BR39" s="34" t="str">
        <v/>
      </c>
      <c r="BS39" s="34" t="str">
        <v/>
      </c>
      <c r="BT39" s="34" t="str">
        <v/>
      </c>
      <c r="BU39" s="34">
        <v>0</v>
      </c>
      <c r="BV39" s="34">
        <v>36</v>
      </c>
      <c r="BW39" s="34">
        <v>1</v>
      </c>
      <c r="BX39" s="34">
        <v>0</v>
      </c>
      <c r="BY39" s="34" t="str">
        <v>Привод (двигатель)</v>
      </c>
      <c r="BZ39">
        <v>4</v>
      </c>
      <c r="CA39" t="str">
        <v>линии</v>
      </c>
    </row>
    <row r="40" spans="1:79" x14ac:dyDescent="0.3">
      <c r="A40" s="39" t="str">
        <v>ЩР-1</v>
      </c>
      <c r="B40" s="42">
        <v>18</v>
      </c>
      <c r="C40" s="42">
        <v>2</v>
      </c>
      <c r="D40" s="75" t="str">
        <v/>
      </c>
      <c r="E40" s="75" t="str">
        <v>авто</v>
      </c>
      <c r="F40" s="76" t="str">
        <v/>
      </c>
      <c r="G40" s="47" t="str">
        <v>QF9</v>
      </c>
      <c r="H40" s="47" t="str">
        <v>1P С6А</v>
      </c>
      <c r="I40" s="75" t="str">
        <v/>
      </c>
      <c r="J40" s="76" t="str">
        <v/>
      </c>
      <c r="K40" s="76" t="str">
        <v/>
      </c>
      <c r="L40" s="75" t="str">
        <v/>
      </c>
      <c r="M40" s="49" t="str">
        <v/>
      </c>
      <c r="N40" s="76" t="str">
        <v>б/к</v>
      </c>
      <c r="O40" s="49" t="str">
        <v/>
      </c>
      <c r="P40" s="77" t="str">
        <v/>
      </c>
      <c r="Q40" s="53" t="str">
        <v>ВВГнг(А)-LS (3х4) L=7-0%</v>
      </c>
      <c r="R40" s="54" t="str">
        <v>КУП.1.01.1</v>
      </c>
      <c r="S40" s="55" t="str">
        <v>Коробка уравнивания потенциалов, пом. 01</v>
      </c>
      <c r="T40" s="56">
        <v>0</v>
      </c>
      <c r="U40" s="56">
        <v>0</v>
      </c>
      <c r="V40" s="42" t="str">
        <v>L1</v>
      </c>
      <c r="W40" s="57" t="str">
        <v>ok</v>
      </c>
      <c r="X40" s="58" t="str">
        <v/>
      </c>
      <c r="Y40" s="75" t="str">
        <v/>
      </c>
      <c r="Z40" s="59">
        <v>0</v>
      </c>
      <c r="AA40" s="61">
        <v>6</v>
      </c>
      <c r="AB40" s="61">
        <v>32</v>
      </c>
      <c r="AC40" s="61" t="str">
        <v/>
      </c>
      <c r="AD40" s="62" t="str">
        <v>QF9</v>
      </c>
      <c r="AE40" s="62" t="str">
        <v/>
      </c>
      <c r="AF40" s="34">
        <v>9</v>
      </c>
      <c r="AG40" s="34" t="str">
        <v>QF9</v>
      </c>
      <c r="AH40" s="34" t="str">
        <v/>
      </c>
      <c r="AI40" s="34" t="str">
        <v/>
      </c>
      <c r="AJ40" s="34" t="str">
        <v>QF9</v>
      </c>
      <c r="AK40" s="34">
        <v>1</v>
      </c>
      <c r="AL40" s="34" t="str">
        <v>КУП</v>
      </c>
      <c r="AM40" s="34">
        <v>0</v>
      </c>
      <c r="AN40" s="34">
        <v>0</v>
      </c>
      <c r="AO40" s="34">
        <v>6</v>
      </c>
      <c r="AP40" s="34">
        <v>32</v>
      </c>
      <c r="AQ40" s="34">
        <v>6</v>
      </c>
      <c r="AR40" s="34">
        <v>1</v>
      </c>
      <c r="AS40" s="34">
        <v>0</v>
      </c>
      <c r="AT40" s="34" t="str">
        <v>1P</v>
      </c>
      <c r="AU40" s="34">
        <v>6</v>
      </c>
      <c r="AV40" s="34" t="str">
        <v/>
      </c>
      <c r="AW40" s="34" t="str">
        <v/>
      </c>
      <c r="AX40" s="34" t="str">
        <v/>
      </c>
      <c r="AY40" s="34">
        <v>0</v>
      </c>
      <c r="AZ40" s="34" t="str">
        <v/>
      </c>
      <c r="BA40" s="34">
        <v>0</v>
      </c>
      <c r="BB40" s="34">
        <v>0</v>
      </c>
      <c r="BD40" s="34">
        <v>1</v>
      </c>
      <c r="BE40" s="34">
        <v>0</v>
      </c>
      <c r="BF40" s="34">
        <v>0</v>
      </c>
      <c r="BG40" s="34" t="str">
        <v/>
      </c>
      <c r="BH40" s="34" t="str">
        <v/>
      </c>
      <c r="BI40" s="34" t="str">
        <v/>
      </c>
      <c r="BJ40" s="34" t="str">
        <v/>
      </c>
      <c r="BK40" s="34" t="str">
        <v>BOX</v>
      </c>
      <c r="BL40" s="34">
        <v>1</v>
      </c>
      <c r="BM40" s="34" t="str">
        <v/>
      </c>
      <c r="BN40" s="34" t="str">
        <v/>
      </c>
      <c r="BO40" s="34" t="str">
        <v/>
      </c>
      <c r="BP40" s="34" t="str">
        <v/>
      </c>
      <c r="BQ40" s="34" t="str">
        <v/>
      </c>
      <c r="BR40" s="34" t="str">
        <v/>
      </c>
      <c r="BS40" s="34" t="str">
        <v/>
      </c>
      <c r="BT40" s="34" t="str">
        <v/>
      </c>
      <c r="BU40" s="34">
        <v>0</v>
      </c>
      <c r="BV40" s="34">
        <v>37</v>
      </c>
      <c r="BW40" s="34">
        <v>0</v>
      </c>
      <c r="BX40" s="34">
        <v>0</v>
      </c>
      <c r="BY40" s="34">
        <v>0</v>
      </c>
      <c r="BZ40">
        <v>4</v>
      </c>
      <c r="CA40" t="str">
        <v>линии</v>
      </c>
    </row>
    <row r="41" spans="1:79" x14ac:dyDescent="0.3">
      <c r="A41" s="39" t="str">
        <v>ЩР-1</v>
      </c>
      <c r="B41" s="42">
        <v>19</v>
      </c>
      <c r="C41" s="42">
        <v>2</v>
      </c>
      <c r="D41" s="75" t="str">
        <v/>
      </c>
      <c r="E41" s="75" t="str">
        <v>авто</v>
      </c>
      <c r="F41" s="76" t="str">
        <v/>
      </c>
      <c r="G41" s="47" t="str">
        <v>QF10</v>
      </c>
      <c r="H41" s="47" t="str">
        <v>1P С6А</v>
      </c>
      <c r="I41" s="75" t="str">
        <v/>
      </c>
      <c r="J41" s="76" t="str">
        <v/>
      </c>
      <c r="K41" s="76" t="str">
        <v/>
      </c>
      <c r="L41" s="75" t="str">
        <v/>
      </c>
      <c r="M41" s="49" t="str">
        <v/>
      </c>
      <c r="N41" s="76" t="str">
        <v/>
      </c>
      <c r="O41" s="49" t="str">
        <v/>
      </c>
      <c r="P41" s="77" t="str">
        <v/>
      </c>
      <c r="Q41" s="53" t="str">
        <v>ВВГнг(А)-LS (3х1,5) L=11-0,25%</v>
      </c>
      <c r="R41" s="54" t="str">
        <v>УВ.1.01.1</v>
      </c>
      <c r="S41" s="55" t="str">
        <v>Увлажнитель, пом. 01</v>
      </c>
      <c r="T41" s="56">
        <v>0.4</v>
      </c>
      <c r="U41" s="56">
        <v>1.83</v>
      </c>
      <c r="V41" s="42" t="str">
        <v>L2</v>
      </c>
      <c r="W41" s="57" t="str">
        <v>ok</v>
      </c>
      <c r="X41" s="58" t="str">
        <v/>
      </c>
      <c r="Y41" s="75" t="str">
        <v/>
      </c>
      <c r="Z41" s="59">
        <v>1.823211376388292</v>
      </c>
      <c r="AA41" s="61">
        <v>6</v>
      </c>
      <c r="AB41" s="61">
        <v>16</v>
      </c>
      <c r="AC41" s="61" t="str">
        <v/>
      </c>
      <c r="AD41" s="62" t="str">
        <v>QF10</v>
      </c>
      <c r="AE41" s="62" t="str">
        <v/>
      </c>
      <c r="AF41" s="34">
        <v>10</v>
      </c>
      <c r="AG41" s="34" t="str">
        <v>QF10</v>
      </c>
      <c r="AH41" s="34" t="str">
        <v/>
      </c>
      <c r="AI41" s="34" t="str">
        <v/>
      </c>
      <c r="AJ41" s="34" t="str">
        <v>QF10</v>
      </c>
      <c r="AK41" s="34">
        <v>1</v>
      </c>
      <c r="AL41" s="34" t="str">
        <v>УВ</v>
      </c>
      <c r="AM41" s="34">
        <v>0</v>
      </c>
      <c r="AN41" s="34">
        <v>0</v>
      </c>
      <c r="AO41" s="34">
        <v>6</v>
      </c>
      <c r="AP41" s="34">
        <v>16</v>
      </c>
      <c r="AQ41" s="34">
        <v>6</v>
      </c>
      <c r="AR41" s="34">
        <v>1</v>
      </c>
      <c r="AS41" s="34">
        <v>0</v>
      </c>
      <c r="AT41" s="34" t="str">
        <v>1P</v>
      </c>
      <c r="AU41" s="34">
        <v>6</v>
      </c>
      <c r="AV41" s="34" t="str">
        <v/>
      </c>
      <c r="AW41" s="34" t="str">
        <v/>
      </c>
      <c r="AX41" s="34" t="str">
        <v/>
      </c>
      <c r="AY41" s="34">
        <v>1</v>
      </c>
      <c r="AZ41" s="34" t="str">
        <v/>
      </c>
      <c r="BA41" s="34">
        <v>0</v>
      </c>
      <c r="BB41" s="34">
        <v>0</v>
      </c>
      <c r="BD41" s="34">
        <v>1</v>
      </c>
      <c r="BE41" s="34">
        <v>0</v>
      </c>
      <c r="BF41" s="34">
        <v>0</v>
      </c>
      <c r="BG41" s="34" t="str">
        <v/>
      </c>
      <c r="BH41" s="34" t="str">
        <v/>
      </c>
      <c r="BI41" s="34" t="str">
        <v/>
      </c>
      <c r="BJ41" s="34" t="str">
        <v/>
      </c>
      <c r="BK41" s="34" t="str">
        <v>MOTOR</v>
      </c>
      <c r="BL41" s="34">
        <v>1</v>
      </c>
      <c r="BM41" s="34" t="str">
        <v/>
      </c>
      <c r="BN41" s="34" t="str">
        <v/>
      </c>
      <c r="BO41" s="34" t="str">
        <v/>
      </c>
      <c r="BP41" s="34" t="str">
        <v/>
      </c>
      <c r="BQ41" s="34" t="str">
        <v>3х1,5</v>
      </c>
      <c r="BR41" s="34" t="str">
        <v/>
      </c>
      <c r="BS41" s="34" t="str">
        <v/>
      </c>
      <c r="BT41" s="34" t="str">
        <v/>
      </c>
      <c r="BU41" s="34">
        <v>0</v>
      </c>
      <c r="BV41" s="34">
        <v>38</v>
      </c>
      <c r="BW41" s="34">
        <v>1</v>
      </c>
      <c r="BX41" s="34">
        <v>0</v>
      </c>
      <c r="BY41" s="34" t="str">
        <v>Привод (двигатель)</v>
      </c>
      <c r="BZ41">
        <v>4</v>
      </c>
      <c r="CA41" t="str">
        <v>линии</v>
      </c>
    </row>
    <row r="42" spans="1:79" x14ac:dyDescent="0.3">
      <c r="A42" s="39" t="str">
        <v>ЩР-1</v>
      </c>
      <c r="B42" s="42">
        <v>20</v>
      </c>
      <c r="C42" s="42">
        <v>2</v>
      </c>
      <c r="D42" s="75" t="str">
        <v/>
      </c>
      <c r="E42" s="75" t="str">
        <v>авто</v>
      </c>
      <c r="F42" s="76">
        <v>30</v>
      </c>
      <c r="G42" s="47" t="str">
        <v>QFD11</v>
      </c>
      <c r="H42" s="47" t="str">
        <v>2P С16А 30мА</v>
      </c>
      <c r="I42" s="75" t="str">
        <v/>
      </c>
      <c r="J42" s="76" t="str">
        <v/>
      </c>
      <c r="K42" s="76" t="str">
        <v/>
      </c>
      <c r="L42" s="75" t="str">
        <v/>
      </c>
      <c r="M42" s="49" t="str">
        <v/>
      </c>
      <c r="N42" s="76" t="str">
        <v/>
      </c>
      <c r="O42" s="49" t="str">
        <v/>
      </c>
      <c r="P42" s="77" t="str">
        <v>XT15</v>
      </c>
      <c r="Q42" s="53" t="str">
        <v>ВВГнг(А)-LS (3х10) L=142-2,43%</v>
      </c>
      <c r="R42" s="54" t="str">
        <v>R.1.04.1</v>
      </c>
      <c r="S42" s="55" t="str">
        <v>Розетки гаража (длинная линия)</v>
      </c>
      <c r="T42" s="56">
        <v>2</v>
      </c>
      <c r="U42" s="56">
        <v>9.1199999999999992</v>
      </c>
      <c r="V42" s="42" t="str">
        <v>L2</v>
      </c>
      <c r="W42" s="57" t="str">
        <v>ok</v>
      </c>
      <c r="X42" s="58" t="str">
        <v/>
      </c>
      <c r="Y42" s="75" t="str">
        <v/>
      </c>
      <c r="Z42" s="59">
        <v>9.1160568819414589</v>
      </c>
      <c r="AA42" s="61">
        <v>16</v>
      </c>
      <c r="AB42" s="61">
        <v>63</v>
      </c>
      <c r="AC42" s="61" t="str">
        <v/>
      </c>
      <c r="AD42" s="62" t="str">
        <v>QFD11 → XT15</v>
      </c>
      <c r="AE42" s="62" t="str">
        <v/>
      </c>
      <c r="AF42" s="34">
        <v>11</v>
      </c>
      <c r="AG42" s="34" t="str">
        <v>QFD11</v>
      </c>
      <c r="AH42" s="34" t="str">
        <v/>
      </c>
      <c r="AI42" s="34" t="str">
        <v/>
      </c>
      <c r="AJ42" s="34" t="str">
        <v>QFD11</v>
      </c>
      <c r="AK42" s="34">
        <v>1</v>
      </c>
      <c r="AL42" s="34" t="str">
        <v>R</v>
      </c>
      <c r="AM42" s="34">
        <v>30</v>
      </c>
      <c r="AN42" s="34">
        <v>0</v>
      </c>
      <c r="AO42" s="34">
        <v>16</v>
      </c>
      <c r="AP42" s="34">
        <v>63</v>
      </c>
      <c r="AQ42" s="34">
        <v>16</v>
      </c>
      <c r="AR42" s="34">
        <v>1</v>
      </c>
      <c r="AS42" s="34">
        <v>1</v>
      </c>
      <c r="AT42" s="34" t="str">
        <v>2P</v>
      </c>
      <c r="AU42" s="34">
        <v>16</v>
      </c>
      <c r="AV42" s="34" t="str">
        <v/>
      </c>
      <c r="AW42" s="34" t="str">
        <v/>
      </c>
      <c r="AX42" s="34" t="str">
        <v/>
      </c>
      <c r="AY42" s="34">
        <v>1</v>
      </c>
      <c r="AZ42" s="34" t="str">
        <v/>
      </c>
      <c r="BA42" s="34">
        <v>0</v>
      </c>
      <c r="BB42" s="34">
        <v>16</v>
      </c>
      <c r="BD42" s="34">
        <v>1</v>
      </c>
      <c r="BE42" s="34">
        <v>0</v>
      </c>
      <c r="BF42" s="34">
        <v>1</v>
      </c>
      <c r="BG42" s="34" t="str">
        <v/>
      </c>
      <c r="BH42" s="34" t="str">
        <v/>
      </c>
      <c r="BI42" s="34" t="str">
        <v/>
      </c>
      <c r="BJ42" s="34" t="str">
        <v/>
      </c>
      <c r="BK42" s="34" t="str">
        <v>SOCKET</v>
      </c>
      <c r="BL42" s="34">
        <v>1</v>
      </c>
      <c r="BM42" s="34" t="str">
        <v/>
      </c>
      <c r="BN42" s="34" t="str">
        <v/>
      </c>
      <c r="BO42" s="34" t="str">
        <v/>
      </c>
      <c r="BP42" s="34" t="str">
        <v/>
      </c>
      <c r="BQ42" s="34" t="str">
        <v>3х10</v>
      </c>
      <c r="BR42" s="34">
        <v>13</v>
      </c>
      <c r="BS42" s="34" t="str">
        <v/>
      </c>
      <c r="BT42" s="34" t="str">
        <v/>
      </c>
      <c r="BU42" s="34">
        <v>0</v>
      </c>
      <c r="BV42" s="34">
        <v>39</v>
      </c>
      <c r="BW42" s="34">
        <v>1</v>
      </c>
      <c r="BX42" s="34">
        <v>0</v>
      </c>
      <c r="BY42" s="34" t="str">
        <v>Розетка</v>
      </c>
      <c r="BZ42">
        <v>4</v>
      </c>
      <c r="CA42" t="str">
        <v>линии</v>
      </c>
    </row>
    <row r="43" spans="1:79" x14ac:dyDescent="0.3">
      <c r="A43" s="39" t="str">
        <v>ЩР-1</v>
      </c>
      <c r="B43" s="42">
        <v>21</v>
      </c>
      <c r="C43" s="42">
        <v>2</v>
      </c>
      <c r="D43" s="75" t="str">
        <v/>
      </c>
      <c r="E43" s="75" t="str">
        <v>авто</v>
      </c>
      <c r="F43" s="76" t="str">
        <v/>
      </c>
      <c r="G43" s="47" t="str">
        <v>QF12</v>
      </c>
      <c r="H43" s="47" t="str">
        <v>1P С16А</v>
      </c>
      <c r="I43" s="75" t="str">
        <v>УЗО 2P 40А 30мА</v>
      </c>
      <c r="J43" s="76" t="str">
        <v/>
      </c>
      <c r="K43" s="76" t="str">
        <v/>
      </c>
      <c r="L43" s="75" t="str">
        <v/>
      </c>
      <c r="M43" s="49" t="str">
        <v/>
      </c>
      <c r="N43" s="76" t="str">
        <v/>
      </c>
      <c r="O43" s="49" t="str">
        <v/>
      </c>
      <c r="P43" s="77" t="str">
        <v/>
      </c>
      <c r="Q43" s="53" t="str">
        <v/>
      </c>
      <c r="R43" s="54" t="str">
        <v>УЗО.1</v>
      </c>
      <c r="S43" s="55" t="str">
        <v>Шина УЗО1</v>
      </c>
      <c r="T43" s="56">
        <v>0</v>
      </c>
      <c r="U43" s="56">
        <v>0</v>
      </c>
      <c r="V43" s="42" t="str">
        <v>L1</v>
      </c>
      <c r="W43" s="57" t="str">
        <v>ok</v>
      </c>
      <c r="X43" s="58" t="str">
        <v/>
      </c>
      <c r="Y43" s="75" t="str">
        <v/>
      </c>
      <c r="Z43" s="59">
        <v>13.218282478815116</v>
      </c>
      <c r="AA43" s="61">
        <v>16</v>
      </c>
      <c r="AB43" s="61" t="str">
        <v/>
      </c>
      <c r="AC43" s="61" t="str">
        <v/>
      </c>
      <c r="AD43" s="62" t="str">
        <v>QF12 → УЗО 2P 40А 30мА</v>
      </c>
      <c r="AE43" s="62" t="str">
        <v/>
      </c>
      <c r="AF43" s="34">
        <v>12</v>
      </c>
      <c r="AG43" s="34" t="str">
        <v>QF12</v>
      </c>
      <c r="AH43" s="34" t="str">
        <v/>
      </c>
      <c r="AI43" s="34" t="str">
        <v/>
      </c>
      <c r="AJ43" s="34" t="str">
        <v>QF12</v>
      </c>
      <c r="AK43" s="34">
        <v>1</v>
      </c>
      <c r="AL43" s="34" t="str">
        <v>УЗО</v>
      </c>
      <c r="AM43" s="34">
        <v>0</v>
      </c>
      <c r="AN43" s="34">
        <v>0</v>
      </c>
      <c r="AO43" s="34">
        <v>16</v>
      </c>
      <c r="AP43" s="34" t="str">
        <v/>
      </c>
      <c r="AQ43" s="34">
        <v>16</v>
      </c>
      <c r="AR43" s="34">
        <v>1</v>
      </c>
      <c r="AS43" s="34">
        <v>0</v>
      </c>
      <c r="AT43" s="34" t="str">
        <v>1P</v>
      </c>
      <c r="AU43" s="34">
        <v>16</v>
      </c>
      <c r="AV43" s="34" t="str">
        <v/>
      </c>
      <c r="AW43" s="34" t="str">
        <v/>
      </c>
      <c r="AX43" s="34" t="str">
        <v/>
      </c>
      <c r="AY43" s="34">
        <v>0</v>
      </c>
      <c r="AZ43" s="34" t="str">
        <v>УЗО 2P 40А 30мА</v>
      </c>
      <c r="BA43" s="34">
        <v>0</v>
      </c>
      <c r="BB43" s="34">
        <v>0</v>
      </c>
      <c r="BD43" s="34">
        <v>1</v>
      </c>
      <c r="BE43" s="34">
        <v>0</v>
      </c>
      <c r="BF43" s="34">
        <v>0</v>
      </c>
      <c r="BG43" s="34" t="str">
        <v/>
      </c>
      <c r="BH43" s="34" t="str">
        <v>X</v>
      </c>
      <c r="BI43" s="34" t="str">
        <v/>
      </c>
      <c r="BJ43" s="34" t="str">
        <v/>
      </c>
      <c r="BK43" s="34" t="str">
        <v>BOX</v>
      </c>
      <c r="BL43" s="34">
        <v>1</v>
      </c>
      <c r="BM43" s="34" t="str">
        <v/>
      </c>
      <c r="BN43" s="34">
        <v>5</v>
      </c>
      <c r="BO43" s="34" t="str">
        <v/>
      </c>
      <c r="BP43" s="34" t="str">
        <v/>
      </c>
      <c r="BQ43" s="34" t="str">
        <v/>
      </c>
      <c r="BR43" s="34" t="str">
        <v/>
      </c>
      <c r="BS43" s="34" t="str">
        <v/>
      </c>
      <c r="BT43" s="34" t="str">
        <v/>
      </c>
      <c r="BU43" s="34">
        <v>0</v>
      </c>
      <c r="BV43" s="34">
        <v>40</v>
      </c>
      <c r="BW43" s="34">
        <v>0</v>
      </c>
      <c r="BX43" s="34">
        <v>0</v>
      </c>
      <c r="BY43" s="34">
        <v>0</v>
      </c>
      <c r="BZ43">
        <v>4</v>
      </c>
      <c r="CA43" t="str">
        <v>линии</v>
      </c>
    </row>
    <row r="44" spans="1:79" x14ac:dyDescent="0.3">
      <c r="A44" s="39" t="str">
        <v>ЩР-1</v>
      </c>
      <c r="B44" s="42">
        <v>22</v>
      </c>
      <c r="C44" s="42">
        <v>2</v>
      </c>
      <c r="D44" s="75" t="str">
        <v/>
      </c>
      <c r="E44" s="75" t="str">
        <v>авто</v>
      </c>
      <c r="F44" s="76" t="str">
        <v/>
      </c>
      <c r="G44" s="47" t="str">
        <v>QF13</v>
      </c>
      <c r="H44" s="47" t="str">
        <v>1P С16А</v>
      </c>
      <c r="I44" s="75" t="str">
        <v/>
      </c>
      <c r="J44" s="76" t="str">
        <v/>
      </c>
      <c r="K44" s="76" t="str">
        <v/>
      </c>
      <c r="L44" s="75" t="str">
        <v/>
      </c>
      <c r="M44" s="49" t="str">
        <v/>
      </c>
      <c r="N44" s="76" t="str">
        <v/>
      </c>
      <c r="O44" s="49" t="str">
        <v/>
      </c>
      <c r="P44" s="77" t="str">
        <v>XT16</v>
      </c>
      <c r="Q44" s="53" t="str">
        <v>ВВГнг(А)-LS (3х2,5) L=28-1,43%</v>
      </c>
      <c r="R44" s="54" t="str">
        <v>R.1.05.1</v>
      </c>
      <c r="S44" s="55" t="str">
        <v>Розеточная группа, пом. 05</v>
      </c>
      <c r="T44" s="56">
        <v>1.5</v>
      </c>
      <c r="U44" s="56">
        <v>6.84</v>
      </c>
      <c r="V44" s="42" t="str">
        <v>L1</v>
      </c>
      <c r="W44" s="57" t="str">
        <v>ok</v>
      </c>
      <c r="X44" s="58" t="str">
        <v/>
      </c>
      <c r="Y44" s="75" t="str">
        <v/>
      </c>
      <c r="Z44" s="59">
        <v>6.8370426614560946</v>
      </c>
      <c r="AA44" s="61">
        <v>16</v>
      </c>
      <c r="AB44" s="61">
        <v>25</v>
      </c>
      <c r="AC44" s="61" t="str">
        <v/>
      </c>
      <c r="AD44" s="62" t="str">
        <v>QF13 → XT16</v>
      </c>
      <c r="AE44" s="62" t="str">
        <v/>
      </c>
      <c r="AF44" s="34">
        <v>13</v>
      </c>
      <c r="AG44" s="34" t="str">
        <v>QF13</v>
      </c>
      <c r="AH44" s="34" t="str">
        <v/>
      </c>
      <c r="AI44" s="34" t="str">
        <v/>
      </c>
      <c r="AJ44" s="34" t="str">
        <v>QF13</v>
      </c>
      <c r="AK44" s="34">
        <v>1</v>
      </c>
      <c r="AL44" s="34" t="str">
        <v>R</v>
      </c>
      <c r="AM44" s="34">
        <v>30</v>
      </c>
      <c r="AN44" s="34">
        <v>0</v>
      </c>
      <c r="AO44" s="34">
        <v>16</v>
      </c>
      <c r="AP44" s="34">
        <v>25</v>
      </c>
      <c r="AQ44" s="34">
        <v>16</v>
      </c>
      <c r="AR44" s="34">
        <v>1</v>
      </c>
      <c r="AS44" s="34">
        <v>0</v>
      </c>
      <c r="AT44" s="34" t="str">
        <v>1P</v>
      </c>
      <c r="AU44" s="34">
        <v>16</v>
      </c>
      <c r="AV44" s="34" t="str">
        <v/>
      </c>
      <c r="AW44" s="34" t="str">
        <v/>
      </c>
      <c r="AX44" s="34" t="str">
        <v/>
      </c>
      <c r="AY44" s="34">
        <v>1</v>
      </c>
      <c r="AZ44" s="34" t="str">
        <v/>
      </c>
      <c r="BA44" s="34">
        <v>0</v>
      </c>
      <c r="BB44" s="34">
        <v>16</v>
      </c>
      <c r="BD44" s="34">
        <v>1</v>
      </c>
      <c r="BE44" s="34">
        <v>0</v>
      </c>
      <c r="BF44" s="34">
        <v>0</v>
      </c>
      <c r="BG44" s="34" t="str">
        <v/>
      </c>
      <c r="BH44" s="34" t="str">
        <v/>
      </c>
      <c r="BI44" s="34" t="str">
        <v/>
      </c>
      <c r="BJ44" s="34" t="str">
        <v/>
      </c>
      <c r="BK44" s="34" t="str">
        <v>SOCKET</v>
      </c>
      <c r="BL44" s="34">
        <v>1</v>
      </c>
      <c r="BM44" s="34" t="str">
        <v/>
      </c>
      <c r="BN44" s="34" t="str">
        <v/>
      </c>
      <c r="BO44" s="34" t="str">
        <v/>
      </c>
      <c r="BP44" s="34" t="str">
        <v/>
      </c>
      <c r="BQ44" s="34" t="str">
        <v>3х2,5</v>
      </c>
      <c r="BR44" s="34" t="str">
        <v/>
      </c>
      <c r="BS44" s="34" t="str">
        <v/>
      </c>
      <c r="BT44" s="34" t="str">
        <v/>
      </c>
      <c r="BU44" s="34">
        <v>0</v>
      </c>
      <c r="BV44" s="34">
        <v>41</v>
      </c>
      <c r="BW44" s="34">
        <v>1</v>
      </c>
      <c r="BX44" s="34">
        <v>0</v>
      </c>
      <c r="BY44" s="34" t="str">
        <v>Розетка</v>
      </c>
      <c r="BZ44">
        <v>4</v>
      </c>
      <c r="CA44" t="str">
        <v>линии</v>
      </c>
    </row>
    <row r="45" spans="1:79" x14ac:dyDescent="0.3">
      <c r="A45" s="39" t="str">
        <v>ЩР-1</v>
      </c>
      <c r="B45" s="42">
        <v>23</v>
      </c>
      <c r="C45" s="42">
        <v>2</v>
      </c>
      <c r="D45" s="75" t="str">
        <v/>
      </c>
      <c r="E45" s="75" t="str">
        <v>авто</v>
      </c>
      <c r="F45" s="76" t="str">
        <v/>
      </c>
      <c r="G45" s="47" t="str">
        <v>QF14</v>
      </c>
      <c r="H45" s="47" t="str">
        <v>1P С16А</v>
      </c>
      <c r="I45" s="75" t="str">
        <v/>
      </c>
      <c r="J45" s="76" t="str">
        <v/>
      </c>
      <c r="K45" s="76" t="str">
        <v/>
      </c>
      <c r="L45" s="75" t="str">
        <v/>
      </c>
      <c r="M45" s="49" t="str">
        <v/>
      </c>
      <c r="N45" s="76" t="str">
        <v/>
      </c>
      <c r="O45" s="49" t="str">
        <v/>
      </c>
      <c r="P45" s="77" t="str">
        <v>XT17</v>
      </c>
      <c r="Q45" s="53" t="str">
        <v>ВВГнг(А)-LS (3х2,5) L=20-0,82%</v>
      </c>
      <c r="R45" s="54" t="str">
        <v>R.1.05.2</v>
      </c>
      <c r="S45" s="55" t="str">
        <v>Розеточная группа, пом. 05</v>
      </c>
      <c r="T45" s="56">
        <v>1.2</v>
      </c>
      <c r="U45" s="56">
        <v>5.47</v>
      </c>
      <c r="V45" s="42" t="str">
        <v>L1</v>
      </c>
      <c r="W45" s="57" t="str">
        <v>ok</v>
      </c>
      <c r="X45" s="58" t="str">
        <v/>
      </c>
      <c r="Y45" s="75" t="str">
        <v/>
      </c>
      <c r="Z45" s="59">
        <v>5.4696341291648753</v>
      </c>
      <c r="AA45" s="61">
        <v>16</v>
      </c>
      <c r="AB45" s="61">
        <v>25</v>
      </c>
      <c r="AC45" s="61" t="str">
        <v/>
      </c>
      <c r="AD45" s="62" t="str">
        <v>QF14 → XT17</v>
      </c>
      <c r="AE45" s="62" t="str">
        <v/>
      </c>
      <c r="AF45" s="34">
        <v>14</v>
      </c>
      <c r="AG45" s="34" t="str">
        <v>QF14</v>
      </c>
      <c r="AH45" s="34" t="str">
        <v/>
      </c>
      <c r="AI45" s="34" t="str">
        <v/>
      </c>
      <c r="AJ45" s="34" t="str">
        <v>QF14</v>
      </c>
      <c r="AK45" s="34">
        <v>1</v>
      </c>
      <c r="AL45" s="34" t="str">
        <v>R</v>
      </c>
      <c r="AM45" s="34">
        <v>30</v>
      </c>
      <c r="AN45" s="34">
        <v>0</v>
      </c>
      <c r="AO45" s="34">
        <v>16</v>
      </c>
      <c r="AP45" s="34">
        <v>25</v>
      </c>
      <c r="AQ45" s="34">
        <v>16</v>
      </c>
      <c r="AR45" s="34">
        <v>1</v>
      </c>
      <c r="AS45" s="34">
        <v>0</v>
      </c>
      <c r="AT45" s="34" t="str">
        <v>1P</v>
      </c>
      <c r="AU45" s="34">
        <v>16</v>
      </c>
      <c r="AV45" s="34" t="str">
        <v/>
      </c>
      <c r="AW45" s="34" t="str">
        <v/>
      </c>
      <c r="AX45" s="34" t="str">
        <v/>
      </c>
      <c r="AY45" s="34">
        <v>1</v>
      </c>
      <c r="AZ45" s="34" t="str">
        <v/>
      </c>
      <c r="BA45" s="34">
        <v>0</v>
      </c>
      <c r="BB45" s="34">
        <v>16</v>
      </c>
      <c r="BD45" s="34">
        <v>1</v>
      </c>
      <c r="BE45" s="34">
        <v>0</v>
      </c>
      <c r="BF45" s="34">
        <v>0</v>
      </c>
      <c r="BG45" s="34" t="str">
        <v/>
      </c>
      <c r="BH45" s="34" t="str">
        <v/>
      </c>
      <c r="BI45" s="34" t="str">
        <v/>
      </c>
      <c r="BJ45" s="34" t="str">
        <v/>
      </c>
      <c r="BK45" s="34" t="str">
        <v>SOCKET</v>
      </c>
      <c r="BL45" s="34">
        <v>1</v>
      </c>
      <c r="BM45" s="34" t="str">
        <v/>
      </c>
      <c r="BN45" s="34" t="str">
        <v/>
      </c>
      <c r="BO45" s="34" t="str">
        <v/>
      </c>
      <c r="BP45" s="34" t="str">
        <v/>
      </c>
      <c r="BQ45" s="34" t="str">
        <v>3х2,5</v>
      </c>
      <c r="BR45" s="34" t="str">
        <v/>
      </c>
      <c r="BS45" s="34" t="str">
        <v/>
      </c>
      <c r="BT45" s="34" t="str">
        <v/>
      </c>
      <c r="BU45" s="34">
        <v>0</v>
      </c>
      <c r="BV45" s="34">
        <v>42</v>
      </c>
      <c r="BW45" s="34">
        <v>1</v>
      </c>
      <c r="BX45" s="34">
        <v>0</v>
      </c>
      <c r="BY45" s="34" t="str">
        <v>Розетка</v>
      </c>
      <c r="BZ45">
        <v>4</v>
      </c>
      <c r="CA45" t="str">
        <v>линии</v>
      </c>
    </row>
    <row r="46" spans="1:79" x14ac:dyDescent="0.3">
      <c r="A46" s="39" t="str">
        <v>ЩР-1</v>
      </c>
      <c r="B46" s="42">
        <v>24</v>
      </c>
      <c r="C46" s="42">
        <v>2</v>
      </c>
      <c r="D46" s="75" t="str">
        <v/>
      </c>
      <c r="E46" s="75" t="str">
        <v>авто</v>
      </c>
      <c r="F46" s="76" t="str">
        <v/>
      </c>
      <c r="G46" s="47" t="str">
        <v>QF15</v>
      </c>
      <c r="H46" s="47" t="str">
        <v>1P С10А</v>
      </c>
      <c r="I46" s="75" t="str">
        <v/>
      </c>
      <c r="J46" s="76" t="str">
        <v/>
      </c>
      <c r="K46" s="76" t="str">
        <v/>
      </c>
      <c r="L46" s="75" t="str">
        <v/>
      </c>
      <c r="M46" s="49" t="str">
        <v/>
      </c>
      <c r="N46" s="76" t="str">
        <v/>
      </c>
      <c r="O46" s="49" t="str">
        <v/>
      </c>
      <c r="P46" s="77" t="str">
        <v>XT18</v>
      </c>
      <c r="Q46" s="53" t="str">
        <v>ВВГнг(А)-LS (3х1,5) L=11-0,13%</v>
      </c>
      <c r="R46" s="54" t="str">
        <v>L.1.04.1</v>
      </c>
      <c r="S46" s="55" t="str">
        <v>Группа освещения, пом. 04</v>
      </c>
      <c r="T46" s="56">
        <v>0.2</v>
      </c>
      <c r="U46" s="56">
        <v>0.92</v>
      </c>
      <c r="V46" s="42" t="str">
        <v>L1</v>
      </c>
      <c r="W46" s="57" t="str">
        <v>ok</v>
      </c>
      <c r="X46" s="58" t="str">
        <v/>
      </c>
      <c r="Y46" s="75" t="str">
        <v/>
      </c>
      <c r="Z46" s="59">
        <v>0.911605688194146</v>
      </c>
      <c r="AA46" s="61">
        <v>10</v>
      </c>
      <c r="AB46" s="61">
        <v>16</v>
      </c>
      <c r="AC46" s="61" t="str">
        <v/>
      </c>
      <c r="AD46" s="62" t="str">
        <v>QF15 → XT18</v>
      </c>
      <c r="AE46" s="62" t="str">
        <v/>
      </c>
      <c r="AF46" s="34">
        <v>15</v>
      </c>
      <c r="AG46" s="34" t="str">
        <v>QF15</v>
      </c>
      <c r="AH46" s="34" t="str">
        <v/>
      </c>
      <c r="AI46" s="34" t="str">
        <v/>
      </c>
      <c r="AJ46" s="34" t="str">
        <v>QF15</v>
      </c>
      <c r="AK46" s="34">
        <v>1</v>
      </c>
      <c r="AL46" s="34" t="str">
        <v>L</v>
      </c>
      <c r="AM46" s="34">
        <v>0</v>
      </c>
      <c r="AN46" s="34">
        <v>0</v>
      </c>
      <c r="AO46" s="34">
        <v>10</v>
      </c>
      <c r="AP46" s="34">
        <v>16</v>
      </c>
      <c r="AQ46" s="34">
        <v>10</v>
      </c>
      <c r="AR46" s="34">
        <v>1</v>
      </c>
      <c r="AS46" s="34">
        <v>0</v>
      </c>
      <c r="AT46" s="34" t="str">
        <v>1P</v>
      </c>
      <c r="AU46" s="34">
        <v>10</v>
      </c>
      <c r="AV46" s="34" t="str">
        <v/>
      </c>
      <c r="AW46" s="34" t="str">
        <v/>
      </c>
      <c r="AX46" s="34" t="str">
        <v/>
      </c>
      <c r="AY46" s="34">
        <v>1</v>
      </c>
      <c r="AZ46" s="34" t="str">
        <v/>
      </c>
      <c r="BA46" s="34">
        <v>0</v>
      </c>
      <c r="BB46" s="34">
        <v>10</v>
      </c>
      <c r="BD46" s="34">
        <v>1</v>
      </c>
      <c r="BE46" s="34">
        <v>0</v>
      </c>
      <c r="BF46" s="34">
        <v>0</v>
      </c>
      <c r="BG46" s="34" t="str">
        <v/>
      </c>
      <c r="BH46" s="34" t="str">
        <v/>
      </c>
      <c r="BI46" s="34" t="str">
        <v/>
      </c>
      <c r="BJ46" s="34" t="str">
        <v/>
      </c>
      <c r="BK46" s="34" t="str">
        <v>LAMP</v>
      </c>
      <c r="BL46" s="34">
        <v>1</v>
      </c>
      <c r="BM46" s="34" t="str">
        <v/>
      </c>
      <c r="BN46" s="34" t="str">
        <v/>
      </c>
      <c r="BO46" s="34" t="str">
        <v/>
      </c>
      <c r="BP46" s="34" t="str">
        <v/>
      </c>
      <c r="BQ46" s="34" t="str">
        <v>3х1,5</v>
      </c>
      <c r="BR46" s="34" t="str">
        <v/>
      </c>
      <c r="BS46" s="34" t="str">
        <v/>
      </c>
      <c r="BT46" s="34" t="str">
        <v/>
      </c>
      <c r="BU46" s="34">
        <v>0</v>
      </c>
      <c r="BV46" s="34">
        <v>43</v>
      </c>
      <c r="BW46" s="34">
        <v>1</v>
      </c>
      <c r="BX46" s="34">
        <v>0</v>
      </c>
      <c r="BY46" s="34" t="str">
        <v>Светильник</v>
      </c>
      <c r="BZ46">
        <v>4</v>
      </c>
      <c r="CA46" t="str">
        <v>линии</v>
      </c>
    </row>
    <row r="47" spans="1:79" x14ac:dyDescent="0.3">
      <c r="A47" s="39" t="str">
        <v>ЩС</v>
      </c>
      <c r="B47" s="42">
        <v>1</v>
      </c>
      <c r="C47" s="42">
        <v>1</v>
      </c>
      <c r="D47" s="75" t="str">
        <v/>
      </c>
      <c r="E47" s="75" t="str">
        <v>авто</v>
      </c>
      <c r="F47" s="76" t="str">
        <v/>
      </c>
      <c r="G47" s="47" t="str">
        <v/>
      </c>
      <c r="H47" s="47" t="str">
        <v>3P С25А</v>
      </c>
      <c r="I47" s="75" t="str">
        <v/>
      </c>
      <c r="J47" s="76" t="str">
        <v/>
      </c>
      <c r="K47" s="76" t="str">
        <v/>
      </c>
      <c r="L47" s="75" t="str">
        <v/>
      </c>
      <c r="M47" s="49" t="str">
        <v/>
      </c>
      <c r="N47" s="76" t="str">
        <v/>
      </c>
      <c r="O47" s="49" t="str">
        <v/>
      </c>
      <c r="P47" s="77" t="str">
        <v/>
      </c>
      <c r="Q47" s="53" t="str">
        <v>ВВГнг(А)-LS (5х16)</v>
      </c>
      <c r="R47" s="54" t="str">
        <v>Ввод.1</v>
      </c>
      <c r="S47" s="55" t="str">
        <v>Ввод питающей линии</v>
      </c>
      <c r="T47" s="56">
        <v>11.35</v>
      </c>
      <c r="U47" s="56">
        <v>19.28</v>
      </c>
      <c r="V47" s="42" t="str">
        <v>L1,L2,L3</v>
      </c>
      <c r="W47" s="57" t="str">
        <v>ok</v>
      </c>
      <c r="X47" s="58" t="str">
        <v/>
      </c>
      <c r="Y47" s="75" t="str">
        <v>вручную</v>
      </c>
      <c r="Z47" s="59">
        <v>19.279564640802732</v>
      </c>
      <c r="AA47" s="61">
        <v>25</v>
      </c>
      <c r="AB47" s="61">
        <v>63</v>
      </c>
      <c r="AC47" s="61" t="str">
        <v/>
      </c>
      <c r="AD47" s="62" t="str">
        <v/>
      </c>
      <c r="AE47" s="62" t="str">
        <v/>
      </c>
      <c r="AF47" s="34" t="str">
        <v/>
      </c>
      <c r="AG47" s="34" t="str">
        <v/>
      </c>
      <c r="AH47" s="34" t="str">
        <v/>
      </c>
      <c r="AI47" s="34" t="str">
        <v/>
      </c>
      <c r="AJ47" s="34" t="str">
        <v/>
      </c>
      <c r="AK47" s="34">
        <v>3</v>
      </c>
      <c r="AL47" s="34" t="str">
        <v>Ввод</v>
      </c>
      <c r="AM47" s="34">
        <v>0</v>
      </c>
      <c r="AN47" s="34">
        <v>0</v>
      </c>
      <c r="AO47" s="34">
        <v>25</v>
      </c>
      <c r="AP47" s="34">
        <v>63</v>
      </c>
      <c r="AQ47" s="34">
        <v>25</v>
      </c>
      <c r="AR47" s="34">
        <v>3</v>
      </c>
      <c r="AS47" s="34">
        <v>0</v>
      </c>
      <c r="AT47" s="34" t="str">
        <v>3P</v>
      </c>
      <c r="AU47" s="34">
        <v>25</v>
      </c>
      <c r="AV47" s="34" t="str">
        <v/>
      </c>
      <c r="AW47" s="34" t="str">
        <v/>
      </c>
      <c r="AX47" s="34" t="str">
        <v/>
      </c>
      <c r="AY47" s="34">
        <v>0</v>
      </c>
      <c r="AZ47" s="34" t="str">
        <v/>
      </c>
      <c r="BA47" s="34">
        <v>0</v>
      </c>
      <c r="BB47" s="34">
        <v>0</v>
      </c>
      <c r="BD47" s="34">
        <v>0</v>
      </c>
      <c r="BE47" s="34">
        <v>0</v>
      </c>
      <c r="BF47" s="34">
        <v>0</v>
      </c>
      <c r="BG47" s="34" t="str">
        <v/>
      </c>
      <c r="BH47" s="34" t="str">
        <v/>
      </c>
      <c r="BI47" s="34" t="str">
        <v/>
      </c>
      <c r="BJ47" s="34" t="str">
        <v/>
      </c>
      <c r="BK47" s="34" t="str">
        <v>BOX</v>
      </c>
      <c r="BL47" s="34">
        <v>1</v>
      </c>
      <c r="BM47" s="34" t="str">
        <v/>
      </c>
      <c r="BN47" s="34" t="str">
        <v/>
      </c>
      <c r="BO47" s="34" t="str">
        <v/>
      </c>
      <c r="BP47" s="34" t="str">
        <v/>
      </c>
      <c r="BQ47" s="34" t="str">
        <v/>
      </c>
      <c r="BR47" s="34" t="str">
        <v/>
      </c>
      <c r="BS47" s="34" t="str">
        <v/>
      </c>
      <c r="BT47" s="34" t="str">
        <v/>
      </c>
      <c r="BU47" s="34">
        <v>0</v>
      </c>
      <c r="BV47" s="34">
        <v>44</v>
      </c>
      <c r="BW47" s="34">
        <v>0</v>
      </c>
      <c r="BX47" s="34">
        <v>0</v>
      </c>
      <c r="BY47" s="34">
        <v>0</v>
      </c>
      <c r="BZ47">
        <v>5</v>
      </c>
      <c r="CA47" t="str">
        <v>вводной узел</v>
      </c>
    </row>
    <row r="48" spans="1:79" x14ac:dyDescent="0.3">
      <c r="A48" s="39" t="str">
        <v>ЩС</v>
      </c>
      <c r="B48" s="42">
        <v>3</v>
      </c>
      <c r="C48" s="42">
        <v>1</v>
      </c>
      <c r="D48" s="75" t="str">
        <v/>
      </c>
      <c r="E48" s="75" t="str">
        <v>авто</v>
      </c>
      <c r="F48" s="76" t="str">
        <v/>
      </c>
      <c r="G48" s="47" t="str">
        <v>QF1</v>
      </c>
      <c r="H48" s="47" t="str">
        <v>3P С16А</v>
      </c>
      <c r="I48" s="75" t="str">
        <v/>
      </c>
      <c r="J48" s="76" t="str">
        <v/>
      </c>
      <c r="K48" s="76" t="str">
        <v/>
      </c>
      <c r="L48" s="75" t="str">
        <v/>
      </c>
      <c r="M48" s="49" t="str">
        <v/>
      </c>
      <c r="N48" s="76" t="str">
        <v/>
      </c>
      <c r="O48" s="49" t="str">
        <v/>
      </c>
      <c r="P48" s="77" t="str">
        <v>XT1</v>
      </c>
      <c r="Q48" s="53" t="str">
        <v>ВВГнг(А)-LS (5х2,5) L=31-0,97%</v>
      </c>
      <c r="R48" s="54" t="str">
        <v>ПУ.0.01.1</v>
      </c>
      <c r="S48" s="55" t="str">
        <v>Приточная установка, пом. 01</v>
      </c>
      <c r="T48" s="56">
        <v>5.5</v>
      </c>
      <c r="U48" s="56">
        <v>9.93</v>
      </c>
      <c r="V48" s="42" t="str">
        <v>L1,L2,L3</v>
      </c>
      <c r="W48" s="57" t="str">
        <v>ok</v>
      </c>
      <c r="X48" s="58" t="str">
        <v/>
      </c>
      <c r="Y48" s="75" t="str">
        <v/>
      </c>
      <c r="Z48" s="59">
        <v>9.9232077516966921</v>
      </c>
      <c r="AA48" s="61">
        <v>16</v>
      </c>
      <c r="AB48" s="61">
        <v>20</v>
      </c>
      <c r="AC48" s="61" t="str">
        <v/>
      </c>
      <c r="AD48" s="62" t="str">
        <v>QF1 → XT1</v>
      </c>
      <c r="AE48" s="62" t="str">
        <v/>
      </c>
      <c r="AF48" s="34">
        <v>1</v>
      </c>
      <c r="AG48" s="34" t="str">
        <v>QF1</v>
      </c>
      <c r="AH48" s="34" t="str">
        <v/>
      </c>
      <c r="AI48" s="34" t="str">
        <v/>
      </c>
      <c r="AJ48" s="34" t="str">
        <v>QF1</v>
      </c>
      <c r="AK48" s="34">
        <v>3</v>
      </c>
      <c r="AL48" s="34" t="str">
        <v>ПУ</v>
      </c>
      <c r="AM48" s="34">
        <v>0</v>
      </c>
      <c r="AN48" s="34">
        <v>0</v>
      </c>
      <c r="AO48" s="34">
        <v>16</v>
      </c>
      <c r="AP48" s="34">
        <v>20</v>
      </c>
      <c r="AQ48" s="34">
        <v>16</v>
      </c>
      <c r="AR48" s="34">
        <v>3</v>
      </c>
      <c r="AS48" s="34">
        <v>0</v>
      </c>
      <c r="AT48" s="34" t="str">
        <v>3P</v>
      </c>
      <c r="AU48" s="34">
        <v>16</v>
      </c>
      <c r="AV48" s="34" t="str">
        <v/>
      </c>
      <c r="AW48" s="34" t="str">
        <v/>
      </c>
      <c r="AX48" s="34" t="str">
        <v/>
      </c>
      <c r="AY48" s="34">
        <v>1</v>
      </c>
      <c r="AZ48" s="34" t="str">
        <v/>
      </c>
      <c r="BA48" s="34">
        <v>0</v>
      </c>
      <c r="BB48" s="34">
        <v>0</v>
      </c>
      <c r="BD48" s="34">
        <v>1</v>
      </c>
      <c r="BE48" s="34">
        <v>0</v>
      </c>
      <c r="BF48" s="34">
        <v>0</v>
      </c>
      <c r="BG48" s="34" t="str">
        <v/>
      </c>
      <c r="BH48" s="34" t="str">
        <v/>
      </c>
      <c r="BI48" s="34" t="str">
        <v/>
      </c>
      <c r="BJ48" s="34" t="str">
        <v/>
      </c>
      <c r="BK48" s="34" t="str">
        <v>MOTOR</v>
      </c>
      <c r="BL48" s="34">
        <v>1</v>
      </c>
      <c r="BM48" s="34">
        <v>12</v>
      </c>
      <c r="BN48" s="34" t="str">
        <v/>
      </c>
      <c r="BO48" s="34" t="str">
        <v/>
      </c>
      <c r="BP48" s="34" t="str">
        <v/>
      </c>
      <c r="BQ48" s="34" t="str">
        <v>5х2,5</v>
      </c>
      <c r="BR48" s="34">
        <v>14</v>
      </c>
      <c r="BS48" s="34" t="str">
        <v/>
      </c>
      <c r="BT48" s="34" t="str">
        <v/>
      </c>
      <c r="BU48" s="34">
        <v>0</v>
      </c>
      <c r="BV48" s="34">
        <v>45</v>
      </c>
      <c r="BW48" s="34">
        <v>1</v>
      </c>
      <c r="BX48" s="34">
        <v>2</v>
      </c>
      <c r="BY48" s="34" t="str">
        <v>Привод (двигатель)</v>
      </c>
      <c r="BZ48">
        <v>5</v>
      </c>
      <c r="CA48" t="str">
        <v>линии</v>
      </c>
    </row>
    <row r="49" spans="1:79" x14ac:dyDescent="0.3">
      <c r="A49" s="39" t="str">
        <v>ЩС</v>
      </c>
      <c r="B49" s="42">
        <v>4</v>
      </c>
      <c r="C49" s="42">
        <v>1</v>
      </c>
      <c r="D49" s="75" t="str">
        <v/>
      </c>
      <c r="E49" s="75" t="str">
        <v>авто</v>
      </c>
      <c r="F49" s="76" t="str">
        <v/>
      </c>
      <c r="G49" s="47" t="str">
        <v>QF2</v>
      </c>
      <c r="H49" s="47" t="str">
        <v>3P С10А</v>
      </c>
      <c r="I49" s="75" t="str">
        <v/>
      </c>
      <c r="J49" s="76" t="str">
        <v/>
      </c>
      <c r="K49" s="76" t="str">
        <v/>
      </c>
      <c r="L49" s="75" t="str">
        <v/>
      </c>
      <c r="M49" s="49" t="str">
        <v/>
      </c>
      <c r="N49" s="76" t="str">
        <v/>
      </c>
      <c r="O49" s="49" t="str">
        <v/>
      </c>
      <c r="P49" s="77" t="str">
        <v>XT2</v>
      </c>
      <c r="Q49" s="53" t="str">
        <v>ВВГнг(А)-LS (5х1,5) L=26-0,99%</v>
      </c>
      <c r="R49" s="54" t="str">
        <v>ПВ.0.02.1</v>
      </c>
      <c r="S49" s="55" t="str">
        <v>Приточно-вытяжная установка, пом. 02</v>
      </c>
      <c r="T49" s="56">
        <v>4</v>
      </c>
      <c r="U49" s="56">
        <v>7.22</v>
      </c>
      <c r="V49" s="42" t="str">
        <v>L1,L2,L3</v>
      </c>
      <c r="W49" s="57" t="str">
        <v>ok</v>
      </c>
      <c r="X49" s="58" t="str">
        <v/>
      </c>
      <c r="Y49" s="75" t="str">
        <v/>
      </c>
      <c r="Z49" s="59">
        <v>7.2168783648703219</v>
      </c>
      <c r="AA49" s="61">
        <v>10</v>
      </c>
      <c r="AB49" s="61">
        <v>16</v>
      </c>
      <c r="AC49" s="61" t="str">
        <v/>
      </c>
      <c r="AD49" s="62" t="str">
        <v>QF2 → XT2</v>
      </c>
      <c r="AE49" s="62" t="str">
        <v/>
      </c>
      <c r="AF49" s="34">
        <v>2</v>
      </c>
      <c r="AG49" s="34" t="str">
        <v>QF2</v>
      </c>
      <c r="AH49" s="34" t="str">
        <v/>
      </c>
      <c r="AI49" s="34" t="str">
        <v/>
      </c>
      <c r="AJ49" s="34" t="str">
        <v>QF2</v>
      </c>
      <c r="AK49" s="34">
        <v>3</v>
      </c>
      <c r="AL49" s="34" t="str">
        <v>ПВ</v>
      </c>
      <c r="AM49" s="34">
        <v>0</v>
      </c>
      <c r="AN49" s="34">
        <v>0</v>
      </c>
      <c r="AO49" s="34">
        <v>10</v>
      </c>
      <c r="AP49" s="34">
        <v>16</v>
      </c>
      <c r="AQ49" s="34">
        <v>10</v>
      </c>
      <c r="AR49" s="34">
        <v>3</v>
      </c>
      <c r="AS49" s="34">
        <v>0</v>
      </c>
      <c r="AT49" s="34" t="str">
        <v>3P</v>
      </c>
      <c r="AU49" s="34">
        <v>10</v>
      </c>
      <c r="AV49" s="34" t="str">
        <v/>
      </c>
      <c r="AW49" s="34" t="str">
        <v/>
      </c>
      <c r="AX49" s="34" t="str">
        <v/>
      </c>
      <c r="AY49" s="34">
        <v>1</v>
      </c>
      <c r="AZ49" s="34" t="str">
        <v/>
      </c>
      <c r="BA49" s="34">
        <v>0</v>
      </c>
      <c r="BB49" s="34">
        <v>0</v>
      </c>
      <c r="BD49" s="34">
        <v>1</v>
      </c>
      <c r="BE49" s="34">
        <v>0</v>
      </c>
      <c r="BF49" s="34">
        <v>0</v>
      </c>
      <c r="BG49" s="34" t="str">
        <v/>
      </c>
      <c r="BH49" s="34" t="str">
        <v/>
      </c>
      <c r="BI49" s="34" t="str">
        <v/>
      </c>
      <c r="BJ49" s="34" t="str">
        <v/>
      </c>
      <c r="BK49" s="34" t="str">
        <v>BOX</v>
      </c>
      <c r="BL49" s="34">
        <v>1</v>
      </c>
      <c r="BM49" s="34" t="str">
        <v/>
      </c>
      <c r="BN49" s="34" t="str">
        <v/>
      </c>
      <c r="BO49" s="34" t="str">
        <v/>
      </c>
      <c r="BP49" s="34" t="str">
        <v/>
      </c>
      <c r="BQ49" s="34" t="str">
        <v>5х1,5</v>
      </c>
      <c r="BR49" s="34" t="str">
        <v/>
      </c>
      <c r="BS49" s="34" t="str">
        <v/>
      </c>
      <c r="BT49" s="34" t="str">
        <v/>
      </c>
      <c r="BU49" s="34">
        <v>0</v>
      </c>
      <c r="BV49" s="34">
        <v>46</v>
      </c>
      <c r="BW49" s="34">
        <v>1</v>
      </c>
      <c r="BX49" s="34">
        <v>2</v>
      </c>
      <c r="BY49" s="34">
        <v>0</v>
      </c>
      <c r="BZ49">
        <v>5</v>
      </c>
      <c r="CA49" t="str">
        <v>линии</v>
      </c>
    </row>
    <row r="50" spans="1:79" x14ac:dyDescent="0.3">
      <c r="A50" s="39" t="str">
        <v>ЩС</v>
      </c>
      <c r="B50" s="42">
        <v>5</v>
      </c>
      <c r="C50" s="42">
        <v>1</v>
      </c>
      <c r="D50" s="75" t="str">
        <v>ДГУ</v>
      </c>
      <c r="E50" s="75" t="str">
        <v>авто</v>
      </c>
      <c r="F50" s="76" t="str">
        <v/>
      </c>
      <c r="G50" s="47" t="str">
        <v>QF3</v>
      </c>
      <c r="H50" s="47" t="str">
        <v>1P С6А</v>
      </c>
      <c r="I50" s="75" t="str">
        <v/>
      </c>
      <c r="J50" s="76" t="str">
        <v/>
      </c>
      <c r="K50" s="76" t="str">
        <v/>
      </c>
      <c r="L50" s="75" t="str">
        <v/>
      </c>
      <c r="M50" s="49" t="str">
        <v/>
      </c>
      <c r="N50" s="76" t="str">
        <v/>
      </c>
      <c r="O50" s="49" t="str">
        <v/>
      </c>
      <c r="P50" s="77" t="str">
        <v>XT3</v>
      </c>
      <c r="Q50" s="53" t="str">
        <v>ВВГнг(А)-LS (3х1,5) L=16-1%</v>
      </c>
      <c r="R50" s="54" t="str">
        <v>НВК.0.03.1</v>
      </c>
      <c r="S50" s="55" t="str">
        <v>Дренажный насос (шина ДГУ)</v>
      </c>
      <c r="T50" s="56">
        <v>1.1000000000000001</v>
      </c>
      <c r="U50" s="56">
        <v>5.0199999999999996</v>
      </c>
      <c r="V50" s="42" t="str">
        <v>L1</v>
      </c>
      <c r="W50" s="57" t="str">
        <v>ok</v>
      </c>
      <c r="X50" s="58" t="str">
        <v/>
      </c>
      <c r="Y50" s="75" t="str">
        <v/>
      </c>
      <c r="Z50" s="59">
        <v>5.0138312850678028</v>
      </c>
      <c r="AA50" s="61">
        <v>6</v>
      </c>
      <c r="AB50" s="61">
        <v>16</v>
      </c>
      <c r="AC50" s="61" t="str">
        <v/>
      </c>
      <c r="AD50" s="62" t="str">
        <v>QF3 → XT3</v>
      </c>
      <c r="AE50" s="62" t="str">
        <v/>
      </c>
      <c r="AF50" s="34">
        <v>3</v>
      </c>
      <c r="AG50" s="34" t="str">
        <v>QF3</v>
      </c>
      <c r="AH50" s="34" t="str">
        <v/>
      </c>
      <c r="AI50" s="34" t="str">
        <v/>
      </c>
      <c r="AJ50" s="34" t="str">
        <v>QF3</v>
      </c>
      <c r="AK50" s="34">
        <v>1</v>
      </c>
      <c r="AL50" s="34" t="str">
        <v>НВК</v>
      </c>
      <c r="AM50" s="34">
        <v>0</v>
      </c>
      <c r="AN50" s="34">
        <v>0</v>
      </c>
      <c r="AO50" s="34">
        <v>6</v>
      </c>
      <c r="AP50" s="34">
        <v>16</v>
      </c>
      <c r="AQ50" s="34">
        <v>6</v>
      </c>
      <c r="AR50" s="34">
        <v>1</v>
      </c>
      <c r="AS50" s="34">
        <v>0</v>
      </c>
      <c r="AT50" s="34" t="str">
        <v>1P</v>
      </c>
      <c r="AU50" s="34">
        <v>6</v>
      </c>
      <c r="AV50" s="34" t="str">
        <v/>
      </c>
      <c r="AW50" s="34" t="str">
        <v/>
      </c>
      <c r="AX50" s="34" t="str">
        <v/>
      </c>
      <c r="AY50" s="34">
        <v>1</v>
      </c>
      <c r="AZ50" s="34" t="str">
        <v/>
      </c>
      <c r="BA50" s="34">
        <v>0</v>
      </c>
      <c r="BB50" s="34">
        <v>0</v>
      </c>
      <c r="BD50" s="34">
        <v>1</v>
      </c>
      <c r="BE50" s="34">
        <v>1</v>
      </c>
      <c r="BF50" s="34">
        <v>0</v>
      </c>
      <c r="BG50" s="34" t="str">
        <v/>
      </c>
      <c r="BH50" s="34" t="str">
        <v/>
      </c>
      <c r="BI50" s="34" t="str">
        <v/>
      </c>
      <c r="BJ50" s="34" t="str">
        <v/>
      </c>
      <c r="BK50" s="34" t="str">
        <v>MOTOR</v>
      </c>
      <c r="BL50" s="34">
        <v>1</v>
      </c>
      <c r="BM50" s="34" t="str">
        <v/>
      </c>
      <c r="BN50" s="34" t="str">
        <v/>
      </c>
      <c r="BO50" s="34" t="str">
        <v/>
      </c>
      <c r="BP50" s="34" t="str">
        <v/>
      </c>
      <c r="BQ50" s="34" t="str">
        <v>3х1,5</v>
      </c>
      <c r="BR50" s="34" t="str">
        <v/>
      </c>
      <c r="BS50" s="34" t="str">
        <v/>
      </c>
      <c r="BT50" s="34" t="str">
        <v/>
      </c>
      <c r="BU50" s="34">
        <v>0</v>
      </c>
      <c r="BV50" s="34">
        <v>47</v>
      </c>
      <c r="BW50" s="34">
        <v>1</v>
      </c>
      <c r="BX50" s="34">
        <v>0</v>
      </c>
      <c r="BY50" s="34" t="str">
        <v>Привод (двигатель)</v>
      </c>
      <c r="BZ50">
        <v>5</v>
      </c>
      <c r="CA50" t="str">
        <v>линии</v>
      </c>
    </row>
    <row r="51" spans="1:79" x14ac:dyDescent="0.3">
      <c r="A51" s="39" t="str">
        <v>ЩС</v>
      </c>
      <c r="B51" s="42">
        <v>6</v>
      </c>
      <c r="C51" s="42">
        <v>1</v>
      </c>
      <c r="D51" s="75" t="str">
        <v/>
      </c>
      <c r="E51" s="75" t="str">
        <v>авто</v>
      </c>
      <c r="F51" s="76" t="str">
        <v/>
      </c>
      <c r="G51" s="47" t="str">
        <v>QF4</v>
      </c>
      <c r="H51" s="47" t="str">
        <v>1P С6А</v>
      </c>
      <c r="I51" s="75" t="str">
        <v/>
      </c>
      <c r="J51" s="76" t="str">
        <v/>
      </c>
      <c r="K51" s="76" t="str">
        <v/>
      </c>
      <c r="L51" s="75" t="str">
        <v/>
      </c>
      <c r="M51" s="49" t="str">
        <v/>
      </c>
      <c r="N51" s="76" t="str">
        <v/>
      </c>
      <c r="O51" s="49" t="str">
        <v/>
      </c>
      <c r="P51" s="77" t="str">
        <v>XT4</v>
      </c>
      <c r="Q51" s="53" t="str">
        <v>ВВГнг(А)-LS (3х1,5) L=16-1%</v>
      </c>
      <c r="R51" s="54" t="str">
        <v>НВК.0.04.1</v>
      </c>
      <c r="S51" s="55" t="str">
        <v>Дренажный насос резервный</v>
      </c>
      <c r="T51" s="56">
        <v>1.1000000000000001</v>
      </c>
      <c r="U51" s="56">
        <v>5.0199999999999996</v>
      </c>
      <c r="V51" s="42" t="str">
        <v>L3</v>
      </c>
      <c r="W51" s="57" t="str">
        <v>ok</v>
      </c>
      <c r="X51" s="58" t="str">
        <v/>
      </c>
      <c r="Y51" s="75" t="str">
        <v/>
      </c>
      <c r="Z51" s="59">
        <v>5.0138312850678028</v>
      </c>
      <c r="AA51" s="61">
        <v>6</v>
      </c>
      <c r="AB51" s="61">
        <v>16</v>
      </c>
      <c r="AC51" s="61" t="str">
        <v/>
      </c>
      <c r="AD51" s="62" t="str">
        <v>QF4 → XT4</v>
      </c>
      <c r="AE51" s="62" t="str">
        <v/>
      </c>
      <c r="AF51" s="34">
        <v>4</v>
      </c>
      <c r="AG51" s="34" t="str">
        <v>QF4</v>
      </c>
      <c r="AH51" s="34" t="str">
        <v/>
      </c>
      <c r="AI51" s="34" t="str">
        <v/>
      </c>
      <c r="AJ51" s="34" t="str">
        <v>QF4</v>
      </c>
      <c r="AK51" s="34">
        <v>1</v>
      </c>
      <c r="AL51" s="34" t="str">
        <v>НВК</v>
      </c>
      <c r="AM51" s="34">
        <v>0</v>
      </c>
      <c r="AN51" s="34">
        <v>0</v>
      </c>
      <c r="AO51" s="34">
        <v>6</v>
      </c>
      <c r="AP51" s="34">
        <v>16</v>
      </c>
      <c r="AQ51" s="34">
        <v>6</v>
      </c>
      <c r="AR51" s="34">
        <v>1</v>
      </c>
      <c r="AS51" s="34">
        <v>0</v>
      </c>
      <c r="AT51" s="34" t="str">
        <v>1P</v>
      </c>
      <c r="AU51" s="34">
        <v>6</v>
      </c>
      <c r="AV51" s="34" t="str">
        <v/>
      </c>
      <c r="AW51" s="34" t="str">
        <v/>
      </c>
      <c r="AX51" s="34" t="str">
        <v/>
      </c>
      <c r="AY51" s="34">
        <v>1</v>
      </c>
      <c r="AZ51" s="34" t="str">
        <v/>
      </c>
      <c r="BA51" s="34">
        <v>0</v>
      </c>
      <c r="BB51" s="34">
        <v>0</v>
      </c>
      <c r="BD51" s="34">
        <v>1</v>
      </c>
      <c r="BE51" s="34">
        <v>0</v>
      </c>
      <c r="BF51" s="34">
        <v>0</v>
      </c>
      <c r="BG51" s="34" t="str">
        <v/>
      </c>
      <c r="BH51" s="34" t="str">
        <v/>
      </c>
      <c r="BI51" s="34" t="str">
        <v/>
      </c>
      <c r="BJ51" s="34" t="str">
        <v/>
      </c>
      <c r="BK51" s="34" t="str">
        <v>MOTOR</v>
      </c>
      <c r="BL51" s="34">
        <v>1</v>
      </c>
      <c r="BM51" s="34" t="str">
        <v/>
      </c>
      <c r="BN51" s="34" t="str">
        <v/>
      </c>
      <c r="BO51" s="34" t="str">
        <v/>
      </c>
      <c r="BP51" s="34" t="str">
        <v/>
      </c>
      <c r="BQ51" s="34" t="str">
        <v>3х1,5</v>
      </c>
      <c r="BR51" s="34" t="str">
        <v/>
      </c>
      <c r="BS51" s="34" t="str">
        <v/>
      </c>
      <c r="BT51" s="34" t="str">
        <v/>
      </c>
      <c r="BU51" s="34">
        <v>0</v>
      </c>
      <c r="BV51" s="34">
        <v>48</v>
      </c>
      <c r="BW51" s="34">
        <v>1</v>
      </c>
      <c r="BX51" s="34">
        <v>0</v>
      </c>
      <c r="BY51" s="34" t="str">
        <v>Привод (двигатель)</v>
      </c>
      <c r="BZ51">
        <v>5</v>
      </c>
      <c r="CA51" t="str">
        <v>линии</v>
      </c>
    </row>
    <row r="52" spans="1:79" x14ac:dyDescent="0.3">
      <c r="A52" s="39" t="str">
        <v>ЩС</v>
      </c>
      <c r="B52" s="42">
        <v>7</v>
      </c>
      <c r="C52" s="42">
        <v>1</v>
      </c>
      <c r="D52" s="75" t="str">
        <v>Насосная</v>
      </c>
      <c r="E52" s="75" t="str">
        <v>авто</v>
      </c>
      <c r="F52" s="76" t="str">
        <v/>
      </c>
      <c r="G52" s="47" t="str">
        <v>QF5</v>
      </c>
      <c r="H52" s="47" t="str">
        <v>1P С6А</v>
      </c>
      <c r="I52" s="75" t="str">
        <v/>
      </c>
      <c r="J52" s="76" t="str">
        <v/>
      </c>
      <c r="K52" s="76" t="str">
        <v/>
      </c>
      <c r="L52" s="75" t="str">
        <v/>
      </c>
      <c r="M52" s="49" t="str">
        <v/>
      </c>
      <c r="N52" s="76" t="str">
        <v/>
      </c>
      <c r="O52" s="49" t="str">
        <v/>
      </c>
      <c r="P52" s="77" t="str">
        <v>XT5</v>
      </c>
      <c r="Q52" s="53" t="str">
        <v>ВВГнг(А)-LS (3х1,5) L=13-0,56%</v>
      </c>
      <c r="R52" s="54" t="str">
        <v>ПУ.0.05.1</v>
      </c>
      <c r="S52" s="55" t="str">
        <v>Вентилятор насосной (шина «Насосная» — Одиночная)</v>
      </c>
      <c r="T52" s="56">
        <v>0.75</v>
      </c>
      <c r="U52" s="56">
        <v>4.0599999999999996</v>
      </c>
      <c r="V52" s="42" t="str">
        <v>L2</v>
      </c>
      <c r="W52" s="57" t="str">
        <v>ok</v>
      </c>
      <c r="X52" s="58" t="str">
        <v/>
      </c>
      <c r="Y52" s="75" t="str">
        <v/>
      </c>
      <c r="Z52" s="59">
        <v>4.0594940802395554</v>
      </c>
      <c r="AA52" s="61">
        <v>6</v>
      </c>
      <c r="AB52" s="61">
        <v>16</v>
      </c>
      <c r="AC52" s="61" t="str">
        <v/>
      </c>
      <c r="AD52" s="62" t="str">
        <v>QF5 → XT5</v>
      </c>
      <c r="AE52" s="62" t="str">
        <v/>
      </c>
      <c r="AF52" s="34">
        <v>5</v>
      </c>
      <c r="AG52" s="34" t="str">
        <v>QF5</v>
      </c>
      <c r="AH52" s="34" t="str">
        <v/>
      </c>
      <c r="AI52" s="34" t="str">
        <v/>
      </c>
      <c r="AJ52" s="34" t="str">
        <v>QF5</v>
      </c>
      <c r="AK52" s="34">
        <v>1</v>
      </c>
      <c r="AL52" s="34" t="str">
        <v>ПУ</v>
      </c>
      <c r="AM52" s="34">
        <v>0</v>
      </c>
      <c r="AN52" s="34">
        <v>0</v>
      </c>
      <c r="AO52" s="34">
        <v>6</v>
      </c>
      <c r="AP52" s="34">
        <v>16</v>
      </c>
      <c r="AQ52" s="34">
        <v>6</v>
      </c>
      <c r="AR52" s="34">
        <v>1</v>
      </c>
      <c r="AS52" s="34">
        <v>0</v>
      </c>
      <c r="AT52" s="34" t="str">
        <v>1P</v>
      </c>
      <c r="AU52" s="34">
        <v>6</v>
      </c>
      <c r="AV52" s="34" t="str">
        <v/>
      </c>
      <c r="AW52" s="34" t="str">
        <v/>
      </c>
      <c r="AX52" s="34" t="str">
        <v/>
      </c>
      <c r="AY52" s="34">
        <v>1</v>
      </c>
      <c r="AZ52" s="34" t="str">
        <v/>
      </c>
      <c r="BA52" s="34">
        <v>0</v>
      </c>
      <c r="BB52" s="34">
        <v>0</v>
      </c>
      <c r="BD52" s="34">
        <v>1</v>
      </c>
      <c r="BE52" s="34">
        <v>1</v>
      </c>
      <c r="BF52" s="34">
        <v>0</v>
      </c>
      <c r="BG52" s="34" t="str">
        <v/>
      </c>
      <c r="BH52" s="34" t="str">
        <v/>
      </c>
      <c r="BI52" s="34" t="str">
        <v/>
      </c>
      <c r="BJ52" s="34" t="str">
        <v/>
      </c>
      <c r="BK52" s="34" t="str">
        <v>MOTOR</v>
      </c>
      <c r="BL52" s="34">
        <v>1</v>
      </c>
      <c r="BM52" s="34" t="str">
        <v/>
      </c>
      <c r="BN52" s="34" t="str">
        <v/>
      </c>
      <c r="BO52" s="34" t="str">
        <v/>
      </c>
      <c r="BP52" s="34" t="str">
        <v/>
      </c>
      <c r="BQ52" s="34" t="str">
        <v>3х1,5</v>
      </c>
      <c r="BR52" s="34" t="str">
        <v/>
      </c>
      <c r="BS52" s="34" t="str">
        <v/>
      </c>
      <c r="BT52" s="34" t="str">
        <v/>
      </c>
      <c r="BU52" s="34">
        <v>0</v>
      </c>
      <c r="BV52" s="34">
        <v>49</v>
      </c>
      <c r="BW52" s="34">
        <v>1</v>
      </c>
      <c r="BX52" s="34">
        <v>0</v>
      </c>
      <c r="BY52" s="34" t="str">
        <v>Привод (двигатель)</v>
      </c>
      <c r="BZ52">
        <v>5</v>
      </c>
      <c r="CA52" t="str">
        <v>линии</v>
      </c>
    </row>
    <row r="53" spans="1:79" x14ac:dyDescent="0.3">
      <c r="A53" s="39" t="str">
        <v>ЩСПЗ</v>
      </c>
      <c r="B53" s="42">
        <v>1</v>
      </c>
      <c r="C53" s="42">
        <v>1</v>
      </c>
      <c r="D53" s="75" t="str">
        <v/>
      </c>
      <c r="E53" s="75" t="str">
        <v>авто</v>
      </c>
      <c r="F53" s="76" t="str">
        <v/>
      </c>
      <c r="G53" s="47" t="str">
        <v/>
      </c>
      <c r="H53" s="47" t="str">
        <v>3P С10А</v>
      </c>
      <c r="I53" s="75" t="str">
        <v/>
      </c>
      <c r="J53" s="76" t="str">
        <v/>
      </c>
      <c r="K53" s="76" t="str">
        <v/>
      </c>
      <c r="L53" s="75" t="str">
        <v/>
      </c>
      <c r="M53" s="49" t="str">
        <v/>
      </c>
      <c r="N53" s="76" t="str">
        <v/>
      </c>
      <c r="O53" s="49" t="str">
        <v/>
      </c>
      <c r="P53" s="77" t="str">
        <v/>
      </c>
      <c r="Q53" s="53" t="str">
        <v>ВВГнг(А)-LS (5х2,5)</v>
      </c>
      <c r="R53" s="54" t="str">
        <v>Ввод.1</v>
      </c>
      <c r="S53" s="55" t="str">
        <v>Ввод питающей линии</v>
      </c>
      <c r="T53" s="56">
        <v>3.4</v>
      </c>
      <c r="U53" s="56">
        <v>7.42</v>
      </c>
      <c r="V53" s="42" t="str">
        <v>L1,L2,L3</v>
      </c>
      <c r="W53" s="57" t="str">
        <v>ok</v>
      </c>
      <c r="X53" s="58" t="str">
        <v/>
      </c>
      <c r="Y53" s="75" t="str">
        <v>вручную</v>
      </c>
      <c r="Z53" s="59">
        <v>7.4141743201689332</v>
      </c>
      <c r="AA53" s="61">
        <v>10</v>
      </c>
      <c r="AB53" s="61">
        <v>20</v>
      </c>
      <c r="AC53" s="61" t="str">
        <v/>
      </c>
      <c r="AD53" s="62" t="str">
        <v/>
      </c>
      <c r="AE53" s="62" t="str">
        <v/>
      </c>
      <c r="AF53" s="34" t="str">
        <v/>
      </c>
      <c r="AG53" s="34" t="str">
        <v/>
      </c>
      <c r="AH53" s="34" t="str">
        <v/>
      </c>
      <c r="AI53" s="34" t="str">
        <v/>
      </c>
      <c r="AJ53" s="34" t="str">
        <v/>
      </c>
      <c r="AK53" s="34">
        <v>3</v>
      </c>
      <c r="AL53" s="34" t="str">
        <v>Ввод</v>
      </c>
      <c r="AM53" s="34">
        <v>0</v>
      </c>
      <c r="AN53" s="34">
        <v>0</v>
      </c>
      <c r="AO53" s="34">
        <v>10</v>
      </c>
      <c r="AP53" s="34">
        <v>20</v>
      </c>
      <c r="AQ53" s="34">
        <v>10</v>
      </c>
      <c r="AR53" s="34">
        <v>3</v>
      </c>
      <c r="AS53" s="34">
        <v>0</v>
      </c>
      <c r="AT53" s="34" t="str">
        <v>3P</v>
      </c>
      <c r="AU53" s="34">
        <v>10</v>
      </c>
      <c r="AV53" s="34" t="str">
        <v/>
      </c>
      <c r="AW53" s="34" t="str">
        <v/>
      </c>
      <c r="AX53" s="34" t="str">
        <v/>
      </c>
      <c r="AY53" s="34">
        <v>0</v>
      </c>
      <c r="AZ53" s="34" t="str">
        <v/>
      </c>
      <c r="BA53" s="34">
        <v>0</v>
      </c>
      <c r="BB53" s="34">
        <v>0</v>
      </c>
      <c r="BD53" s="34">
        <v>0</v>
      </c>
      <c r="BE53" s="34">
        <v>0</v>
      </c>
      <c r="BF53" s="34">
        <v>0</v>
      </c>
      <c r="BG53" s="34" t="str">
        <v/>
      </c>
      <c r="BH53" s="34" t="str">
        <v/>
      </c>
      <c r="BI53" s="34" t="str">
        <v/>
      </c>
      <c r="BJ53" s="34" t="str">
        <v/>
      </c>
      <c r="BK53" s="34" t="str">
        <v>BOX</v>
      </c>
      <c r="BL53" s="34">
        <v>1</v>
      </c>
      <c r="BM53" s="34" t="str">
        <v/>
      </c>
      <c r="BN53" s="34" t="str">
        <v/>
      </c>
      <c r="BO53" s="34" t="str">
        <v/>
      </c>
      <c r="BP53" s="34" t="str">
        <v/>
      </c>
      <c r="BQ53" s="34" t="str">
        <v/>
      </c>
      <c r="BR53" s="34" t="str">
        <v/>
      </c>
      <c r="BS53" s="34" t="str">
        <v/>
      </c>
      <c r="BT53" s="34" t="str">
        <v/>
      </c>
      <c r="BU53" s="34">
        <v>0</v>
      </c>
      <c r="BV53" s="34">
        <v>50</v>
      </c>
      <c r="BW53" s="34">
        <v>0</v>
      </c>
      <c r="BX53" s="34">
        <v>0</v>
      </c>
      <c r="BY53" s="34">
        <v>0</v>
      </c>
      <c r="BZ53">
        <v>6</v>
      </c>
      <c r="CA53" t="str">
        <v>вводной узел</v>
      </c>
    </row>
    <row r="54" spans="1:79" x14ac:dyDescent="0.3">
      <c r="A54" s="39" t="str">
        <v>ЩСПЗ</v>
      </c>
      <c r="B54" s="42">
        <v>2</v>
      </c>
      <c r="C54" s="42">
        <v>1</v>
      </c>
      <c r="D54" s="75" t="str">
        <v/>
      </c>
      <c r="E54" s="75" t="str">
        <v>авто</v>
      </c>
      <c r="F54" s="76" t="str">
        <v/>
      </c>
      <c r="G54" s="47" t="str">
        <v/>
      </c>
      <c r="H54" s="47" t="str">
        <v>3P С10А</v>
      </c>
      <c r="I54" s="75" t="str">
        <v/>
      </c>
      <c r="J54" s="76" t="str">
        <v/>
      </c>
      <c r="K54" s="76" t="str">
        <v/>
      </c>
      <c r="L54" s="75" t="str">
        <v/>
      </c>
      <c r="M54" s="49" t="str">
        <v/>
      </c>
      <c r="N54" s="76" t="str">
        <v/>
      </c>
      <c r="O54" s="49" t="str">
        <v/>
      </c>
      <c r="P54" s="77" t="str">
        <v/>
      </c>
      <c r="Q54" s="53" t="str">
        <v>ВВГнг(А)-LS (5х2,5)</v>
      </c>
      <c r="R54" s="54" t="str">
        <v>Ввод.2</v>
      </c>
      <c r="S54" s="55" t="str">
        <v>Ввод питающей линии</v>
      </c>
      <c r="T54" s="56">
        <v>3.4</v>
      </c>
      <c r="U54" s="56">
        <v>7.42</v>
      </c>
      <c r="V54" s="42" t="str">
        <v>L1,L2,L3</v>
      </c>
      <c r="W54" s="57" t="str">
        <v>ok</v>
      </c>
      <c r="X54" s="58" t="str">
        <v/>
      </c>
      <c r="Y54" s="75" t="str">
        <v>вручную</v>
      </c>
      <c r="Z54" s="59">
        <v>7.4141743201689332</v>
      </c>
      <c r="AA54" s="61">
        <v>10</v>
      </c>
      <c r="AB54" s="61">
        <v>20</v>
      </c>
      <c r="AC54" s="61" t="str">
        <v/>
      </c>
      <c r="AD54" s="62" t="str">
        <v/>
      </c>
      <c r="AE54" s="62" t="str">
        <v/>
      </c>
      <c r="AF54" s="34" t="str">
        <v/>
      </c>
      <c r="AG54" s="34" t="str">
        <v/>
      </c>
      <c r="AH54" s="34" t="str">
        <v/>
      </c>
      <c r="AI54" s="34" t="str">
        <v/>
      </c>
      <c r="AJ54" s="34" t="str">
        <v/>
      </c>
      <c r="AK54" s="34">
        <v>3</v>
      </c>
      <c r="AL54" s="34" t="str">
        <v>Ввод</v>
      </c>
      <c r="AM54" s="34">
        <v>0</v>
      </c>
      <c r="AN54" s="34">
        <v>0</v>
      </c>
      <c r="AO54" s="34">
        <v>10</v>
      </c>
      <c r="AP54" s="34">
        <v>20</v>
      </c>
      <c r="AQ54" s="34">
        <v>10</v>
      </c>
      <c r="AR54" s="34">
        <v>3</v>
      </c>
      <c r="AS54" s="34">
        <v>0</v>
      </c>
      <c r="AT54" s="34" t="str">
        <v>3P</v>
      </c>
      <c r="AU54" s="34">
        <v>10</v>
      </c>
      <c r="AV54" s="34" t="str">
        <v/>
      </c>
      <c r="AW54" s="34" t="str">
        <v/>
      </c>
      <c r="AX54" s="34" t="str">
        <v/>
      </c>
      <c r="AY54" s="34">
        <v>0</v>
      </c>
      <c r="AZ54" s="34" t="str">
        <v/>
      </c>
      <c r="BA54" s="34">
        <v>0</v>
      </c>
      <c r="BB54" s="34">
        <v>0</v>
      </c>
      <c r="BD54" s="34">
        <v>0</v>
      </c>
      <c r="BE54" s="34">
        <v>0</v>
      </c>
      <c r="BF54" s="34">
        <v>0</v>
      </c>
      <c r="BG54" s="34" t="str">
        <v/>
      </c>
      <c r="BH54" s="34" t="str">
        <v/>
      </c>
      <c r="BI54" s="34" t="str">
        <v/>
      </c>
      <c r="BJ54" s="34" t="str">
        <v/>
      </c>
      <c r="BK54" s="34" t="str">
        <v>BOX</v>
      </c>
      <c r="BL54" s="34">
        <v>1</v>
      </c>
      <c r="BM54" s="34" t="str">
        <v/>
      </c>
      <c r="BN54" s="34" t="str">
        <v/>
      </c>
      <c r="BO54" s="34" t="str">
        <v/>
      </c>
      <c r="BP54" s="34" t="str">
        <v/>
      </c>
      <c r="BQ54" s="34" t="str">
        <v/>
      </c>
      <c r="BR54" s="34" t="str">
        <v/>
      </c>
      <c r="BS54" s="34" t="str">
        <v/>
      </c>
      <c r="BT54" s="34" t="str">
        <v/>
      </c>
      <c r="BU54" s="34">
        <v>0</v>
      </c>
      <c r="BV54" s="34">
        <v>51</v>
      </c>
      <c r="BW54" s="34">
        <v>0</v>
      </c>
      <c r="BX54" s="34">
        <v>0</v>
      </c>
      <c r="BY54" s="34">
        <v>0</v>
      </c>
      <c r="BZ54">
        <v>6</v>
      </c>
      <c r="CA54" t="str">
        <v>вводной узел</v>
      </c>
    </row>
    <row r="55" spans="1:79" x14ac:dyDescent="0.3">
      <c r="A55" s="39" t="str">
        <v>ЩСПЗ</v>
      </c>
      <c r="B55" s="42">
        <v>4</v>
      </c>
      <c r="C55" s="42">
        <v>1</v>
      </c>
      <c r="D55" s="75" t="str">
        <v/>
      </c>
      <c r="E55" s="75" t="str">
        <v>авто</v>
      </c>
      <c r="F55" s="76" t="str">
        <v/>
      </c>
      <c r="G55" s="47" t="str">
        <v>QF1</v>
      </c>
      <c r="H55" s="47" t="str">
        <v>1P С6А</v>
      </c>
      <c r="I55" s="75" t="str">
        <v/>
      </c>
      <c r="J55" s="76" t="str">
        <v/>
      </c>
      <c r="K55" s="76" t="str">
        <v/>
      </c>
      <c r="L55" s="75" t="str">
        <v/>
      </c>
      <c r="M55" s="49" t="str">
        <v/>
      </c>
      <c r="N55" s="76" t="str">
        <v/>
      </c>
      <c r="O55" s="49" t="str">
        <v/>
      </c>
      <c r="P55" s="77" t="str">
        <v>XT1</v>
      </c>
      <c r="Q55" s="53" t="str">
        <v>ВВГнг(А)-FRLS (3х1,5) L=11-0,25%</v>
      </c>
      <c r="R55" s="54" t="str">
        <v>АПС.0.02.1</v>
      </c>
      <c r="S55" s="55" t="str">
        <v>Прибор пожарной сигнализации</v>
      </c>
      <c r="T55" s="56">
        <v>0.4</v>
      </c>
      <c r="U55" s="56">
        <v>1.83</v>
      </c>
      <c r="V55" s="42" t="str">
        <v>L1</v>
      </c>
      <c r="W55" s="57" t="str">
        <v>ok</v>
      </c>
      <c r="X55" s="58" t="str">
        <v/>
      </c>
      <c r="Y55" s="75" t="str">
        <v/>
      </c>
      <c r="Z55" s="59">
        <v>1.823211376388292</v>
      </c>
      <c r="AA55" s="61">
        <v>6</v>
      </c>
      <c r="AB55" s="61">
        <v>16</v>
      </c>
      <c r="AC55" s="61" t="str">
        <v/>
      </c>
      <c r="AD55" s="62" t="str">
        <v>QF1 → XT1</v>
      </c>
      <c r="AE55" s="62" t="str">
        <v/>
      </c>
      <c r="AF55" s="34">
        <v>1</v>
      </c>
      <c r="AG55" s="34" t="str">
        <v>QF1</v>
      </c>
      <c r="AH55" s="34" t="str">
        <v/>
      </c>
      <c r="AI55" s="34" t="str">
        <v/>
      </c>
      <c r="AJ55" s="34" t="str">
        <v>QF1</v>
      </c>
      <c r="AK55" s="34">
        <v>1</v>
      </c>
      <c r="AL55" s="34" t="str">
        <v>АПС</v>
      </c>
      <c r="AM55" s="34">
        <v>0</v>
      </c>
      <c r="AN55" s="34">
        <v>0</v>
      </c>
      <c r="AO55" s="34">
        <v>6</v>
      </c>
      <c r="AP55" s="34">
        <v>16</v>
      </c>
      <c r="AQ55" s="34">
        <v>6</v>
      </c>
      <c r="AR55" s="34">
        <v>1</v>
      </c>
      <c r="AS55" s="34">
        <v>0</v>
      </c>
      <c r="AT55" s="34" t="str">
        <v>1P</v>
      </c>
      <c r="AU55" s="34">
        <v>6</v>
      </c>
      <c r="AV55" s="34" t="str">
        <v/>
      </c>
      <c r="AW55" s="34" t="str">
        <v/>
      </c>
      <c r="AX55" s="34" t="str">
        <v/>
      </c>
      <c r="AY55" s="34">
        <v>1</v>
      </c>
      <c r="AZ55" s="34" t="str">
        <v/>
      </c>
      <c r="BA55" s="34">
        <v>0</v>
      </c>
      <c r="BB55" s="34">
        <v>0</v>
      </c>
      <c r="BD55" s="34">
        <v>1</v>
      </c>
      <c r="BE55" s="34">
        <v>0</v>
      </c>
      <c r="BF55" s="34">
        <v>0</v>
      </c>
      <c r="BG55" s="34" t="str">
        <v/>
      </c>
      <c r="BH55" s="34" t="str">
        <v/>
      </c>
      <c r="BI55" s="34" t="str">
        <v/>
      </c>
      <c r="BJ55" s="34" t="str">
        <v/>
      </c>
      <c r="BK55" s="34" t="str">
        <v>BOX</v>
      </c>
      <c r="BL55" s="34">
        <v>1</v>
      </c>
      <c r="BM55" s="34" t="str">
        <v/>
      </c>
      <c r="BN55" s="34" t="str">
        <v/>
      </c>
      <c r="BO55" s="34" t="str">
        <v/>
      </c>
      <c r="BP55" s="34" t="str">
        <v/>
      </c>
      <c r="BQ55" s="34" t="str">
        <v>3х1,5</v>
      </c>
      <c r="BR55" s="34" t="str">
        <v/>
      </c>
      <c r="BS55" s="34" t="str">
        <v/>
      </c>
      <c r="BT55" s="34" t="str">
        <v/>
      </c>
      <c r="BU55" s="34">
        <v>0</v>
      </c>
      <c r="BV55" s="34">
        <v>52</v>
      </c>
      <c r="BW55" s="34">
        <v>1</v>
      </c>
      <c r="BX55" s="34">
        <v>0</v>
      </c>
      <c r="BY55" s="34">
        <v>0</v>
      </c>
      <c r="BZ55">
        <v>6</v>
      </c>
      <c r="CA55" t="str">
        <v>линии</v>
      </c>
    </row>
    <row r="56" spans="1:79" x14ac:dyDescent="0.3">
      <c r="A56" s="39" t="str">
        <v>ЩСПЗ</v>
      </c>
      <c r="B56" s="42">
        <v>5</v>
      </c>
      <c r="C56" s="42">
        <v>1</v>
      </c>
      <c r="D56" s="75" t="str">
        <v/>
      </c>
      <c r="E56" s="75" t="str">
        <v>авто</v>
      </c>
      <c r="F56" s="76" t="str">
        <v/>
      </c>
      <c r="G56" s="47" t="str">
        <v>QF2</v>
      </c>
      <c r="H56" s="47" t="str">
        <v>3P С10А</v>
      </c>
      <c r="I56" s="75" t="str">
        <v/>
      </c>
      <c r="J56" s="76" t="str">
        <v/>
      </c>
      <c r="K56" s="76" t="str">
        <v/>
      </c>
      <c r="L56" s="75" t="str">
        <v/>
      </c>
      <c r="M56" s="49" t="str">
        <v/>
      </c>
      <c r="N56" s="76" t="str">
        <v/>
      </c>
      <c r="O56" s="49" t="str">
        <v/>
      </c>
      <c r="P56" s="77" t="str">
        <v>XT2</v>
      </c>
      <c r="Q56" s="53" t="str">
        <v>ВВГнг(А)-FRLS (5х1,5) L=36-1,02%</v>
      </c>
      <c r="R56" s="54" t="str">
        <v>ПУ.0.03.1</v>
      </c>
      <c r="S56" s="55" t="str">
        <v>Вентилятор подпора воздуха</v>
      </c>
      <c r="T56" s="56">
        <v>3</v>
      </c>
      <c r="U56" s="56">
        <v>5.42</v>
      </c>
      <c r="V56" s="42" t="str">
        <v>L1,L2,L3</v>
      </c>
      <c r="W56" s="57" t="str">
        <v>ok</v>
      </c>
      <c r="X56" s="58" t="str">
        <v/>
      </c>
      <c r="Y56" s="75" t="str">
        <v/>
      </c>
      <c r="Z56" s="59">
        <v>5.4126587736527414</v>
      </c>
      <c r="AA56" s="61">
        <v>10</v>
      </c>
      <c r="AB56" s="61">
        <v>16</v>
      </c>
      <c r="AC56" s="61" t="str">
        <v/>
      </c>
      <c r="AD56" s="62" t="str">
        <v>QF2 → XT2</v>
      </c>
      <c r="AE56" s="62" t="str">
        <v/>
      </c>
      <c r="AF56" s="34">
        <v>2</v>
      </c>
      <c r="AG56" s="34" t="str">
        <v>QF2</v>
      </c>
      <c r="AH56" s="34" t="str">
        <v/>
      </c>
      <c r="AI56" s="34" t="str">
        <v/>
      </c>
      <c r="AJ56" s="34" t="str">
        <v>QF2</v>
      </c>
      <c r="AK56" s="34">
        <v>3</v>
      </c>
      <c r="AL56" s="34" t="str">
        <v>ПУ</v>
      </c>
      <c r="AM56" s="34">
        <v>0</v>
      </c>
      <c r="AN56" s="34">
        <v>0</v>
      </c>
      <c r="AO56" s="34">
        <v>10</v>
      </c>
      <c r="AP56" s="34">
        <v>16</v>
      </c>
      <c r="AQ56" s="34">
        <v>10</v>
      </c>
      <c r="AR56" s="34">
        <v>3</v>
      </c>
      <c r="AS56" s="34">
        <v>0</v>
      </c>
      <c r="AT56" s="34" t="str">
        <v>3P</v>
      </c>
      <c r="AU56" s="34">
        <v>10</v>
      </c>
      <c r="AV56" s="34" t="str">
        <v/>
      </c>
      <c r="AW56" s="34" t="str">
        <v/>
      </c>
      <c r="AX56" s="34" t="str">
        <v/>
      </c>
      <c r="AY56" s="34">
        <v>1</v>
      </c>
      <c r="AZ56" s="34" t="str">
        <v/>
      </c>
      <c r="BA56" s="34">
        <v>0</v>
      </c>
      <c r="BB56" s="34">
        <v>0</v>
      </c>
      <c r="BD56" s="34">
        <v>1</v>
      </c>
      <c r="BE56" s="34">
        <v>0</v>
      </c>
      <c r="BF56" s="34">
        <v>0</v>
      </c>
      <c r="BG56" s="34" t="str">
        <v/>
      </c>
      <c r="BH56" s="34" t="str">
        <v/>
      </c>
      <c r="BI56" s="34" t="str">
        <v/>
      </c>
      <c r="BJ56" s="34" t="str">
        <v/>
      </c>
      <c r="BK56" s="34" t="str">
        <v>MOTOR</v>
      </c>
      <c r="BL56" s="34">
        <v>1</v>
      </c>
      <c r="BM56" s="34" t="str">
        <v/>
      </c>
      <c r="BN56" s="34" t="str">
        <v/>
      </c>
      <c r="BO56" s="34" t="str">
        <v/>
      </c>
      <c r="BP56" s="34" t="str">
        <v/>
      </c>
      <c r="BQ56" s="34" t="str">
        <v>5х1,5</v>
      </c>
      <c r="BR56" s="34" t="str">
        <v/>
      </c>
      <c r="BS56" s="34" t="str">
        <v/>
      </c>
      <c r="BT56" s="34" t="str">
        <v/>
      </c>
      <c r="BU56" s="34">
        <v>0</v>
      </c>
      <c r="BV56" s="34">
        <v>53</v>
      </c>
      <c r="BW56" s="34">
        <v>1</v>
      </c>
      <c r="BX56" s="34">
        <v>2</v>
      </c>
      <c r="BY56" s="34" t="str">
        <v>Привод (двигатель)</v>
      </c>
      <c r="BZ56">
        <v>6</v>
      </c>
      <c r="CA56" t="str">
        <v>линии</v>
      </c>
    </row>
    <row r="57" spans="1:79" x14ac:dyDescent="0.3">
      <c r="A57" s="39"/>
      <c r="B57" s="42"/>
      <c r="C57" s="42"/>
      <c r="D57" s="75"/>
      <c r="E57" s="75"/>
      <c r="F57" s="76"/>
      <c r="G57" s="47"/>
      <c r="H57" s="47"/>
      <c r="I57" s="75"/>
      <c r="J57" s="76"/>
      <c r="K57" s="76"/>
      <c r="L57" s="75"/>
      <c r="M57" s="49"/>
      <c r="N57" s="76"/>
      <c r="O57" s="49"/>
      <c r="P57" s="77"/>
      <c r="Q57" s="53"/>
      <c r="R57" s="54"/>
      <c r="S57" s="55"/>
      <c r="T57" s="56"/>
      <c r="U57" s="56"/>
      <c r="V57" s="42"/>
      <c r="W57" s="57"/>
      <c r="X57" s="58"/>
      <c r="Y57" s="75"/>
      <c r="Z57" s="59"/>
      <c r="AA57" s="61"/>
      <c r="AB57" s="61"/>
      <c r="AC57" s="61"/>
      <c r="AD57" s="62"/>
      <c r="AE57" s="62"/>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D57" s="34"/>
      <c r="BE57" s="34"/>
      <c r="BF57" s="34"/>
      <c r="BG57" s="34"/>
      <c r="BH57" s="34"/>
      <c r="BI57" s="34"/>
      <c r="BJ57" s="34"/>
      <c r="BK57" s="34"/>
      <c r="BL57" s="34"/>
      <c r="BM57" s="34"/>
      <c r="BN57" s="34"/>
      <c r="BO57" s="34"/>
      <c r="BP57" s="34"/>
      <c r="BQ57" s="34"/>
      <c r="BR57" s="34"/>
      <c r="BS57" s="34"/>
      <c r="BT57" s="34"/>
      <c r="BU57" s="34"/>
      <c r="BV57" s="34"/>
      <c r="BW57" s="34"/>
      <c r="BX57" s="34"/>
      <c r="BY57" s="34"/>
    </row>
    <row r="58" spans="1:79" x14ac:dyDescent="0.3">
      <c r="A58" s="39"/>
      <c r="B58" s="42"/>
      <c r="C58" s="42"/>
      <c r="D58" s="75"/>
      <c r="E58" s="75"/>
      <c r="F58" s="76"/>
      <c r="G58" s="47"/>
      <c r="H58" s="47"/>
      <c r="I58" s="75"/>
      <c r="J58" s="76"/>
      <c r="K58" s="76"/>
      <c r="L58" s="75"/>
      <c r="M58" s="49"/>
      <c r="N58" s="76"/>
      <c r="O58" s="49"/>
      <c r="P58" s="77"/>
      <c r="Q58" s="53"/>
      <c r="R58" s="54"/>
      <c r="S58" s="55"/>
      <c r="T58" s="56"/>
      <c r="U58" s="56"/>
      <c r="V58" s="42"/>
      <c r="W58" s="57"/>
      <c r="X58" s="58"/>
      <c r="Y58" s="75"/>
      <c r="Z58" s="59"/>
      <c r="AA58" s="61"/>
      <c r="AB58" s="61"/>
      <c r="AC58" s="61"/>
      <c r="AD58" s="62"/>
      <c r="AE58" s="62"/>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D58" s="34"/>
      <c r="BE58" s="34"/>
      <c r="BF58" s="34"/>
      <c r="BG58" s="34"/>
      <c r="BH58" s="34"/>
      <c r="BI58" s="34"/>
      <c r="BJ58" s="34"/>
      <c r="BK58" s="34"/>
      <c r="BL58" s="34"/>
      <c r="BM58" s="34"/>
      <c r="BN58" s="34"/>
      <c r="BO58" s="34"/>
      <c r="BP58" s="34"/>
      <c r="BQ58" s="34"/>
      <c r="BR58" s="34"/>
      <c r="BS58" s="34"/>
      <c r="BT58" s="34"/>
      <c r="BU58" s="34"/>
      <c r="BV58" s="34"/>
      <c r="BW58" s="34"/>
      <c r="BX58" s="34"/>
      <c r="BY58" s="34"/>
    </row>
    <row r="59" spans="1:79" x14ac:dyDescent="0.3">
      <c r="A59" s="39"/>
      <c r="B59" s="42"/>
      <c r="C59" s="42"/>
      <c r="D59" s="75"/>
      <c r="E59" s="75"/>
      <c r="F59" s="76"/>
      <c r="G59" s="47"/>
      <c r="H59" s="47"/>
      <c r="I59" s="75"/>
      <c r="J59" s="76"/>
      <c r="K59" s="76"/>
      <c r="L59" s="75"/>
      <c r="M59" s="49"/>
      <c r="N59" s="76"/>
      <c r="O59" s="49"/>
      <c r="P59" s="77"/>
      <c r="Q59" s="53"/>
      <c r="R59" s="54"/>
      <c r="S59" s="55"/>
      <c r="T59" s="56"/>
      <c r="U59" s="56"/>
      <c r="V59" s="42"/>
      <c r="W59" s="57"/>
      <c r="X59" s="58"/>
      <c r="Y59" s="75"/>
      <c r="Z59" s="59"/>
      <c r="AA59" s="61"/>
      <c r="AB59" s="61"/>
      <c r="AC59" s="61"/>
      <c r="AD59" s="62"/>
      <c r="AE59" s="62"/>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D59" s="34"/>
      <c r="BE59" s="34"/>
      <c r="BF59" s="34"/>
      <c r="BG59" s="34"/>
      <c r="BH59" s="34"/>
      <c r="BI59" s="34"/>
      <c r="BJ59" s="34"/>
      <c r="BK59" s="34"/>
      <c r="BL59" s="34"/>
      <c r="BM59" s="34"/>
      <c r="BN59" s="34"/>
      <c r="BO59" s="34"/>
      <c r="BP59" s="34"/>
      <c r="BQ59" s="34"/>
      <c r="BR59" s="34"/>
      <c r="BS59" s="34"/>
      <c r="BT59" s="34"/>
      <c r="BU59" s="34"/>
      <c r="BV59" s="34"/>
      <c r="BW59" s="34"/>
      <c r="BX59" s="34"/>
      <c r="BY59" s="34"/>
    </row>
    <row r="60" spans="1:79" x14ac:dyDescent="0.3">
      <c r="A60" s="39"/>
      <c r="B60" s="42"/>
      <c r="C60" s="42"/>
      <c r="D60" s="75"/>
      <c r="E60" s="75"/>
      <c r="F60" s="76"/>
      <c r="G60" s="47"/>
      <c r="H60" s="47"/>
      <c r="I60" s="75"/>
      <c r="J60" s="76"/>
      <c r="K60" s="76"/>
      <c r="L60" s="75"/>
      <c r="M60" s="49"/>
      <c r="N60" s="76"/>
      <c r="O60" s="49"/>
      <c r="P60" s="77"/>
      <c r="Q60" s="53"/>
      <c r="R60" s="54"/>
      <c r="S60" s="55"/>
      <c r="T60" s="56"/>
      <c r="U60" s="56"/>
      <c r="V60" s="42"/>
      <c r="W60" s="57"/>
      <c r="X60" s="58"/>
      <c r="Y60" s="75"/>
      <c r="Z60" s="59"/>
      <c r="AA60" s="61"/>
      <c r="AB60" s="61"/>
      <c r="AC60" s="61"/>
      <c r="AD60" s="62"/>
      <c r="AE60" s="62"/>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D60" s="34"/>
      <c r="BE60" s="34"/>
      <c r="BF60" s="34"/>
      <c r="BG60" s="34"/>
      <c r="BH60" s="34"/>
      <c r="BI60" s="34"/>
      <c r="BJ60" s="34"/>
      <c r="BK60" s="34"/>
      <c r="BL60" s="34"/>
      <c r="BM60" s="34"/>
      <c r="BN60" s="34"/>
      <c r="BO60" s="34"/>
      <c r="BP60" s="34"/>
      <c r="BQ60" s="34"/>
      <c r="BR60" s="34"/>
      <c r="BS60" s="34"/>
      <c r="BT60" s="34"/>
      <c r="BU60" s="34"/>
      <c r="BV60" s="34"/>
      <c r="BW60" s="34"/>
      <c r="BX60" s="34"/>
      <c r="BY60" s="34"/>
    </row>
    <row r="61" spans="1:79" x14ac:dyDescent="0.3">
      <c r="A61" s="39"/>
      <c r="B61" s="42"/>
      <c r="C61" s="42"/>
      <c r="D61" s="75"/>
      <c r="E61" s="75"/>
      <c r="F61" s="76"/>
      <c r="G61" s="47"/>
      <c r="H61" s="47"/>
      <c r="I61" s="75"/>
      <c r="J61" s="76"/>
      <c r="K61" s="76"/>
      <c r="L61" s="75"/>
      <c r="M61" s="49"/>
      <c r="N61" s="76"/>
      <c r="O61" s="49"/>
      <c r="P61" s="77"/>
      <c r="Q61" s="53"/>
      <c r="R61" s="54"/>
      <c r="S61" s="55"/>
      <c r="T61" s="56"/>
      <c r="U61" s="56"/>
      <c r="V61" s="42"/>
      <c r="W61" s="57"/>
      <c r="X61" s="58"/>
      <c r="Y61" s="75"/>
      <c r="Z61" s="59"/>
      <c r="AA61" s="61"/>
      <c r="AB61" s="61"/>
      <c r="AC61" s="61"/>
      <c r="AD61" s="62"/>
      <c r="AE61" s="62"/>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D61" s="34"/>
      <c r="BE61" s="34"/>
      <c r="BF61" s="34"/>
      <c r="BG61" s="34"/>
      <c r="BH61" s="34"/>
      <c r="BI61" s="34"/>
      <c r="BJ61" s="34"/>
      <c r="BK61" s="34"/>
      <c r="BL61" s="34"/>
      <c r="BM61" s="34"/>
      <c r="BN61" s="34"/>
      <c r="BO61" s="34"/>
      <c r="BP61" s="34"/>
      <c r="BQ61" s="34"/>
      <c r="BR61" s="34"/>
      <c r="BS61" s="34"/>
      <c r="BT61" s="34"/>
      <c r="BU61" s="34"/>
      <c r="BV61" s="34"/>
      <c r="BW61" s="34"/>
      <c r="BX61" s="34"/>
      <c r="BY61" s="34"/>
    </row>
    <row r="62" spans="1:79" x14ac:dyDescent="0.3">
      <c r="A62" s="39"/>
      <c r="B62" s="42"/>
      <c r="C62" s="42"/>
      <c r="D62" s="75"/>
      <c r="E62" s="75"/>
      <c r="F62" s="76"/>
      <c r="G62" s="47"/>
      <c r="H62" s="47"/>
      <c r="I62" s="75"/>
      <c r="J62" s="76"/>
      <c r="K62" s="76"/>
      <c r="L62" s="75"/>
      <c r="M62" s="49"/>
      <c r="N62" s="76"/>
      <c r="O62" s="49"/>
      <c r="P62" s="77"/>
      <c r="Q62" s="53"/>
      <c r="R62" s="54"/>
      <c r="S62" s="55"/>
      <c r="T62" s="56"/>
      <c r="U62" s="56"/>
      <c r="V62" s="42"/>
      <c r="W62" s="57"/>
      <c r="X62" s="58"/>
      <c r="Y62" s="75"/>
      <c r="Z62" s="59"/>
      <c r="AA62" s="61"/>
      <c r="AB62" s="61"/>
      <c r="AC62" s="61"/>
      <c r="AD62" s="62"/>
      <c r="AE62" s="62"/>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D62" s="34"/>
      <c r="BE62" s="34"/>
      <c r="BF62" s="34"/>
      <c r="BG62" s="34"/>
      <c r="BH62" s="34"/>
      <c r="BI62" s="34"/>
      <c r="BJ62" s="34"/>
      <c r="BK62" s="34"/>
      <c r="BL62" s="34"/>
      <c r="BM62" s="34"/>
      <c r="BN62" s="34"/>
      <c r="BO62" s="34"/>
      <c r="BP62" s="34"/>
      <c r="BQ62" s="34"/>
      <c r="BR62" s="34"/>
      <c r="BS62" s="34"/>
      <c r="BT62" s="34"/>
      <c r="BU62" s="34"/>
      <c r="BV62" s="34"/>
      <c r="BW62" s="34"/>
      <c r="BX62" s="34"/>
      <c r="BY62" s="34"/>
    </row>
    <row r="63" spans="1:79" x14ac:dyDescent="0.3">
      <c r="A63" s="39"/>
      <c r="B63" s="42"/>
      <c r="C63" s="42"/>
      <c r="D63" s="75"/>
      <c r="E63" s="75"/>
      <c r="F63" s="76"/>
      <c r="G63" s="47"/>
      <c r="H63" s="47"/>
      <c r="I63" s="75"/>
      <c r="J63" s="76"/>
      <c r="K63" s="76"/>
      <c r="L63" s="75"/>
      <c r="M63" s="49"/>
      <c r="N63" s="76"/>
      <c r="O63" s="49"/>
      <c r="P63" s="77"/>
      <c r="Q63" s="53"/>
      <c r="R63" s="54"/>
      <c r="S63" s="55"/>
      <c r="T63" s="56"/>
      <c r="U63" s="56"/>
      <c r="V63" s="42"/>
      <c r="W63" s="57"/>
      <c r="X63" s="58"/>
      <c r="Y63" s="75"/>
      <c r="Z63" s="59"/>
      <c r="AA63" s="61"/>
      <c r="AB63" s="61"/>
      <c r="AC63" s="61"/>
      <c r="AD63" s="62"/>
      <c r="AE63" s="62"/>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D63" s="34"/>
      <c r="BE63" s="34"/>
      <c r="BF63" s="34"/>
      <c r="BG63" s="34"/>
      <c r="BH63" s="34"/>
      <c r="BI63" s="34"/>
      <c r="BJ63" s="34"/>
      <c r="BK63" s="34"/>
      <c r="BL63" s="34"/>
      <c r="BM63" s="34"/>
      <c r="BN63" s="34"/>
      <c r="BO63" s="34"/>
      <c r="BP63" s="34"/>
      <c r="BQ63" s="34"/>
      <c r="BR63" s="34"/>
      <c r="BS63" s="34"/>
      <c r="BT63" s="34"/>
      <c r="BU63" s="34"/>
      <c r="BV63" s="34"/>
      <c r="BW63" s="34"/>
      <c r="BX63" s="34"/>
      <c r="BY63" s="34"/>
    </row>
    <row r="64" spans="1:79" x14ac:dyDescent="0.3">
      <c r="A64" s="39"/>
      <c r="B64" s="42"/>
      <c r="C64" s="42"/>
      <c r="D64" s="75"/>
      <c r="E64" s="75"/>
      <c r="F64" s="76"/>
      <c r="G64" s="47"/>
      <c r="H64" s="47"/>
      <c r="I64" s="75"/>
      <c r="J64" s="76"/>
      <c r="K64" s="76"/>
      <c r="L64" s="75"/>
      <c r="M64" s="49"/>
      <c r="N64" s="76"/>
      <c r="O64" s="49"/>
      <c r="P64" s="77"/>
      <c r="Q64" s="53"/>
      <c r="R64" s="54"/>
      <c r="S64" s="55"/>
      <c r="T64" s="56"/>
      <c r="U64" s="56"/>
      <c r="V64" s="42"/>
      <c r="W64" s="57"/>
      <c r="X64" s="58"/>
      <c r="Y64" s="75"/>
      <c r="Z64" s="59"/>
      <c r="AA64" s="61"/>
      <c r="AB64" s="61"/>
      <c r="AC64" s="61"/>
      <c r="AD64" s="62"/>
      <c r="AE64" s="62"/>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D64" s="34"/>
      <c r="BE64" s="34"/>
      <c r="BF64" s="34"/>
      <c r="BG64" s="34"/>
      <c r="BH64" s="34"/>
      <c r="BI64" s="34"/>
      <c r="BJ64" s="34"/>
      <c r="BK64" s="34"/>
      <c r="BL64" s="34"/>
      <c r="BM64" s="34"/>
      <c r="BN64" s="34"/>
      <c r="BO64" s="34"/>
      <c r="BP64" s="34"/>
      <c r="BQ64" s="34"/>
      <c r="BR64" s="34"/>
      <c r="BS64" s="34"/>
      <c r="BT64" s="34"/>
      <c r="BU64" s="34"/>
      <c r="BV64" s="34"/>
      <c r="BW64" s="34"/>
      <c r="BX64" s="34"/>
      <c r="BY64" s="34"/>
    </row>
    <row r="65" spans="1:77" x14ac:dyDescent="0.3">
      <c r="A65" s="39"/>
      <c r="B65" s="42"/>
      <c r="C65" s="42"/>
      <c r="D65" s="75"/>
      <c r="E65" s="75"/>
      <c r="F65" s="76"/>
      <c r="G65" s="47"/>
      <c r="H65" s="47"/>
      <c r="I65" s="75"/>
      <c r="J65" s="76"/>
      <c r="K65" s="76"/>
      <c r="L65" s="75"/>
      <c r="M65" s="49"/>
      <c r="N65" s="76"/>
      <c r="O65" s="49"/>
      <c r="P65" s="77"/>
      <c r="Q65" s="53"/>
      <c r="R65" s="54"/>
      <c r="S65" s="55"/>
      <c r="T65" s="56"/>
      <c r="U65" s="56"/>
      <c r="V65" s="42"/>
      <c r="W65" s="57"/>
      <c r="X65" s="58"/>
      <c r="Y65" s="75"/>
      <c r="Z65" s="59"/>
      <c r="AA65" s="61"/>
      <c r="AB65" s="61"/>
      <c r="AC65" s="61"/>
      <c r="AD65" s="62"/>
      <c r="AE65" s="62"/>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D65" s="34"/>
      <c r="BE65" s="34"/>
      <c r="BF65" s="34"/>
      <c r="BG65" s="34"/>
      <c r="BH65" s="34"/>
      <c r="BI65" s="34"/>
      <c r="BJ65" s="34"/>
      <c r="BK65" s="34"/>
      <c r="BL65" s="34"/>
      <c r="BM65" s="34"/>
      <c r="BN65" s="34"/>
      <c r="BO65" s="34"/>
      <c r="BP65" s="34"/>
      <c r="BQ65" s="34"/>
      <c r="BR65" s="34"/>
      <c r="BS65" s="34"/>
      <c r="BT65" s="34"/>
      <c r="BU65" s="34"/>
      <c r="BV65" s="34"/>
      <c r="BW65" s="34"/>
      <c r="BX65" s="34"/>
      <c r="BY65" s="34"/>
    </row>
    <row r="66" spans="1:77" x14ac:dyDescent="0.3">
      <c r="A66" s="39"/>
      <c r="B66" s="42"/>
      <c r="C66" s="42"/>
      <c r="D66" s="75"/>
      <c r="E66" s="75"/>
      <c r="F66" s="76"/>
      <c r="G66" s="47"/>
      <c r="H66" s="47"/>
      <c r="I66" s="75"/>
      <c r="J66" s="76"/>
      <c r="K66" s="76"/>
      <c r="L66" s="75"/>
      <c r="M66" s="49"/>
      <c r="N66" s="76"/>
      <c r="O66" s="49"/>
      <c r="P66" s="77"/>
      <c r="Q66" s="53"/>
      <c r="R66" s="54"/>
      <c r="S66" s="55"/>
      <c r="T66" s="56"/>
      <c r="U66" s="56"/>
      <c r="V66" s="42"/>
      <c r="W66" s="57"/>
      <c r="X66" s="58"/>
      <c r="Y66" s="75"/>
      <c r="Z66" s="59"/>
      <c r="AA66" s="61"/>
      <c r="AB66" s="61"/>
      <c r="AC66" s="61"/>
      <c r="AD66" s="62"/>
      <c r="AE66" s="62"/>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D66" s="34"/>
      <c r="BE66" s="34"/>
      <c r="BF66" s="34"/>
      <c r="BG66" s="34"/>
      <c r="BH66" s="34"/>
      <c r="BI66" s="34"/>
      <c r="BJ66" s="34"/>
      <c r="BK66" s="34"/>
      <c r="BL66" s="34"/>
      <c r="BM66" s="34"/>
      <c r="BN66" s="34"/>
      <c r="BO66" s="34"/>
      <c r="BP66" s="34"/>
      <c r="BQ66" s="34"/>
      <c r="BR66" s="34"/>
      <c r="BS66" s="34"/>
      <c r="BT66" s="34"/>
      <c r="BU66" s="34"/>
      <c r="BV66" s="34"/>
      <c r="BW66" s="34"/>
      <c r="BX66" s="34"/>
      <c r="BY66" s="34"/>
    </row>
    <row r="67" spans="1:77" x14ac:dyDescent="0.3">
      <c r="A67" s="39"/>
      <c r="B67" s="42"/>
      <c r="C67" s="42"/>
      <c r="D67" s="75"/>
      <c r="E67" s="75"/>
      <c r="F67" s="76"/>
      <c r="G67" s="47"/>
      <c r="H67" s="47"/>
      <c r="I67" s="75"/>
      <c r="J67" s="76"/>
      <c r="K67" s="76"/>
      <c r="L67" s="75"/>
      <c r="M67" s="49"/>
      <c r="N67" s="76"/>
      <c r="O67" s="49"/>
      <c r="P67" s="77"/>
      <c r="Q67" s="53"/>
      <c r="R67" s="54"/>
      <c r="S67" s="55"/>
      <c r="T67" s="56"/>
      <c r="U67" s="56"/>
      <c r="V67" s="42"/>
      <c r="W67" s="57"/>
      <c r="X67" s="58"/>
      <c r="Y67" s="75"/>
      <c r="Z67" s="59"/>
      <c r="AA67" s="61"/>
      <c r="AB67" s="61"/>
      <c r="AC67" s="61"/>
      <c r="AD67" s="62"/>
      <c r="AE67" s="62"/>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D67" s="34"/>
      <c r="BE67" s="34"/>
      <c r="BF67" s="34"/>
      <c r="BG67" s="34"/>
      <c r="BH67" s="34"/>
      <c r="BI67" s="34"/>
      <c r="BJ67" s="34"/>
      <c r="BK67" s="34"/>
      <c r="BL67" s="34"/>
      <c r="BM67" s="34"/>
      <c r="BN67" s="34"/>
      <c r="BO67" s="34"/>
      <c r="BP67" s="34"/>
      <c r="BQ67" s="34"/>
      <c r="BR67" s="34"/>
      <c r="BS67" s="34"/>
      <c r="BT67" s="34"/>
      <c r="BU67" s="34"/>
      <c r="BV67" s="34"/>
      <c r="BW67" s="34"/>
      <c r="BX67" s="34"/>
      <c r="BY67" s="34"/>
    </row>
    <row r="68" spans="1:77" x14ac:dyDescent="0.3">
      <c r="A68" s="39"/>
      <c r="B68" s="42"/>
      <c r="C68" s="42"/>
      <c r="D68" s="75"/>
      <c r="E68" s="75"/>
      <c r="F68" s="76"/>
      <c r="G68" s="47"/>
      <c r="H68" s="47"/>
      <c r="I68" s="75"/>
      <c r="J68" s="76"/>
      <c r="K68" s="76"/>
      <c r="L68" s="75"/>
      <c r="M68" s="49"/>
      <c r="N68" s="76"/>
      <c r="O68" s="49"/>
      <c r="P68" s="77"/>
      <c r="Q68" s="53"/>
      <c r="R68" s="54"/>
      <c r="S68" s="55"/>
      <c r="T68" s="56"/>
      <c r="U68" s="56"/>
      <c r="V68" s="42"/>
      <c r="W68" s="57"/>
      <c r="X68" s="58"/>
      <c r="Y68" s="75"/>
      <c r="Z68" s="59"/>
      <c r="AA68" s="61"/>
      <c r="AB68" s="61"/>
      <c r="AC68" s="61"/>
      <c r="AD68" s="62"/>
      <c r="AE68" s="62"/>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D68" s="34"/>
      <c r="BE68" s="34"/>
      <c r="BF68" s="34"/>
      <c r="BG68" s="34"/>
      <c r="BH68" s="34"/>
      <c r="BI68" s="34"/>
      <c r="BJ68" s="34"/>
      <c r="BK68" s="34"/>
      <c r="BL68" s="34"/>
      <c r="BM68" s="34"/>
      <c r="BN68" s="34"/>
      <c r="BO68" s="34"/>
      <c r="BP68" s="34"/>
      <c r="BQ68" s="34"/>
      <c r="BR68" s="34"/>
      <c r="BS68" s="34"/>
      <c r="BT68" s="34"/>
      <c r="BU68" s="34"/>
      <c r="BV68" s="34"/>
      <c r="BW68" s="34"/>
      <c r="BX68" s="34"/>
      <c r="BY68" s="34"/>
    </row>
    <row r="69" spans="1:77" x14ac:dyDescent="0.3">
      <c r="A69" s="39"/>
      <c r="B69" s="42"/>
      <c r="C69" s="42"/>
      <c r="D69" s="75"/>
      <c r="E69" s="75"/>
      <c r="F69" s="76"/>
      <c r="G69" s="47"/>
      <c r="H69" s="47"/>
      <c r="I69" s="75"/>
      <c r="J69" s="76"/>
      <c r="K69" s="76"/>
      <c r="L69" s="75"/>
      <c r="M69" s="49"/>
      <c r="N69" s="76"/>
      <c r="O69" s="49"/>
      <c r="P69" s="77"/>
      <c r="Q69" s="53"/>
      <c r="R69" s="54"/>
      <c r="S69" s="55"/>
      <c r="T69" s="56"/>
      <c r="U69" s="56"/>
      <c r="V69" s="42"/>
      <c r="W69" s="57"/>
      <c r="X69" s="58"/>
      <c r="Y69" s="75"/>
      <c r="Z69" s="59"/>
      <c r="AA69" s="61"/>
      <c r="AB69" s="61"/>
      <c r="AC69" s="61"/>
      <c r="AD69" s="62"/>
      <c r="AE69" s="62"/>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D69" s="34"/>
      <c r="BE69" s="34"/>
      <c r="BF69" s="34"/>
      <c r="BG69" s="34"/>
      <c r="BH69" s="34"/>
      <c r="BI69" s="34"/>
      <c r="BJ69" s="34"/>
      <c r="BK69" s="34"/>
      <c r="BL69" s="34"/>
      <c r="BM69" s="34"/>
      <c r="BN69" s="34"/>
      <c r="BO69" s="34"/>
      <c r="BP69" s="34"/>
      <c r="BQ69" s="34"/>
      <c r="BR69" s="34"/>
      <c r="BS69" s="34"/>
      <c r="BT69" s="34"/>
      <c r="BU69" s="34"/>
      <c r="BV69" s="34"/>
      <c r="BW69" s="34"/>
      <c r="BX69" s="34"/>
      <c r="BY69" s="34"/>
    </row>
    <row r="70" spans="1:77" x14ac:dyDescent="0.3">
      <c r="A70" s="39"/>
      <c r="B70" s="42"/>
      <c r="C70" s="42"/>
      <c r="D70" s="75"/>
      <c r="E70" s="75"/>
      <c r="F70" s="76"/>
      <c r="G70" s="47"/>
      <c r="H70" s="47"/>
      <c r="I70" s="75"/>
      <c r="J70" s="76"/>
      <c r="K70" s="76"/>
      <c r="L70" s="75"/>
      <c r="M70" s="49"/>
      <c r="N70" s="76"/>
      <c r="O70" s="49"/>
      <c r="P70" s="77"/>
      <c r="Q70" s="53"/>
      <c r="R70" s="54"/>
      <c r="S70" s="55"/>
      <c r="T70" s="56"/>
      <c r="U70" s="56"/>
      <c r="V70" s="42"/>
      <c r="W70" s="57"/>
      <c r="X70" s="58"/>
      <c r="Y70" s="75"/>
      <c r="Z70" s="59"/>
      <c r="AA70" s="61"/>
      <c r="AB70" s="61"/>
      <c r="AC70" s="61"/>
      <c r="AD70" s="62"/>
      <c r="AE70" s="62"/>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D70" s="34"/>
      <c r="BE70" s="34"/>
      <c r="BF70" s="34"/>
      <c r="BG70" s="34"/>
      <c r="BH70" s="34"/>
      <c r="BI70" s="34"/>
      <c r="BJ70" s="34"/>
      <c r="BK70" s="34"/>
      <c r="BL70" s="34"/>
      <c r="BM70" s="34"/>
      <c r="BN70" s="34"/>
      <c r="BO70" s="34"/>
      <c r="BP70" s="34"/>
      <c r="BQ70" s="34"/>
      <c r="BR70" s="34"/>
      <c r="BS70" s="34"/>
      <c r="BT70" s="34"/>
      <c r="BU70" s="34"/>
      <c r="BV70" s="34"/>
      <c r="BW70" s="34"/>
      <c r="BX70" s="34"/>
      <c r="BY70" s="34"/>
    </row>
    <row r="71" spans="1:77" x14ac:dyDescent="0.3">
      <c r="A71" s="39"/>
      <c r="B71" s="42"/>
      <c r="C71" s="42"/>
      <c r="D71" s="75"/>
      <c r="E71" s="75"/>
      <c r="F71" s="76"/>
      <c r="G71" s="47"/>
      <c r="H71" s="47"/>
      <c r="I71" s="75"/>
      <c r="J71" s="76"/>
      <c r="K71" s="76"/>
      <c r="L71" s="75"/>
      <c r="M71" s="49"/>
      <c r="N71" s="76"/>
      <c r="O71" s="49"/>
      <c r="P71" s="77"/>
      <c r="Q71" s="53"/>
      <c r="R71" s="54"/>
      <c r="S71" s="55"/>
      <c r="T71" s="56"/>
      <c r="U71" s="56"/>
      <c r="V71" s="42"/>
      <c r="W71" s="57"/>
      <c r="X71" s="58"/>
      <c r="Y71" s="75"/>
      <c r="Z71" s="59"/>
      <c r="AA71" s="61"/>
      <c r="AB71" s="61"/>
      <c r="AC71" s="61"/>
      <c r="AD71" s="62"/>
      <c r="AE71" s="62"/>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D71" s="34"/>
      <c r="BE71" s="34"/>
      <c r="BF71" s="34"/>
      <c r="BG71" s="34"/>
      <c r="BH71" s="34"/>
      <c r="BI71" s="34"/>
      <c r="BJ71" s="34"/>
      <c r="BK71" s="34"/>
      <c r="BL71" s="34"/>
      <c r="BM71" s="34"/>
      <c r="BN71" s="34"/>
      <c r="BO71" s="34"/>
      <c r="BP71" s="34"/>
      <c r="BQ71" s="34"/>
      <c r="BR71" s="34"/>
      <c r="BS71" s="34"/>
      <c r="BT71" s="34"/>
      <c r="BU71" s="34"/>
      <c r="BV71" s="34"/>
      <c r="BW71" s="34"/>
      <c r="BX71" s="34"/>
      <c r="BY71" s="34"/>
    </row>
    <row r="72" spans="1:77" x14ac:dyDescent="0.3">
      <c r="A72" s="39"/>
      <c r="B72" s="42"/>
      <c r="C72" s="42"/>
      <c r="D72" s="75"/>
      <c r="E72" s="75"/>
      <c r="F72" s="76"/>
      <c r="G72" s="47"/>
      <c r="H72" s="47"/>
      <c r="I72" s="75"/>
      <c r="J72" s="76"/>
      <c r="K72" s="76"/>
      <c r="L72" s="75"/>
      <c r="M72" s="49"/>
      <c r="N72" s="76"/>
      <c r="O72" s="49"/>
      <c r="P72" s="77"/>
      <c r="Q72" s="53"/>
      <c r="R72" s="54"/>
      <c r="S72" s="55"/>
      <c r="T72" s="56"/>
      <c r="U72" s="56"/>
      <c r="V72" s="42"/>
      <c r="W72" s="57"/>
      <c r="X72" s="58"/>
      <c r="Y72" s="75"/>
      <c r="Z72" s="59"/>
      <c r="AA72" s="61"/>
      <c r="AB72" s="61"/>
      <c r="AC72" s="61"/>
      <c r="AD72" s="62"/>
      <c r="AE72" s="62"/>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D72" s="34"/>
      <c r="BE72" s="34"/>
      <c r="BF72" s="34"/>
      <c r="BG72" s="34"/>
      <c r="BH72" s="34"/>
      <c r="BI72" s="34"/>
      <c r="BJ72" s="34"/>
      <c r="BK72" s="34"/>
      <c r="BL72" s="34"/>
      <c r="BM72" s="34"/>
      <c r="BN72" s="34"/>
      <c r="BO72" s="34"/>
      <c r="BP72" s="34"/>
      <c r="BQ72" s="34"/>
      <c r="BR72" s="34"/>
      <c r="BS72" s="34"/>
      <c r="BT72" s="34"/>
      <c r="BU72" s="34"/>
      <c r="BV72" s="34"/>
      <c r="BW72" s="34"/>
      <c r="BX72" s="34"/>
      <c r="BY72" s="34"/>
    </row>
    <row r="73" spans="1:77" x14ac:dyDescent="0.3">
      <c r="A73" s="39"/>
      <c r="B73" s="42"/>
      <c r="C73" s="42"/>
      <c r="D73" s="75"/>
      <c r="E73" s="75"/>
      <c r="F73" s="76"/>
      <c r="G73" s="47"/>
      <c r="H73" s="47"/>
      <c r="I73" s="75"/>
      <c r="J73" s="76"/>
      <c r="K73" s="76"/>
      <c r="L73" s="75"/>
      <c r="M73" s="49"/>
      <c r="N73" s="76"/>
      <c r="O73" s="49"/>
      <c r="P73" s="77"/>
      <c r="Q73" s="53"/>
      <c r="R73" s="54"/>
      <c r="S73" s="55"/>
      <c r="T73" s="56"/>
      <c r="U73" s="56"/>
      <c r="V73" s="42"/>
      <c r="W73" s="57"/>
      <c r="X73" s="58"/>
      <c r="Y73" s="75"/>
      <c r="Z73" s="59"/>
      <c r="AA73" s="61"/>
      <c r="AB73" s="61"/>
      <c r="AC73" s="61"/>
      <c r="AD73" s="62"/>
      <c r="AE73" s="62"/>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D73" s="34"/>
      <c r="BE73" s="34"/>
      <c r="BF73" s="34"/>
      <c r="BG73" s="34"/>
      <c r="BH73" s="34"/>
      <c r="BI73" s="34"/>
      <c r="BJ73" s="34"/>
      <c r="BK73" s="34"/>
      <c r="BL73" s="34"/>
      <c r="BM73" s="34"/>
      <c r="BN73" s="34"/>
      <c r="BO73" s="34"/>
      <c r="BP73" s="34"/>
      <c r="BQ73" s="34"/>
      <c r="BR73" s="34"/>
      <c r="BS73" s="34"/>
      <c r="BT73" s="34"/>
      <c r="BU73" s="34"/>
      <c r="BV73" s="34"/>
      <c r="BW73" s="34"/>
      <c r="BX73" s="34"/>
      <c r="BY73" s="34"/>
    </row>
    <row r="74" spans="1:77" x14ac:dyDescent="0.3">
      <c r="A74" s="39"/>
      <c r="B74" s="42"/>
      <c r="C74" s="42"/>
      <c r="D74" s="75"/>
      <c r="E74" s="75"/>
      <c r="F74" s="76"/>
      <c r="G74" s="47"/>
      <c r="H74" s="47"/>
      <c r="I74" s="75"/>
      <c r="J74" s="76"/>
      <c r="K74" s="76"/>
      <c r="L74" s="75"/>
      <c r="M74" s="49"/>
      <c r="N74" s="76"/>
      <c r="O74" s="49"/>
      <c r="P74" s="77"/>
      <c r="Q74" s="53"/>
      <c r="R74" s="54"/>
      <c r="S74" s="55"/>
      <c r="T74" s="56"/>
      <c r="U74" s="56"/>
      <c r="V74" s="42"/>
      <c r="W74" s="57"/>
      <c r="X74" s="58"/>
      <c r="Y74" s="75"/>
      <c r="Z74" s="59"/>
      <c r="AA74" s="61"/>
      <c r="AB74" s="61"/>
      <c r="AC74" s="61"/>
      <c r="AD74" s="62"/>
      <c r="AE74" s="62"/>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D74" s="34"/>
      <c r="BE74" s="34"/>
      <c r="BF74" s="34"/>
      <c r="BG74" s="34"/>
      <c r="BH74" s="34"/>
      <c r="BI74" s="34"/>
      <c r="BJ74" s="34"/>
      <c r="BK74" s="34"/>
      <c r="BL74" s="34"/>
      <c r="BM74" s="34"/>
      <c r="BN74" s="34"/>
      <c r="BO74" s="34"/>
      <c r="BP74" s="34"/>
      <c r="BQ74" s="34"/>
      <c r="BR74" s="34"/>
      <c r="BS74" s="34"/>
      <c r="BT74" s="34"/>
      <c r="BU74" s="34"/>
      <c r="BV74" s="34"/>
      <c r="BW74" s="34"/>
      <c r="BX74" s="34"/>
      <c r="BY74" s="34"/>
    </row>
    <row r="75" spans="1:77" x14ac:dyDescent="0.3">
      <c r="A75" s="39"/>
      <c r="B75" s="42"/>
      <c r="C75" s="42"/>
      <c r="D75" s="75"/>
      <c r="E75" s="75"/>
      <c r="F75" s="76"/>
      <c r="G75" s="47"/>
      <c r="H75" s="47"/>
      <c r="I75" s="75"/>
      <c r="J75" s="76"/>
      <c r="K75" s="76"/>
      <c r="L75" s="75"/>
      <c r="M75" s="49"/>
      <c r="N75" s="76"/>
      <c r="O75" s="49"/>
      <c r="P75" s="77"/>
      <c r="Q75" s="53"/>
      <c r="R75" s="54"/>
      <c r="S75" s="55"/>
      <c r="T75" s="56"/>
      <c r="U75" s="56"/>
      <c r="V75" s="42"/>
      <c r="W75" s="57"/>
      <c r="X75" s="58"/>
      <c r="Y75" s="75"/>
      <c r="Z75" s="59"/>
      <c r="AA75" s="61"/>
      <c r="AB75" s="61"/>
      <c r="AC75" s="61"/>
      <c r="AD75" s="62"/>
      <c r="AE75" s="62"/>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D75" s="34"/>
      <c r="BE75" s="34"/>
      <c r="BF75" s="34"/>
      <c r="BG75" s="34"/>
      <c r="BH75" s="34"/>
      <c r="BI75" s="34"/>
      <c r="BJ75" s="34"/>
      <c r="BK75" s="34"/>
      <c r="BL75" s="34"/>
      <c r="BM75" s="34"/>
      <c r="BN75" s="34"/>
      <c r="BO75" s="34"/>
      <c r="BP75" s="34"/>
      <c r="BQ75" s="34"/>
      <c r="BR75" s="34"/>
      <c r="BS75" s="34"/>
      <c r="BT75" s="34"/>
      <c r="BU75" s="34"/>
      <c r="BV75" s="34"/>
      <c r="BW75" s="34"/>
      <c r="BX75" s="34"/>
      <c r="BY75" s="34"/>
    </row>
    <row r="76" spans="1:77" x14ac:dyDescent="0.3">
      <c r="A76" s="39"/>
      <c r="B76" s="42"/>
      <c r="C76" s="42"/>
      <c r="D76" s="75"/>
      <c r="E76" s="75"/>
      <c r="F76" s="76"/>
      <c r="G76" s="47"/>
      <c r="H76" s="47"/>
      <c r="I76" s="75"/>
      <c r="J76" s="76"/>
      <c r="K76" s="76"/>
      <c r="L76" s="75"/>
      <c r="M76" s="49"/>
      <c r="N76" s="76"/>
      <c r="O76" s="49"/>
      <c r="P76" s="77"/>
      <c r="Q76" s="53"/>
      <c r="R76" s="54"/>
      <c r="S76" s="55"/>
      <c r="T76" s="56"/>
      <c r="U76" s="56"/>
      <c r="V76" s="42"/>
      <c r="W76" s="57"/>
      <c r="X76" s="58"/>
      <c r="Y76" s="75"/>
      <c r="Z76" s="59"/>
      <c r="AA76" s="61"/>
      <c r="AB76" s="61"/>
      <c r="AC76" s="61"/>
      <c r="AD76" s="62"/>
      <c r="AE76" s="62"/>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D76" s="34"/>
      <c r="BE76" s="34"/>
      <c r="BF76" s="34"/>
      <c r="BG76" s="34"/>
      <c r="BH76" s="34"/>
      <c r="BI76" s="34"/>
      <c r="BJ76" s="34"/>
      <c r="BK76" s="34"/>
      <c r="BL76" s="34"/>
      <c r="BM76" s="34"/>
      <c r="BN76" s="34"/>
      <c r="BO76" s="34"/>
      <c r="BP76" s="34"/>
      <c r="BQ76" s="34"/>
      <c r="BR76" s="34"/>
      <c r="BS76" s="34"/>
      <c r="BT76" s="34"/>
      <c r="BU76" s="34"/>
      <c r="BV76" s="34"/>
      <c r="BW76" s="34"/>
      <c r="BX76" s="34"/>
      <c r="BY76" s="34"/>
    </row>
    <row r="77" spans="1:77" x14ac:dyDescent="0.3">
      <c r="A77" s="39"/>
      <c r="B77" s="42"/>
      <c r="C77" s="42"/>
      <c r="D77" s="75"/>
      <c r="E77" s="75"/>
      <c r="F77" s="76"/>
      <c r="G77" s="47"/>
      <c r="H77" s="47"/>
      <c r="I77" s="75"/>
      <c r="J77" s="76"/>
      <c r="K77" s="76"/>
      <c r="L77" s="75"/>
      <c r="M77" s="49"/>
      <c r="N77" s="76"/>
      <c r="O77" s="49"/>
      <c r="P77" s="77"/>
      <c r="Q77" s="53"/>
      <c r="R77" s="54"/>
      <c r="S77" s="55"/>
      <c r="T77" s="56"/>
      <c r="U77" s="56"/>
      <c r="V77" s="42"/>
      <c r="W77" s="57"/>
      <c r="X77" s="58"/>
      <c r="Y77" s="75"/>
      <c r="Z77" s="59"/>
      <c r="AA77" s="61"/>
      <c r="AB77" s="61"/>
      <c r="AC77" s="61"/>
      <c r="AD77" s="62"/>
      <c r="AE77" s="62"/>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D77" s="34"/>
      <c r="BE77" s="34"/>
      <c r="BF77" s="34"/>
      <c r="BG77" s="34"/>
      <c r="BH77" s="34"/>
      <c r="BI77" s="34"/>
      <c r="BJ77" s="34"/>
      <c r="BK77" s="34"/>
      <c r="BL77" s="34"/>
      <c r="BM77" s="34"/>
      <c r="BN77" s="34"/>
      <c r="BO77" s="34"/>
      <c r="BP77" s="34"/>
      <c r="BQ77" s="34"/>
      <c r="BR77" s="34"/>
      <c r="BS77" s="34"/>
      <c r="BT77" s="34"/>
      <c r="BU77" s="34"/>
      <c r="BV77" s="34"/>
      <c r="BW77" s="34"/>
      <c r="BX77" s="34"/>
      <c r="BY77" s="34"/>
    </row>
    <row r="78" spans="1:77" x14ac:dyDescent="0.3">
      <c r="A78" s="39"/>
      <c r="B78" s="42"/>
      <c r="C78" s="42"/>
      <c r="D78" s="75"/>
      <c r="E78" s="75"/>
      <c r="F78" s="76"/>
      <c r="G78" s="47"/>
      <c r="H78" s="47"/>
      <c r="I78" s="75"/>
      <c r="J78" s="76"/>
      <c r="K78" s="76"/>
      <c r="L78" s="75"/>
      <c r="M78" s="49"/>
      <c r="N78" s="76"/>
      <c r="O78" s="49"/>
      <c r="P78" s="77"/>
      <c r="Q78" s="53"/>
      <c r="R78" s="54"/>
      <c r="S78" s="55"/>
      <c r="T78" s="56"/>
      <c r="U78" s="56"/>
      <c r="V78" s="42"/>
      <c r="W78" s="57"/>
      <c r="X78" s="58"/>
      <c r="Y78" s="75"/>
      <c r="Z78" s="59"/>
      <c r="AA78" s="61"/>
      <c r="AB78" s="61"/>
      <c r="AC78" s="61"/>
      <c r="AD78" s="62"/>
      <c r="AE78" s="62"/>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D78" s="34"/>
      <c r="BE78" s="34"/>
      <c r="BF78" s="34"/>
      <c r="BG78" s="34"/>
      <c r="BH78" s="34"/>
      <c r="BI78" s="34"/>
      <c r="BJ78" s="34"/>
      <c r="BK78" s="34"/>
      <c r="BL78" s="34"/>
      <c r="BM78" s="34"/>
      <c r="BN78" s="34"/>
      <c r="BO78" s="34"/>
      <c r="BP78" s="34"/>
      <c r="BQ78" s="34"/>
      <c r="BR78" s="34"/>
      <c r="BS78" s="34"/>
      <c r="BT78" s="34"/>
      <c r="BU78" s="34"/>
      <c r="BV78" s="34"/>
      <c r="BW78" s="34"/>
      <c r="BX78" s="34"/>
      <c r="BY78" s="34"/>
    </row>
    <row r="79" spans="1:77" x14ac:dyDescent="0.3">
      <c r="A79" s="39"/>
      <c r="B79" s="42"/>
      <c r="C79" s="42"/>
      <c r="D79" s="75"/>
      <c r="E79" s="75"/>
      <c r="F79" s="76"/>
      <c r="G79" s="47"/>
      <c r="H79" s="47"/>
      <c r="I79" s="75"/>
      <c r="J79" s="76"/>
      <c r="K79" s="76"/>
      <c r="L79" s="75"/>
      <c r="M79" s="49"/>
      <c r="N79" s="76"/>
      <c r="O79" s="49"/>
      <c r="P79" s="77"/>
      <c r="Q79" s="53"/>
      <c r="R79" s="54"/>
      <c r="S79" s="55"/>
      <c r="T79" s="56"/>
      <c r="U79" s="56"/>
      <c r="V79" s="42"/>
      <c r="W79" s="57"/>
      <c r="X79" s="58"/>
      <c r="Y79" s="75"/>
      <c r="Z79" s="59"/>
      <c r="AA79" s="61"/>
      <c r="AB79" s="61"/>
      <c r="AC79" s="61"/>
      <c r="AD79" s="62"/>
      <c r="AE79" s="62"/>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D79" s="34"/>
      <c r="BE79" s="34"/>
      <c r="BF79" s="34"/>
      <c r="BG79" s="34"/>
      <c r="BH79" s="34"/>
      <c r="BI79" s="34"/>
      <c r="BJ79" s="34"/>
      <c r="BK79" s="34"/>
      <c r="BL79" s="34"/>
      <c r="BM79" s="34"/>
      <c r="BN79" s="34"/>
      <c r="BO79" s="34"/>
      <c r="BP79" s="34"/>
      <c r="BQ79" s="34"/>
      <c r="BR79" s="34"/>
      <c r="BS79" s="34"/>
      <c r="BT79" s="34"/>
      <c r="BU79" s="34"/>
      <c r="BV79" s="34"/>
      <c r="BW79" s="34"/>
      <c r="BX79" s="34"/>
      <c r="BY79" s="34"/>
    </row>
    <row r="80" spans="1:77" x14ac:dyDescent="0.3">
      <c r="A80" s="39"/>
      <c r="B80" s="42"/>
      <c r="C80" s="42"/>
      <c r="D80" s="75"/>
      <c r="E80" s="75"/>
      <c r="F80" s="76"/>
      <c r="G80" s="47"/>
      <c r="H80" s="47"/>
      <c r="I80" s="75"/>
      <c r="J80" s="76"/>
      <c r="K80" s="76"/>
      <c r="L80" s="75"/>
      <c r="M80" s="49"/>
      <c r="N80" s="76"/>
      <c r="O80" s="49"/>
      <c r="P80" s="77"/>
      <c r="Q80" s="53"/>
      <c r="R80" s="54"/>
      <c r="S80" s="55"/>
      <c r="T80" s="56"/>
      <c r="U80" s="56"/>
      <c r="V80" s="42"/>
      <c r="W80" s="57"/>
      <c r="X80" s="58"/>
      <c r="Y80" s="75"/>
      <c r="Z80" s="59"/>
      <c r="AA80" s="61"/>
      <c r="AB80" s="61"/>
      <c r="AC80" s="61"/>
      <c r="AD80" s="62"/>
      <c r="AE80" s="62"/>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D80" s="34"/>
      <c r="BE80" s="34"/>
      <c r="BF80" s="34"/>
      <c r="BG80" s="34"/>
      <c r="BH80" s="34"/>
      <c r="BI80" s="34"/>
      <c r="BJ80" s="34"/>
      <c r="BK80" s="34"/>
      <c r="BL80" s="34"/>
      <c r="BM80" s="34"/>
      <c r="BN80" s="34"/>
      <c r="BO80" s="34"/>
      <c r="BP80" s="34"/>
      <c r="BQ80" s="34"/>
      <c r="BR80" s="34"/>
      <c r="BS80" s="34"/>
      <c r="BT80" s="34"/>
      <c r="BU80" s="34"/>
      <c r="BV80" s="34"/>
      <c r="BW80" s="34"/>
      <c r="BX80" s="34"/>
      <c r="BY80" s="34"/>
    </row>
    <row r="81" spans="1:77" x14ac:dyDescent="0.3">
      <c r="A81" s="39"/>
      <c r="B81" s="42"/>
      <c r="C81" s="42"/>
      <c r="D81" s="75"/>
      <c r="E81" s="75"/>
      <c r="F81" s="76"/>
      <c r="G81" s="47"/>
      <c r="H81" s="47"/>
      <c r="I81" s="75"/>
      <c r="J81" s="76"/>
      <c r="K81" s="76"/>
      <c r="L81" s="75"/>
      <c r="M81" s="49"/>
      <c r="N81" s="76"/>
      <c r="O81" s="49"/>
      <c r="P81" s="77"/>
      <c r="Q81" s="53"/>
      <c r="R81" s="54"/>
      <c r="S81" s="55"/>
      <c r="T81" s="56"/>
      <c r="U81" s="56"/>
      <c r="V81" s="42"/>
      <c r="W81" s="57"/>
      <c r="X81" s="58"/>
      <c r="Y81" s="75"/>
      <c r="Z81" s="59"/>
      <c r="AA81" s="61"/>
      <c r="AB81" s="61"/>
      <c r="AC81" s="61"/>
      <c r="AD81" s="62"/>
      <c r="AE81" s="62"/>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D81" s="34"/>
      <c r="BE81" s="34"/>
      <c r="BF81" s="34"/>
      <c r="BG81" s="34"/>
      <c r="BH81" s="34"/>
      <c r="BI81" s="34"/>
      <c r="BJ81" s="34"/>
      <c r="BK81" s="34"/>
      <c r="BL81" s="34"/>
      <c r="BM81" s="34"/>
      <c r="BN81" s="34"/>
      <c r="BO81" s="34"/>
      <c r="BP81" s="34"/>
      <c r="BQ81" s="34"/>
      <c r="BR81" s="34"/>
      <c r="BS81" s="34"/>
      <c r="BT81" s="34"/>
      <c r="BU81" s="34"/>
      <c r="BV81" s="34"/>
      <c r="BW81" s="34"/>
      <c r="BX81" s="34"/>
      <c r="BY81" s="34"/>
    </row>
    <row r="82" spans="1:77" x14ac:dyDescent="0.3">
      <c r="A82" s="39"/>
      <c r="B82" s="42"/>
      <c r="C82" s="42"/>
      <c r="D82" s="75"/>
      <c r="E82" s="75"/>
      <c r="F82" s="76"/>
      <c r="G82" s="47"/>
      <c r="H82" s="47"/>
      <c r="I82" s="75"/>
      <c r="J82" s="76"/>
      <c r="K82" s="76"/>
      <c r="L82" s="75"/>
      <c r="M82" s="49"/>
      <c r="N82" s="76"/>
      <c r="O82" s="49"/>
      <c r="P82" s="77"/>
      <c r="Q82" s="53"/>
      <c r="R82" s="54"/>
      <c r="S82" s="55"/>
      <c r="T82" s="56"/>
      <c r="U82" s="56"/>
      <c r="V82" s="42"/>
      <c r="W82" s="57"/>
      <c r="X82" s="58"/>
      <c r="Y82" s="75"/>
      <c r="Z82" s="59"/>
      <c r="AA82" s="61"/>
      <c r="AB82" s="61"/>
      <c r="AC82" s="61"/>
      <c r="AD82" s="62"/>
      <c r="AE82" s="62"/>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D82" s="34"/>
      <c r="BE82" s="34"/>
      <c r="BF82" s="34"/>
      <c r="BG82" s="34"/>
      <c r="BH82" s="34"/>
      <c r="BI82" s="34"/>
      <c r="BJ82" s="34"/>
      <c r="BK82" s="34"/>
      <c r="BL82" s="34"/>
      <c r="BM82" s="34"/>
      <c r="BN82" s="34"/>
      <c r="BO82" s="34"/>
      <c r="BP82" s="34"/>
      <c r="BQ82" s="34"/>
      <c r="BR82" s="34"/>
      <c r="BS82" s="34"/>
      <c r="BT82" s="34"/>
      <c r="BU82" s="34"/>
      <c r="BV82" s="34"/>
      <c r="BW82" s="34"/>
      <c r="BX82" s="34"/>
      <c r="BY82" s="34"/>
    </row>
    <row r="83" spans="1:77" x14ac:dyDescent="0.3">
      <c r="A83" s="39"/>
      <c r="B83" s="42"/>
      <c r="C83" s="42"/>
      <c r="D83" s="75"/>
      <c r="E83" s="75"/>
      <c r="F83" s="76"/>
      <c r="G83" s="47"/>
      <c r="H83" s="47"/>
      <c r="I83" s="75"/>
      <c r="J83" s="76"/>
      <c r="K83" s="76"/>
      <c r="L83" s="75"/>
      <c r="M83" s="49"/>
      <c r="N83" s="76"/>
      <c r="O83" s="49"/>
      <c r="P83" s="77"/>
      <c r="Q83" s="53"/>
      <c r="R83" s="54"/>
      <c r="S83" s="55"/>
      <c r="T83" s="56"/>
      <c r="U83" s="56"/>
      <c r="V83" s="42"/>
      <c r="W83" s="57"/>
      <c r="X83" s="58"/>
      <c r="Y83" s="75"/>
      <c r="Z83" s="59"/>
      <c r="AA83" s="61"/>
      <c r="AB83" s="61"/>
      <c r="AC83" s="61"/>
      <c r="AD83" s="62"/>
      <c r="AE83" s="62"/>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D83" s="34"/>
      <c r="BE83" s="34"/>
      <c r="BF83" s="34"/>
      <c r="BG83" s="34"/>
      <c r="BH83" s="34"/>
      <c r="BI83" s="34"/>
      <c r="BJ83" s="34"/>
      <c r="BK83" s="34"/>
      <c r="BL83" s="34"/>
      <c r="BM83" s="34"/>
      <c r="BN83" s="34"/>
      <c r="BO83" s="34"/>
      <c r="BP83" s="34"/>
      <c r="BQ83" s="34"/>
      <c r="BR83" s="34"/>
      <c r="BS83" s="34"/>
      <c r="BT83" s="34"/>
      <c r="BU83" s="34"/>
      <c r="BV83" s="34"/>
      <c r="BW83" s="34"/>
      <c r="BX83" s="34"/>
      <c r="BY83" s="34"/>
    </row>
    <row r="84" spans="1:77" x14ac:dyDescent="0.3">
      <c r="A84" s="39"/>
      <c r="B84" s="42"/>
      <c r="C84" s="42"/>
      <c r="D84" s="75"/>
      <c r="E84" s="75"/>
      <c r="F84" s="76"/>
      <c r="G84" s="47"/>
      <c r="H84" s="47"/>
      <c r="I84" s="75"/>
      <c r="J84" s="76"/>
      <c r="K84" s="76"/>
      <c r="L84" s="75"/>
      <c r="M84" s="49"/>
      <c r="N84" s="76"/>
      <c r="O84" s="49"/>
      <c r="P84" s="77"/>
      <c r="Q84" s="53"/>
      <c r="R84" s="54"/>
      <c r="S84" s="55"/>
      <c r="T84" s="56"/>
      <c r="U84" s="56"/>
      <c r="V84" s="42"/>
      <c r="W84" s="57"/>
      <c r="X84" s="58"/>
      <c r="Y84" s="75"/>
      <c r="Z84" s="59"/>
      <c r="AA84" s="61"/>
      <c r="AB84" s="61"/>
      <c r="AC84" s="61"/>
      <c r="AD84" s="62"/>
      <c r="AE84" s="62"/>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D84" s="34"/>
      <c r="BE84" s="34"/>
      <c r="BF84" s="34"/>
      <c r="BG84" s="34"/>
      <c r="BH84" s="34"/>
      <c r="BI84" s="34"/>
      <c r="BJ84" s="34"/>
      <c r="BK84" s="34"/>
      <c r="BL84" s="34"/>
      <c r="BM84" s="34"/>
      <c r="BN84" s="34"/>
      <c r="BO84" s="34"/>
      <c r="BP84" s="34"/>
      <c r="BQ84" s="34"/>
      <c r="BR84" s="34"/>
      <c r="BS84" s="34"/>
      <c r="BT84" s="34"/>
      <c r="BU84" s="34"/>
      <c r="BV84" s="34"/>
      <c r="BW84" s="34"/>
      <c r="BX84" s="34"/>
      <c r="BY84" s="34"/>
    </row>
    <row r="85" spans="1:77" x14ac:dyDescent="0.3">
      <c r="A85" s="39"/>
      <c r="B85" s="42"/>
      <c r="C85" s="42"/>
      <c r="D85" s="75"/>
      <c r="E85" s="75"/>
      <c r="F85" s="76"/>
      <c r="G85" s="47"/>
      <c r="H85" s="47"/>
      <c r="I85" s="75"/>
      <c r="J85" s="76"/>
      <c r="K85" s="76"/>
      <c r="L85" s="75"/>
      <c r="M85" s="49"/>
      <c r="N85" s="76"/>
      <c r="O85" s="49"/>
      <c r="P85" s="77"/>
      <c r="Q85" s="53"/>
      <c r="R85" s="54"/>
      <c r="S85" s="55"/>
      <c r="T85" s="56"/>
      <c r="U85" s="56"/>
      <c r="V85" s="42"/>
      <c r="W85" s="57"/>
      <c r="X85" s="58"/>
      <c r="Y85" s="75"/>
      <c r="Z85" s="59"/>
      <c r="AA85" s="61"/>
      <c r="AB85" s="61"/>
      <c r="AC85" s="61"/>
      <c r="AD85" s="62"/>
      <c r="AE85" s="62"/>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D85" s="34"/>
      <c r="BE85" s="34"/>
      <c r="BF85" s="34"/>
      <c r="BG85" s="34"/>
      <c r="BH85" s="34"/>
      <c r="BI85" s="34"/>
      <c r="BJ85" s="34"/>
      <c r="BK85" s="34"/>
      <c r="BL85" s="34"/>
      <c r="BM85" s="34"/>
      <c r="BN85" s="34"/>
      <c r="BO85" s="34"/>
      <c r="BP85" s="34"/>
      <c r="BQ85" s="34"/>
      <c r="BR85" s="34"/>
      <c r="BS85" s="34"/>
      <c r="BT85" s="34"/>
      <c r="BU85" s="34"/>
      <c r="BV85" s="34"/>
      <c r="BW85" s="34"/>
      <c r="BX85" s="34"/>
      <c r="BY85" s="34"/>
    </row>
    <row r="86" spans="1:77" x14ac:dyDescent="0.3">
      <c r="A86" s="39"/>
      <c r="B86" s="42"/>
      <c r="C86" s="42"/>
      <c r="D86" s="75"/>
      <c r="E86" s="75"/>
      <c r="F86" s="76"/>
      <c r="G86" s="47"/>
      <c r="H86" s="47"/>
      <c r="I86" s="75"/>
      <c r="J86" s="76"/>
      <c r="K86" s="76"/>
      <c r="L86" s="75"/>
      <c r="M86" s="49"/>
      <c r="N86" s="76"/>
      <c r="O86" s="49"/>
      <c r="P86" s="77"/>
      <c r="Q86" s="53"/>
      <c r="R86" s="54"/>
      <c r="S86" s="55"/>
      <c r="T86" s="56"/>
      <c r="U86" s="56"/>
      <c r="V86" s="42"/>
      <c r="W86" s="57"/>
      <c r="X86" s="58"/>
      <c r="Y86" s="75"/>
      <c r="Z86" s="59"/>
      <c r="AA86" s="61"/>
      <c r="AB86" s="61"/>
      <c r="AC86" s="61"/>
      <c r="AD86" s="62"/>
      <c r="AE86" s="62"/>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D86" s="34"/>
      <c r="BE86" s="34"/>
      <c r="BF86" s="34"/>
      <c r="BG86" s="34"/>
      <c r="BH86" s="34"/>
      <c r="BI86" s="34"/>
      <c r="BJ86" s="34"/>
      <c r="BK86" s="34"/>
      <c r="BL86" s="34"/>
      <c r="BM86" s="34"/>
      <c r="BN86" s="34"/>
      <c r="BO86" s="34"/>
      <c r="BP86" s="34"/>
      <c r="BQ86" s="34"/>
      <c r="BR86" s="34"/>
      <c r="BS86" s="34"/>
      <c r="BT86" s="34"/>
      <c r="BU86" s="34"/>
      <c r="BV86" s="34"/>
      <c r="BW86" s="34"/>
      <c r="BX86" s="34"/>
      <c r="BY86" s="34"/>
    </row>
    <row r="87" spans="1:77" x14ac:dyDescent="0.3">
      <c r="A87" s="39"/>
      <c r="B87" s="42"/>
      <c r="C87" s="42"/>
      <c r="D87" s="75"/>
      <c r="E87" s="75"/>
      <c r="F87" s="76"/>
      <c r="G87" s="47"/>
      <c r="H87" s="47"/>
      <c r="I87" s="75"/>
      <c r="J87" s="76"/>
      <c r="K87" s="76"/>
      <c r="L87" s="75"/>
      <c r="M87" s="49"/>
      <c r="N87" s="76"/>
      <c r="O87" s="49"/>
      <c r="P87" s="77"/>
      <c r="Q87" s="53"/>
      <c r="R87" s="54"/>
      <c r="S87" s="55"/>
      <c r="T87" s="56"/>
      <c r="U87" s="56"/>
      <c r="V87" s="42"/>
      <c r="W87" s="57"/>
      <c r="X87" s="58"/>
      <c r="Y87" s="75"/>
      <c r="Z87" s="59"/>
      <c r="AA87" s="61"/>
      <c r="AB87" s="61"/>
      <c r="AC87" s="61"/>
      <c r="AD87" s="62"/>
      <c r="AE87" s="62"/>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D87" s="34"/>
      <c r="BE87" s="34"/>
      <c r="BF87" s="34"/>
      <c r="BG87" s="34"/>
      <c r="BH87" s="34"/>
      <c r="BI87" s="34"/>
      <c r="BJ87" s="34"/>
      <c r="BK87" s="34"/>
      <c r="BL87" s="34"/>
      <c r="BM87" s="34"/>
      <c r="BN87" s="34"/>
      <c r="BO87" s="34"/>
      <c r="BP87" s="34"/>
      <c r="BQ87" s="34"/>
      <c r="BR87" s="34"/>
      <c r="BS87" s="34"/>
      <c r="BT87" s="34"/>
      <c r="BU87" s="34"/>
      <c r="BV87" s="34"/>
      <c r="BW87" s="34"/>
      <c r="BX87" s="34"/>
      <c r="BY87" s="34"/>
    </row>
    <row r="88" spans="1:77" x14ac:dyDescent="0.3">
      <c r="A88" s="39"/>
      <c r="B88" s="42"/>
      <c r="C88" s="42"/>
      <c r="D88" s="75"/>
      <c r="E88" s="75"/>
      <c r="F88" s="76"/>
      <c r="G88" s="47"/>
      <c r="H88" s="47"/>
      <c r="I88" s="75"/>
      <c r="J88" s="76"/>
      <c r="K88" s="76"/>
      <c r="L88" s="75"/>
      <c r="M88" s="49"/>
      <c r="N88" s="76"/>
      <c r="O88" s="49"/>
      <c r="P88" s="77"/>
      <c r="Q88" s="53"/>
      <c r="R88" s="54"/>
      <c r="S88" s="55"/>
      <c r="T88" s="56"/>
      <c r="U88" s="56"/>
      <c r="V88" s="42"/>
      <c r="W88" s="57"/>
      <c r="X88" s="58"/>
      <c r="Y88" s="75"/>
      <c r="Z88" s="59"/>
      <c r="AA88" s="61"/>
      <c r="AB88" s="61"/>
      <c r="AC88" s="61"/>
      <c r="AD88" s="62"/>
      <c r="AE88" s="62"/>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D88" s="34"/>
      <c r="BE88" s="34"/>
      <c r="BF88" s="34"/>
      <c r="BG88" s="34"/>
      <c r="BH88" s="34"/>
      <c r="BI88" s="34"/>
      <c r="BJ88" s="34"/>
      <c r="BK88" s="34"/>
      <c r="BL88" s="34"/>
      <c r="BM88" s="34"/>
      <c r="BN88" s="34"/>
      <c r="BO88" s="34"/>
      <c r="BP88" s="34"/>
      <c r="BQ88" s="34"/>
      <c r="BR88" s="34"/>
      <c r="BS88" s="34"/>
      <c r="BT88" s="34"/>
      <c r="BU88" s="34"/>
      <c r="BV88" s="34"/>
      <c r="BW88" s="34"/>
      <c r="BX88" s="34"/>
      <c r="BY88" s="34"/>
    </row>
    <row r="89" spans="1:77" x14ac:dyDescent="0.3">
      <c r="A89" s="39"/>
      <c r="B89" s="42"/>
      <c r="C89" s="42"/>
      <c r="D89" s="75"/>
      <c r="E89" s="75"/>
      <c r="F89" s="76"/>
      <c r="G89" s="47"/>
      <c r="H89" s="47"/>
      <c r="I89" s="75"/>
      <c r="J89" s="76"/>
      <c r="K89" s="76"/>
      <c r="L89" s="75"/>
      <c r="M89" s="49"/>
      <c r="N89" s="76"/>
      <c r="O89" s="49"/>
      <c r="P89" s="77"/>
      <c r="Q89" s="53"/>
      <c r="R89" s="54"/>
      <c r="S89" s="55"/>
      <c r="T89" s="56"/>
      <c r="U89" s="56"/>
      <c r="V89" s="42"/>
      <c r="W89" s="57"/>
      <c r="X89" s="58"/>
      <c r="Y89" s="75"/>
      <c r="Z89" s="59"/>
      <c r="AA89" s="61"/>
      <c r="AB89" s="61"/>
      <c r="AC89" s="61"/>
      <c r="AD89" s="62"/>
      <c r="AE89" s="62"/>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D89" s="34"/>
      <c r="BE89" s="34"/>
      <c r="BF89" s="34"/>
      <c r="BG89" s="34"/>
      <c r="BH89" s="34"/>
      <c r="BI89" s="34"/>
      <c r="BJ89" s="34"/>
      <c r="BK89" s="34"/>
      <c r="BL89" s="34"/>
      <c r="BM89" s="34"/>
      <c r="BN89" s="34"/>
      <c r="BO89" s="34"/>
      <c r="BP89" s="34"/>
      <c r="BQ89" s="34"/>
      <c r="BR89" s="34"/>
      <c r="BS89" s="34"/>
      <c r="BT89" s="34"/>
      <c r="BU89" s="34"/>
      <c r="BV89" s="34"/>
      <c r="BW89" s="34"/>
      <c r="BX89" s="34"/>
      <c r="BY89" s="34"/>
    </row>
    <row r="90" spans="1:77" x14ac:dyDescent="0.3">
      <c r="A90" s="39"/>
      <c r="B90" s="42"/>
      <c r="C90" s="42"/>
      <c r="D90" s="75"/>
      <c r="E90" s="75"/>
      <c r="F90" s="76"/>
      <c r="G90" s="47"/>
      <c r="H90" s="47"/>
      <c r="I90" s="75"/>
      <c r="J90" s="76"/>
      <c r="K90" s="76"/>
      <c r="L90" s="75"/>
      <c r="M90" s="49"/>
      <c r="N90" s="76"/>
      <c r="O90" s="49"/>
      <c r="P90" s="77"/>
      <c r="Q90" s="53"/>
      <c r="R90" s="54"/>
      <c r="S90" s="55"/>
      <c r="T90" s="56"/>
      <c r="U90" s="56"/>
      <c r="V90" s="42"/>
      <c r="W90" s="57"/>
      <c r="X90" s="58"/>
      <c r="Y90" s="75"/>
      <c r="Z90" s="59"/>
      <c r="AA90" s="61"/>
      <c r="AB90" s="61"/>
      <c r="AC90" s="61"/>
      <c r="AD90" s="62"/>
      <c r="AE90" s="62"/>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D90" s="34"/>
      <c r="BE90" s="34"/>
      <c r="BF90" s="34"/>
      <c r="BG90" s="34"/>
      <c r="BH90" s="34"/>
      <c r="BI90" s="34"/>
      <c r="BJ90" s="34"/>
      <c r="BK90" s="34"/>
      <c r="BL90" s="34"/>
      <c r="BM90" s="34"/>
      <c r="BN90" s="34"/>
      <c r="BO90" s="34"/>
      <c r="BP90" s="34"/>
      <c r="BQ90" s="34"/>
      <c r="BR90" s="34"/>
      <c r="BS90" s="34"/>
      <c r="BT90" s="34"/>
      <c r="BU90" s="34"/>
      <c r="BV90" s="34"/>
      <c r="BW90" s="34"/>
      <c r="BX90" s="34"/>
      <c r="BY90" s="34"/>
    </row>
    <row r="91" spans="1:77" x14ac:dyDescent="0.3">
      <c r="A91" s="39"/>
      <c r="B91" s="42"/>
      <c r="C91" s="42"/>
      <c r="D91" s="75"/>
      <c r="E91" s="75"/>
      <c r="F91" s="76"/>
      <c r="G91" s="47"/>
      <c r="H91" s="47"/>
      <c r="I91" s="75"/>
      <c r="J91" s="76"/>
      <c r="K91" s="76"/>
      <c r="L91" s="75"/>
      <c r="M91" s="49"/>
      <c r="N91" s="76"/>
      <c r="O91" s="49"/>
      <c r="P91" s="77"/>
      <c r="Q91" s="53"/>
      <c r="R91" s="54"/>
      <c r="S91" s="55"/>
      <c r="T91" s="56"/>
      <c r="U91" s="56"/>
      <c r="V91" s="42"/>
      <c r="W91" s="57"/>
      <c r="X91" s="58"/>
      <c r="Y91" s="75"/>
      <c r="Z91" s="59"/>
      <c r="AA91" s="61"/>
      <c r="AB91" s="61"/>
      <c r="AC91" s="61"/>
      <c r="AD91" s="62"/>
      <c r="AE91" s="62"/>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D91" s="34"/>
      <c r="BE91" s="34"/>
      <c r="BF91" s="34"/>
      <c r="BG91" s="34"/>
      <c r="BH91" s="34"/>
      <c r="BI91" s="34"/>
      <c r="BJ91" s="34"/>
      <c r="BK91" s="34"/>
      <c r="BL91" s="34"/>
      <c r="BM91" s="34"/>
      <c r="BN91" s="34"/>
      <c r="BO91" s="34"/>
      <c r="BP91" s="34"/>
      <c r="BQ91" s="34"/>
      <c r="BR91" s="34"/>
      <c r="BS91" s="34"/>
      <c r="BT91" s="34"/>
      <c r="BU91" s="34"/>
      <c r="BV91" s="34"/>
      <c r="BW91" s="34"/>
      <c r="BX91" s="34"/>
      <c r="BY91" s="34"/>
    </row>
    <row r="92" spans="1:77" x14ac:dyDescent="0.3">
      <c r="A92" s="39"/>
      <c r="B92" s="42"/>
      <c r="C92" s="42"/>
      <c r="D92" s="75"/>
      <c r="E92" s="75"/>
      <c r="F92" s="76"/>
      <c r="G92" s="47"/>
      <c r="H92" s="47"/>
      <c r="I92" s="75"/>
      <c r="J92" s="76"/>
      <c r="K92" s="76"/>
      <c r="L92" s="75"/>
      <c r="M92" s="49"/>
      <c r="N92" s="76"/>
      <c r="O92" s="49"/>
      <c r="P92" s="77"/>
      <c r="Q92" s="53"/>
      <c r="R92" s="54"/>
      <c r="S92" s="55"/>
      <c r="T92" s="56"/>
      <c r="U92" s="56"/>
      <c r="V92" s="42"/>
      <c r="W92" s="57"/>
      <c r="X92" s="58"/>
      <c r="Y92" s="75"/>
      <c r="Z92" s="59"/>
      <c r="AA92" s="61"/>
      <c r="AB92" s="61"/>
      <c r="AC92" s="61"/>
      <c r="AD92" s="62"/>
      <c r="AE92" s="62"/>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D92" s="34"/>
      <c r="BE92" s="34"/>
      <c r="BF92" s="34"/>
      <c r="BG92" s="34"/>
      <c r="BH92" s="34"/>
      <c r="BI92" s="34"/>
      <c r="BJ92" s="34"/>
      <c r="BK92" s="34"/>
      <c r="BL92" s="34"/>
      <c r="BM92" s="34"/>
      <c r="BN92" s="34"/>
      <c r="BO92" s="34"/>
      <c r="BP92" s="34"/>
      <c r="BQ92" s="34"/>
      <c r="BR92" s="34"/>
      <c r="BS92" s="34"/>
      <c r="BT92" s="34"/>
      <c r="BU92" s="34"/>
      <c r="BV92" s="34"/>
      <c r="BW92" s="34"/>
      <c r="BX92" s="34"/>
      <c r="BY92" s="34"/>
    </row>
    <row r="93" spans="1:77" x14ac:dyDescent="0.3">
      <c r="A93" s="39"/>
      <c r="B93" s="42"/>
      <c r="C93" s="42"/>
      <c r="D93" s="75"/>
      <c r="E93" s="75"/>
      <c r="F93" s="76"/>
      <c r="G93" s="47"/>
      <c r="H93" s="47"/>
      <c r="I93" s="75"/>
      <c r="J93" s="76"/>
      <c r="K93" s="76"/>
      <c r="L93" s="75"/>
      <c r="M93" s="49"/>
      <c r="N93" s="76"/>
      <c r="O93" s="49"/>
      <c r="P93" s="77"/>
      <c r="Q93" s="53"/>
      <c r="R93" s="54"/>
      <c r="S93" s="55"/>
      <c r="T93" s="56"/>
      <c r="U93" s="56"/>
      <c r="V93" s="42"/>
      <c r="W93" s="57"/>
      <c r="X93" s="58"/>
      <c r="Y93" s="75"/>
      <c r="Z93" s="59"/>
      <c r="AA93" s="61"/>
      <c r="AB93" s="61"/>
      <c r="AC93" s="61"/>
      <c r="AD93" s="62"/>
      <c r="AE93" s="62"/>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D93" s="34"/>
      <c r="BE93" s="34"/>
      <c r="BF93" s="34"/>
      <c r="BG93" s="34"/>
      <c r="BH93" s="34"/>
      <c r="BI93" s="34"/>
      <c r="BJ93" s="34"/>
      <c r="BK93" s="34"/>
      <c r="BL93" s="34"/>
      <c r="BM93" s="34"/>
      <c r="BN93" s="34"/>
      <c r="BO93" s="34"/>
      <c r="BP93" s="34"/>
      <c r="BQ93" s="34"/>
      <c r="BR93" s="34"/>
      <c r="BS93" s="34"/>
      <c r="BT93" s="34"/>
      <c r="BU93" s="34"/>
      <c r="BV93" s="34"/>
      <c r="BW93" s="34"/>
      <c r="BX93" s="34"/>
      <c r="BY93" s="34"/>
    </row>
    <row r="94" spans="1:77" x14ac:dyDescent="0.3">
      <c r="A94" s="39"/>
      <c r="B94" s="42"/>
      <c r="C94" s="42"/>
      <c r="D94" s="75"/>
      <c r="E94" s="75"/>
      <c r="F94" s="76"/>
      <c r="G94" s="47"/>
      <c r="H94" s="47"/>
      <c r="I94" s="75"/>
      <c r="J94" s="76"/>
      <c r="K94" s="76"/>
      <c r="L94" s="75"/>
      <c r="M94" s="49"/>
      <c r="N94" s="76"/>
      <c r="O94" s="49"/>
      <c r="P94" s="77"/>
      <c r="Q94" s="53"/>
      <c r="R94" s="54"/>
      <c r="S94" s="55"/>
      <c r="T94" s="56"/>
      <c r="U94" s="56"/>
      <c r="V94" s="42"/>
      <c r="W94" s="57"/>
      <c r="X94" s="58"/>
      <c r="Y94" s="75"/>
      <c r="Z94" s="59"/>
      <c r="AA94" s="61"/>
      <c r="AB94" s="61"/>
      <c r="AC94" s="61"/>
      <c r="AD94" s="62"/>
      <c r="AE94" s="62"/>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D94" s="34"/>
      <c r="BE94" s="34"/>
      <c r="BF94" s="34"/>
      <c r="BG94" s="34"/>
      <c r="BH94" s="34"/>
      <c r="BI94" s="34"/>
      <c r="BJ94" s="34"/>
      <c r="BK94" s="34"/>
      <c r="BL94" s="34"/>
      <c r="BM94" s="34"/>
      <c r="BN94" s="34"/>
      <c r="BO94" s="34"/>
      <c r="BP94" s="34"/>
      <c r="BQ94" s="34"/>
      <c r="BR94" s="34"/>
      <c r="BS94" s="34"/>
      <c r="BT94" s="34"/>
      <c r="BU94" s="34"/>
      <c r="BV94" s="34"/>
      <c r="BW94" s="34"/>
      <c r="BX94" s="34"/>
      <c r="BY94" s="34"/>
    </row>
    <row r="95" spans="1:77" x14ac:dyDescent="0.3">
      <c r="A95" s="39"/>
      <c r="B95" s="42"/>
      <c r="C95" s="42"/>
      <c r="D95" s="75"/>
      <c r="E95" s="75"/>
      <c r="F95" s="76"/>
      <c r="G95" s="47"/>
      <c r="H95" s="47"/>
      <c r="I95" s="75"/>
      <c r="J95" s="76"/>
      <c r="K95" s="76"/>
      <c r="L95" s="75"/>
      <c r="M95" s="49"/>
      <c r="N95" s="76"/>
      <c r="O95" s="49"/>
      <c r="P95" s="77"/>
      <c r="Q95" s="53"/>
      <c r="R95" s="54"/>
      <c r="S95" s="55"/>
      <c r="T95" s="56"/>
      <c r="U95" s="56"/>
      <c r="V95" s="42"/>
      <c r="W95" s="57"/>
      <c r="X95" s="58"/>
      <c r="Y95" s="75"/>
      <c r="Z95" s="59"/>
      <c r="AA95" s="61"/>
      <c r="AB95" s="61"/>
      <c r="AC95" s="61"/>
      <c r="AD95" s="62"/>
      <c r="AE95" s="62"/>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D95" s="34"/>
      <c r="BE95" s="34"/>
      <c r="BF95" s="34"/>
      <c r="BG95" s="34"/>
      <c r="BH95" s="34"/>
      <c r="BI95" s="34"/>
      <c r="BJ95" s="34"/>
      <c r="BK95" s="34"/>
      <c r="BL95" s="34"/>
      <c r="BM95" s="34"/>
      <c r="BN95" s="34"/>
      <c r="BO95" s="34"/>
      <c r="BP95" s="34"/>
      <c r="BQ95" s="34"/>
      <c r="BR95" s="34"/>
      <c r="BS95" s="34"/>
      <c r="BT95" s="34"/>
      <c r="BU95" s="34"/>
      <c r="BV95" s="34"/>
      <c r="BW95" s="34"/>
      <c r="BX95" s="34"/>
      <c r="BY95" s="34"/>
    </row>
    <row r="96" spans="1:77" x14ac:dyDescent="0.3">
      <c r="A96" s="39"/>
      <c r="B96" s="42"/>
      <c r="C96" s="42"/>
      <c r="D96" s="75"/>
      <c r="E96" s="75"/>
      <c r="F96" s="76"/>
      <c r="G96" s="47"/>
      <c r="H96" s="47"/>
      <c r="I96" s="75"/>
      <c r="J96" s="76"/>
      <c r="K96" s="76"/>
      <c r="L96" s="75"/>
      <c r="M96" s="49"/>
      <c r="N96" s="76"/>
      <c r="O96" s="49"/>
      <c r="P96" s="77"/>
      <c r="Q96" s="53"/>
      <c r="R96" s="54"/>
      <c r="S96" s="55"/>
      <c r="T96" s="56"/>
      <c r="U96" s="56"/>
      <c r="V96" s="42"/>
      <c r="W96" s="57"/>
      <c r="X96" s="58"/>
      <c r="Y96" s="75"/>
      <c r="Z96" s="59"/>
      <c r="AA96" s="61"/>
      <c r="AB96" s="61"/>
      <c r="AC96" s="61"/>
      <c r="AD96" s="62"/>
      <c r="AE96" s="62"/>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D96" s="34"/>
      <c r="BE96" s="34"/>
      <c r="BF96" s="34"/>
      <c r="BG96" s="34"/>
      <c r="BH96" s="34"/>
      <c r="BI96" s="34"/>
      <c r="BJ96" s="34"/>
      <c r="BK96" s="34"/>
      <c r="BL96" s="34"/>
      <c r="BM96" s="34"/>
      <c r="BN96" s="34"/>
      <c r="BO96" s="34"/>
      <c r="BP96" s="34"/>
      <c r="BQ96" s="34"/>
      <c r="BR96" s="34"/>
      <c r="BS96" s="34"/>
      <c r="BT96" s="34"/>
      <c r="BU96" s="34"/>
      <c r="BV96" s="34"/>
      <c r="BW96" s="34"/>
      <c r="BX96" s="34"/>
      <c r="BY96" s="34"/>
    </row>
    <row r="97" spans="1:77" x14ac:dyDescent="0.3">
      <c r="A97" s="39"/>
      <c r="B97" s="42"/>
      <c r="C97" s="42"/>
      <c r="D97" s="75"/>
      <c r="E97" s="75"/>
      <c r="F97" s="76"/>
      <c r="G97" s="47"/>
      <c r="H97" s="47"/>
      <c r="I97" s="75"/>
      <c r="J97" s="76"/>
      <c r="K97" s="76"/>
      <c r="L97" s="75"/>
      <c r="M97" s="49"/>
      <c r="N97" s="76"/>
      <c r="O97" s="49"/>
      <c r="P97" s="77"/>
      <c r="Q97" s="53"/>
      <c r="R97" s="54"/>
      <c r="S97" s="55"/>
      <c r="T97" s="56"/>
      <c r="U97" s="56"/>
      <c r="V97" s="42"/>
      <c r="W97" s="57"/>
      <c r="X97" s="58"/>
      <c r="Y97" s="75"/>
      <c r="Z97" s="59"/>
      <c r="AA97" s="61"/>
      <c r="AB97" s="61"/>
      <c r="AC97" s="61"/>
      <c r="AD97" s="62"/>
      <c r="AE97" s="62"/>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D97" s="34"/>
      <c r="BE97" s="34"/>
      <c r="BF97" s="34"/>
      <c r="BG97" s="34"/>
      <c r="BH97" s="34"/>
      <c r="BI97" s="34"/>
      <c r="BJ97" s="34"/>
      <c r="BK97" s="34"/>
      <c r="BL97" s="34"/>
      <c r="BM97" s="34"/>
      <c r="BN97" s="34"/>
      <c r="BO97" s="34"/>
      <c r="BP97" s="34"/>
      <c r="BQ97" s="34"/>
      <c r="BR97" s="34"/>
      <c r="BS97" s="34"/>
      <c r="BT97" s="34"/>
      <c r="BU97" s="34"/>
      <c r="BV97" s="34"/>
      <c r="BW97" s="34"/>
      <c r="BX97" s="34"/>
      <c r="BY97" s="34"/>
    </row>
    <row r="98" spans="1:77" x14ac:dyDescent="0.3">
      <c r="A98" s="39"/>
      <c r="B98" s="42"/>
      <c r="C98" s="42"/>
      <c r="D98" s="75"/>
      <c r="E98" s="75"/>
      <c r="F98" s="76"/>
      <c r="G98" s="47"/>
      <c r="H98" s="47"/>
      <c r="I98" s="75"/>
      <c r="J98" s="76"/>
      <c r="K98" s="76"/>
      <c r="L98" s="75"/>
      <c r="M98" s="49"/>
      <c r="N98" s="76"/>
      <c r="O98" s="49"/>
      <c r="P98" s="77"/>
      <c r="Q98" s="53"/>
      <c r="R98" s="54"/>
      <c r="S98" s="55"/>
      <c r="T98" s="56"/>
      <c r="U98" s="56"/>
      <c r="V98" s="42"/>
      <c r="W98" s="57"/>
      <c r="X98" s="58"/>
      <c r="Y98" s="75"/>
      <c r="Z98" s="59"/>
      <c r="AA98" s="61"/>
      <c r="AB98" s="61"/>
      <c r="AC98" s="61"/>
      <c r="AD98" s="62"/>
      <c r="AE98" s="62"/>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D98" s="34"/>
      <c r="BE98" s="34"/>
      <c r="BF98" s="34"/>
      <c r="BG98" s="34"/>
      <c r="BH98" s="34"/>
      <c r="BI98" s="34"/>
      <c r="BJ98" s="34"/>
      <c r="BK98" s="34"/>
      <c r="BL98" s="34"/>
      <c r="BM98" s="34"/>
      <c r="BN98" s="34"/>
      <c r="BO98" s="34"/>
      <c r="BP98" s="34"/>
      <c r="BQ98" s="34"/>
      <c r="BR98" s="34"/>
      <c r="BS98" s="34"/>
      <c r="BT98" s="34"/>
      <c r="BU98" s="34"/>
      <c r="BV98" s="34"/>
      <c r="BW98" s="34"/>
      <c r="BX98" s="34"/>
      <c r="BY98" s="34"/>
    </row>
    <row r="99" spans="1:77" x14ac:dyDescent="0.3">
      <c r="A99" s="39"/>
      <c r="B99" s="42"/>
      <c r="C99" s="42"/>
      <c r="D99" s="75"/>
      <c r="E99" s="75"/>
      <c r="F99" s="76"/>
      <c r="G99" s="47"/>
      <c r="H99" s="47"/>
      <c r="I99" s="75"/>
      <c r="J99" s="76"/>
      <c r="K99" s="76"/>
      <c r="L99" s="75"/>
      <c r="M99" s="49"/>
      <c r="N99" s="76"/>
      <c r="O99" s="49"/>
      <c r="P99" s="77"/>
      <c r="Q99" s="53"/>
      <c r="R99" s="54"/>
      <c r="S99" s="55"/>
      <c r="T99" s="56"/>
      <c r="U99" s="56"/>
      <c r="V99" s="42"/>
      <c r="W99" s="57"/>
      <c r="X99" s="58"/>
      <c r="Y99" s="75"/>
      <c r="Z99" s="59"/>
      <c r="AA99" s="61"/>
      <c r="AB99" s="61"/>
      <c r="AC99" s="61"/>
      <c r="AD99" s="62"/>
      <c r="AE99" s="62"/>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D99" s="34"/>
      <c r="BE99" s="34"/>
      <c r="BF99" s="34"/>
      <c r="BG99" s="34"/>
      <c r="BH99" s="34"/>
      <c r="BI99" s="34"/>
      <c r="BJ99" s="34"/>
      <c r="BK99" s="34"/>
      <c r="BL99" s="34"/>
      <c r="BM99" s="34"/>
      <c r="BN99" s="34"/>
      <c r="BO99" s="34"/>
      <c r="BP99" s="34"/>
      <c r="BQ99" s="34"/>
      <c r="BR99" s="34"/>
      <c r="BS99" s="34"/>
      <c r="BT99" s="34"/>
      <c r="BU99" s="34"/>
      <c r="BV99" s="34"/>
      <c r="BW99" s="34"/>
      <c r="BX99" s="34"/>
      <c r="BY99" s="34"/>
    </row>
    <row r="100" spans="1:77" x14ac:dyDescent="0.3">
      <c r="A100" s="39"/>
      <c r="B100" s="42"/>
      <c r="C100" s="42"/>
      <c r="D100" s="75"/>
      <c r="E100" s="75"/>
      <c r="F100" s="76"/>
      <c r="G100" s="47"/>
      <c r="H100" s="47"/>
      <c r="I100" s="75"/>
      <c r="J100" s="76"/>
      <c r="K100" s="76"/>
      <c r="L100" s="75"/>
      <c r="M100" s="49"/>
      <c r="N100" s="76"/>
      <c r="O100" s="49"/>
      <c r="P100" s="77"/>
      <c r="Q100" s="53"/>
      <c r="R100" s="54"/>
      <c r="S100" s="55"/>
      <c r="T100" s="56"/>
      <c r="U100" s="56"/>
      <c r="V100" s="42"/>
      <c r="W100" s="57"/>
      <c r="X100" s="58"/>
      <c r="Y100" s="75"/>
      <c r="Z100" s="59"/>
      <c r="AA100" s="61"/>
      <c r="AB100" s="61"/>
      <c r="AC100" s="61"/>
      <c r="AD100" s="62"/>
      <c r="AE100" s="62"/>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row>
    <row r="101" spans="1:77" x14ac:dyDescent="0.3">
      <c r="A101" s="39"/>
      <c r="B101" s="42"/>
      <c r="C101" s="42"/>
      <c r="D101" s="75"/>
      <c r="E101" s="75"/>
      <c r="F101" s="76"/>
      <c r="G101" s="47"/>
      <c r="H101" s="47"/>
      <c r="I101" s="75"/>
      <c r="J101" s="76"/>
      <c r="K101" s="76"/>
      <c r="L101" s="75"/>
      <c r="M101" s="49"/>
      <c r="N101" s="76"/>
      <c r="O101" s="49"/>
      <c r="P101" s="77"/>
      <c r="Q101" s="53"/>
      <c r="R101" s="54"/>
      <c r="S101" s="55"/>
      <c r="T101" s="56"/>
      <c r="U101" s="56"/>
      <c r="V101" s="42"/>
      <c r="W101" s="57"/>
      <c r="X101" s="58"/>
      <c r="Y101" s="75"/>
      <c r="Z101" s="59"/>
      <c r="AA101" s="61"/>
      <c r="AB101" s="61"/>
      <c r="AC101" s="61"/>
      <c r="AD101" s="62"/>
      <c r="AE101" s="62"/>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row>
    <row r="102" spans="1:77" x14ac:dyDescent="0.3">
      <c r="A102" s="39"/>
      <c r="B102" s="42"/>
      <c r="C102" s="42"/>
      <c r="D102" s="75"/>
      <c r="E102" s="75"/>
      <c r="F102" s="76"/>
      <c r="G102" s="47"/>
      <c r="H102" s="47"/>
      <c r="I102" s="75"/>
      <c r="J102" s="76"/>
      <c r="K102" s="76"/>
      <c r="L102" s="75"/>
      <c r="M102" s="49"/>
      <c r="N102" s="76"/>
      <c r="O102" s="49"/>
      <c r="P102" s="77"/>
      <c r="Q102" s="53"/>
      <c r="R102" s="54"/>
      <c r="S102" s="55"/>
      <c r="T102" s="56"/>
      <c r="U102" s="56"/>
      <c r="V102" s="42"/>
      <c r="W102" s="57"/>
      <c r="X102" s="58"/>
      <c r="Y102" s="75"/>
      <c r="Z102" s="59"/>
      <c r="AA102" s="61"/>
      <c r="AB102" s="61"/>
      <c r="AC102" s="61"/>
      <c r="AD102" s="62"/>
      <c r="AE102" s="62"/>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row>
    <row r="103" spans="1:77" x14ac:dyDescent="0.3">
      <c r="A103" s="39"/>
      <c r="B103" s="42"/>
      <c r="C103" s="42"/>
      <c r="D103" s="75"/>
      <c r="E103" s="75"/>
      <c r="F103" s="76"/>
      <c r="G103" s="47"/>
      <c r="H103" s="47"/>
      <c r="I103" s="75"/>
      <c r="J103" s="76"/>
      <c r="K103" s="76"/>
      <c r="L103" s="75"/>
      <c r="M103" s="49"/>
      <c r="N103" s="76"/>
      <c r="O103" s="49"/>
      <c r="P103" s="77"/>
      <c r="Q103" s="53"/>
      <c r="R103" s="54"/>
      <c r="S103" s="55"/>
      <c r="T103" s="56"/>
      <c r="U103" s="56"/>
      <c r="V103" s="42"/>
      <c r="W103" s="57"/>
      <c r="X103" s="58"/>
      <c r="Y103" s="75"/>
      <c r="Z103" s="59"/>
      <c r="AA103" s="61"/>
      <c r="AB103" s="61"/>
      <c r="AC103" s="61"/>
      <c r="AD103" s="62"/>
      <c r="AE103" s="62"/>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row>
    <row r="104" spans="1:77" x14ac:dyDescent="0.3">
      <c r="A104" s="39"/>
      <c r="B104" s="42"/>
      <c r="C104" s="42"/>
      <c r="D104" s="75"/>
      <c r="E104" s="75"/>
      <c r="F104" s="76"/>
      <c r="G104" s="47"/>
      <c r="H104" s="47"/>
      <c r="I104" s="75"/>
      <c r="J104" s="76"/>
      <c r="K104" s="76"/>
      <c r="L104" s="75"/>
      <c r="M104" s="49"/>
      <c r="N104" s="76"/>
      <c r="O104" s="49"/>
      <c r="P104" s="77"/>
      <c r="Q104" s="53"/>
      <c r="R104" s="54"/>
      <c r="S104" s="55"/>
      <c r="T104" s="56"/>
      <c r="U104" s="56"/>
      <c r="V104" s="42"/>
      <c r="W104" s="57"/>
      <c r="X104" s="58"/>
      <c r="Y104" s="75"/>
      <c r="Z104" s="59"/>
      <c r="AA104" s="61"/>
      <c r="AB104" s="61"/>
      <c r="AC104" s="61"/>
      <c r="AD104" s="62"/>
      <c r="AE104" s="62"/>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row>
    <row r="105" spans="1:77" x14ac:dyDescent="0.3">
      <c r="A105" s="39"/>
      <c r="B105" s="42"/>
      <c r="C105" s="42"/>
      <c r="D105" s="75"/>
      <c r="E105" s="75"/>
      <c r="F105" s="76"/>
      <c r="G105" s="47"/>
      <c r="H105" s="47"/>
      <c r="I105" s="75"/>
      <c r="J105" s="76"/>
      <c r="K105" s="76"/>
      <c r="L105" s="75"/>
      <c r="M105" s="49"/>
      <c r="N105" s="76"/>
      <c r="O105" s="49"/>
      <c r="P105" s="77"/>
      <c r="Q105" s="53"/>
      <c r="R105" s="54"/>
      <c r="S105" s="55"/>
      <c r="T105" s="56"/>
      <c r="U105" s="56"/>
      <c r="V105" s="42"/>
      <c r="W105" s="57"/>
      <c r="X105" s="58"/>
      <c r="Y105" s="75"/>
      <c r="Z105" s="59"/>
      <c r="AA105" s="61"/>
      <c r="AB105" s="61"/>
      <c r="AC105" s="61"/>
      <c r="AD105" s="62"/>
      <c r="AE105" s="62"/>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row>
    <row r="106" spans="1:77" x14ac:dyDescent="0.3">
      <c r="A106" s="39"/>
      <c r="B106" s="42"/>
      <c r="C106" s="42"/>
      <c r="D106" s="75"/>
      <c r="E106" s="75"/>
      <c r="F106" s="76"/>
      <c r="G106" s="47"/>
      <c r="H106" s="47"/>
      <c r="I106" s="75"/>
      <c r="J106" s="76"/>
      <c r="K106" s="76"/>
      <c r="L106" s="75"/>
      <c r="M106" s="49"/>
      <c r="N106" s="76"/>
      <c r="O106" s="49"/>
      <c r="P106" s="77"/>
      <c r="Q106" s="53"/>
      <c r="R106" s="54"/>
      <c r="S106" s="55"/>
      <c r="T106" s="56"/>
      <c r="U106" s="56"/>
      <c r="V106" s="42"/>
      <c r="W106" s="57"/>
      <c r="X106" s="58"/>
      <c r="Y106" s="75"/>
      <c r="Z106" s="59"/>
      <c r="AA106" s="61"/>
      <c r="AB106" s="61"/>
      <c r="AC106" s="61"/>
      <c r="AD106" s="62"/>
      <c r="AE106" s="62"/>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row>
    <row r="107" spans="1:77" x14ac:dyDescent="0.3">
      <c r="A107" s="39"/>
      <c r="B107" s="42"/>
      <c r="C107" s="42"/>
      <c r="D107" s="75"/>
      <c r="E107" s="75"/>
      <c r="F107" s="76"/>
      <c r="G107" s="47"/>
      <c r="H107" s="47"/>
      <c r="I107" s="75"/>
      <c r="J107" s="76"/>
      <c r="K107" s="76"/>
      <c r="L107" s="75"/>
      <c r="M107" s="49"/>
      <c r="N107" s="76"/>
      <c r="O107" s="49"/>
      <c r="P107" s="77"/>
      <c r="Q107" s="53"/>
      <c r="R107" s="54"/>
      <c r="S107" s="55"/>
      <c r="T107" s="56"/>
      <c r="U107" s="56"/>
      <c r="V107" s="42"/>
      <c r="W107" s="57"/>
      <c r="X107" s="58"/>
      <c r="Y107" s="75"/>
      <c r="Z107" s="59"/>
      <c r="AA107" s="61"/>
      <c r="AB107" s="61"/>
      <c r="AC107" s="61"/>
      <c r="AD107" s="62"/>
      <c r="AE107" s="62"/>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row>
    <row r="108" spans="1:77" x14ac:dyDescent="0.3">
      <c r="A108" s="39"/>
      <c r="B108" s="42"/>
      <c r="C108" s="42"/>
      <c r="D108" s="75"/>
      <c r="E108" s="75"/>
      <c r="F108" s="76"/>
      <c r="G108" s="47"/>
      <c r="H108" s="47"/>
      <c r="I108" s="75"/>
      <c r="J108" s="76"/>
      <c r="K108" s="76"/>
      <c r="L108" s="75"/>
      <c r="M108" s="49"/>
      <c r="N108" s="76"/>
      <c r="O108" s="49"/>
      <c r="P108" s="77"/>
      <c r="Q108" s="53"/>
      <c r="R108" s="54"/>
      <c r="S108" s="55"/>
      <c r="T108" s="56"/>
      <c r="U108" s="56"/>
      <c r="V108" s="42"/>
      <c r="W108" s="57"/>
      <c r="X108" s="58"/>
      <c r="Y108" s="75"/>
      <c r="Z108" s="59"/>
      <c r="AA108" s="61"/>
      <c r="AB108" s="61"/>
      <c r="AC108" s="61"/>
      <c r="AD108" s="62"/>
      <c r="AE108" s="62"/>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row>
    <row r="109" spans="1:77" x14ac:dyDescent="0.3">
      <c r="A109" s="39"/>
      <c r="B109" s="42"/>
      <c r="C109" s="42"/>
      <c r="D109" s="75"/>
      <c r="E109" s="75"/>
      <c r="F109" s="76"/>
      <c r="G109" s="47"/>
      <c r="H109" s="47"/>
      <c r="I109" s="75"/>
      <c r="J109" s="76"/>
      <c r="K109" s="76"/>
      <c r="L109" s="75"/>
      <c r="M109" s="49"/>
      <c r="N109" s="76"/>
      <c r="O109" s="49"/>
      <c r="P109" s="77"/>
      <c r="Q109" s="53"/>
      <c r="R109" s="54"/>
      <c r="S109" s="55"/>
      <c r="T109" s="56"/>
      <c r="U109" s="56"/>
      <c r="V109" s="42"/>
      <c r="W109" s="57"/>
      <c r="X109" s="58"/>
      <c r="Y109" s="75"/>
      <c r="Z109" s="59"/>
      <c r="AA109" s="61"/>
      <c r="AB109" s="61"/>
      <c r="AC109" s="61"/>
      <c r="AD109" s="62"/>
      <c r="AE109" s="62"/>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row>
    <row r="110" spans="1:77" x14ac:dyDescent="0.3">
      <c r="A110" s="39"/>
      <c r="B110" s="42"/>
      <c r="C110" s="42"/>
      <c r="D110" s="75"/>
      <c r="E110" s="75"/>
      <c r="F110" s="76"/>
      <c r="G110" s="47"/>
      <c r="H110" s="47"/>
      <c r="I110" s="75"/>
      <c r="J110" s="76"/>
      <c r="K110" s="76"/>
      <c r="L110" s="75"/>
      <c r="M110" s="49"/>
      <c r="N110" s="76"/>
      <c r="O110" s="49"/>
      <c r="P110" s="77"/>
      <c r="Q110" s="53"/>
      <c r="R110" s="54"/>
      <c r="S110" s="55"/>
      <c r="T110" s="56"/>
      <c r="U110" s="56"/>
      <c r="V110" s="42"/>
      <c r="W110" s="57"/>
      <c r="X110" s="58"/>
      <c r="Y110" s="75"/>
      <c r="Z110" s="59"/>
      <c r="AA110" s="61"/>
      <c r="AB110" s="61"/>
      <c r="AC110" s="61"/>
      <c r="AD110" s="62"/>
      <c r="AE110" s="62"/>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row>
    <row r="111" spans="1:77" x14ac:dyDescent="0.3">
      <c r="A111" s="39"/>
      <c r="B111" s="42"/>
      <c r="C111" s="42"/>
      <c r="D111" s="75"/>
      <c r="E111" s="75"/>
      <c r="F111" s="76"/>
      <c r="G111" s="47"/>
      <c r="H111" s="47"/>
      <c r="I111" s="75"/>
      <c r="J111" s="76"/>
      <c r="K111" s="76"/>
      <c r="L111" s="75"/>
      <c r="M111" s="49"/>
      <c r="N111" s="76"/>
      <c r="O111" s="49"/>
      <c r="P111" s="77"/>
      <c r="Q111" s="53"/>
      <c r="R111" s="54"/>
      <c r="S111" s="55"/>
      <c r="T111" s="56"/>
      <c r="U111" s="56"/>
      <c r="V111" s="42"/>
      <c r="W111" s="57"/>
      <c r="X111" s="58"/>
      <c r="Y111" s="75"/>
      <c r="Z111" s="59"/>
      <c r="AA111" s="61"/>
      <c r="AB111" s="61"/>
      <c r="AC111" s="61"/>
      <c r="AD111" s="62"/>
      <c r="AE111" s="62"/>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row>
    <row r="112" spans="1:77" x14ac:dyDescent="0.3">
      <c r="A112" s="39"/>
      <c r="B112" s="42"/>
      <c r="C112" s="42"/>
      <c r="D112" s="75"/>
      <c r="E112" s="75"/>
      <c r="F112" s="76"/>
      <c r="G112" s="47"/>
      <c r="H112" s="47"/>
      <c r="I112" s="75"/>
      <c r="J112" s="76"/>
      <c r="K112" s="76"/>
      <c r="L112" s="75"/>
      <c r="M112" s="49"/>
      <c r="N112" s="76"/>
      <c r="O112" s="49"/>
      <c r="P112" s="77"/>
      <c r="Q112" s="53"/>
      <c r="R112" s="54"/>
      <c r="S112" s="55"/>
      <c r="T112" s="56"/>
      <c r="U112" s="56"/>
      <c r="V112" s="42"/>
      <c r="W112" s="57"/>
      <c r="X112" s="58"/>
      <c r="Y112" s="75"/>
      <c r="Z112" s="59"/>
      <c r="AA112" s="61"/>
      <c r="AB112" s="61"/>
      <c r="AC112" s="61"/>
      <c r="AD112" s="62"/>
      <c r="AE112" s="62"/>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row>
    <row r="113" spans="1:77" x14ac:dyDescent="0.3">
      <c r="A113" s="39"/>
      <c r="B113" s="42"/>
      <c r="C113" s="42"/>
      <c r="D113" s="75"/>
      <c r="E113" s="75"/>
      <c r="F113" s="76"/>
      <c r="G113" s="47"/>
      <c r="H113" s="47"/>
      <c r="I113" s="75"/>
      <c r="J113" s="76"/>
      <c r="K113" s="76"/>
      <c r="L113" s="75"/>
      <c r="M113" s="49"/>
      <c r="N113" s="76"/>
      <c r="O113" s="49"/>
      <c r="P113" s="77"/>
      <c r="Q113" s="53"/>
      <c r="R113" s="54"/>
      <c r="S113" s="55"/>
      <c r="T113" s="56"/>
      <c r="U113" s="56"/>
      <c r="V113" s="42"/>
      <c r="W113" s="57"/>
      <c r="X113" s="58"/>
      <c r="Y113" s="75"/>
      <c r="Z113" s="59"/>
      <c r="AA113" s="61"/>
      <c r="AB113" s="61"/>
      <c r="AC113" s="61"/>
      <c r="AD113" s="62"/>
      <c r="AE113" s="62"/>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row>
    <row r="114" spans="1:77" x14ac:dyDescent="0.3">
      <c r="A114" s="39"/>
      <c r="B114" s="42"/>
      <c r="C114" s="42"/>
      <c r="D114" s="75"/>
      <c r="E114" s="75"/>
      <c r="F114" s="76"/>
      <c r="G114" s="47"/>
      <c r="H114" s="47"/>
      <c r="I114" s="75"/>
      <c r="J114" s="76"/>
      <c r="K114" s="76"/>
      <c r="L114" s="75"/>
      <c r="M114" s="49"/>
      <c r="N114" s="76"/>
      <c r="O114" s="49"/>
      <c r="P114" s="77"/>
      <c r="Q114" s="53"/>
      <c r="R114" s="54"/>
      <c r="S114" s="55"/>
      <c r="T114" s="56"/>
      <c r="U114" s="56"/>
      <c r="V114" s="42"/>
      <c r="W114" s="57"/>
      <c r="X114" s="58"/>
      <c r="Y114" s="75"/>
      <c r="Z114" s="59"/>
      <c r="AA114" s="61"/>
      <c r="AB114" s="61"/>
      <c r="AC114" s="61"/>
      <c r="AD114" s="62"/>
      <c r="AE114" s="62"/>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row>
    <row r="115" spans="1:77" x14ac:dyDescent="0.3">
      <c r="A115" s="39"/>
      <c r="B115" s="42"/>
      <c r="C115" s="42"/>
      <c r="D115" s="75"/>
      <c r="E115" s="75"/>
      <c r="F115" s="76"/>
      <c r="G115" s="47"/>
      <c r="H115" s="47"/>
      <c r="I115" s="75"/>
      <c r="J115" s="76"/>
      <c r="K115" s="76"/>
      <c r="L115" s="75"/>
      <c r="M115" s="49"/>
      <c r="N115" s="76"/>
      <c r="O115" s="49"/>
      <c r="P115" s="77"/>
      <c r="Q115" s="53"/>
      <c r="R115" s="54"/>
      <c r="S115" s="55"/>
      <c r="T115" s="56"/>
      <c r="U115" s="56"/>
      <c r="V115" s="42"/>
      <c r="W115" s="57"/>
      <c r="X115" s="58"/>
      <c r="Y115" s="75"/>
      <c r="Z115" s="59"/>
      <c r="AA115" s="61"/>
      <c r="AB115" s="61"/>
      <c r="AC115" s="61"/>
      <c r="AD115" s="62"/>
      <c r="AE115" s="62"/>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row>
    <row r="116" spans="1:77" x14ac:dyDescent="0.3">
      <c r="A116" s="39"/>
      <c r="B116" s="42"/>
      <c r="C116" s="42"/>
      <c r="D116" s="75"/>
      <c r="E116" s="75"/>
      <c r="F116" s="76"/>
      <c r="G116" s="47"/>
      <c r="H116" s="47"/>
      <c r="I116" s="75"/>
      <c r="J116" s="76"/>
      <c r="K116" s="76"/>
      <c r="L116" s="75"/>
      <c r="M116" s="49"/>
      <c r="N116" s="76"/>
      <c r="O116" s="49"/>
      <c r="P116" s="77"/>
      <c r="Q116" s="53"/>
      <c r="R116" s="54"/>
      <c r="S116" s="55"/>
      <c r="T116" s="56"/>
      <c r="U116" s="56"/>
      <c r="V116" s="42"/>
      <c r="W116" s="57"/>
      <c r="X116" s="58"/>
      <c r="Y116" s="75"/>
      <c r="Z116" s="59"/>
      <c r="AA116" s="61"/>
      <c r="AB116" s="61"/>
      <c r="AC116" s="61"/>
      <c r="AD116" s="62"/>
      <c r="AE116" s="62"/>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row>
    <row r="117" spans="1:77" x14ac:dyDescent="0.3">
      <c r="A117" s="39"/>
      <c r="B117" s="42"/>
      <c r="C117" s="42"/>
      <c r="D117" s="75"/>
      <c r="E117" s="75"/>
      <c r="F117" s="76"/>
      <c r="G117" s="47"/>
      <c r="H117" s="47"/>
      <c r="I117" s="75"/>
      <c r="J117" s="76"/>
      <c r="K117" s="76"/>
      <c r="L117" s="75"/>
      <c r="M117" s="49"/>
      <c r="N117" s="76"/>
      <c r="O117" s="49"/>
      <c r="P117" s="77"/>
      <c r="Q117" s="53"/>
      <c r="R117" s="54"/>
      <c r="S117" s="55"/>
      <c r="T117" s="56"/>
      <c r="U117" s="56"/>
      <c r="V117" s="42"/>
      <c r="W117" s="57"/>
      <c r="X117" s="58"/>
      <c r="Y117" s="75"/>
      <c r="Z117" s="59"/>
      <c r="AA117" s="61"/>
      <c r="AB117" s="61"/>
      <c r="AC117" s="61"/>
      <c r="AD117" s="62"/>
      <c r="AE117" s="62"/>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row>
    <row r="118" spans="1:77" x14ac:dyDescent="0.3">
      <c r="A118" s="39"/>
      <c r="B118" s="42"/>
      <c r="C118" s="42"/>
      <c r="D118" s="75"/>
      <c r="E118" s="75"/>
      <c r="F118" s="76"/>
      <c r="G118" s="47"/>
      <c r="H118" s="47"/>
      <c r="I118" s="75"/>
      <c r="J118" s="76"/>
      <c r="K118" s="76"/>
      <c r="L118" s="75"/>
      <c r="M118" s="49"/>
      <c r="N118" s="76"/>
      <c r="O118" s="49"/>
      <c r="P118" s="77"/>
      <c r="Q118" s="53"/>
      <c r="R118" s="54"/>
      <c r="S118" s="55"/>
      <c r="T118" s="56"/>
      <c r="U118" s="56"/>
      <c r="V118" s="42"/>
      <c r="W118" s="57"/>
      <c r="X118" s="58"/>
      <c r="Y118" s="75"/>
      <c r="Z118" s="59"/>
      <c r="AA118" s="61"/>
      <c r="AB118" s="61"/>
      <c r="AC118" s="61"/>
      <c r="AD118" s="62"/>
      <c r="AE118" s="62"/>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row>
    <row r="119" spans="1:77" x14ac:dyDescent="0.3">
      <c r="A119" s="39"/>
      <c r="B119" s="42"/>
      <c r="C119" s="42"/>
      <c r="D119" s="75"/>
      <c r="E119" s="75"/>
      <c r="F119" s="76"/>
      <c r="G119" s="47"/>
      <c r="H119" s="47"/>
      <c r="I119" s="75"/>
      <c r="J119" s="76"/>
      <c r="K119" s="76"/>
      <c r="L119" s="75"/>
      <c r="M119" s="49"/>
      <c r="N119" s="76"/>
      <c r="O119" s="49"/>
      <c r="P119" s="77"/>
      <c r="Q119" s="53"/>
      <c r="R119" s="54"/>
      <c r="S119" s="55"/>
      <c r="T119" s="56"/>
      <c r="U119" s="56"/>
      <c r="V119" s="42"/>
      <c r="W119" s="57"/>
      <c r="X119" s="58"/>
      <c r="Y119" s="75"/>
      <c r="Z119" s="59"/>
      <c r="AA119" s="61"/>
      <c r="AB119" s="61"/>
      <c r="AC119" s="61"/>
      <c r="AD119" s="62"/>
      <c r="AE119" s="62"/>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row>
    <row r="120" spans="1:77" x14ac:dyDescent="0.3">
      <c r="A120" s="39"/>
      <c r="B120" s="42"/>
      <c r="C120" s="42"/>
      <c r="D120" s="75"/>
      <c r="E120" s="75"/>
      <c r="F120" s="76"/>
      <c r="G120" s="47"/>
      <c r="H120" s="47"/>
      <c r="I120" s="75"/>
      <c r="J120" s="76"/>
      <c r="K120" s="76"/>
      <c r="L120" s="75"/>
      <c r="M120" s="49"/>
      <c r="N120" s="76"/>
      <c r="O120" s="49"/>
      <c r="P120" s="77"/>
      <c r="Q120" s="53"/>
      <c r="R120" s="54"/>
      <c r="S120" s="55"/>
      <c r="T120" s="56"/>
      <c r="U120" s="56"/>
      <c r="V120" s="42"/>
      <c r="W120" s="57"/>
      <c r="X120" s="58"/>
      <c r="Y120" s="75"/>
      <c r="Z120" s="59"/>
      <c r="AA120" s="61"/>
      <c r="AB120" s="61"/>
      <c r="AC120" s="61"/>
      <c r="AD120" s="62"/>
      <c r="AE120" s="62"/>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row>
    <row r="121" spans="1:77" x14ac:dyDescent="0.3">
      <c r="A121" s="39"/>
      <c r="B121" s="42"/>
      <c r="C121" s="42"/>
      <c r="D121" s="75"/>
      <c r="E121" s="75"/>
      <c r="F121" s="76"/>
      <c r="G121" s="47"/>
      <c r="H121" s="47"/>
      <c r="I121" s="75"/>
      <c r="J121" s="76"/>
      <c r="K121" s="76"/>
      <c r="L121" s="75"/>
      <c r="M121" s="49"/>
      <c r="N121" s="76"/>
      <c r="O121" s="49"/>
      <c r="P121" s="77"/>
      <c r="Q121" s="53"/>
      <c r="R121" s="54"/>
      <c r="S121" s="55"/>
      <c r="T121" s="56"/>
      <c r="U121" s="56"/>
      <c r="V121" s="42"/>
      <c r="W121" s="57"/>
      <c r="X121" s="58"/>
      <c r="Y121" s="75"/>
      <c r="Z121" s="59"/>
      <c r="AA121" s="61"/>
      <c r="AB121" s="61"/>
      <c r="AC121" s="61"/>
      <c r="AD121" s="62"/>
      <c r="AE121" s="62"/>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row>
    <row r="122" spans="1:77" x14ac:dyDescent="0.3">
      <c r="A122" s="39"/>
      <c r="B122" s="42"/>
      <c r="C122" s="42"/>
      <c r="D122" s="75"/>
      <c r="E122" s="75"/>
      <c r="F122" s="76"/>
      <c r="G122" s="47"/>
      <c r="H122" s="47"/>
      <c r="I122" s="75"/>
      <c r="J122" s="76"/>
      <c r="K122" s="76"/>
      <c r="L122" s="75"/>
      <c r="M122" s="49"/>
      <c r="N122" s="76"/>
      <c r="O122" s="49"/>
      <c r="P122" s="77"/>
      <c r="Q122" s="53"/>
      <c r="R122" s="54"/>
      <c r="S122" s="55"/>
      <c r="T122" s="56"/>
      <c r="U122" s="56"/>
      <c r="V122" s="42"/>
      <c r="W122" s="57"/>
      <c r="X122" s="58"/>
      <c r="Y122" s="75"/>
      <c r="Z122" s="59"/>
      <c r="AA122" s="61"/>
      <c r="AB122" s="61"/>
      <c r="AC122" s="61"/>
      <c r="AD122" s="62"/>
      <c r="AE122" s="62"/>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row>
    <row r="123" spans="1:77" x14ac:dyDescent="0.3">
      <c r="A123" s="39"/>
      <c r="B123" s="42"/>
      <c r="C123" s="42"/>
      <c r="D123" s="75"/>
      <c r="E123" s="75"/>
      <c r="F123" s="76"/>
      <c r="G123" s="47"/>
      <c r="H123" s="47"/>
      <c r="I123" s="75"/>
      <c r="J123" s="76"/>
      <c r="K123" s="76"/>
      <c r="L123" s="75"/>
      <c r="M123" s="49"/>
      <c r="N123" s="76"/>
      <c r="O123" s="49"/>
      <c r="P123" s="77"/>
      <c r="Q123" s="53"/>
      <c r="R123" s="54"/>
      <c r="S123" s="55"/>
      <c r="T123" s="56"/>
      <c r="U123" s="56"/>
      <c r="V123" s="42"/>
      <c r="W123" s="57"/>
      <c r="X123" s="58"/>
      <c r="Y123" s="75"/>
      <c r="Z123" s="59"/>
      <c r="AA123" s="61"/>
      <c r="AB123" s="61"/>
      <c r="AC123" s="61"/>
      <c r="AD123" s="62"/>
      <c r="AE123" s="62"/>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row>
    <row r="124" spans="1:77" x14ac:dyDescent="0.3">
      <c r="A124" s="39"/>
      <c r="B124" s="42"/>
      <c r="C124" s="42"/>
      <c r="D124" s="75"/>
      <c r="E124" s="75"/>
      <c r="F124" s="76"/>
      <c r="G124" s="47"/>
      <c r="H124" s="47"/>
      <c r="I124" s="75"/>
      <c r="J124" s="76"/>
      <c r="K124" s="76"/>
      <c r="L124" s="75"/>
      <c r="M124" s="49"/>
      <c r="N124" s="76"/>
      <c r="O124" s="49"/>
      <c r="P124" s="77"/>
      <c r="Q124" s="53"/>
      <c r="R124" s="54"/>
      <c r="S124" s="55"/>
      <c r="T124" s="56"/>
      <c r="U124" s="56"/>
      <c r="V124" s="42"/>
      <c r="W124" s="57"/>
      <c r="X124" s="58"/>
      <c r="Y124" s="75"/>
      <c r="Z124" s="59"/>
      <c r="AA124" s="61"/>
      <c r="AB124" s="61"/>
      <c r="AC124" s="61"/>
      <c r="AD124" s="62"/>
      <c r="AE124" s="62"/>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row>
    <row r="125" spans="1:77" x14ac:dyDescent="0.3">
      <c r="A125" s="39"/>
      <c r="B125" s="42"/>
      <c r="C125" s="42"/>
      <c r="D125" s="75"/>
      <c r="E125" s="75"/>
      <c r="F125" s="76"/>
      <c r="G125" s="47"/>
      <c r="H125" s="47"/>
      <c r="I125" s="75"/>
      <c r="J125" s="76"/>
      <c r="K125" s="76"/>
      <c r="L125" s="75"/>
      <c r="M125" s="49"/>
      <c r="N125" s="76"/>
      <c r="O125" s="49"/>
      <c r="P125" s="77"/>
      <c r="Q125" s="53"/>
      <c r="R125" s="54"/>
      <c r="S125" s="55"/>
      <c r="T125" s="56"/>
      <c r="U125" s="56"/>
      <c r="V125" s="42"/>
      <c r="W125" s="57"/>
      <c r="X125" s="58"/>
      <c r="Y125" s="75"/>
      <c r="Z125" s="59"/>
      <c r="AA125" s="61"/>
      <c r="AB125" s="61"/>
      <c r="AC125" s="61"/>
      <c r="AD125" s="62"/>
      <c r="AE125" s="62"/>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row>
    <row r="126" spans="1:77" x14ac:dyDescent="0.3">
      <c r="A126" s="39"/>
      <c r="B126" s="42"/>
      <c r="C126" s="42"/>
      <c r="D126" s="75"/>
      <c r="E126" s="75"/>
      <c r="F126" s="76"/>
      <c r="G126" s="47"/>
      <c r="H126" s="47"/>
      <c r="I126" s="75"/>
      <c r="J126" s="76"/>
      <c r="K126" s="76"/>
      <c r="L126" s="75"/>
      <c r="M126" s="49"/>
      <c r="N126" s="76"/>
      <c r="O126" s="49"/>
      <c r="P126" s="77"/>
      <c r="Q126" s="53"/>
      <c r="R126" s="54"/>
      <c r="S126" s="55"/>
      <c r="T126" s="56"/>
      <c r="U126" s="56"/>
      <c r="V126" s="42"/>
      <c r="W126" s="57"/>
      <c r="X126" s="58"/>
      <c r="Y126" s="75"/>
      <c r="Z126" s="59"/>
      <c r="AA126" s="61"/>
      <c r="AB126" s="61"/>
      <c r="AC126" s="61"/>
      <c r="AD126" s="62"/>
      <c r="AE126" s="62"/>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row>
    <row r="127" spans="1:77" x14ac:dyDescent="0.3">
      <c r="A127" s="39"/>
      <c r="B127" s="42"/>
      <c r="C127" s="42"/>
      <c r="D127" s="75"/>
      <c r="E127" s="75"/>
      <c r="F127" s="76"/>
      <c r="G127" s="47"/>
      <c r="H127" s="47"/>
      <c r="I127" s="75"/>
      <c r="J127" s="76"/>
      <c r="K127" s="76"/>
      <c r="L127" s="75"/>
      <c r="M127" s="49"/>
      <c r="N127" s="76"/>
      <c r="O127" s="49"/>
      <c r="P127" s="77"/>
      <c r="Q127" s="53"/>
      <c r="R127" s="54"/>
      <c r="S127" s="55"/>
      <c r="T127" s="56"/>
      <c r="U127" s="56"/>
      <c r="V127" s="42"/>
      <c r="W127" s="57"/>
      <c r="X127" s="58"/>
      <c r="Y127" s="75"/>
      <c r="Z127" s="59"/>
      <c r="AA127" s="61"/>
      <c r="AB127" s="61"/>
      <c r="AC127" s="61"/>
      <c r="AD127" s="62"/>
      <c r="AE127" s="62"/>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row>
    <row r="128" spans="1:77" x14ac:dyDescent="0.3">
      <c r="A128" s="39"/>
      <c r="B128" s="42"/>
      <c r="C128" s="42"/>
      <c r="D128" s="75"/>
      <c r="E128" s="75"/>
      <c r="F128" s="76"/>
      <c r="G128" s="47"/>
      <c r="H128" s="47"/>
      <c r="I128" s="75"/>
      <c r="J128" s="76"/>
      <c r="K128" s="76"/>
      <c r="L128" s="75"/>
      <c r="M128" s="49"/>
      <c r="N128" s="76"/>
      <c r="O128" s="49"/>
      <c r="P128" s="77"/>
      <c r="Q128" s="53"/>
      <c r="R128" s="54"/>
      <c r="S128" s="55"/>
      <c r="T128" s="56"/>
      <c r="U128" s="56"/>
      <c r="V128" s="42"/>
      <c r="W128" s="57"/>
      <c r="X128" s="58"/>
      <c r="Y128" s="75"/>
      <c r="Z128" s="59"/>
      <c r="AA128" s="61"/>
      <c r="AB128" s="61"/>
      <c r="AC128" s="61"/>
      <c r="AD128" s="62"/>
      <c r="AE128" s="62"/>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row>
    <row r="129" spans="1:77" x14ac:dyDescent="0.3">
      <c r="A129" s="39"/>
      <c r="B129" s="42"/>
      <c r="C129" s="42"/>
      <c r="D129" s="75"/>
      <c r="E129" s="75"/>
      <c r="F129" s="76"/>
      <c r="G129" s="47"/>
      <c r="H129" s="47"/>
      <c r="I129" s="75"/>
      <c r="J129" s="76"/>
      <c r="K129" s="76"/>
      <c r="L129" s="75"/>
      <c r="M129" s="49"/>
      <c r="N129" s="76"/>
      <c r="O129" s="49"/>
      <c r="P129" s="77"/>
      <c r="Q129" s="53"/>
      <c r="R129" s="54"/>
      <c r="S129" s="55"/>
      <c r="T129" s="56"/>
      <c r="U129" s="56"/>
      <c r="V129" s="42"/>
      <c r="W129" s="57"/>
      <c r="X129" s="58"/>
      <c r="Y129" s="75"/>
      <c r="Z129" s="59"/>
      <c r="AA129" s="61"/>
      <c r="AB129" s="61"/>
      <c r="AC129" s="61"/>
      <c r="AD129" s="62"/>
      <c r="AE129" s="62"/>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row>
    <row r="130" spans="1:77" x14ac:dyDescent="0.3">
      <c r="A130" s="39"/>
      <c r="B130" s="42"/>
      <c r="C130" s="42"/>
      <c r="D130" s="75"/>
      <c r="E130" s="75"/>
      <c r="F130" s="76"/>
      <c r="G130" s="47"/>
      <c r="H130" s="47"/>
      <c r="I130" s="75"/>
      <c r="J130" s="76"/>
      <c r="K130" s="76"/>
      <c r="L130" s="75"/>
      <c r="M130" s="49"/>
      <c r="N130" s="76"/>
      <c r="O130" s="49"/>
      <c r="P130" s="77"/>
      <c r="Q130" s="53"/>
      <c r="R130" s="54"/>
      <c r="S130" s="55"/>
      <c r="T130" s="56"/>
      <c r="U130" s="56"/>
      <c r="V130" s="42"/>
      <c r="W130" s="57"/>
      <c r="X130" s="58"/>
      <c r="Y130" s="75"/>
      <c r="Z130" s="59"/>
      <c r="AA130" s="61"/>
      <c r="AB130" s="61"/>
      <c r="AC130" s="61"/>
      <c r="AD130" s="62"/>
      <c r="AE130" s="62"/>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row>
    <row r="131" spans="1:77" x14ac:dyDescent="0.3">
      <c r="A131" s="39"/>
      <c r="B131" s="42"/>
      <c r="C131" s="42"/>
      <c r="D131" s="75"/>
      <c r="E131" s="75"/>
      <c r="F131" s="76"/>
      <c r="G131" s="47"/>
      <c r="H131" s="47"/>
      <c r="I131" s="75"/>
      <c r="J131" s="76"/>
      <c r="K131" s="76"/>
      <c r="L131" s="75"/>
      <c r="M131" s="49"/>
      <c r="N131" s="76"/>
      <c r="O131" s="49"/>
      <c r="P131" s="77"/>
      <c r="Q131" s="53"/>
      <c r="R131" s="54"/>
      <c r="S131" s="55"/>
      <c r="T131" s="56"/>
      <c r="U131" s="56"/>
      <c r="V131" s="42"/>
      <c r="W131" s="57"/>
      <c r="X131" s="58"/>
      <c r="Y131" s="75"/>
      <c r="Z131" s="59"/>
      <c r="AA131" s="61"/>
      <c r="AB131" s="61"/>
      <c r="AC131" s="61"/>
      <c r="AD131" s="62"/>
      <c r="AE131" s="62"/>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row>
    <row r="132" spans="1:77" x14ac:dyDescent="0.3">
      <c r="A132" s="39"/>
      <c r="B132" s="42"/>
      <c r="C132" s="42"/>
      <c r="D132" s="75"/>
      <c r="E132" s="75"/>
      <c r="F132" s="76"/>
      <c r="G132" s="47"/>
      <c r="H132" s="47"/>
      <c r="I132" s="75"/>
      <c r="J132" s="76"/>
      <c r="K132" s="76"/>
      <c r="L132" s="75"/>
      <c r="M132" s="49"/>
      <c r="N132" s="76"/>
      <c r="O132" s="49"/>
      <c r="P132" s="77"/>
      <c r="Q132" s="53"/>
      <c r="R132" s="54"/>
      <c r="S132" s="55"/>
      <c r="T132" s="56"/>
      <c r="U132" s="56"/>
      <c r="V132" s="42"/>
      <c r="W132" s="57"/>
      <c r="X132" s="58"/>
      <c r="Y132" s="75"/>
      <c r="Z132" s="59"/>
      <c r="AA132" s="61"/>
      <c r="AB132" s="61"/>
      <c r="AC132" s="61"/>
      <c r="AD132" s="62"/>
      <c r="AE132" s="62"/>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row>
    <row r="133" spans="1:77" x14ac:dyDescent="0.3">
      <c r="A133" s="39"/>
      <c r="B133" s="42"/>
      <c r="C133" s="42"/>
      <c r="D133" s="75"/>
      <c r="E133" s="75"/>
      <c r="F133" s="76"/>
      <c r="G133" s="47"/>
      <c r="H133" s="47"/>
      <c r="I133" s="75"/>
      <c r="J133" s="76"/>
      <c r="K133" s="76"/>
      <c r="L133" s="75"/>
      <c r="M133" s="49"/>
      <c r="N133" s="76"/>
      <c r="O133" s="49"/>
      <c r="P133" s="77"/>
      <c r="Q133" s="53"/>
      <c r="R133" s="54"/>
      <c r="S133" s="55"/>
      <c r="T133" s="56"/>
      <c r="U133" s="56"/>
      <c r="V133" s="42"/>
      <c r="W133" s="57"/>
      <c r="X133" s="58"/>
      <c r="Y133" s="75"/>
      <c r="Z133" s="59"/>
      <c r="AA133" s="61"/>
      <c r="AB133" s="61"/>
      <c r="AC133" s="61"/>
      <c r="AD133" s="62"/>
      <c r="AE133" s="62"/>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row>
    <row r="134" spans="1:77" x14ac:dyDescent="0.3">
      <c r="A134" s="39"/>
      <c r="B134" s="42"/>
      <c r="C134" s="42"/>
      <c r="D134" s="75"/>
      <c r="E134" s="75"/>
      <c r="F134" s="76"/>
      <c r="G134" s="47"/>
      <c r="H134" s="47"/>
      <c r="I134" s="75"/>
      <c r="J134" s="76"/>
      <c r="K134" s="76"/>
      <c r="L134" s="75"/>
      <c r="M134" s="49"/>
      <c r="N134" s="76"/>
      <c r="O134" s="49"/>
      <c r="P134" s="77"/>
      <c r="Q134" s="53"/>
      <c r="R134" s="54"/>
      <c r="S134" s="55"/>
      <c r="T134" s="56"/>
      <c r="U134" s="56"/>
      <c r="V134" s="42"/>
      <c r="W134" s="57"/>
      <c r="X134" s="58"/>
      <c r="Y134" s="75"/>
      <c r="Z134" s="59"/>
      <c r="AA134" s="61"/>
      <c r="AB134" s="61"/>
      <c r="AC134" s="61"/>
      <c r="AD134" s="62"/>
      <c r="AE134" s="62"/>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row>
    <row r="135" spans="1:77" x14ac:dyDescent="0.3">
      <c r="A135" s="39"/>
      <c r="B135" s="42"/>
      <c r="C135" s="42"/>
      <c r="D135" s="75"/>
      <c r="E135" s="75"/>
      <c r="F135" s="76"/>
      <c r="G135" s="47"/>
      <c r="H135" s="47"/>
      <c r="I135" s="75"/>
      <c r="J135" s="76"/>
      <c r="K135" s="76"/>
      <c r="L135" s="75"/>
      <c r="M135" s="49"/>
      <c r="N135" s="76"/>
      <c r="O135" s="49"/>
      <c r="P135" s="77"/>
      <c r="Q135" s="53"/>
      <c r="R135" s="54"/>
      <c r="S135" s="55"/>
      <c r="T135" s="56"/>
      <c r="U135" s="56"/>
      <c r="V135" s="42"/>
      <c r="W135" s="57"/>
      <c r="X135" s="58"/>
      <c r="Y135" s="75"/>
      <c r="Z135" s="59"/>
      <c r="AA135" s="61"/>
      <c r="AB135" s="61"/>
      <c r="AC135" s="61"/>
      <c r="AD135" s="62"/>
      <c r="AE135" s="62"/>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row>
    <row r="136" spans="1:77" x14ac:dyDescent="0.3">
      <c r="A136" s="39"/>
      <c r="B136" s="42"/>
      <c r="C136" s="42"/>
      <c r="D136" s="75"/>
      <c r="E136" s="75"/>
      <c r="F136" s="76"/>
      <c r="G136" s="47"/>
      <c r="H136" s="47"/>
      <c r="I136" s="75"/>
      <c r="J136" s="76"/>
      <c r="K136" s="76"/>
      <c r="L136" s="75"/>
      <c r="M136" s="49"/>
      <c r="N136" s="76"/>
      <c r="O136" s="49"/>
      <c r="P136" s="77"/>
      <c r="Q136" s="53"/>
      <c r="R136" s="54"/>
      <c r="S136" s="55"/>
      <c r="T136" s="56"/>
      <c r="U136" s="56"/>
      <c r="V136" s="42"/>
      <c r="W136" s="57"/>
      <c r="X136" s="58"/>
      <c r="Y136" s="75"/>
      <c r="Z136" s="59"/>
      <c r="AA136" s="61"/>
      <c r="AB136" s="61"/>
      <c r="AC136" s="61"/>
      <c r="AD136" s="62"/>
      <c r="AE136" s="62"/>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row>
    <row r="137" spans="1:77" x14ac:dyDescent="0.3">
      <c r="A137" s="39"/>
      <c r="B137" s="42"/>
      <c r="C137" s="42"/>
      <c r="D137" s="75"/>
      <c r="E137" s="75"/>
      <c r="F137" s="76"/>
      <c r="G137" s="47"/>
      <c r="H137" s="47"/>
      <c r="I137" s="75"/>
      <c r="J137" s="76"/>
      <c r="K137" s="76"/>
      <c r="L137" s="75"/>
      <c r="M137" s="49"/>
      <c r="N137" s="76"/>
      <c r="O137" s="49"/>
      <c r="P137" s="77"/>
      <c r="Q137" s="53"/>
      <c r="R137" s="54"/>
      <c r="S137" s="55"/>
      <c r="T137" s="56"/>
      <c r="U137" s="56"/>
      <c r="V137" s="42"/>
      <c r="W137" s="57"/>
      <c r="X137" s="58"/>
      <c r="Y137" s="75"/>
      <c r="Z137" s="59"/>
      <c r="AA137" s="61"/>
      <c r="AB137" s="61"/>
      <c r="AC137" s="61"/>
      <c r="AD137" s="62"/>
      <c r="AE137" s="62"/>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row>
    <row r="138" spans="1:77" x14ac:dyDescent="0.3">
      <c r="A138" s="39"/>
      <c r="B138" s="42"/>
      <c r="C138" s="42"/>
      <c r="D138" s="75"/>
      <c r="E138" s="75"/>
      <c r="F138" s="76"/>
      <c r="G138" s="47"/>
      <c r="H138" s="47"/>
      <c r="I138" s="75"/>
      <c r="J138" s="76"/>
      <c r="K138" s="76"/>
      <c r="L138" s="75"/>
      <c r="M138" s="49"/>
      <c r="N138" s="76"/>
      <c r="O138" s="49"/>
      <c r="P138" s="77"/>
      <c r="Q138" s="53"/>
      <c r="R138" s="54"/>
      <c r="S138" s="55"/>
      <c r="T138" s="56"/>
      <c r="U138" s="56"/>
      <c r="V138" s="42"/>
      <c r="W138" s="57"/>
      <c r="X138" s="58"/>
      <c r="Y138" s="75"/>
      <c r="Z138" s="59"/>
      <c r="AA138" s="61"/>
      <c r="AB138" s="61"/>
      <c r="AC138" s="61"/>
      <c r="AD138" s="62"/>
      <c r="AE138" s="62"/>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row>
    <row r="139" spans="1:77" x14ac:dyDescent="0.3">
      <c r="A139" s="39"/>
      <c r="B139" s="42"/>
      <c r="C139" s="42"/>
      <c r="D139" s="75"/>
      <c r="E139" s="75"/>
      <c r="F139" s="76"/>
      <c r="G139" s="47"/>
      <c r="H139" s="47"/>
      <c r="I139" s="75"/>
      <c r="J139" s="76"/>
      <c r="K139" s="76"/>
      <c r="L139" s="75"/>
      <c r="M139" s="49"/>
      <c r="N139" s="76"/>
      <c r="O139" s="49"/>
      <c r="P139" s="77"/>
      <c r="Q139" s="53"/>
      <c r="R139" s="54"/>
      <c r="S139" s="55"/>
      <c r="T139" s="56"/>
      <c r="U139" s="56"/>
      <c r="V139" s="42"/>
      <c r="W139" s="57"/>
      <c r="X139" s="58"/>
      <c r="Y139" s="75"/>
      <c r="Z139" s="59"/>
      <c r="AA139" s="61"/>
      <c r="AB139" s="61"/>
      <c r="AC139" s="61"/>
      <c r="AD139" s="62"/>
      <c r="AE139" s="62"/>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row>
    <row r="140" spans="1:77" x14ac:dyDescent="0.3">
      <c r="A140" s="39"/>
      <c r="B140" s="42"/>
      <c r="C140" s="42"/>
      <c r="D140" s="75"/>
      <c r="E140" s="75"/>
      <c r="F140" s="76"/>
      <c r="G140" s="47"/>
      <c r="H140" s="47"/>
      <c r="I140" s="75"/>
      <c r="J140" s="76"/>
      <c r="K140" s="76"/>
      <c r="L140" s="75"/>
      <c r="M140" s="49"/>
      <c r="N140" s="76"/>
      <c r="O140" s="49"/>
      <c r="P140" s="77"/>
      <c r="Q140" s="53"/>
      <c r="R140" s="54"/>
      <c r="S140" s="55"/>
      <c r="T140" s="56"/>
      <c r="U140" s="56"/>
      <c r="V140" s="42"/>
      <c r="W140" s="57"/>
      <c r="X140" s="58"/>
      <c r="Y140" s="75"/>
      <c r="Z140" s="59"/>
      <c r="AA140" s="61"/>
      <c r="AB140" s="61"/>
      <c r="AC140" s="61"/>
      <c r="AD140" s="62"/>
      <c r="AE140" s="62"/>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row>
    <row r="141" spans="1:77" x14ac:dyDescent="0.3">
      <c r="A141" s="39"/>
      <c r="B141" s="42"/>
      <c r="C141" s="42"/>
      <c r="D141" s="75"/>
      <c r="E141" s="75"/>
      <c r="F141" s="76"/>
      <c r="G141" s="47"/>
      <c r="H141" s="47"/>
      <c r="I141" s="75"/>
      <c r="J141" s="76"/>
      <c r="K141" s="76"/>
      <c r="L141" s="75"/>
      <c r="M141" s="49"/>
      <c r="N141" s="76"/>
      <c r="O141" s="49"/>
      <c r="P141" s="77"/>
      <c r="Q141" s="53"/>
      <c r="R141" s="54"/>
      <c r="S141" s="55"/>
      <c r="T141" s="56"/>
      <c r="U141" s="56"/>
      <c r="V141" s="42"/>
      <c r="W141" s="57"/>
      <c r="X141" s="58"/>
      <c r="Y141" s="75"/>
      <c r="Z141" s="59"/>
      <c r="AA141" s="61"/>
      <c r="AB141" s="61"/>
      <c r="AC141" s="61"/>
      <c r="AD141" s="62"/>
      <c r="AE141" s="62"/>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row>
    <row r="142" spans="1:77" x14ac:dyDescent="0.3">
      <c r="A142" s="39"/>
      <c r="B142" s="42"/>
      <c r="C142" s="42"/>
      <c r="D142" s="75"/>
      <c r="E142" s="75"/>
      <c r="F142" s="76"/>
      <c r="G142" s="47"/>
      <c r="H142" s="47"/>
      <c r="I142" s="75"/>
      <c r="J142" s="76"/>
      <c r="K142" s="76"/>
      <c r="L142" s="75"/>
      <c r="M142" s="49"/>
      <c r="N142" s="76"/>
      <c r="O142" s="49"/>
      <c r="P142" s="77"/>
      <c r="Q142" s="53"/>
      <c r="R142" s="54"/>
      <c r="S142" s="55"/>
      <c r="T142" s="56"/>
      <c r="U142" s="56"/>
      <c r="V142" s="42"/>
      <c r="W142" s="57"/>
      <c r="X142" s="58"/>
      <c r="Y142" s="75"/>
      <c r="Z142" s="59"/>
      <c r="AA142" s="61"/>
      <c r="AB142" s="61"/>
      <c r="AC142" s="61"/>
      <c r="AD142" s="62"/>
      <c r="AE142" s="62"/>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row>
    <row r="143" spans="1:77" x14ac:dyDescent="0.3">
      <c r="A143" s="39"/>
      <c r="B143" s="42"/>
      <c r="C143" s="42"/>
      <c r="D143" s="75"/>
      <c r="E143" s="75"/>
      <c r="F143" s="76"/>
      <c r="G143" s="47"/>
      <c r="H143" s="47"/>
      <c r="I143" s="75"/>
      <c r="J143" s="76"/>
      <c r="K143" s="76"/>
      <c r="L143" s="75"/>
      <c r="M143" s="49"/>
      <c r="N143" s="76"/>
      <c r="O143" s="49"/>
      <c r="P143" s="77"/>
      <c r="Q143" s="53"/>
      <c r="R143" s="54"/>
      <c r="S143" s="55"/>
      <c r="T143" s="56"/>
      <c r="U143" s="56"/>
      <c r="V143" s="42"/>
      <c r="W143" s="57"/>
      <c r="X143" s="58"/>
      <c r="Y143" s="75"/>
      <c r="Z143" s="59"/>
      <c r="AA143" s="61"/>
      <c r="AB143" s="61"/>
      <c r="AC143" s="61"/>
      <c r="AD143" s="62"/>
      <c r="AE143" s="62"/>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row>
    <row r="144" spans="1:77" x14ac:dyDescent="0.3">
      <c r="A144" s="39"/>
      <c r="B144" s="42"/>
      <c r="C144" s="42"/>
      <c r="D144" s="75"/>
      <c r="E144" s="75"/>
      <c r="F144" s="76"/>
      <c r="G144" s="47"/>
      <c r="H144" s="47"/>
      <c r="I144" s="75"/>
      <c r="J144" s="76"/>
      <c r="K144" s="76"/>
      <c r="L144" s="75"/>
      <c r="M144" s="49"/>
      <c r="N144" s="76"/>
      <c r="O144" s="49"/>
      <c r="P144" s="77"/>
      <c r="Q144" s="53"/>
      <c r="R144" s="54"/>
      <c r="S144" s="55"/>
      <c r="T144" s="56"/>
      <c r="U144" s="56"/>
      <c r="V144" s="42"/>
      <c r="W144" s="57"/>
      <c r="X144" s="58"/>
      <c r="Y144" s="75"/>
      <c r="Z144" s="59"/>
      <c r="AA144" s="61"/>
      <c r="AB144" s="61"/>
      <c r="AC144" s="61"/>
      <c r="AD144" s="62"/>
      <c r="AE144" s="62"/>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row>
    <row r="145" spans="1:77" x14ac:dyDescent="0.3">
      <c r="A145" s="39"/>
      <c r="B145" s="42"/>
      <c r="C145" s="42"/>
      <c r="D145" s="75"/>
      <c r="E145" s="75"/>
      <c r="F145" s="76"/>
      <c r="G145" s="47"/>
      <c r="H145" s="47"/>
      <c r="I145" s="75"/>
      <c r="J145" s="76"/>
      <c r="K145" s="76"/>
      <c r="L145" s="75"/>
      <c r="M145" s="49"/>
      <c r="N145" s="76"/>
      <c r="O145" s="49"/>
      <c r="P145" s="77"/>
      <c r="Q145" s="53"/>
      <c r="R145" s="54"/>
      <c r="S145" s="55"/>
      <c r="T145" s="56"/>
      <c r="U145" s="56"/>
      <c r="V145" s="42"/>
      <c r="W145" s="57"/>
      <c r="X145" s="58"/>
      <c r="Y145" s="75"/>
      <c r="Z145" s="59"/>
      <c r="AA145" s="61"/>
      <c r="AB145" s="61"/>
      <c r="AC145" s="61"/>
      <c r="AD145" s="62"/>
      <c r="AE145" s="62"/>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row>
    <row r="146" spans="1:77" x14ac:dyDescent="0.3">
      <c r="A146" s="39"/>
      <c r="B146" s="42"/>
      <c r="C146" s="42"/>
      <c r="D146" s="75"/>
      <c r="E146" s="75"/>
      <c r="F146" s="76"/>
      <c r="G146" s="47"/>
      <c r="H146" s="47"/>
      <c r="I146" s="75"/>
      <c r="J146" s="76"/>
      <c r="K146" s="76"/>
      <c r="L146" s="75"/>
      <c r="M146" s="49"/>
      <c r="N146" s="76"/>
      <c r="O146" s="49"/>
      <c r="P146" s="77"/>
      <c r="Q146" s="53"/>
      <c r="R146" s="54"/>
      <c r="S146" s="55"/>
      <c r="T146" s="56"/>
      <c r="U146" s="56"/>
      <c r="V146" s="42"/>
      <c r="W146" s="57"/>
      <c r="X146" s="58"/>
      <c r="Y146" s="75"/>
      <c r="Z146" s="59"/>
      <c r="AA146" s="61"/>
      <c r="AB146" s="61"/>
      <c r="AC146" s="61"/>
      <c r="AD146" s="62"/>
      <c r="AE146" s="62"/>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row>
    <row r="147" spans="1:77" x14ac:dyDescent="0.3">
      <c r="A147" s="39"/>
      <c r="B147" s="42"/>
      <c r="C147" s="42"/>
      <c r="D147" s="75"/>
      <c r="E147" s="75"/>
      <c r="F147" s="76"/>
      <c r="G147" s="47"/>
      <c r="H147" s="47"/>
      <c r="I147" s="75"/>
      <c r="J147" s="76"/>
      <c r="K147" s="76"/>
      <c r="L147" s="75"/>
      <c r="M147" s="49"/>
      <c r="N147" s="76"/>
      <c r="O147" s="49"/>
      <c r="P147" s="77"/>
      <c r="Q147" s="53"/>
      <c r="R147" s="54"/>
      <c r="S147" s="55"/>
      <c r="T147" s="56"/>
      <c r="U147" s="56"/>
      <c r="V147" s="42"/>
      <c r="W147" s="57"/>
      <c r="X147" s="58"/>
      <c r="Y147" s="75"/>
      <c r="Z147" s="59"/>
      <c r="AA147" s="61"/>
      <c r="AB147" s="61"/>
      <c r="AC147" s="61"/>
      <c r="AD147" s="62"/>
      <c r="AE147" s="62"/>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row>
    <row r="148" spans="1:77" x14ac:dyDescent="0.3">
      <c r="A148" s="39"/>
      <c r="B148" s="42"/>
      <c r="C148" s="42"/>
      <c r="D148" s="75"/>
      <c r="E148" s="75"/>
      <c r="F148" s="76"/>
      <c r="G148" s="47"/>
      <c r="H148" s="47"/>
      <c r="I148" s="75"/>
      <c r="J148" s="76"/>
      <c r="K148" s="76"/>
      <c r="L148" s="75"/>
      <c r="M148" s="49"/>
      <c r="N148" s="76"/>
      <c r="O148" s="49"/>
      <c r="P148" s="77"/>
      <c r="Q148" s="53"/>
      <c r="R148" s="54"/>
      <c r="S148" s="55"/>
      <c r="T148" s="56"/>
      <c r="U148" s="56"/>
      <c r="V148" s="42"/>
      <c r="W148" s="57"/>
      <c r="X148" s="58"/>
      <c r="Y148" s="75"/>
      <c r="Z148" s="59"/>
      <c r="AA148" s="61"/>
      <c r="AB148" s="61"/>
      <c r="AC148" s="61"/>
      <c r="AD148" s="62"/>
      <c r="AE148" s="62"/>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row>
    <row r="149" spans="1:77" x14ac:dyDescent="0.3">
      <c r="A149" s="39"/>
      <c r="B149" s="42"/>
      <c r="C149" s="42"/>
      <c r="D149" s="75"/>
      <c r="E149" s="75"/>
      <c r="F149" s="76"/>
      <c r="G149" s="47"/>
      <c r="H149" s="47"/>
      <c r="I149" s="75"/>
      <c r="J149" s="76"/>
      <c r="K149" s="76"/>
      <c r="L149" s="75"/>
      <c r="M149" s="49"/>
      <c r="N149" s="76"/>
      <c r="O149" s="49"/>
      <c r="P149" s="77"/>
      <c r="Q149" s="53"/>
      <c r="R149" s="54"/>
      <c r="S149" s="55"/>
      <c r="T149" s="56"/>
      <c r="U149" s="56"/>
      <c r="V149" s="42"/>
      <c r="W149" s="57"/>
      <c r="X149" s="58"/>
      <c r="Y149" s="75"/>
      <c r="Z149" s="59"/>
      <c r="AA149" s="61"/>
      <c r="AB149" s="61"/>
      <c r="AC149" s="61"/>
      <c r="AD149" s="62"/>
      <c r="AE149" s="62"/>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row>
    <row r="150" spans="1:77" x14ac:dyDescent="0.3">
      <c r="A150" s="39"/>
      <c r="B150" s="42"/>
      <c r="C150" s="42"/>
      <c r="D150" s="75"/>
      <c r="E150" s="75"/>
      <c r="F150" s="76"/>
      <c r="G150" s="47"/>
      <c r="H150" s="47"/>
      <c r="I150" s="75"/>
      <c r="J150" s="76"/>
      <c r="K150" s="76"/>
      <c r="L150" s="75"/>
      <c r="M150" s="49"/>
      <c r="N150" s="76"/>
      <c r="O150" s="49"/>
      <c r="P150" s="77"/>
      <c r="Q150" s="53"/>
      <c r="R150" s="54"/>
      <c r="S150" s="55"/>
      <c r="T150" s="56"/>
      <c r="U150" s="56"/>
      <c r="V150" s="42"/>
      <c r="W150" s="57"/>
      <c r="X150" s="58"/>
      <c r="Y150" s="75"/>
      <c r="Z150" s="59"/>
      <c r="AA150" s="61"/>
      <c r="AB150" s="61"/>
      <c r="AC150" s="61"/>
      <c r="AD150" s="62"/>
      <c r="AE150" s="62"/>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row>
    <row r="151" spans="1:77" x14ac:dyDescent="0.3">
      <c r="A151" s="39"/>
      <c r="B151" s="42"/>
      <c r="C151" s="42"/>
      <c r="D151" s="75"/>
      <c r="E151" s="75"/>
      <c r="F151" s="76"/>
      <c r="G151" s="47"/>
      <c r="H151" s="47"/>
      <c r="I151" s="75"/>
      <c r="J151" s="76"/>
      <c r="K151" s="76"/>
      <c r="L151" s="75"/>
      <c r="M151" s="49"/>
      <c r="N151" s="76"/>
      <c r="O151" s="49"/>
      <c r="P151" s="77"/>
      <c r="Q151" s="53"/>
      <c r="R151" s="54"/>
      <c r="S151" s="55"/>
      <c r="T151" s="56"/>
      <c r="U151" s="56"/>
      <c r="V151" s="42"/>
      <c r="W151" s="57"/>
      <c r="X151" s="58"/>
      <c r="Y151" s="75"/>
      <c r="Z151" s="59"/>
      <c r="AA151" s="61"/>
      <c r="AB151" s="61"/>
      <c r="AC151" s="61"/>
      <c r="AD151" s="62"/>
      <c r="AE151" s="62"/>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row>
    <row r="152" spans="1:77" x14ac:dyDescent="0.3">
      <c r="A152" s="39"/>
      <c r="B152" s="42"/>
      <c r="C152" s="42"/>
      <c r="D152" s="75"/>
      <c r="E152" s="75"/>
      <c r="F152" s="76"/>
      <c r="G152" s="47"/>
      <c r="H152" s="47"/>
      <c r="I152" s="75"/>
      <c r="J152" s="76"/>
      <c r="K152" s="76"/>
      <c r="L152" s="75"/>
      <c r="M152" s="49"/>
      <c r="N152" s="76"/>
      <c r="O152" s="49"/>
      <c r="P152" s="77"/>
      <c r="Q152" s="53"/>
      <c r="R152" s="54"/>
      <c r="S152" s="55"/>
      <c r="T152" s="56"/>
      <c r="U152" s="56"/>
      <c r="V152" s="42"/>
      <c r="W152" s="57"/>
      <c r="X152" s="58"/>
      <c r="Y152" s="75"/>
      <c r="Z152" s="59"/>
      <c r="AA152" s="61"/>
      <c r="AB152" s="61"/>
      <c r="AC152" s="61"/>
      <c r="AD152" s="62"/>
      <c r="AE152" s="62"/>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row>
    <row r="153" spans="1:77" x14ac:dyDescent="0.3">
      <c r="A153" s="39"/>
      <c r="B153" s="42"/>
      <c r="C153" s="42"/>
      <c r="D153" s="75"/>
      <c r="E153" s="75"/>
      <c r="F153" s="76"/>
      <c r="G153" s="47"/>
      <c r="H153" s="47"/>
      <c r="I153" s="75"/>
      <c r="J153" s="76"/>
      <c r="K153" s="76"/>
      <c r="L153" s="75"/>
      <c r="M153" s="49"/>
      <c r="N153" s="76"/>
      <c r="O153" s="49"/>
      <c r="P153" s="77"/>
      <c r="Q153" s="53"/>
      <c r="R153" s="54"/>
      <c r="S153" s="55"/>
      <c r="T153" s="56"/>
      <c r="U153" s="56"/>
      <c r="V153" s="42"/>
      <c r="W153" s="57"/>
      <c r="X153" s="58"/>
      <c r="Y153" s="75"/>
      <c r="Z153" s="59"/>
      <c r="AA153" s="61"/>
      <c r="AB153" s="61"/>
      <c r="AC153" s="61"/>
      <c r="AD153" s="62"/>
      <c r="AE153" s="62"/>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row>
    <row r="154" spans="1:77" x14ac:dyDescent="0.3">
      <c r="A154" s="39"/>
      <c r="B154" s="42"/>
      <c r="C154" s="42"/>
      <c r="D154" s="75"/>
      <c r="E154" s="75"/>
      <c r="F154" s="76"/>
      <c r="G154" s="47"/>
      <c r="H154" s="47"/>
      <c r="I154" s="75"/>
      <c r="J154" s="76"/>
      <c r="K154" s="76"/>
      <c r="L154" s="75"/>
      <c r="M154" s="49"/>
      <c r="N154" s="76"/>
      <c r="O154" s="49"/>
      <c r="P154" s="77"/>
      <c r="Q154" s="53"/>
      <c r="R154" s="54"/>
      <c r="S154" s="55"/>
      <c r="T154" s="56"/>
      <c r="U154" s="56"/>
      <c r="V154" s="42"/>
      <c r="W154" s="57"/>
      <c r="X154" s="58"/>
      <c r="Y154" s="75"/>
      <c r="Z154" s="59"/>
      <c r="AA154" s="61"/>
      <c r="AB154" s="61"/>
      <c r="AC154" s="61"/>
      <c r="AD154" s="62"/>
      <c r="AE154" s="62"/>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row>
    <row r="155" spans="1:77" x14ac:dyDescent="0.3">
      <c r="A155" s="39"/>
      <c r="B155" s="42"/>
      <c r="C155" s="42"/>
      <c r="D155" s="75"/>
      <c r="E155" s="75"/>
      <c r="F155" s="76"/>
      <c r="G155" s="47"/>
      <c r="H155" s="47"/>
      <c r="I155" s="75"/>
      <c r="J155" s="76"/>
      <c r="K155" s="76"/>
      <c r="L155" s="75"/>
      <c r="M155" s="49"/>
      <c r="N155" s="76"/>
      <c r="O155" s="49"/>
      <c r="P155" s="77"/>
      <c r="Q155" s="53"/>
      <c r="R155" s="54"/>
      <c r="S155" s="55"/>
      <c r="T155" s="56"/>
      <c r="U155" s="56"/>
      <c r="V155" s="42"/>
      <c r="W155" s="57"/>
      <c r="X155" s="58"/>
      <c r="Y155" s="75"/>
      <c r="Z155" s="59"/>
      <c r="AA155" s="61"/>
      <c r="AB155" s="61"/>
      <c r="AC155" s="61"/>
      <c r="AD155" s="62"/>
      <c r="AE155" s="62"/>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row>
    <row r="156" spans="1:77" x14ac:dyDescent="0.3">
      <c r="A156" s="39"/>
      <c r="B156" s="42"/>
      <c r="C156" s="42"/>
      <c r="D156" s="75"/>
      <c r="E156" s="75"/>
      <c r="F156" s="76"/>
      <c r="G156" s="47"/>
      <c r="H156" s="47"/>
      <c r="I156" s="75"/>
      <c r="J156" s="76"/>
      <c r="K156" s="76"/>
      <c r="L156" s="75"/>
      <c r="M156" s="49"/>
      <c r="N156" s="76"/>
      <c r="O156" s="49"/>
      <c r="P156" s="77"/>
      <c r="Q156" s="53"/>
      <c r="R156" s="54"/>
      <c r="S156" s="55"/>
      <c r="T156" s="56"/>
      <c r="U156" s="56"/>
      <c r="V156" s="42"/>
      <c r="W156" s="57"/>
      <c r="X156" s="58"/>
      <c r="Y156" s="75"/>
      <c r="Z156" s="59"/>
      <c r="AA156" s="61"/>
      <c r="AB156" s="61"/>
      <c r="AC156" s="61"/>
      <c r="AD156" s="62"/>
      <c r="AE156" s="62"/>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row>
    <row r="157" spans="1:77" x14ac:dyDescent="0.3">
      <c r="A157" s="39"/>
      <c r="B157" s="42"/>
      <c r="C157" s="42"/>
      <c r="D157" s="75"/>
      <c r="E157" s="75"/>
      <c r="F157" s="76"/>
      <c r="G157" s="47"/>
      <c r="H157" s="47"/>
      <c r="I157" s="75"/>
      <c r="J157" s="76"/>
      <c r="K157" s="76"/>
      <c r="L157" s="75"/>
      <c r="M157" s="49"/>
      <c r="N157" s="76"/>
      <c r="O157" s="49"/>
      <c r="P157" s="77"/>
      <c r="Q157" s="53"/>
      <c r="R157" s="54"/>
      <c r="S157" s="55"/>
      <c r="T157" s="56"/>
      <c r="U157" s="56"/>
      <c r="V157" s="42"/>
      <c r="W157" s="57"/>
      <c r="X157" s="58"/>
      <c r="Y157" s="75"/>
      <c r="Z157" s="59"/>
      <c r="AA157" s="61"/>
      <c r="AB157" s="61"/>
      <c r="AC157" s="61"/>
      <c r="AD157" s="62"/>
      <c r="AE157" s="62"/>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row>
    <row r="158" spans="1:77" x14ac:dyDescent="0.3">
      <c r="A158" s="39"/>
      <c r="B158" s="42"/>
      <c r="C158" s="42"/>
      <c r="D158" s="75"/>
      <c r="E158" s="75"/>
      <c r="F158" s="76"/>
      <c r="G158" s="47"/>
      <c r="H158" s="47"/>
      <c r="I158" s="75"/>
      <c r="J158" s="76"/>
      <c r="K158" s="76"/>
      <c r="L158" s="75"/>
      <c r="M158" s="49"/>
      <c r="N158" s="76"/>
      <c r="O158" s="49"/>
      <c r="P158" s="77"/>
      <c r="Q158" s="53"/>
      <c r="R158" s="54"/>
      <c r="S158" s="55"/>
      <c r="T158" s="56"/>
      <c r="U158" s="56"/>
      <c r="V158" s="42"/>
      <c r="W158" s="57"/>
      <c r="X158" s="58"/>
      <c r="Y158" s="75"/>
      <c r="Z158" s="59"/>
      <c r="AA158" s="61"/>
      <c r="AB158" s="61"/>
      <c r="AC158" s="61"/>
      <c r="AD158" s="62"/>
      <c r="AE158" s="62"/>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row>
    <row r="159" spans="1:77" x14ac:dyDescent="0.3">
      <c r="A159" s="39"/>
      <c r="B159" s="42"/>
      <c r="C159" s="42"/>
      <c r="D159" s="75"/>
      <c r="E159" s="75"/>
      <c r="F159" s="76"/>
      <c r="G159" s="47"/>
      <c r="H159" s="47"/>
      <c r="I159" s="75"/>
      <c r="J159" s="76"/>
      <c r="K159" s="76"/>
      <c r="L159" s="75"/>
      <c r="M159" s="49"/>
      <c r="N159" s="76"/>
      <c r="O159" s="49"/>
      <c r="P159" s="77"/>
      <c r="Q159" s="53"/>
      <c r="R159" s="54"/>
      <c r="S159" s="55"/>
      <c r="T159" s="56"/>
      <c r="U159" s="56"/>
      <c r="V159" s="42"/>
      <c r="W159" s="57"/>
      <c r="X159" s="58"/>
      <c r="Y159" s="75"/>
      <c r="Z159" s="59"/>
      <c r="AA159" s="61"/>
      <c r="AB159" s="61"/>
      <c r="AC159" s="61"/>
      <c r="AD159" s="62"/>
      <c r="AE159" s="62"/>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row>
    <row r="160" spans="1:77" x14ac:dyDescent="0.3">
      <c r="A160" s="39"/>
      <c r="B160" s="42"/>
      <c r="C160" s="42"/>
      <c r="D160" s="75"/>
      <c r="E160" s="75"/>
      <c r="F160" s="76"/>
      <c r="G160" s="47"/>
      <c r="H160" s="47"/>
      <c r="I160" s="75"/>
      <c r="J160" s="76"/>
      <c r="K160" s="76"/>
      <c r="L160" s="75"/>
      <c r="M160" s="49"/>
      <c r="N160" s="76"/>
      <c r="O160" s="49"/>
      <c r="P160" s="77"/>
      <c r="Q160" s="53"/>
      <c r="R160" s="54"/>
      <c r="S160" s="55"/>
      <c r="T160" s="56"/>
      <c r="U160" s="56"/>
      <c r="V160" s="42"/>
      <c r="W160" s="57"/>
      <c r="X160" s="58"/>
      <c r="Y160" s="75"/>
      <c r="Z160" s="59"/>
      <c r="AA160" s="61"/>
      <c r="AB160" s="61"/>
      <c r="AC160" s="61"/>
      <c r="AD160" s="62"/>
      <c r="AE160" s="62"/>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row>
    <row r="161" spans="1:77" x14ac:dyDescent="0.3">
      <c r="A161" s="39"/>
      <c r="B161" s="42"/>
      <c r="C161" s="42"/>
      <c r="D161" s="75"/>
      <c r="E161" s="75"/>
      <c r="F161" s="76"/>
      <c r="G161" s="47"/>
      <c r="H161" s="47"/>
      <c r="I161" s="75"/>
      <c r="J161" s="76"/>
      <c r="K161" s="76"/>
      <c r="L161" s="75"/>
      <c r="M161" s="49"/>
      <c r="N161" s="76"/>
      <c r="O161" s="49"/>
      <c r="P161" s="77"/>
      <c r="Q161" s="53"/>
      <c r="R161" s="54"/>
      <c r="S161" s="55"/>
      <c r="T161" s="56"/>
      <c r="U161" s="56"/>
      <c r="V161" s="42"/>
      <c r="W161" s="57"/>
      <c r="X161" s="58"/>
      <c r="Y161" s="75"/>
      <c r="Z161" s="59"/>
      <c r="AA161" s="61"/>
      <c r="AB161" s="61"/>
      <c r="AC161" s="61"/>
      <c r="AD161" s="62"/>
      <c r="AE161" s="62"/>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row>
    <row r="162" spans="1:77" x14ac:dyDescent="0.3">
      <c r="A162" s="39"/>
      <c r="B162" s="42"/>
      <c r="C162" s="42"/>
      <c r="D162" s="75"/>
      <c r="E162" s="75"/>
      <c r="F162" s="76"/>
      <c r="G162" s="47"/>
      <c r="H162" s="47"/>
      <c r="I162" s="75"/>
      <c r="J162" s="76"/>
      <c r="K162" s="76"/>
      <c r="L162" s="75"/>
      <c r="M162" s="49"/>
      <c r="N162" s="76"/>
      <c r="O162" s="49"/>
      <c r="P162" s="77"/>
      <c r="Q162" s="53"/>
      <c r="R162" s="54"/>
      <c r="S162" s="55"/>
      <c r="T162" s="56"/>
      <c r="U162" s="56"/>
      <c r="V162" s="42"/>
      <c r="W162" s="57"/>
      <c r="X162" s="58"/>
      <c r="Y162" s="75"/>
      <c r="Z162" s="59"/>
      <c r="AA162" s="61"/>
      <c r="AB162" s="61"/>
      <c r="AC162" s="61"/>
      <c r="AD162" s="62"/>
      <c r="AE162" s="62"/>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row>
    <row r="163" spans="1:77" x14ac:dyDescent="0.3">
      <c r="A163" s="39"/>
      <c r="B163" s="42"/>
      <c r="C163" s="42"/>
      <c r="D163" s="75"/>
      <c r="E163" s="75"/>
      <c r="F163" s="76"/>
      <c r="G163" s="47"/>
      <c r="H163" s="47"/>
      <c r="I163" s="75"/>
      <c r="J163" s="76"/>
      <c r="K163" s="76"/>
      <c r="L163" s="75"/>
      <c r="M163" s="49"/>
      <c r="N163" s="76"/>
      <c r="O163" s="49"/>
      <c r="P163" s="77"/>
      <c r="Q163" s="53"/>
      <c r="R163" s="54"/>
      <c r="S163" s="55"/>
      <c r="T163" s="56"/>
      <c r="U163" s="56"/>
      <c r="V163" s="42"/>
      <c r="W163" s="57"/>
      <c r="X163" s="58"/>
      <c r="Y163" s="75"/>
      <c r="Z163" s="59"/>
      <c r="AA163" s="61"/>
      <c r="AB163" s="61"/>
      <c r="AC163" s="61"/>
      <c r="AD163" s="62"/>
      <c r="AE163" s="62"/>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row>
    <row r="164" spans="1:77" x14ac:dyDescent="0.3">
      <c r="A164" s="39"/>
      <c r="B164" s="42"/>
      <c r="C164" s="42"/>
      <c r="D164" s="75"/>
      <c r="E164" s="75"/>
      <c r="F164" s="76"/>
      <c r="G164" s="47"/>
      <c r="H164" s="47"/>
      <c r="I164" s="75"/>
      <c r="J164" s="76"/>
      <c r="K164" s="76"/>
      <c r="L164" s="75"/>
      <c r="M164" s="49"/>
      <c r="N164" s="76"/>
      <c r="O164" s="49"/>
      <c r="P164" s="77"/>
      <c r="Q164" s="53"/>
      <c r="R164" s="54"/>
      <c r="S164" s="55"/>
      <c r="T164" s="56"/>
      <c r="U164" s="56"/>
      <c r="V164" s="42"/>
      <c r="W164" s="57"/>
      <c r="X164" s="58"/>
      <c r="Y164" s="75"/>
      <c r="Z164" s="59"/>
      <c r="AA164" s="61"/>
      <c r="AB164" s="61"/>
      <c r="AC164" s="61"/>
      <c r="AD164" s="62"/>
      <c r="AE164" s="62"/>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row>
    <row r="165" spans="1:77" x14ac:dyDescent="0.3">
      <c r="A165" s="39"/>
      <c r="B165" s="42"/>
      <c r="C165" s="42"/>
      <c r="D165" s="75"/>
      <c r="E165" s="75"/>
      <c r="F165" s="76"/>
      <c r="G165" s="47"/>
      <c r="H165" s="47"/>
      <c r="I165" s="75"/>
      <c r="J165" s="76"/>
      <c r="K165" s="76"/>
      <c r="L165" s="75"/>
      <c r="M165" s="49"/>
      <c r="N165" s="76"/>
      <c r="O165" s="49"/>
      <c r="P165" s="77"/>
      <c r="Q165" s="53"/>
      <c r="R165" s="54"/>
      <c r="S165" s="55"/>
      <c r="T165" s="56"/>
      <c r="U165" s="56"/>
      <c r="V165" s="42"/>
      <c r="W165" s="57"/>
      <c r="X165" s="58"/>
      <c r="Y165" s="75"/>
      <c r="Z165" s="59"/>
      <c r="AA165" s="61"/>
      <c r="AB165" s="61"/>
      <c r="AC165" s="61"/>
      <c r="AD165" s="62"/>
      <c r="AE165" s="62"/>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row>
    <row r="166" spans="1:77" x14ac:dyDescent="0.3">
      <c r="A166" s="39"/>
      <c r="B166" s="42"/>
      <c r="C166" s="42"/>
      <c r="D166" s="75"/>
      <c r="E166" s="75"/>
      <c r="F166" s="76"/>
      <c r="G166" s="47"/>
      <c r="H166" s="47"/>
      <c r="I166" s="75"/>
      <c r="J166" s="76"/>
      <c r="K166" s="76"/>
      <c r="L166" s="75"/>
      <c r="M166" s="49"/>
      <c r="N166" s="76"/>
      <c r="O166" s="49"/>
      <c r="P166" s="77"/>
      <c r="Q166" s="53"/>
      <c r="R166" s="54"/>
      <c r="S166" s="55"/>
      <c r="T166" s="56"/>
      <c r="U166" s="56"/>
      <c r="V166" s="42"/>
      <c r="W166" s="57"/>
      <c r="X166" s="58"/>
      <c r="Y166" s="75"/>
      <c r="Z166" s="59"/>
      <c r="AA166" s="61"/>
      <c r="AB166" s="61"/>
      <c r="AC166" s="61"/>
      <c r="AD166" s="62"/>
      <c r="AE166" s="62"/>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row>
    <row r="167" spans="1:77" x14ac:dyDescent="0.3">
      <c r="A167" s="39"/>
      <c r="B167" s="42"/>
      <c r="C167" s="42"/>
      <c r="D167" s="75"/>
      <c r="E167" s="75"/>
      <c r="F167" s="76"/>
      <c r="G167" s="47"/>
      <c r="H167" s="47"/>
      <c r="I167" s="75"/>
      <c r="J167" s="76"/>
      <c r="K167" s="76"/>
      <c r="L167" s="75"/>
      <c r="M167" s="49"/>
      <c r="N167" s="76"/>
      <c r="O167" s="49"/>
      <c r="P167" s="77"/>
      <c r="Q167" s="53"/>
      <c r="R167" s="54"/>
      <c r="S167" s="55"/>
      <c r="T167" s="56"/>
      <c r="U167" s="56"/>
      <c r="V167" s="42"/>
      <c r="W167" s="57"/>
      <c r="X167" s="58"/>
      <c r="Y167" s="75"/>
      <c r="Z167" s="59"/>
      <c r="AA167" s="61"/>
      <c r="AB167" s="61"/>
      <c r="AC167" s="61"/>
      <c r="AD167" s="62"/>
      <c r="AE167" s="62"/>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row>
    <row r="168" spans="1:77" x14ac:dyDescent="0.3">
      <c r="A168" s="39"/>
      <c r="B168" s="42"/>
      <c r="C168" s="42"/>
      <c r="D168" s="75"/>
      <c r="E168" s="75"/>
      <c r="F168" s="76"/>
      <c r="G168" s="47"/>
      <c r="H168" s="47"/>
      <c r="I168" s="75"/>
      <c r="J168" s="76"/>
      <c r="K168" s="76"/>
      <c r="L168" s="75"/>
      <c r="M168" s="49"/>
      <c r="N168" s="76"/>
      <c r="O168" s="49"/>
      <c r="P168" s="77"/>
      <c r="Q168" s="53"/>
      <c r="R168" s="54"/>
      <c r="S168" s="55"/>
      <c r="T168" s="56"/>
      <c r="U168" s="56"/>
      <c r="V168" s="42"/>
      <c r="W168" s="57"/>
      <c r="X168" s="58"/>
      <c r="Y168" s="75"/>
      <c r="Z168" s="59"/>
      <c r="AA168" s="61"/>
      <c r="AB168" s="61"/>
      <c r="AC168" s="61"/>
      <c r="AD168" s="62"/>
      <c r="AE168" s="62"/>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row>
    <row r="169" spans="1:77" x14ac:dyDescent="0.3">
      <c r="A169" s="39"/>
      <c r="B169" s="42"/>
      <c r="C169" s="42"/>
      <c r="D169" s="75"/>
      <c r="E169" s="75"/>
      <c r="F169" s="76"/>
      <c r="G169" s="47"/>
      <c r="H169" s="47"/>
      <c r="I169" s="75"/>
      <c r="J169" s="76"/>
      <c r="K169" s="76"/>
      <c r="L169" s="75"/>
      <c r="M169" s="49"/>
      <c r="N169" s="76"/>
      <c r="O169" s="49"/>
      <c r="P169" s="77"/>
      <c r="Q169" s="53"/>
      <c r="R169" s="54"/>
      <c r="S169" s="55"/>
      <c r="T169" s="56"/>
      <c r="U169" s="56"/>
      <c r="V169" s="42"/>
      <c r="W169" s="57"/>
      <c r="X169" s="58"/>
      <c r="Y169" s="75"/>
      <c r="Z169" s="59"/>
      <c r="AA169" s="61"/>
      <c r="AB169" s="61"/>
      <c r="AC169" s="61"/>
      <c r="AD169" s="62"/>
      <c r="AE169" s="62"/>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row>
    <row r="170" spans="1:77" x14ac:dyDescent="0.3">
      <c r="A170" s="39"/>
      <c r="B170" s="42"/>
      <c r="C170" s="42"/>
      <c r="D170" s="75"/>
      <c r="E170" s="75"/>
      <c r="F170" s="76"/>
      <c r="G170" s="47"/>
      <c r="H170" s="47"/>
      <c r="I170" s="75"/>
      <c r="J170" s="76"/>
      <c r="K170" s="76"/>
      <c r="L170" s="75"/>
      <c r="M170" s="49"/>
      <c r="N170" s="76"/>
      <c r="O170" s="49"/>
      <c r="P170" s="77"/>
      <c r="Q170" s="53"/>
      <c r="R170" s="54"/>
      <c r="S170" s="55"/>
      <c r="T170" s="56"/>
      <c r="U170" s="56"/>
      <c r="V170" s="42"/>
      <c r="W170" s="57"/>
      <c r="X170" s="58"/>
      <c r="Y170" s="75"/>
      <c r="Z170" s="59"/>
      <c r="AA170" s="61"/>
      <c r="AB170" s="61"/>
      <c r="AC170" s="61"/>
      <c r="AD170" s="62"/>
      <c r="AE170" s="62"/>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row>
    <row r="171" spans="1:77" x14ac:dyDescent="0.3">
      <c r="A171" s="39"/>
      <c r="B171" s="42"/>
      <c r="C171" s="42"/>
      <c r="D171" s="75"/>
      <c r="E171" s="75"/>
      <c r="F171" s="76"/>
      <c r="G171" s="47"/>
      <c r="H171" s="47"/>
      <c r="I171" s="75"/>
      <c r="J171" s="76"/>
      <c r="K171" s="76"/>
      <c r="L171" s="75"/>
      <c r="M171" s="49"/>
      <c r="N171" s="76"/>
      <c r="O171" s="49"/>
      <c r="P171" s="77"/>
      <c r="Q171" s="53"/>
      <c r="R171" s="54"/>
      <c r="S171" s="55"/>
      <c r="T171" s="56"/>
      <c r="U171" s="56"/>
      <c r="V171" s="42"/>
      <c r="W171" s="57"/>
      <c r="X171" s="58"/>
      <c r="Y171" s="75"/>
      <c r="Z171" s="59"/>
      <c r="AA171" s="61"/>
      <c r="AB171" s="61"/>
      <c r="AC171" s="61"/>
      <c r="AD171" s="62"/>
      <c r="AE171" s="62"/>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row>
    <row r="172" spans="1:77" x14ac:dyDescent="0.3">
      <c r="A172" s="39"/>
      <c r="B172" s="42"/>
      <c r="C172" s="42"/>
      <c r="D172" s="75"/>
      <c r="E172" s="75"/>
      <c r="F172" s="76"/>
      <c r="G172" s="47"/>
      <c r="H172" s="47"/>
      <c r="I172" s="75"/>
      <c r="J172" s="76"/>
      <c r="K172" s="76"/>
      <c r="L172" s="75"/>
      <c r="M172" s="49"/>
      <c r="N172" s="76"/>
      <c r="O172" s="49"/>
      <c r="P172" s="77"/>
      <c r="Q172" s="53"/>
      <c r="R172" s="54"/>
      <c r="S172" s="55"/>
      <c r="T172" s="56"/>
      <c r="U172" s="56"/>
      <c r="V172" s="42"/>
      <c r="W172" s="57"/>
      <c r="X172" s="58"/>
      <c r="Y172" s="75"/>
      <c r="Z172" s="59"/>
      <c r="AA172" s="61"/>
      <c r="AB172" s="61"/>
      <c r="AC172" s="61"/>
      <c r="AD172" s="62"/>
      <c r="AE172" s="62"/>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row>
    <row r="173" spans="1:77" x14ac:dyDescent="0.3">
      <c r="A173" s="39"/>
      <c r="B173" s="42"/>
      <c r="C173" s="42"/>
      <c r="D173" s="75"/>
      <c r="E173" s="75"/>
      <c r="F173" s="76"/>
      <c r="G173" s="47"/>
      <c r="H173" s="47"/>
      <c r="I173" s="75"/>
      <c r="J173" s="76"/>
      <c r="K173" s="76"/>
      <c r="L173" s="75"/>
      <c r="M173" s="49"/>
      <c r="N173" s="76"/>
      <c r="O173" s="49"/>
      <c r="P173" s="77"/>
      <c r="Q173" s="53"/>
      <c r="R173" s="54"/>
      <c r="S173" s="55"/>
      <c r="T173" s="56"/>
      <c r="U173" s="56"/>
      <c r="V173" s="42"/>
      <c r="W173" s="57"/>
      <c r="X173" s="58"/>
      <c r="Y173" s="75"/>
      <c r="Z173" s="59"/>
      <c r="AA173" s="61"/>
      <c r="AB173" s="61"/>
      <c r="AC173" s="61"/>
      <c r="AD173" s="62"/>
      <c r="AE173" s="62"/>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row>
    <row r="174" spans="1:77" x14ac:dyDescent="0.3">
      <c r="A174" s="39"/>
      <c r="B174" s="42"/>
      <c r="C174" s="42"/>
      <c r="D174" s="75"/>
      <c r="E174" s="75"/>
      <c r="F174" s="76"/>
      <c r="G174" s="47"/>
      <c r="H174" s="47"/>
      <c r="I174" s="75"/>
      <c r="J174" s="76"/>
      <c r="K174" s="76"/>
      <c r="L174" s="75"/>
      <c r="M174" s="49"/>
      <c r="N174" s="76"/>
      <c r="O174" s="49"/>
      <c r="P174" s="77"/>
      <c r="Q174" s="53"/>
      <c r="R174" s="54"/>
      <c r="S174" s="55"/>
      <c r="T174" s="56"/>
      <c r="U174" s="56"/>
      <c r="V174" s="42"/>
      <c r="W174" s="57"/>
      <c r="X174" s="58"/>
      <c r="Y174" s="75"/>
      <c r="Z174" s="59"/>
      <c r="AA174" s="61"/>
      <c r="AB174" s="61"/>
      <c r="AC174" s="61"/>
      <c r="AD174" s="62"/>
      <c r="AE174" s="62"/>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row>
    <row r="175" spans="1:77" x14ac:dyDescent="0.3">
      <c r="A175" s="39"/>
      <c r="B175" s="42"/>
      <c r="C175" s="42"/>
      <c r="D175" s="75"/>
      <c r="E175" s="75"/>
      <c r="F175" s="76"/>
      <c r="G175" s="47"/>
      <c r="H175" s="47"/>
      <c r="I175" s="75"/>
      <c r="J175" s="76"/>
      <c r="K175" s="76"/>
      <c r="L175" s="75"/>
      <c r="M175" s="49"/>
      <c r="N175" s="76"/>
      <c r="O175" s="49"/>
      <c r="P175" s="77"/>
      <c r="Q175" s="53"/>
      <c r="R175" s="54"/>
      <c r="S175" s="55"/>
      <c r="T175" s="56"/>
      <c r="U175" s="56"/>
      <c r="V175" s="42"/>
      <c r="W175" s="57"/>
      <c r="X175" s="58"/>
      <c r="Y175" s="75"/>
      <c r="Z175" s="59"/>
      <c r="AA175" s="61"/>
      <c r="AB175" s="61"/>
      <c r="AC175" s="61"/>
      <c r="AD175" s="62"/>
      <c r="AE175" s="62"/>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row>
    <row r="176" spans="1:77" x14ac:dyDescent="0.3">
      <c r="A176" s="39"/>
      <c r="B176" s="42"/>
      <c r="C176" s="42"/>
      <c r="D176" s="75"/>
      <c r="E176" s="75"/>
      <c r="F176" s="76"/>
      <c r="G176" s="47"/>
      <c r="H176" s="47"/>
      <c r="I176" s="75"/>
      <c r="J176" s="76"/>
      <c r="K176" s="76"/>
      <c r="L176" s="75"/>
      <c r="M176" s="49"/>
      <c r="N176" s="76"/>
      <c r="O176" s="49"/>
      <c r="P176" s="77"/>
      <c r="Q176" s="53"/>
      <c r="R176" s="54"/>
      <c r="S176" s="55"/>
      <c r="T176" s="56"/>
      <c r="U176" s="56"/>
      <c r="V176" s="42"/>
      <c r="W176" s="57"/>
      <c r="X176" s="58"/>
      <c r="Y176" s="75"/>
      <c r="Z176" s="59"/>
      <c r="AA176" s="61"/>
      <c r="AB176" s="61"/>
      <c r="AC176" s="61"/>
      <c r="AD176" s="62"/>
      <c r="AE176" s="62"/>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row>
    <row r="177" spans="1:77" x14ac:dyDescent="0.3">
      <c r="A177" s="39"/>
      <c r="B177" s="42"/>
      <c r="C177" s="42"/>
      <c r="D177" s="75"/>
      <c r="E177" s="75"/>
      <c r="F177" s="76"/>
      <c r="G177" s="47"/>
      <c r="H177" s="47"/>
      <c r="I177" s="75"/>
      <c r="J177" s="76"/>
      <c r="K177" s="76"/>
      <c r="L177" s="75"/>
      <c r="M177" s="49"/>
      <c r="N177" s="76"/>
      <c r="O177" s="49"/>
      <c r="P177" s="77"/>
      <c r="Q177" s="53"/>
      <c r="R177" s="54"/>
      <c r="S177" s="55"/>
      <c r="T177" s="56"/>
      <c r="U177" s="56"/>
      <c r="V177" s="42"/>
      <c r="W177" s="57"/>
      <c r="X177" s="58"/>
      <c r="Y177" s="75"/>
      <c r="Z177" s="59"/>
      <c r="AA177" s="61"/>
      <c r="AB177" s="61"/>
      <c r="AC177" s="61"/>
      <c r="AD177" s="62"/>
      <c r="AE177" s="62"/>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row>
    <row r="178" spans="1:77" x14ac:dyDescent="0.3">
      <c r="A178" s="39"/>
      <c r="B178" s="42"/>
      <c r="C178" s="42"/>
      <c r="D178" s="75"/>
      <c r="E178" s="75"/>
      <c r="F178" s="76"/>
      <c r="G178" s="47"/>
      <c r="H178" s="47"/>
      <c r="I178" s="75"/>
      <c r="J178" s="76"/>
      <c r="K178" s="76"/>
      <c r="L178" s="75"/>
      <c r="M178" s="49"/>
      <c r="N178" s="76"/>
      <c r="O178" s="49"/>
      <c r="P178" s="77"/>
      <c r="Q178" s="53"/>
      <c r="R178" s="54"/>
      <c r="S178" s="55"/>
      <c r="T178" s="56"/>
      <c r="U178" s="56"/>
      <c r="V178" s="42"/>
      <c r="W178" s="57"/>
      <c r="X178" s="58"/>
      <c r="Y178" s="75"/>
      <c r="Z178" s="59"/>
      <c r="AA178" s="61"/>
      <c r="AB178" s="61"/>
      <c r="AC178" s="61"/>
      <c r="AD178" s="62"/>
      <c r="AE178" s="62"/>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row>
    <row r="179" spans="1:77" x14ac:dyDescent="0.3">
      <c r="A179" s="39"/>
      <c r="B179" s="42"/>
      <c r="C179" s="42"/>
      <c r="D179" s="75"/>
      <c r="E179" s="75"/>
      <c r="F179" s="76"/>
      <c r="G179" s="47"/>
      <c r="H179" s="47"/>
      <c r="I179" s="75"/>
      <c r="J179" s="76"/>
      <c r="K179" s="76"/>
      <c r="L179" s="75"/>
      <c r="M179" s="49"/>
      <c r="N179" s="76"/>
      <c r="O179" s="49"/>
      <c r="P179" s="77"/>
      <c r="Q179" s="53"/>
      <c r="R179" s="54"/>
      <c r="S179" s="55"/>
      <c r="T179" s="56"/>
      <c r="U179" s="56"/>
      <c r="V179" s="42"/>
      <c r="W179" s="57"/>
      <c r="X179" s="58"/>
      <c r="Y179" s="75"/>
      <c r="Z179" s="59"/>
      <c r="AA179" s="61"/>
      <c r="AB179" s="61"/>
      <c r="AC179" s="61"/>
      <c r="AD179" s="62"/>
      <c r="AE179" s="62"/>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row>
    <row r="180" spans="1:77" x14ac:dyDescent="0.3">
      <c r="A180" s="39"/>
      <c r="B180" s="42"/>
      <c r="C180" s="42"/>
      <c r="D180" s="75"/>
      <c r="E180" s="75"/>
      <c r="F180" s="76"/>
      <c r="G180" s="47"/>
      <c r="H180" s="47"/>
      <c r="I180" s="75"/>
      <c r="J180" s="76"/>
      <c r="K180" s="76"/>
      <c r="L180" s="75"/>
      <c r="M180" s="49"/>
      <c r="N180" s="76"/>
      <c r="O180" s="49"/>
      <c r="P180" s="77"/>
      <c r="Q180" s="53"/>
      <c r="R180" s="54"/>
      <c r="S180" s="55"/>
      <c r="T180" s="56"/>
      <c r="U180" s="56"/>
      <c r="V180" s="42"/>
      <c r="W180" s="57"/>
      <c r="X180" s="58"/>
      <c r="Y180" s="75"/>
      <c r="Z180" s="59"/>
      <c r="AA180" s="61"/>
      <c r="AB180" s="61"/>
      <c r="AC180" s="61"/>
      <c r="AD180" s="62"/>
      <c r="AE180" s="62"/>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row>
    <row r="181" spans="1:77" x14ac:dyDescent="0.3">
      <c r="A181" s="39"/>
      <c r="B181" s="42"/>
      <c r="C181" s="42"/>
      <c r="D181" s="75"/>
      <c r="E181" s="75"/>
      <c r="F181" s="76"/>
      <c r="G181" s="47"/>
      <c r="H181" s="47"/>
      <c r="I181" s="75"/>
      <c r="J181" s="76"/>
      <c r="K181" s="76"/>
      <c r="L181" s="75"/>
      <c r="M181" s="49"/>
      <c r="N181" s="76"/>
      <c r="O181" s="49"/>
      <c r="P181" s="77"/>
      <c r="Q181" s="53"/>
      <c r="R181" s="54"/>
      <c r="S181" s="55"/>
      <c r="T181" s="56"/>
      <c r="U181" s="56"/>
      <c r="V181" s="42"/>
      <c r="W181" s="57"/>
      <c r="X181" s="58"/>
      <c r="Y181" s="75"/>
      <c r="Z181" s="59"/>
      <c r="AA181" s="61"/>
      <c r="AB181" s="61"/>
      <c r="AC181" s="61"/>
      <c r="AD181" s="62"/>
      <c r="AE181" s="62"/>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row>
    <row r="182" spans="1:77" x14ac:dyDescent="0.3">
      <c r="A182" s="39"/>
      <c r="B182" s="42"/>
      <c r="C182" s="42"/>
      <c r="D182" s="75"/>
      <c r="E182" s="75"/>
      <c r="F182" s="76"/>
      <c r="G182" s="47"/>
      <c r="H182" s="47"/>
      <c r="I182" s="75"/>
      <c r="J182" s="76"/>
      <c r="K182" s="76"/>
      <c r="L182" s="75"/>
      <c r="M182" s="49"/>
      <c r="N182" s="76"/>
      <c r="O182" s="49"/>
      <c r="P182" s="77"/>
      <c r="Q182" s="53"/>
      <c r="R182" s="54"/>
      <c r="S182" s="55"/>
      <c r="T182" s="56"/>
      <c r="U182" s="56"/>
      <c r="V182" s="42"/>
      <c r="W182" s="57"/>
      <c r="X182" s="58"/>
      <c r="Y182" s="75"/>
      <c r="Z182" s="59"/>
      <c r="AA182" s="61"/>
      <c r="AB182" s="61"/>
      <c r="AC182" s="61"/>
      <c r="AD182" s="62"/>
      <c r="AE182" s="62"/>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row>
    <row r="183" spans="1:77" x14ac:dyDescent="0.3">
      <c r="A183" s="39"/>
      <c r="B183" s="42"/>
      <c r="C183" s="42"/>
      <c r="D183" s="75"/>
      <c r="E183" s="75"/>
      <c r="F183" s="76"/>
      <c r="G183" s="47"/>
      <c r="H183" s="47"/>
      <c r="I183" s="75"/>
      <c r="J183" s="76"/>
      <c r="K183" s="76"/>
      <c r="L183" s="75"/>
      <c r="M183" s="49"/>
      <c r="N183" s="76"/>
      <c r="O183" s="49"/>
      <c r="P183" s="77"/>
      <c r="Q183" s="53"/>
      <c r="R183" s="54"/>
      <c r="S183" s="55"/>
      <c r="T183" s="56"/>
      <c r="U183" s="56"/>
      <c r="V183" s="42"/>
      <c r="W183" s="57"/>
      <c r="X183" s="58"/>
      <c r="Y183" s="75"/>
      <c r="Z183" s="59"/>
      <c r="AA183" s="61"/>
      <c r="AB183" s="61"/>
      <c r="AC183" s="61"/>
      <c r="AD183" s="62"/>
      <c r="AE183" s="62"/>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row>
    <row r="184" spans="1:77" x14ac:dyDescent="0.3">
      <c r="A184" s="39"/>
      <c r="B184" s="42"/>
      <c r="C184" s="42"/>
      <c r="D184" s="75"/>
      <c r="E184" s="75"/>
      <c r="F184" s="76"/>
      <c r="G184" s="47"/>
      <c r="H184" s="47"/>
      <c r="I184" s="75"/>
      <c r="J184" s="76"/>
      <c r="K184" s="76"/>
      <c r="L184" s="75"/>
      <c r="M184" s="49"/>
      <c r="N184" s="76"/>
      <c r="O184" s="49"/>
      <c r="P184" s="77"/>
      <c r="Q184" s="53"/>
      <c r="R184" s="54"/>
      <c r="S184" s="55"/>
      <c r="T184" s="56"/>
      <c r="U184" s="56"/>
      <c r="V184" s="42"/>
      <c r="W184" s="57"/>
      <c r="X184" s="58"/>
      <c r="Y184" s="75"/>
      <c r="Z184" s="59"/>
      <c r="AA184" s="61"/>
      <c r="AB184" s="61"/>
      <c r="AC184" s="61"/>
      <c r="AD184" s="62"/>
      <c r="AE184" s="62"/>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row>
    <row r="185" spans="1:77" x14ac:dyDescent="0.3">
      <c r="A185" s="39"/>
      <c r="B185" s="42"/>
      <c r="C185" s="42"/>
      <c r="D185" s="75"/>
      <c r="E185" s="75"/>
      <c r="F185" s="76"/>
      <c r="G185" s="47"/>
      <c r="H185" s="47"/>
      <c r="I185" s="75"/>
      <c r="J185" s="76"/>
      <c r="K185" s="76"/>
      <c r="L185" s="75"/>
      <c r="M185" s="49"/>
      <c r="N185" s="76"/>
      <c r="O185" s="49"/>
      <c r="P185" s="77"/>
      <c r="Q185" s="53"/>
      <c r="R185" s="54"/>
      <c r="S185" s="55"/>
      <c r="T185" s="56"/>
      <c r="U185" s="56"/>
      <c r="V185" s="42"/>
      <c r="W185" s="57"/>
      <c r="X185" s="58"/>
      <c r="Y185" s="75"/>
      <c r="Z185" s="59"/>
      <c r="AA185" s="61"/>
      <c r="AB185" s="61"/>
      <c r="AC185" s="61"/>
      <c r="AD185" s="62"/>
      <c r="AE185" s="62"/>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row>
    <row r="186" spans="1:77" x14ac:dyDescent="0.3">
      <c r="A186" s="39"/>
      <c r="B186" s="42"/>
      <c r="C186" s="42"/>
      <c r="D186" s="75"/>
      <c r="E186" s="75"/>
      <c r="F186" s="76"/>
      <c r="G186" s="47"/>
      <c r="H186" s="47"/>
      <c r="I186" s="75"/>
      <c r="J186" s="76"/>
      <c r="K186" s="76"/>
      <c r="L186" s="75"/>
      <c r="M186" s="49"/>
      <c r="N186" s="76"/>
      <c r="O186" s="49"/>
      <c r="P186" s="77"/>
      <c r="Q186" s="53"/>
      <c r="R186" s="54"/>
      <c r="S186" s="55"/>
      <c r="T186" s="56"/>
      <c r="U186" s="56"/>
      <c r="V186" s="42"/>
      <c r="W186" s="57"/>
      <c r="X186" s="58"/>
      <c r="Y186" s="75"/>
      <c r="Z186" s="59"/>
      <c r="AA186" s="61"/>
      <c r="AB186" s="61"/>
      <c r="AC186" s="61"/>
      <c r="AD186" s="62"/>
      <c r="AE186" s="62"/>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row>
    <row r="187" spans="1:77" x14ac:dyDescent="0.3">
      <c r="A187" s="39"/>
      <c r="B187" s="42"/>
      <c r="C187" s="42"/>
      <c r="D187" s="75"/>
      <c r="E187" s="75"/>
      <c r="F187" s="76"/>
      <c r="G187" s="47"/>
      <c r="H187" s="47"/>
      <c r="I187" s="75"/>
      <c r="J187" s="76"/>
      <c r="K187" s="76"/>
      <c r="L187" s="75"/>
      <c r="M187" s="49"/>
      <c r="N187" s="76"/>
      <c r="O187" s="49"/>
      <c r="P187" s="77"/>
      <c r="Q187" s="53"/>
      <c r="R187" s="54"/>
      <c r="S187" s="55"/>
      <c r="T187" s="56"/>
      <c r="U187" s="56"/>
      <c r="V187" s="42"/>
      <c r="W187" s="57"/>
      <c r="X187" s="58"/>
      <c r="Y187" s="75"/>
      <c r="Z187" s="59"/>
      <c r="AA187" s="61"/>
      <c r="AB187" s="61"/>
      <c r="AC187" s="61"/>
      <c r="AD187" s="62"/>
      <c r="AE187" s="62"/>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row>
    <row r="188" spans="1:77" x14ac:dyDescent="0.3">
      <c r="A188" s="39"/>
      <c r="B188" s="42"/>
      <c r="C188" s="42"/>
      <c r="D188" s="75"/>
      <c r="E188" s="75"/>
      <c r="F188" s="76"/>
      <c r="G188" s="47"/>
      <c r="H188" s="47"/>
      <c r="I188" s="75"/>
      <c r="J188" s="76"/>
      <c r="K188" s="76"/>
      <c r="L188" s="75"/>
      <c r="M188" s="49"/>
      <c r="N188" s="76"/>
      <c r="O188" s="49"/>
      <c r="P188" s="77"/>
      <c r="Q188" s="53"/>
      <c r="R188" s="54"/>
      <c r="S188" s="55"/>
      <c r="T188" s="56"/>
      <c r="U188" s="56"/>
      <c r="V188" s="42"/>
      <c r="W188" s="57"/>
      <c r="X188" s="58"/>
      <c r="Y188" s="75"/>
      <c r="Z188" s="59"/>
      <c r="AA188" s="61"/>
      <c r="AB188" s="61"/>
      <c r="AC188" s="61"/>
      <c r="AD188" s="62"/>
      <c r="AE188" s="62"/>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row>
    <row r="189" spans="1:77" x14ac:dyDescent="0.3">
      <c r="A189" s="39"/>
      <c r="B189" s="42"/>
      <c r="C189" s="42"/>
      <c r="D189" s="75"/>
      <c r="E189" s="75"/>
      <c r="F189" s="76"/>
      <c r="G189" s="47"/>
      <c r="H189" s="47"/>
      <c r="I189" s="75"/>
      <c r="J189" s="76"/>
      <c r="K189" s="76"/>
      <c r="L189" s="75"/>
      <c r="M189" s="49"/>
      <c r="N189" s="76"/>
      <c r="O189" s="49"/>
      <c r="P189" s="77"/>
      <c r="Q189" s="53"/>
      <c r="R189" s="54"/>
      <c r="S189" s="55"/>
      <c r="T189" s="56"/>
      <c r="U189" s="56"/>
      <c r="V189" s="42"/>
      <c r="W189" s="57"/>
      <c r="X189" s="58"/>
      <c r="Y189" s="75"/>
      <c r="Z189" s="59"/>
      <c r="AA189" s="61"/>
      <c r="AB189" s="61"/>
      <c r="AC189" s="61"/>
      <c r="AD189" s="62"/>
      <c r="AE189" s="62"/>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row>
    <row r="190" spans="1:77" x14ac:dyDescent="0.3">
      <c r="A190" s="39"/>
      <c r="B190" s="42"/>
      <c r="C190" s="42"/>
      <c r="D190" s="75"/>
      <c r="E190" s="75"/>
      <c r="F190" s="76"/>
      <c r="G190" s="47"/>
      <c r="H190" s="47"/>
      <c r="I190" s="75"/>
      <c r="J190" s="76"/>
      <c r="K190" s="76"/>
      <c r="L190" s="75"/>
      <c r="M190" s="49"/>
      <c r="N190" s="76"/>
      <c r="O190" s="49"/>
      <c r="P190" s="77"/>
      <c r="Q190" s="53"/>
      <c r="R190" s="54"/>
      <c r="S190" s="55"/>
      <c r="T190" s="56"/>
      <c r="U190" s="56"/>
      <c r="V190" s="42"/>
      <c r="W190" s="57"/>
      <c r="X190" s="58"/>
      <c r="Y190" s="75"/>
      <c r="Z190" s="59"/>
      <c r="AA190" s="61"/>
      <c r="AB190" s="61"/>
      <c r="AC190" s="61"/>
      <c r="AD190" s="62"/>
      <c r="AE190" s="62"/>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row>
    <row r="191" spans="1:77" x14ac:dyDescent="0.3">
      <c r="A191" s="39"/>
      <c r="B191" s="42"/>
      <c r="C191" s="42"/>
      <c r="D191" s="75"/>
      <c r="E191" s="75"/>
      <c r="F191" s="76"/>
      <c r="G191" s="47"/>
      <c r="H191" s="47"/>
      <c r="I191" s="75"/>
      <c r="J191" s="76"/>
      <c r="K191" s="76"/>
      <c r="L191" s="75"/>
      <c r="M191" s="49"/>
      <c r="N191" s="76"/>
      <c r="O191" s="49"/>
      <c r="P191" s="77"/>
      <c r="Q191" s="53"/>
      <c r="R191" s="54"/>
      <c r="S191" s="55"/>
      <c r="T191" s="56"/>
      <c r="U191" s="56"/>
      <c r="V191" s="42"/>
      <c r="W191" s="57"/>
      <c r="X191" s="58"/>
      <c r="Y191" s="75"/>
      <c r="Z191" s="59"/>
      <c r="AA191" s="61"/>
      <c r="AB191" s="61"/>
      <c r="AC191" s="61"/>
      <c r="AD191" s="62"/>
      <c r="AE191" s="62"/>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row>
    <row r="192" spans="1:77" x14ac:dyDescent="0.3">
      <c r="A192" s="39"/>
      <c r="B192" s="42"/>
      <c r="C192" s="42"/>
      <c r="D192" s="75"/>
      <c r="E192" s="75"/>
      <c r="F192" s="76"/>
      <c r="G192" s="47"/>
      <c r="H192" s="47"/>
      <c r="I192" s="75"/>
      <c r="J192" s="76"/>
      <c r="K192" s="76"/>
      <c r="L192" s="75"/>
      <c r="M192" s="49"/>
      <c r="N192" s="76"/>
      <c r="O192" s="49"/>
      <c r="P192" s="77"/>
      <c r="Q192" s="53"/>
      <c r="R192" s="54"/>
      <c r="S192" s="55"/>
      <c r="T192" s="56"/>
      <c r="U192" s="56"/>
      <c r="V192" s="42"/>
      <c r="W192" s="57"/>
      <c r="X192" s="58"/>
      <c r="Y192" s="75"/>
      <c r="Z192" s="59"/>
      <c r="AA192" s="61"/>
      <c r="AB192" s="61"/>
      <c r="AC192" s="61"/>
      <c r="AD192" s="62"/>
      <c r="AE192" s="62"/>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row>
    <row r="193" spans="1:77" x14ac:dyDescent="0.3">
      <c r="A193" s="39"/>
      <c r="B193" s="42"/>
      <c r="C193" s="42"/>
      <c r="D193" s="75"/>
      <c r="E193" s="75"/>
      <c r="F193" s="76"/>
      <c r="G193" s="47"/>
      <c r="H193" s="47"/>
      <c r="I193" s="75"/>
      <c r="J193" s="76"/>
      <c r="K193" s="76"/>
      <c r="L193" s="75"/>
      <c r="M193" s="49"/>
      <c r="N193" s="76"/>
      <c r="O193" s="49"/>
      <c r="P193" s="77"/>
      <c r="Q193" s="53"/>
      <c r="R193" s="54"/>
      <c r="S193" s="55"/>
      <c r="T193" s="56"/>
      <c r="U193" s="56"/>
      <c r="V193" s="42"/>
      <c r="W193" s="57"/>
      <c r="X193" s="58"/>
      <c r="Y193" s="75"/>
      <c r="Z193" s="59"/>
      <c r="AA193" s="61"/>
      <c r="AB193" s="61"/>
      <c r="AC193" s="61"/>
      <c r="AD193" s="62"/>
      <c r="AE193" s="62"/>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row>
    <row r="194" spans="1:77" x14ac:dyDescent="0.3">
      <c r="A194" s="39"/>
      <c r="B194" s="42"/>
      <c r="C194" s="42"/>
      <c r="D194" s="75"/>
      <c r="E194" s="75"/>
      <c r="F194" s="76"/>
      <c r="G194" s="47"/>
      <c r="H194" s="47"/>
      <c r="I194" s="75"/>
      <c r="J194" s="76"/>
      <c r="K194" s="76"/>
      <c r="L194" s="75"/>
      <c r="M194" s="49"/>
      <c r="N194" s="76"/>
      <c r="O194" s="49"/>
      <c r="P194" s="77"/>
      <c r="Q194" s="53"/>
      <c r="R194" s="54"/>
      <c r="S194" s="55"/>
      <c r="T194" s="56"/>
      <c r="U194" s="56"/>
      <c r="V194" s="42"/>
      <c r="W194" s="57"/>
      <c r="X194" s="58"/>
      <c r="Y194" s="75"/>
      <c r="Z194" s="59"/>
      <c r="AA194" s="61"/>
      <c r="AB194" s="61"/>
      <c r="AC194" s="61"/>
      <c r="AD194" s="62"/>
      <c r="AE194" s="62"/>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row>
    <row r="195" spans="1:77" x14ac:dyDescent="0.3">
      <c r="A195" s="39"/>
      <c r="B195" s="42"/>
      <c r="C195" s="42"/>
      <c r="D195" s="75"/>
      <c r="E195" s="75"/>
      <c r="F195" s="76"/>
      <c r="G195" s="47"/>
      <c r="H195" s="47"/>
      <c r="I195" s="75"/>
      <c r="J195" s="76"/>
      <c r="K195" s="76"/>
      <c r="L195" s="75"/>
      <c r="M195" s="49"/>
      <c r="N195" s="76"/>
      <c r="O195" s="49"/>
      <c r="P195" s="77"/>
      <c r="Q195" s="53"/>
      <c r="R195" s="54"/>
      <c r="S195" s="55"/>
      <c r="T195" s="56"/>
      <c r="U195" s="56"/>
      <c r="V195" s="42"/>
      <c r="W195" s="57"/>
      <c r="X195" s="58"/>
      <c r="Y195" s="75"/>
      <c r="Z195" s="59"/>
      <c r="AA195" s="61"/>
      <c r="AB195" s="61"/>
      <c r="AC195" s="61"/>
      <c r="AD195" s="62"/>
      <c r="AE195" s="62"/>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row>
    <row r="196" spans="1:77" x14ac:dyDescent="0.3">
      <c r="A196" s="39"/>
      <c r="B196" s="42"/>
      <c r="C196" s="42"/>
      <c r="D196" s="75"/>
      <c r="E196" s="75"/>
      <c r="F196" s="76"/>
      <c r="G196" s="47"/>
      <c r="H196" s="47"/>
      <c r="I196" s="75"/>
      <c r="J196" s="76"/>
      <c r="K196" s="76"/>
      <c r="L196" s="75"/>
      <c r="M196" s="49"/>
      <c r="N196" s="76"/>
      <c r="O196" s="49"/>
      <c r="P196" s="77"/>
      <c r="Q196" s="53"/>
      <c r="R196" s="54"/>
      <c r="S196" s="55"/>
      <c r="T196" s="56"/>
      <c r="U196" s="56"/>
      <c r="V196" s="42"/>
      <c r="W196" s="57"/>
      <c r="X196" s="58"/>
      <c r="Y196" s="75"/>
      <c r="Z196" s="59"/>
      <c r="AA196" s="61"/>
      <c r="AB196" s="61"/>
      <c r="AC196" s="61"/>
      <c r="AD196" s="62"/>
      <c r="AE196" s="62"/>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row>
    <row r="197" spans="1:77" x14ac:dyDescent="0.3">
      <c r="A197" s="39"/>
      <c r="B197" s="42"/>
      <c r="C197" s="42"/>
      <c r="D197" s="75"/>
      <c r="E197" s="75"/>
      <c r="F197" s="76"/>
      <c r="G197" s="47"/>
      <c r="H197" s="47"/>
      <c r="I197" s="75"/>
      <c r="J197" s="76"/>
      <c r="K197" s="76"/>
      <c r="L197" s="75"/>
      <c r="M197" s="49"/>
      <c r="N197" s="76"/>
      <c r="O197" s="49"/>
      <c r="P197" s="77"/>
      <c r="Q197" s="53"/>
      <c r="R197" s="54"/>
      <c r="S197" s="55"/>
      <c r="T197" s="56"/>
      <c r="U197" s="56"/>
      <c r="V197" s="42"/>
      <c r="W197" s="57"/>
      <c r="X197" s="58"/>
      <c r="Y197" s="75"/>
      <c r="Z197" s="59"/>
      <c r="AA197" s="61"/>
      <c r="AB197" s="61"/>
      <c r="AC197" s="61"/>
      <c r="AD197" s="62"/>
      <c r="AE197" s="62"/>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row>
    <row r="198" spans="1:77" x14ac:dyDescent="0.3">
      <c r="A198" s="39"/>
      <c r="B198" s="42"/>
      <c r="C198" s="42"/>
      <c r="D198" s="75"/>
      <c r="E198" s="75"/>
      <c r="F198" s="76"/>
      <c r="G198" s="47"/>
      <c r="H198" s="47"/>
      <c r="I198" s="75"/>
      <c r="J198" s="76"/>
      <c r="K198" s="76"/>
      <c r="L198" s="75"/>
      <c r="M198" s="49"/>
      <c r="N198" s="76"/>
      <c r="O198" s="49"/>
      <c r="P198" s="77"/>
      <c r="Q198" s="53"/>
      <c r="R198" s="54"/>
      <c r="S198" s="55"/>
      <c r="T198" s="56"/>
      <c r="U198" s="56"/>
      <c r="V198" s="42"/>
      <c r="W198" s="57"/>
      <c r="X198" s="58"/>
      <c r="Y198" s="75"/>
      <c r="Z198" s="59"/>
      <c r="AA198" s="61"/>
      <c r="AB198" s="61"/>
      <c r="AC198" s="61"/>
      <c r="AD198" s="62"/>
      <c r="AE198" s="62"/>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row>
    <row r="199" spans="1:77" x14ac:dyDescent="0.3">
      <c r="A199" s="39"/>
      <c r="B199" s="42"/>
      <c r="C199" s="42"/>
      <c r="D199" s="75"/>
      <c r="E199" s="75"/>
      <c r="F199" s="76"/>
      <c r="G199" s="47"/>
      <c r="H199" s="47"/>
      <c r="I199" s="75"/>
      <c r="J199" s="76"/>
      <c r="K199" s="76"/>
      <c r="L199" s="75"/>
      <c r="M199" s="49"/>
      <c r="N199" s="76"/>
      <c r="O199" s="49"/>
      <c r="P199" s="77"/>
      <c r="Q199" s="53"/>
      <c r="R199" s="54"/>
      <c r="S199" s="55"/>
      <c r="T199" s="56"/>
      <c r="U199" s="56"/>
      <c r="V199" s="42"/>
      <c r="W199" s="57"/>
      <c r="X199" s="58"/>
      <c r="Y199" s="75"/>
      <c r="Z199" s="59"/>
      <c r="AA199" s="61"/>
      <c r="AB199" s="61"/>
      <c r="AC199" s="61"/>
      <c r="AD199" s="62"/>
      <c r="AE199" s="62"/>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row>
    <row r="200" spans="1:77" x14ac:dyDescent="0.3">
      <c r="A200" s="39"/>
      <c r="B200" s="42"/>
      <c r="C200" s="42"/>
      <c r="D200" s="75"/>
      <c r="E200" s="75"/>
      <c r="F200" s="76"/>
      <c r="G200" s="47"/>
      <c r="H200" s="47"/>
      <c r="I200" s="75"/>
      <c r="J200" s="76"/>
      <c r="K200" s="76"/>
      <c r="L200" s="75"/>
      <c r="M200" s="49"/>
      <c r="N200" s="76"/>
      <c r="O200" s="49"/>
      <c r="P200" s="77"/>
      <c r="Q200" s="53"/>
      <c r="R200" s="54"/>
      <c r="S200" s="55"/>
      <c r="T200" s="56"/>
      <c r="U200" s="56"/>
      <c r="V200" s="42"/>
      <c r="W200" s="57"/>
      <c r="X200" s="58"/>
      <c r="Y200" s="75"/>
      <c r="Z200" s="59"/>
      <c r="AA200" s="61"/>
      <c r="AB200" s="61"/>
      <c r="AC200" s="61"/>
      <c r="AD200" s="62"/>
      <c r="AE200" s="62"/>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row>
    <row r="201" spans="1:77" x14ac:dyDescent="0.3">
      <c r="A201" s="39"/>
      <c r="B201" s="42"/>
      <c r="C201" s="42"/>
      <c r="D201" s="75"/>
      <c r="E201" s="75"/>
      <c r="F201" s="76"/>
      <c r="G201" s="47"/>
      <c r="H201" s="47"/>
      <c r="I201" s="75"/>
      <c r="J201" s="76"/>
      <c r="K201" s="76"/>
      <c r="L201" s="75"/>
      <c r="M201" s="49"/>
      <c r="N201" s="76"/>
      <c r="O201" s="49"/>
      <c r="P201" s="77"/>
      <c r="Q201" s="53"/>
      <c r="R201" s="54"/>
      <c r="S201" s="55"/>
      <c r="T201" s="56"/>
      <c r="U201" s="56"/>
      <c r="V201" s="42"/>
      <c r="W201" s="57"/>
      <c r="X201" s="58"/>
      <c r="Y201" s="75"/>
      <c r="Z201" s="59"/>
      <c r="AA201" s="61"/>
      <c r="AB201" s="61"/>
      <c r="AC201" s="61"/>
      <c r="AD201" s="62"/>
      <c r="AE201" s="62"/>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row>
    <row r="202" spans="1:77" x14ac:dyDescent="0.3">
      <c r="A202" s="39"/>
      <c r="B202" s="42"/>
      <c r="C202" s="42"/>
      <c r="D202" s="75"/>
      <c r="E202" s="75"/>
      <c r="F202" s="76"/>
      <c r="G202" s="47"/>
      <c r="H202" s="47"/>
      <c r="I202" s="75"/>
      <c r="J202" s="76"/>
      <c r="K202" s="76"/>
      <c r="L202" s="75"/>
      <c r="M202" s="49"/>
      <c r="N202" s="76"/>
      <c r="O202" s="49"/>
      <c r="P202" s="77"/>
      <c r="Q202" s="53"/>
      <c r="R202" s="54"/>
      <c r="S202" s="55"/>
      <c r="T202" s="56"/>
      <c r="U202" s="56"/>
      <c r="V202" s="42"/>
      <c r="W202" s="57"/>
      <c r="X202" s="58"/>
      <c r="Y202" s="75"/>
      <c r="Z202" s="59"/>
      <c r="AA202" s="61"/>
      <c r="AB202" s="61"/>
      <c r="AC202" s="61"/>
      <c r="AD202" s="62"/>
      <c r="AE202" s="62"/>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row>
    <row r="203" spans="1:77" x14ac:dyDescent="0.3">
      <c r="A203" s="39"/>
      <c r="B203" s="42"/>
      <c r="C203" s="42"/>
      <c r="D203" s="75"/>
      <c r="E203" s="75"/>
      <c r="F203" s="76"/>
      <c r="G203" s="47"/>
      <c r="H203" s="47"/>
      <c r="I203" s="75"/>
      <c r="J203" s="76"/>
      <c r="K203" s="76"/>
      <c r="L203" s="75"/>
      <c r="M203" s="49"/>
      <c r="N203" s="76"/>
      <c r="O203" s="49"/>
      <c r="P203" s="77"/>
      <c r="Q203" s="53"/>
      <c r="R203" s="54"/>
      <c r="S203" s="55"/>
      <c r="T203" s="56"/>
      <c r="U203" s="56"/>
      <c r="V203" s="42"/>
      <c r="W203" s="57"/>
      <c r="X203" s="58"/>
      <c r="Y203" s="75"/>
      <c r="Z203" s="59"/>
      <c r="AA203" s="61"/>
      <c r="AB203" s="61"/>
      <c r="AC203" s="61"/>
      <c r="AD203" s="62"/>
      <c r="AE203" s="62"/>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row>
    <row r="204" spans="1:77" x14ac:dyDescent="0.3">
      <c r="A204" s="39"/>
      <c r="B204" s="42"/>
      <c r="C204" s="42"/>
      <c r="D204" s="75"/>
      <c r="E204" s="75"/>
      <c r="F204" s="76"/>
      <c r="G204" s="47"/>
      <c r="H204" s="47"/>
      <c r="I204" s="75"/>
      <c r="J204" s="76"/>
      <c r="K204" s="76"/>
      <c r="L204" s="75"/>
      <c r="M204" s="49"/>
      <c r="N204" s="76"/>
      <c r="O204" s="49"/>
      <c r="P204" s="77"/>
      <c r="Q204" s="53"/>
      <c r="R204" s="54"/>
      <c r="S204" s="55"/>
      <c r="T204" s="56"/>
      <c r="U204" s="56"/>
      <c r="V204" s="42"/>
      <c r="W204" s="57"/>
      <c r="X204" s="58"/>
      <c r="Y204" s="75"/>
      <c r="Z204" s="59"/>
      <c r="AA204" s="61"/>
      <c r="AB204" s="61"/>
      <c r="AC204" s="61"/>
      <c r="AD204" s="62"/>
      <c r="AE204" s="62"/>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row>
    <row r="205" spans="1:77" x14ac:dyDescent="0.3">
      <c r="A205" s="39"/>
      <c r="B205" s="42"/>
      <c r="C205" s="42"/>
      <c r="D205" s="75"/>
      <c r="E205" s="75"/>
      <c r="F205" s="76"/>
      <c r="G205" s="47"/>
      <c r="H205" s="47"/>
      <c r="I205" s="75"/>
      <c r="J205" s="76"/>
      <c r="K205" s="76"/>
      <c r="L205" s="75"/>
      <c r="M205" s="49"/>
      <c r="N205" s="76"/>
      <c r="O205" s="49"/>
      <c r="P205" s="77"/>
      <c r="Q205" s="53"/>
      <c r="R205" s="54"/>
      <c r="S205" s="55"/>
      <c r="T205" s="56"/>
      <c r="U205" s="56"/>
      <c r="V205" s="42"/>
      <c r="W205" s="57"/>
      <c r="X205" s="58"/>
      <c r="Y205" s="75"/>
      <c r="Z205" s="59"/>
      <c r="AA205" s="61"/>
      <c r="AB205" s="61"/>
      <c r="AC205" s="61"/>
      <c r="AD205" s="62"/>
      <c r="AE205" s="62"/>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row>
    <row r="206" spans="1:77" x14ac:dyDescent="0.3">
      <c r="A206" s="39"/>
      <c r="B206" s="42"/>
      <c r="C206" s="42"/>
      <c r="D206" s="75"/>
      <c r="E206" s="75"/>
      <c r="F206" s="76"/>
      <c r="G206" s="47"/>
      <c r="H206" s="47"/>
      <c r="I206" s="75"/>
      <c r="J206" s="76"/>
      <c r="K206" s="76"/>
      <c r="L206" s="75"/>
      <c r="M206" s="49"/>
      <c r="N206" s="76"/>
      <c r="O206" s="49"/>
      <c r="P206" s="77"/>
      <c r="Q206" s="53"/>
      <c r="R206" s="54"/>
      <c r="S206" s="55"/>
      <c r="T206" s="56"/>
      <c r="U206" s="56"/>
      <c r="V206" s="42"/>
      <c r="W206" s="57"/>
      <c r="X206" s="58"/>
      <c r="Y206" s="75"/>
      <c r="Z206" s="59"/>
      <c r="AA206" s="61"/>
      <c r="AB206" s="61"/>
      <c r="AC206" s="61"/>
      <c r="AD206" s="62"/>
      <c r="AE206" s="62"/>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row>
    <row r="207" spans="1:77" x14ac:dyDescent="0.3">
      <c r="A207" s="39"/>
      <c r="B207" s="42"/>
      <c r="C207" s="42"/>
      <c r="D207" s="75"/>
      <c r="E207" s="75"/>
      <c r="F207" s="76"/>
      <c r="G207" s="47"/>
      <c r="H207" s="47"/>
      <c r="I207" s="75"/>
      <c r="J207" s="76"/>
      <c r="K207" s="76"/>
      <c r="L207" s="75"/>
      <c r="M207" s="49"/>
      <c r="N207" s="76"/>
      <c r="O207" s="49"/>
      <c r="P207" s="77"/>
      <c r="Q207" s="53"/>
      <c r="R207" s="54"/>
      <c r="S207" s="55"/>
      <c r="T207" s="56"/>
      <c r="U207" s="56"/>
      <c r="V207" s="42"/>
      <c r="W207" s="57"/>
      <c r="X207" s="58"/>
      <c r="Y207" s="75"/>
      <c r="Z207" s="59"/>
      <c r="AA207" s="61"/>
      <c r="AB207" s="61"/>
      <c r="AC207" s="61"/>
      <c r="AD207" s="62"/>
      <c r="AE207" s="62"/>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row>
    <row r="208" spans="1:77" x14ac:dyDescent="0.3">
      <c r="A208" s="39"/>
      <c r="B208" s="42"/>
      <c r="C208" s="42"/>
      <c r="D208" s="75"/>
      <c r="E208" s="75"/>
      <c r="F208" s="76"/>
      <c r="G208" s="47"/>
      <c r="H208" s="47"/>
      <c r="I208" s="75"/>
      <c r="J208" s="76"/>
      <c r="K208" s="76"/>
      <c r="L208" s="75"/>
      <c r="M208" s="49"/>
      <c r="N208" s="76"/>
      <c r="O208" s="49"/>
      <c r="P208" s="77"/>
      <c r="Q208" s="53"/>
      <c r="R208" s="54"/>
      <c r="S208" s="55"/>
      <c r="T208" s="56"/>
      <c r="U208" s="56"/>
      <c r="V208" s="42"/>
      <c r="W208" s="57"/>
      <c r="X208" s="58"/>
      <c r="Y208" s="75"/>
      <c r="Z208" s="59"/>
      <c r="AA208" s="61"/>
      <c r="AB208" s="61"/>
      <c r="AC208" s="61"/>
      <c r="AD208" s="62"/>
      <c r="AE208" s="62"/>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row>
    <row r="209" spans="1:77" x14ac:dyDescent="0.3">
      <c r="A209" s="39"/>
      <c r="B209" s="42"/>
      <c r="C209" s="42"/>
      <c r="D209" s="75"/>
      <c r="E209" s="75"/>
      <c r="F209" s="76"/>
      <c r="G209" s="47"/>
      <c r="H209" s="47"/>
      <c r="I209" s="75"/>
      <c r="J209" s="76"/>
      <c r="K209" s="76"/>
      <c r="L209" s="75"/>
      <c r="M209" s="49"/>
      <c r="N209" s="76"/>
      <c r="O209" s="49"/>
      <c r="P209" s="77"/>
      <c r="Q209" s="53"/>
      <c r="R209" s="54"/>
      <c r="S209" s="55"/>
      <c r="T209" s="56"/>
      <c r="U209" s="56"/>
      <c r="V209" s="42"/>
      <c r="W209" s="57"/>
      <c r="X209" s="58"/>
      <c r="Y209" s="75"/>
      <c r="Z209" s="59"/>
      <c r="AA209" s="61"/>
      <c r="AB209" s="61"/>
      <c r="AC209" s="61"/>
      <c r="AD209" s="62"/>
      <c r="AE209" s="62"/>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row>
    <row r="210" spans="1:77" x14ac:dyDescent="0.3">
      <c r="A210" s="39"/>
      <c r="B210" s="42"/>
      <c r="C210" s="42"/>
      <c r="D210" s="75"/>
      <c r="E210" s="75"/>
      <c r="F210" s="76"/>
      <c r="G210" s="47"/>
      <c r="H210" s="47"/>
      <c r="I210" s="75"/>
      <c r="J210" s="76"/>
      <c r="K210" s="76"/>
      <c r="L210" s="75"/>
      <c r="M210" s="49"/>
      <c r="N210" s="76"/>
      <c r="O210" s="49"/>
      <c r="P210" s="77"/>
      <c r="Q210" s="53"/>
      <c r="R210" s="54"/>
      <c r="S210" s="55"/>
      <c r="T210" s="56"/>
      <c r="U210" s="56"/>
      <c r="V210" s="42"/>
      <c r="W210" s="57"/>
      <c r="X210" s="58"/>
      <c r="Y210" s="75"/>
      <c r="Z210" s="59"/>
      <c r="AA210" s="61"/>
      <c r="AB210" s="61"/>
      <c r="AC210" s="61"/>
      <c r="AD210" s="62"/>
      <c r="AE210" s="62"/>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row>
    <row r="211" spans="1:77" x14ac:dyDescent="0.3">
      <c r="A211" s="39"/>
      <c r="B211" s="42"/>
      <c r="C211" s="42"/>
      <c r="D211" s="75"/>
      <c r="E211" s="75"/>
      <c r="F211" s="76"/>
      <c r="G211" s="47"/>
      <c r="H211" s="47"/>
      <c r="I211" s="75"/>
      <c r="J211" s="76"/>
      <c r="K211" s="76"/>
      <c r="L211" s="75"/>
      <c r="M211" s="49"/>
      <c r="N211" s="76"/>
      <c r="O211" s="49"/>
      <c r="P211" s="77"/>
      <c r="Q211" s="53"/>
      <c r="R211" s="54"/>
      <c r="S211" s="55"/>
      <c r="T211" s="56"/>
      <c r="U211" s="56"/>
      <c r="V211" s="42"/>
      <c r="W211" s="57"/>
      <c r="X211" s="58"/>
      <c r="Y211" s="75"/>
      <c r="Z211" s="59"/>
      <c r="AA211" s="61"/>
      <c r="AB211" s="61"/>
      <c r="AC211" s="61"/>
      <c r="AD211" s="62"/>
      <c r="AE211" s="62"/>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row>
    <row r="212" spans="1:77" x14ac:dyDescent="0.3">
      <c r="A212" s="39"/>
      <c r="B212" s="42"/>
      <c r="C212" s="42"/>
      <c r="D212" s="75"/>
      <c r="E212" s="75"/>
      <c r="F212" s="76"/>
      <c r="G212" s="47"/>
      <c r="H212" s="47"/>
      <c r="I212" s="75"/>
      <c r="J212" s="76"/>
      <c r="K212" s="76"/>
      <c r="L212" s="75"/>
      <c r="M212" s="49"/>
      <c r="N212" s="76"/>
      <c r="O212" s="49"/>
      <c r="P212" s="77"/>
      <c r="Q212" s="53"/>
      <c r="R212" s="54"/>
      <c r="S212" s="55"/>
      <c r="T212" s="56"/>
      <c r="U212" s="56"/>
      <c r="V212" s="42"/>
      <c r="W212" s="57"/>
      <c r="X212" s="58"/>
      <c r="Y212" s="75"/>
      <c r="Z212" s="59"/>
      <c r="AA212" s="61"/>
      <c r="AB212" s="61"/>
      <c r="AC212" s="61"/>
      <c r="AD212" s="62"/>
      <c r="AE212" s="62"/>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row>
    <row r="213" spans="1:77" x14ac:dyDescent="0.3">
      <c r="A213" s="39"/>
      <c r="B213" s="42"/>
      <c r="C213" s="42"/>
      <c r="D213" s="75"/>
      <c r="E213" s="75"/>
      <c r="F213" s="76"/>
      <c r="G213" s="47"/>
      <c r="H213" s="47"/>
      <c r="I213" s="75"/>
      <c r="J213" s="76"/>
      <c r="K213" s="76"/>
      <c r="L213" s="75"/>
      <c r="M213" s="49"/>
      <c r="N213" s="76"/>
      <c r="O213" s="49"/>
      <c r="P213" s="77"/>
      <c r="Q213" s="53"/>
      <c r="R213" s="54"/>
      <c r="S213" s="55"/>
      <c r="T213" s="56"/>
      <c r="U213" s="56"/>
      <c r="V213" s="42"/>
      <c r="W213" s="57"/>
      <c r="X213" s="58"/>
      <c r="Y213" s="75"/>
      <c r="Z213" s="59"/>
      <c r="AA213" s="61"/>
      <c r="AB213" s="61"/>
      <c r="AC213" s="61"/>
      <c r="AD213" s="62"/>
      <c r="AE213" s="62"/>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row>
    <row r="214" spans="1:77" x14ac:dyDescent="0.3">
      <c r="A214" s="39"/>
      <c r="B214" s="42"/>
      <c r="C214" s="42"/>
      <c r="D214" s="75"/>
      <c r="E214" s="75"/>
      <c r="F214" s="76"/>
      <c r="G214" s="47"/>
      <c r="H214" s="47"/>
      <c r="I214" s="75"/>
      <c r="J214" s="76"/>
      <c r="K214" s="76"/>
      <c r="L214" s="75"/>
      <c r="M214" s="49"/>
      <c r="N214" s="76"/>
      <c r="O214" s="49"/>
      <c r="P214" s="77"/>
      <c r="Q214" s="53"/>
      <c r="R214" s="54"/>
      <c r="S214" s="55"/>
      <c r="T214" s="56"/>
      <c r="U214" s="56"/>
      <c r="V214" s="42"/>
      <c r="W214" s="57"/>
      <c r="X214" s="58"/>
      <c r="Y214" s="75"/>
      <c r="Z214" s="59"/>
      <c r="AA214" s="61"/>
      <c r="AB214" s="61"/>
      <c r="AC214" s="61"/>
      <c r="AD214" s="62"/>
      <c r="AE214" s="62"/>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row>
    <row r="215" spans="1:77" x14ac:dyDescent="0.3">
      <c r="A215" s="39"/>
      <c r="B215" s="42"/>
      <c r="C215" s="42"/>
      <c r="D215" s="75"/>
      <c r="E215" s="75"/>
      <c r="F215" s="76"/>
      <c r="G215" s="47"/>
      <c r="H215" s="47"/>
      <c r="I215" s="75"/>
      <c r="J215" s="76"/>
      <c r="K215" s="76"/>
      <c r="L215" s="75"/>
      <c r="M215" s="49"/>
      <c r="N215" s="76"/>
      <c r="O215" s="49"/>
      <c r="P215" s="77"/>
      <c r="Q215" s="53"/>
      <c r="R215" s="54"/>
      <c r="S215" s="55"/>
      <c r="T215" s="56"/>
      <c r="U215" s="56"/>
      <c r="V215" s="42"/>
      <c r="W215" s="57"/>
      <c r="X215" s="58"/>
      <c r="Y215" s="75"/>
      <c r="Z215" s="59"/>
      <c r="AA215" s="61"/>
      <c r="AB215" s="61"/>
      <c r="AC215" s="61"/>
      <c r="AD215" s="62"/>
      <c r="AE215" s="62"/>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row>
    <row r="216" spans="1:77" x14ac:dyDescent="0.3">
      <c r="A216" s="39"/>
      <c r="B216" s="42"/>
      <c r="C216" s="42"/>
      <c r="D216" s="75"/>
      <c r="E216" s="75"/>
      <c r="F216" s="76"/>
      <c r="G216" s="47"/>
      <c r="H216" s="47"/>
      <c r="I216" s="75"/>
      <c r="J216" s="76"/>
      <c r="K216" s="76"/>
      <c r="L216" s="75"/>
      <c r="M216" s="49"/>
      <c r="N216" s="76"/>
      <c r="O216" s="49"/>
      <c r="P216" s="77"/>
      <c r="Q216" s="53"/>
      <c r="R216" s="54"/>
      <c r="S216" s="55"/>
      <c r="T216" s="56"/>
      <c r="U216" s="56"/>
      <c r="V216" s="42"/>
      <c r="W216" s="57"/>
      <c r="X216" s="58"/>
      <c r="Y216" s="75"/>
      <c r="Z216" s="59"/>
      <c r="AA216" s="61"/>
      <c r="AB216" s="61"/>
      <c r="AC216" s="61"/>
      <c r="AD216" s="62"/>
      <c r="AE216" s="62"/>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row>
    <row r="217" spans="1:77" x14ac:dyDescent="0.3">
      <c r="A217" s="39"/>
      <c r="B217" s="42"/>
      <c r="C217" s="42"/>
      <c r="D217" s="75"/>
      <c r="E217" s="75"/>
      <c r="F217" s="76"/>
      <c r="G217" s="47"/>
      <c r="H217" s="47"/>
      <c r="I217" s="75"/>
      <c r="J217" s="76"/>
      <c r="K217" s="76"/>
      <c r="L217" s="75"/>
      <c r="M217" s="49"/>
      <c r="N217" s="76"/>
      <c r="O217" s="49"/>
      <c r="P217" s="77"/>
      <c r="Q217" s="53"/>
      <c r="R217" s="54"/>
      <c r="S217" s="55"/>
      <c r="T217" s="56"/>
      <c r="U217" s="56"/>
      <c r="V217" s="42"/>
      <c r="W217" s="57"/>
      <c r="X217" s="58"/>
      <c r="Y217" s="75"/>
      <c r="Z217" s="59"/>
      <c r="AA217" s="61"/>
      <c r="AB217" s="61"/>
      <c r="AC217" s="61"/>
      <c r="AD217" s="62"/>
      <c r="AE217" s="62"/>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row>
    <row r="218" spans="1:77" x14ac:dyDescent="0.3">
      <c r="A218" s="39"/>
      <c r="B218" s="42"/>
      <c r="C218" s="42"/>
      <c r="D218" s="75"/>
      <c r="E218" s="75"/>
      <c r="F218" s="76"/>
      <c r="G218" s="47"/>
      <c r="H218" s="47"/>
      <c r="I218" s="75"/>
      <c r="J218" s="76"/>
      <c r="K218" s="76"/>
      <c r="L218" s="75"/>
      <c r="M218" s="49"/>
      <c r="N218" s="76"/>
      <c r="O218" s="49"/>
      <c r="P218" s="77"/>
      <c r="Q218" s="53"/>
      <c r="R218" s="54"/>
      <c r="S218" s="55"/>
      <c r="T218" s="56"/>
      <c r="U218" s="56"/>
      <c r="V218" s="42"/>
      <c r="W218" s="57"/>
      <c r="X218" s="58"/>
      <c r="Y218" s="75"/>
      <c r="Z218" s="59"/>
      <c r="AA218" s="61"/>
      <c r="AB218" s="61"/>
      <c r="AC218" s="61"/>
      <c r="AD218" s="62"/>
      <c r="AE218" s="62"/>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row>
    <row r="219" spans="1:77" x14ac:dyDescent="0.3">
      <c r="A219" s="39"/>
      <c r="B219" s="42"/>
      <c r="C219" s="42"/>
      <c r="D219" s="75"/>
      <c r="E219" s="75"/>
      <c r="F219" s="76"/>
      <c r="G219" s="47"/>
      <c r="H219" s="47"/>
      <c r="I219" s="75"/>
      <c r="J219" s="76"/>
      <c r="K219" s="76"/>
      <c r="L219" s="75"/>
      <c r="M219" s="49"/>
      <c r="N219" s="76"/>
      <c r="O219" s="49"/>
      <c r="P219" s="77"/>
      <c r="Q219" s="53"/>
      <c r="R219" s="54"/>
      <c r="S219" s="55"/>
      <c r="T219" s="56"/>
      <c r="U219" s="56"/>
      <c r="V219" s="42"/>
      <c r="W219" s="57"/>
      <c r="X219" s="58"/>
      <c r="Y219" s="75"/>
      <c r="Z219" s="59"/>
      <c r="AA219" s="61"/>
      <c r="AB219" s="61"/>
      <c r="AC219" s="61"/>
      <c r="AD219" s="62"/>
      <c r="AE219" s="62"/>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row>
    <row r="220" spans="1:77" x14ac:dyDescent="0.3">
      <c r="A220" s="39"/>
      <c r="B220" s="42"/>
      <c r="C220" s="42"/>
      <c r="D220" s="75"/>
      <c r="E220" s="75"/>
      <c r="F220" s="76"/>
      <c r="G220" s="47"/>
      <c r="H220" s="47"/>
      <c r="I220" s="75"/>
      <c r="J220" s="76"/>
      <c r="K220" s="76"/>
      <c r="L220" s="75"/>
      <c r="M220" s="49"/>
      <c r="N220" s="76"/>
      <c r="O220" s="49"/>
      <c r="P220" s="77"/>
      <c r="Q220" s="53"/>
      <c r="R220" s="54"/>
      <c r="S220" s="55"/>
      <c r="T220" s="56"/>
      <c r="U220" s="56"/>
      <c r="V220" s="42"/>
      <c r="W220" s="57"/>
      <c r="X220" s="58"/>
      <c r="Y220" s="75"/>
      <c r="Z220" s="59"/>
      <c r="AA220" s="61"/>
      <c r="AB220" s="61"/>
      <c r="AC220" s="61"/>
      <c r="AD220" s="62"/>
      <c r="AE220" s="62"/>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row>
    <row r="221" spans="1:77" x14ac:dyDescent="0.3">
      <c r="A221" s="39"/>
      <c r="B221" s="42"/>
      <c r="C221" s="42"/>
      <c r="D221" s="75"/>
      <c r="E221" s="75"/>
      <c r="F221" s="76"/>
      <c r="G221" s="47"/>
      <c r="H221" s="47"/>
      <c r="I221" s="75"/>
      <c r="J221" s="76"/>
      <c r="K221" s="76"/>
      <c r="L221" s="75"/>
      <c r="M221" s="49"/>
      <c r="N221" s="76"/>
      <c r="O221" s="49"/>
      <c r="P221" s="77"/>
      <c r="Q221" s="53"/>
      <c r="R221" s="54"/>
      <c r="S221" s="55"/>
      <c r="T221" s="56"/>
      <c r="U221" s="56"/>
      <c r="V221" s="42"/>
      <c r="W221" s="57"/>
      <c r="X221" s="58"/>
      <c r="Y221" s="75"/>
      <c r="Z221" s="59"/>
      <c r="AA221" s="61"/>
      <c r="AB221" s="61"/>
      <c r="AC221" s="61"/>
      <c r="AD221" s="62"/>
      <c r="AE221" s="62"/>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row>
    <row r="222" spans="1:77" x14ac:dyDescent="0.3">
      <c r="A222" s="39"/>
      <c r="B222" s="42"/>
      <c r="C222" s="42"/>
      <c r="D222" s="75"/>
      <c r="E222" s="75"/>
      <c r="F222" s="76"/>
      <c r="G222" s="47"/>
      <c r="H222" s="47"/>
      <c r="I222" s="75"/>
      <c r="J222" s="76"/>
      <c r="K222" s="76"/>
      <c r="L222" s="75"/>
      <c r="M222" s="49"/>
      <c r="N222" s="76"/>
      <c r="O222" s="49"/>
      <c r="P222" s="77"/>
      <c r="Q222" s="53"/>
      <c r="R222" s="54"/>
      <c r="S222" s="55"/>
      <c r="T222" s="56"/>
      <c r="U222" s="56"/>
      <c r="V222" s="42"/>
      <c r="W222" s="57"/>
      <c r="X222" s="58"/>
      <c r="Y222" s="75"/>
      <c r="Z222" s="59"/>
      <c r="AA222" s="61"/>
      <c r="AB222" s="61"/>
      <c r="AC222" s="61"/>
      <c r="AD222" s="62"/>
      <c r="AE222" s="62"/>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row>
    <row r="223" spans="1:77" x14ac:dyDescent="0.3">
      <c r="A223" s="39"/>
      <c r="B223" s="42"/>
      <c r="C223" s="42"/>
      <c r="D223" s="75"/>
      <c r="E223" s="75"/>
      <c r="F223" s="76"/>
      <c r="G223" s="47"/>
      <c r="H223" s="47"/>
      <c r="I223" s="75"/>
      <c r="J223" s="76"/>
      <c r="K223" s="76"/>
      <c r="L223" s="75"/>
      <c r="M223" s="49"/>
      <c r="N223" s="76"/>
      <c r="O223" s="49"/>
      <c r="P223" s="77"/>
      <c r="Q223" s="53"/>
      <c r="R223" s="54"/>
      <c r="S223" s="55"/>
      <c r="T223" s="56"/>
      <c r="U223" s="56"/>
      <c r="V223" s="42"/>
      <c r="W223" s="57"/>
      <c r="X223" s="58"/>
      <c r="Y223" s="75"/>
      <c r="Z223" s="59"/>
      <c r="AA223" s="61"/>
      <c r="AB223" s="61"/>
      <c r="AC223" s="61"/>
      <c r="AD223" s="62"/>
      <c r="AE223" s="62"/>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row>
    <row r="224" spans="1:77" x14ac:dyDescent="0.3">
      <c r="A224" s="39"/>
      <c r="B224" s="42"/>
      <c r="C224" s="42"/>
      <c r="D224" s="75"/>
      <c r="E224" s="75"/>
      <c r="F224" s="76"/>
      <c r="G224" s="47"/>
      <c r="H224" s="47"/>
      <c r="I224" s="75"/>
      <c r="J224" s="76"/>
      <c r="K224" s="76"/>
      <c r="L224" s="75"/>
      <c r="M224" s="49"/>
      <c r="N224" s="76"/>
      <c r="O224" s="49"/>
      <c r="P224" s="77"/>
      <c r="Q224" s="53"/>
      <c r="R224" s="54"/>
      <c r="S224" s="55"/>
      <c r="T224" s="56"/>
      <c r="U224" s="56"/>
      <c r="V224" s="42"/>
      <c r="W224" s="57"/>
      <c r="X224" s="58"/>
      <c r="Y224" s="75"/>
      <c r="Z224" s="59"/>
      <c r="AA224" s="61"/>
      <c r="AB224" s="61"/>
      <c r="AC224" s="61"/>
      <c r="AD224" s="62"/>
      <c r="AE224" s="62"/>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row>
    <row r="225" spans="1:77" x14ac:dyDescent="0.3">
      <c r="A225" s="39"/>
      <c r="B225" s="42"/>
      <c r="C225" s="42"/>
      <c r="D225" s="75"/>
      <c r="E225" s="75"/>
      <c r="F225" s="76"/>
      <c r="G225" s="47"/>
      <c r="H225" s="47"/>
      <c r="I225" s="75"/>
      <c r="J225" s="76"/>
      <c r="K225" s="76"/>
      <c r="L225" s="75"/>
      <c r="M225" s="49"/>
      <c r="N225" s="76"/>
      <c r="O225" s="49"/>
      <c r="P225" s="77"/>
      <c r="Q225" s="53"/>
      <c r="R225" s="54"/>
      <c r="S225" s="55"/>
      <c r="T225" s="56"/>
      <c r="U225" s="56"/>
      <c r="V225" s="42"/>
      <c r="W225" s="57"/>
      <c r="X225" s="58"/>
      <c r="Y225" s="75"/>
      <c r="Z225" s="59"/>
      <c r="AA225" s="61"/>
      <c r="AB225" s="61"/>
      <c r="AC225" s="61"/>
      <c r="AD225" s="62"/>
      <c r="AE225" s="62"/>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row>
    <row r="226" spans="1:77" x14ac:dyDescent="0.3">
      <c r="A226" s="39"/>
      <c r="B226" s="42"/>
      <c r="C226" s="42"/>
      <c r="D226" s="75"/>
      <c r="E226" s="75"/>
      <c r="F226" s="76"/>
      <c r="G226" s="47"/>
      <c r="H226" s="47"/>
      <c r="I226" s="75"/>
      <c r="J226" s="76"/>
      <c r="K226" s="76"/>
      <c r="L226" s="75"/>
      <c r="M226" s="49"/>
      <c r="N226" s="76"/>
      <c r="O226" s="49"/>
      <c r="P226" s="77"/>
      <c r="Q226" s="53"/>
      <c r="R226" s="54"/>
      <c r="S226" s="55"/>
      <c r="T226" s="56"/>
      <c r="U226" s="56"/>
      <c r="V226" s="42"/>
      <c r="W226" s="57"/>
      <c r="X226" s="58"/>
      <c r="Y226" s="75"/>
      <c r="Z226" s="59"/>
      <c r="AA226" s="61"/>
      <c r="AB226" s="61"/>
      <c r="AC226" s="61"/>
      <c r="AD226" s="62"/>
      <c r="AE226" s="62"/>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row>
    <row r="227" spans="1:77" x14ac:dyDescent="0.3">
      <c r="A227" s="39"/>
      <c r="B227" s="42"/>
      <c r="C227" s="42"/>
      <c r="D227" s="75"/>
      <c r="E227" s="75"/>
      <c r="F227" s="76"/>
      <c r="G227" s="47"/>
      <c r="H227" s="47"/>
      <c r="I227" s="75"/>
      <c r="J227" s="76"/>
      <c r="K227" s="76"/>
      <c r="L227" s="75"/>
      <c r="M227" s="49"/>
      <c r="N227" s="76"/>
      <c r="O227" s="49"/>
      <c r="P227" s="77"/>
      <c r="Q227" s="53"/>
      <c r="R227" s="54"/>
      <c r="S227" s="55"/>
      <c r="T227" s="56"/>
      <c r="U227" s="56"/>
      <c r="V227" s="42"/>
      <c r="W227" s="57"/>
      <c r="X227" s="58"/>
      <c r="Y227" s="75"/>
      <c r="Z227" s="59"/>
      <c r="AA227" s="61"/>
      <c r="AB227" s="61"/>
      <c r="AC227" s="61"/>
      <c r="AD227" s="62"/>
      <c r="AE227" s="62"/>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row>
    <row r="228" spans="1:77" x14ac:dyDescent="0.3">
      <c r="A228" s="39"/>
      <c r="B228" s="42"/>
      <c r="C228" s="42"/>
      <c r="D228" s="75"/>
      <c r="E228" s="75"/>
      <c r="F228" s="76"/>
      <c r="G228" s="47"/>
      <c r="H228" s="47"/>
      <c r="I228" s="75"/>
      <c r="J228" s="76"/>
      <c r="K228" s="76"/>
      <c r="L228" s="75"/>
      <c r="M228" s="49"/>
      <c r="N228" s="76"/>
      <c r="O228" s="49"/>
      <c r="P228" s="77"/>
      <c r="Q228" s="53"/>
      <c r="R228" s="54"/>
      <c r="S228" s="55"/>
      <c r="T228" s="56"/>
      <c r="U228" s="56"/>
      <c r="V228" s="42"/>
      <c r="W228" s="57"/>
      <c r="X228" s="58"/>
      <c r="Y228" s="75"/>
      <c r="Z228" s="59"/>
      <c r="AA228" s="61"/>
      <c r="AB228" s="61"/>
      <c r="AC228" s="61"/>
      <c r="AD228" s="62"/>
      <c r="AE228" s="62"/>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row>
    <row r="229" spans="1:77" x14ac:dyDescent="0.3">
      <c r="A229" s="39"/>
      <c r="B229" s="42"/>
      <c r="C229" s="42"/>
      <c r="D229" s="75"/>
      <c r="E229" s="75"/>
      <c r="F229" s="76"/>
      <c r="G229" s="47"/>
      <c r="H229" s="47"/>
      <c r="I229" s="75"/>
      <c r="J229" s="76"/>
      <c r="K229" s="76"/>
      <c r="L229" s="75"/>
      <c r="M229" s="49"/>
      <c r="N229" s="76"/>
      <c r="O229" s="49"/>
      <c r="P229" s="77"/>
      <c r="Q229" s="53"/>
      <c r="R229" s="54"/>
      <c r="S229" s="55"/>
      <c r="T229" s="56"/>
      <c r="U229" s="56"/>
      <c r="V229" s="42"/>
      <c r="W229" s="57"/>
      <c r="X229" s="58"/>
      <c r="Y229" s="75"/>
      <c r="Z229" s="59"/>
      <c r="AA229" s="61"/>
      <c r="AB229" s="61"/>
      <c r="AC229" s="61"/>
      <c r="AD229" s="62"/>
      <c r="AE229" s="62"/>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row>
    <row r="230" spans="1:77" x14ac:dyDescent="0.3">
      <c r="A230" s="39"/>
      <c r="B230" s="42"/>
      <c r="C230" s="42"/>
      <c r="D230" s="75"/>
      <c r="E230" s="75"/>
      <c r="F230" s="76"/>
      <c r="G230" s="47"/>
      <c r="H230" s="47"/>
      <c r="I230" s="75"/>
      <c r="J230" s="76"/>
      <c r="K230" s="76"/>
      <c r="L230" s="75"/>
      <c r="M230" s="49"/>
      <c r="N230" s="76"/>
      <c r="O230" s="49"/>
      <c r="P230" s="77"/>
      <c r="Q230" s="53"/>
      <c r="R230" s="54"/>
      <c r="S230" s="55"/>
      <c r="T230" s="56"/>
      <c r="U230" s="56"/>
      <c r="V230" s="42"/>
      <c r="W230" s="57"/>
      <c r="X230" s="58"/>
      <c r="Y230" s="75"/>
      <c r="Z230" s="59"/>
      <c r="AA230" s="61"/>
      <c r="AB230" s="61"/>
      <c r="AC230" s="61"/>
      <c r="AD230" s="62"/>
      <c r="AE230" s="62"/>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row>
    <row r="231" spans="1:77" x14ac:dyDescent="0.3">
      <c r="A231" s="39"/>
      <c r="B231" s="42"/>
      <c r="C231" s="42"/>
      <c r="D231" s="75"/>
      <c r="E231" s="75"/>
      <c r="F231" s="76"/>
      <c r="G231" s="47"/>
      <c r="H231" s="47"/>
      <c r="I231" s="75"/>
      <c r="J231" s="76"/>
      <c r="K231" s="76"/>
      <c r="L231" s="75"/>
      <c r="M231" s="49"/>
      <c r="N231" s="76"/>
      <c r="O231" s="49"/>
      <c r="P231" s="77"/>
      <c r="Q231" s="53"/>
      <c r="R231" s="54"/>
      <c r="S231" s="55"/>
      <c r="T231" s="56"/>
      <c r="U231" s="56"/>
      <c r="V231" s="42"/>
      <c r="W231" s="57"/>
      <c r="X231" s="58"/>
      <c r="Y231" s="75"/>
      <c r="Z231" s="59"/>
      <c r="AA231" s="61"/>
      <c r="AB231" s="61"/>
      <c r="AC231" s="61"/>
      <c r="AD231" s="62"/>
      <c r="AE231" s="62"/>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row>
    <row r="232" spans="1:77" x14ac:dyDescent="0.3">
      <c r="A232" s="39"/>
      <c r="B232" s="42"/>
      <c r="C232" s="42"/>
      <c r="D232" s="75"/>
      <c r="E232" s="75"/>
      <c r="F232" s="76"/>
      <c r="G232" s="47"/>
      <c r="H232" s="47"/>
      <c r="I232" s="75"/>
      <c r="J232" s="76"/>
      <c r="K232" s="76"/>
      <c r="L232" s="75"/>
      <c r="M232" s="49"/>
      <c r="N232" s="76"/>
      <c r="O232" s="49"/>
      <c r="P232" s="77"/>
      <c r="Q232" s="53"/>
      <c r="R232" s="54"/>
      <c r="S232" s="55"/>
      <c r="T232" s="56"/>
      <c r="U232" s="56"/>
      <c r="V232" s="42"/>
      <c r="W232" s="57"/>
      <c r="X232" s="58"/>
      <c r="Y232" s="75"/>
      <c r="Z232" s="59"/>
      <c r="AA232" s="61"/>
      <c r="AB232" s="61"/>
      <c r="AC232" s="61"/>
      <c r="AD232" s="62"/>
      <c r="AE232" s="62"/>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row>
    <row r="233" spans="1:77" x14ac:dyDescent="0.3">
      <c r="A233" s="39"/>
      <c r="B233" s="42"/>
      <c r="C233" s="42"/>
      <c r="D233" s="75"/>
      <c r="E233" s="75"/>
      <c r="F233" s="76"/>
      <c r="G233" s="47"/>
      <c r="H233" s="47"/>
      <c r="I233" s="75"/>
      <c r="J233" s="76"/>
      <c r="K233" s="76"/>
      <c r="L233" s="75"/>
      <c r="M233" s="49"/>
      <c r="N233" s="76"/>
      <c r="O233" s="49"/>
      <c r="P233" s="77"/>
      <c r="Q233" s="53"/>
      <c r="R233" s="54"/>
      <c r="S233" s="55"/>
      <c r="T233" s="56"/>
      <c r="U233" s="56"/>
      <c r="V233" s="42"/>
      <c r="W233" s="57"/>
      <c r="X233" s="58"/>
      <c r="Y233" s="75"/>
      <c r="Z233" s="59"/>
      <c r="AA233" s="61"/>
      <c r="AB233" s="61"/>
      <c r="AC233" s="61"/>
      <c r="AD233" s="62"/>
      <c r="AE233" s="62"/>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row>
    <row r="234" spans="1:77" x14ac:dyDescent="0.3">
      <c r="A234" s="39"/>
      <c r="B234" s="42"/>
      <c r="C234" s="42"/>
      <c r="D234" s="75"/>
      <c r="E234" s="75"/>
      <c r="F234" s="76"/>
      <c r="G234" s="47"/>
      <c r="H234" s="47"/>
      <c r="I234" s="75"/>
      <c r="J234" s="76"/>
      <c r="K234" s="76"/>
      <c r="L234" s="75"/>
      <c r="M234" s="49"/>
      <c r="N234" s="76"/>
      <c r="O234" s="49"/>
      <c r="P234" s="77"/>
      <c r="Q234" s="53"/>
      <c r="R234" s="54"/>
      <c r="S234" s="55"/>
      <c r="T234" s="56"/>
      <c r="U234" s="56"/>
      <c r="V234" s="42"/>
      <c r="W234" s="57"/>
      <c r="X234" s="58"/>
      <c r="Y234" s="75"/>
      <c r="Z234" s="59"/>
      <c r="AA234" s="61"/>
      <c r="AB234" s="61"/>
      <c r="AC234" s="61"/>
      <c r="AD234" s="62"/>
      <c r="AE234" s="62"/>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row>
    <row r="235" spans="1:77" x14ac:dyDescent="0.3">
      <c r="A235" s="39"/>
      <c r="B235" s="42"/>
      <c r="C235" s="42"/>
      <c r="D235" s="75"/>
      <c r="E235" s="75"/>
      <c r="F235" s="76"/>
      <c r="G235" s="47"/>
      <c r="H235" s="47"/>
      <c r="I235" s="75"/>
      <c r="J235" s="76"/>
      <c r="K235" s="76"/>
      <c r="L235" s="75"/>
      <c r="M235" s="49"/>
      <c r="N235" s="76"/>
      <c r="O235" s="49"/>
      <c r="P235" s="77"/>
      <c r="Q235" s="53"/>
      <c r="R235" s="54"/>
      <c r="S235" s="55"/>
      <c r="T235" s="56"/>
      <c r="U235" s="56"/>
      <c r="V235" s="42"/>
      <c r="W235" s="57"/>
      <c r="X235" s="58"/>
      <c r="Y235" s="75"/>
      <c r="Z235" s="59"/>
      <c r="AA235" s="61"/>
      <c r="AB235" s="61"/>
      <c r="AC235" s="61"/>
      <c r="AD235" s="62"/>
      <c r="AE235" s="62"/>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row>
    <row r="236" spans="1:77" x14ac:dyDescent="0.3">
      <c r="A236" s="39"/>
      <c r="B236" s="42"/>
      <c r="C236" s="42"/>
      <c r="D236" s="75"/>
      <c r="E236" s="75"/>
      <c r="F236" s="76"/>
      <c r="G236" s="47"/>
      <c r="H236" s="47"/>
      <c r="I236" s="75"/>
      <c r="J236" s="76"/>
      <c r="K236" s="76"/>
      <c r="L236" s="75"/>
      <c r="M236" s="49"/>
      <c r="N236" s="76"/>
      <c r="O236" s="49"/>
      <c r="P236" s="77"/>
      <c r="Q236" s="53"/>
      <c r="R236" s="54"/>
      <c r="S236" s="55"/>
      <c r="T236" s="56"/>
      <c r="U236" s="56"/>
      <c r="V236" s="42"/>
      <c r="W236" s="57"/>
      <c r="X236" s="58"/>
      <c r="Y236" s="75"/>
      <c r="Z236" s="59"/>
      <c r="AA236" s="61"/>
      <c r="AB236" s="61"/>
      <c r="AC236" s="61"/>
      <c r="AD236" s="62"/>
      <c r="AE236" s="62"/>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row>
    <row r="237" spans="1:77" x14ac:dyDescent="0.3">
      <c r="A237" s="39"/>
      <c r="B237" s="42"/>
      <c r="C237" s="42"/>
      <c r="D237" s="75"/>
      <c r="E237" s="75"/>
      <c r="F237" s="76"/>
      <c r="G237" s="47"/>
      <c r="H237" s="47"/>
      <c r="I237" s="75"/>
      <c r="J237" s="76"/>
      <c r="K237" s="76"/>
      <c r="L237" s="75"/>
      <c r="M237" s="49"/>
      <c r="N237" s="76"/>
      <c r="O237" s="49"/>
      <c r="P237" s="77"/>
      <c r="Q237" s="53"/>
      <c r="R237" s="54"/>
      <c r="S237" s="55"/>
      <c r="T237" s="56"/>
      <c r="U237" s="56"/>
      <c r="V237" s="42"/>
      <c r="W237" s="57"/>
      <c r="X237" s="58"/>
      <c r="Y237" s="75"/>
      <c r="Z237" s="59"/>
      <c r="AA237" s="61"/>
      <c r="AB237" s="61"/>
      <c r="AC237" s="61"/>
      <c r="AD237" s="62"/>
      <c r="AE237" s="62"/>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row>
    <row r="238" spans="1:77" x14ac:dyDescent="0.3">
      <c r="A238" s="39"/>
      <c r="B238" s="42"/>
      <c r="C238" s="42"/>
      <c r="D238" s="75"/>
      <c r="E238" s="75"/>
      <c r="F238" s="76"/>
      <c r="G238" s="47"/>
      <c r="H238" s="47"/>
      <c r="I238" s="75"/>
      <c r="J238" s="76"/>
      <c r="K238" s="76"/>
      <c r="L238" s="75"/>
      <c r="M238" s="49"/>
      <c r="N238" s="76"/>
      <c r="O238" s="49"/>
      <c r="P238" s="77"/>
      <c r="Q238" s="53"/>
      <c r="R238" s="54"/>
      <c r="S238" s="55"/>
      <c r="T238" s="56"/>
      <c r="U238" s="56"/>
      <c r="V238" s="42"/>
      <c r="W238" s="57"/>
      <c r="X238" s="58"/>
      <c r="Y238" s="75"/>
      <c r="Z238" s="59"/>
      <c r="AA238" s="61"/>
      <c r="AB238" s="61"/>
      <c r="AC238" s="61"/>
      <c r="AD238" s="62"/>
      <c r="AE238" s="62"/>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row>
    <row r="239" spans="1:77" x14ac:dyDescent="0.3">
      <c r="A239" s="39"/>
      <c r="B239" s="42"/>
      <c r="C239" s="42"/>
      <c r="D239" s="75"/>
      <c r="E239" s="75"/>
      <c r="F239" s="76"/>
      <c r="G239" s="47"/>
      <c r="H239" s="47"/>
      <c r="I239" s="75"/>
      <c r="J239" s="76"/>
      <c r="K239" s="76"/>
      <c r="L239" s="75"/>
      <c r="M239" s="49"/>
      <c r="N239" s="76"/>
      <c r="O239" s="49"/>
      <c r="P239" s="77"/>
      <c r="Q239" s="53"/>
      <c r="R239" s="54"/>
      <c r="S239" s="55"/>
      <c r="T239" s="56"/>
      <c r="U239" s="56"/>
      <c r="V239" s="42"/>
      <c r="W239" s="57"/>
      <c r="X239" s="58"/>
      <c r="Y239" s="75"/>
      <c r="Z239" s="59"/>
      <c r="AA239" s="61"/>
      <c r="AB239" s="61"/>
      <c r="AC239" s="61"/>
      <c r="AD239" s="62"/>
      <c r="AE239" s="62"/>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row>
    <row r="240" spans="1:77" x14ac:dyDescent="0.3">
      <c r="A240" s="39"/>
      <c r="B240" s="42"/>
      <c r="C240" s="42"/>
      <c r="D240" s="75"/>
      <c r="E240" s="75"/>
      <c r="F240" s="76"/>
      <c r="G240" s="47"/>
      <c r="H240" s="47"/>
      <c r="I240" s="75"/>
      <c r="J240" s="76"/>
      <c r="K240" s="76"/>
      <c r="L240" s="75"/>
      <c r="M240" s="49"/>
      <c r="N240" s="76"/>
      <c r="O240" s="49"/>
      <c r="P240" s="77"/>
      <c r="Q240" s="53"/>
      <c r="R240" s="54"/>
      <c r="S240" s="55"/>
      <c r="T240" s="56"/>
      <c r="U240" s="56"/>
      <c r="V240" s="42"/>
      <c r="W240" s="57"/>
      <c r="X240" s="58"/>
      <c r="Y240" s="75"/>
      <c r="Z240" s="59"/>
      <c r="AA240" s="61"/>
      <c r="AB240" s="61"/>
      <c r="AC240" s="61"/>
      <c r="AD240" s="62"/>
      <c r="AE240" s="62"/>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row>
    <row r="241" spans="1:77" x14ac:dyDescent="0.3">
      <c r="A241" s="39"/>
      <c r="B241" s="42"/>
      <c r="C241" s="42"/>
      <c r="D241" s="75"/>
      <c r="E241" s="75"/>
      <c r="F241" s="76"/>
      <c r="G241" s="47"/>
      <c r="H241" s="47"/>
      <c r="I241" s="75"/>
      <c r="J241" s="76"/>
      <c r="K241" s="76"/>
      <c r="L241" s="75"/>
      <c r="M241" s="49"/>
      <c r="N241" s="76"/>
      <c r="O241" s="49"/>
      <c r="P241" s="77"/>
      <c r="Q241" s="53"/>
      <c r="R241" s="54"/>
      <c r="S241" s="55"/>
      <c r="T241" s="56"/>
      <c r="U241" s="56"/>
      <c r="V241" s="42"/>
      <c r="W241" s="57"/>
      <c r="X241" s="58"/>
      <c r="Y241" s="75"/>
      <c r="Z241" s="59"/>
      <c r="AA241" s="61"/>
      <c r="AB241" s="61"/>
      <c r="AC241" s="61"/>
      <c r="AD241" s="62"/>
      <c r="AE241" s="62"/>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row>
    <row r="242" spans="1:77" x14ac:dyDescent="0.3">
      <c r="A242" s="39"/>
      <c r="B242" s="42"/>
      <c r="C242" s="42"/>
      <c r="D242" s="75"/>
      <c r="E242" s="75"/>
      <c r="F242" s="76"/>
      <c r="G242" s="47"/>
      <c r="H242" s="47"/>
      <c r="I242" s="75"/>
      <c r="J242" s="76"/>
      <c r="K242" s="76"/>
      <c r="L242" s="75"/>
      <c r="M242" s="49"/>
      <c r="N242" s="76"/>
      <c r="O242" s="49"/>
      <c r="P242" s="77"/>
      <c r="Q242" s="53"/>
      <c r="R242" s="54"/>
      <c r="S242" s="55"/>
      <c r="T242" s="56"/>
      <c r="U242" s="56"/>
      <c r="V242" s="42"/>
      <c r="W242" s="57"/>
      <c r="X242" s="58"/>
      <c r="Y242" s="75"/>
      <c r="Z242" s="59"/>
      <c r="AA242" s="61"/>
      <c r="AB242" s="61"/>
      <c r="AC242" s="61"/>
      <c r="AD242" s="62"/>
      <c r="AE242" s="62"/>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row>
    <row r="243" spans="1:77" x14ac:dyDescent="0.3">
      <c r="A243" s="39"/>
      <c r="B243" s="42"/>
      <c r="C243" s="42"/>
      <c r="D243" s="75"/>
      <c r="E243" s="75"/>
      <c r="F243" s="76"/>
      <c r="G243" s="47"/>
      <c r="H243" s="47"/>
      <c r="I243" s="75"/>
      <c r="J243" s="76"/>
      <c r="K243" s="76"/>
      <c r="L243" s="75"/>
      <c r="M243" s="49"/>
      <c r="N243" s="76"/>
      <c r="O243" s="49"/>
      <c r="P243" s="77"/>
      <c r="Q243" s="53"/>
      <c r="R243" s="54"/>
      <c r="S243" s="55"/>
      <c r="T243" s="56"/>
      <c r="U243" s="56"/>
      <c r="V243" s="42"/>
      <c r="W243" s="57"/>
      <c r="X243" s="58"/>
      <c r="Y243" s="75"/>
      <c r="Z243" s="59"/>
      <c r="AA243" s="61"/>
      <c r="AB243" s="61"/>
      <c r="AC243" s="61"/>
      <c r="AD243" s="62"/>
      <c r="AE243" s="62"/>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row>
    <row r="244" spans="1:77" x14ac:dyDescent="0.3">
      <c r="A244" s="39"/>
      <c r="B244" s="42"/>
      <c r="C244" s="42"/>
      <c r="D244" s="75"/>
      <c r="E244" s="75"/>
      <c r="F244" s="76"/>
      <c r="G244" s="47"/>
      <c r="H244" s="47"/>
      <c r="I244" s="75"/>
      <c r="J244" s="76"/>
      <c r="K244" s="76"/>
      <c r="L244" s="75"/>
      <c r="M244" s="49"/>
      <c r="N244" s="76"/>
      <c r="O244" s="49"/>
      <c r="P244" s="77"/>
      <c r="Q244" s="53"/>
      <c r="R244" s="54"/>
      <c r="S244" s="55"/>
      <c r="T244" s="56"/>
      <c r="U244" s="56"/>
      <c r="V244" s="42"/>
      <c r="W244" s="57"/>
      <c r="X244" s="58"/>
      <c r="Y244" s="75"/>
      <c r="Z244" s="59"/>
      <c r="AA244" s="61"/>
      <c r="AB244" s="61"/>
      <c r="AC244" s="61"/>
      <c r="AD244" s="62"/>
      <c r="AE244" s="62"/>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row>
    <row r="245" spans="1:77" x14ac:dyDescent="0.3">
      <c r="A245" s="39"/>
      <c r="B245" s="42"/>
      <c r="C245" s="42"/>
      <c r="D245" s="75"/>
      <c r="E245" s="75"/>
      <c r="F245" s="76"/>
      <c r="G245" s="47"/>
      <c r="H245" s="47"/>
      <c r="I245" s="75"/>
      <c r="J245" s="76"/>
      <c r="K245" s="76"/>
      <c r="L245" s="75"/>
      <c r="M245" s="49"/>
      <c r="N245" s="76"/>
      <c r="O245" s="49"/>
      <c r="P245" s="77"/>
      <c r="Q245" s="53"/>
      <c r="R245" s="54"/>
      <c r="S245" s="55"/>
      <c r="T245" s="56"/>
      <c r="U245" s="56"/>
      <c r="V245" s="42"/>
      <c r="W245" s="57"/>
      <c r="X245" s="58"/>
      <c r="Y245" s="75"/>
      <c r="Z245" s="59"/>
      <c r="AA245" s="61"/>
      <c r="AB245" s="61"/>
      <c r="AC245" s="61"/>
      <c r="AD245" s="62"/>
      <c r="AE245" s="62"/>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row>
    <row r="246" spans="1:77" x14ac:dyDescent="0.3">
      <c r="A246" s="39"/>
      <c r="B246" s="42"/>
      <c r="C246" s="42"/>
      <c r="D246" s="75"/>
      <c r="E246" s="75"/>
      <c r="F246" s="76"/>
      <c r="G246" s="47"/>
      <c r="H246" s="47"/>
      <c r="I246" s="75"/>
      <c r="J246" s="76"/>
      <c r="K246" s="76"/>
      <c r="L246" s="75"/>
      <c r="M246" s="49"/>
      <c r="N246" s="76"/>
      <c r="O246" s="49"/>
      <c r="P246" s="77"/>
      <c r="Q246" s="53"/>
      <c r="R246" s="54"/>
      <c r="S246" s="55"/>
      <c r="T246" s="56"/>
      <c r="U246" s="56"/>
      <c r="V246" s="42"/>
      <c r="W246" s="57"/>
      <c r="X246" s="58"/>
      <c r="Y246" s="75"/>
      <c r="Z246" s="59"/>
      <c r="AA246" s="61"/>
      <c r="AB246" s="61"/>
      <c r="AC246" s="61"/>
      <c r="AD246" s="62"/>
      <c r="AE246" s="62"/>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row>
    <row r="247" spans="1:77" x14ac:dyDescent="0.3">
      <c r="A247" s="39"/>
      <c r="B247" s="42"/>
      <c r="C247" s="42"/>
      <c r="D247" s="75"/>
      <c r="E247" s="75"/>
      <c r="F247" s="76"/>
      <c r="G247" s="47"/>
      <c r="H247" s="47"/>
      <c r="I247" s="75"/>
      <c r="J247" s="76"/>
      <c r="K247" s="76"/>
      <c r="L247" s="75"/>
      <c r="M247" s="49"/>
      <c r="N247" s="76"/>
      <c r="O247" s="49"/>
      <c r="P247" s="77"/>
      <c r="Q247" s="53"/>
      <c r="R247" s="54"/>
      <c r="S247" s="55"/>
      <c r="T247" s="56"/>
      <c r="U247" s="56"/>
      <c r="V247" s="42"/>
      <c r="W247" s="57"/>
      <c r="X247" s="58"/>
      <c r="Y247" s="75"/>
      <c r="Z247" s="59"/>
      <c r="AA247" s="61"/>
      <c r="AB247" s="61"/>
      <c r="AC247" s="61"/>
      <c r="AD247" s="62"/>
      <c r="AE247" s="62"/>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row>
    <row r="248" spans="1:77" x14ac:dyDescent="0.3">
      <c r="A248" s="39"/>
      <c r="B248" s="42"/>
      <c r="C248" s="42"/>
      <c r="D248" s="75"/>
      <c r="E248" s="75"/>
      <c r="F248" s="76"/>
      <c r="G248" s="47"/>
      <c r="H248" s="47"/>
      <c r="I248" s="75"/>
      <c r="J248" s="76"/>
      <c r="K248" s="76"/>
      <c r="L248" s="75"/>
      <c r="M248" s="49"/>
      <c r="N248" s="76"/>
      <c r="O248" s="49"/>
      <c r="P248" s="77"/>
      <c r="Q248" s="53"/>
      <c r="R248" s="54"/>
      <c r="S248" s="55"/>
      <c r="T248" s="56"/>
      <c r="U248" s="56"/>
      <c r="V248" s="42"/>
      <c r="W248" s="57"/>
      <c r="X248" s="58"/>
      <c r="Y248" s="75"/>
      <c r="Z248" s="59"/>
      <c r="AA248" s="61"/>
      <c r="AB248" s="61"/>
      <c r="AC248" s="61"/>
      <c r="AD248" s="62"/>
      <c r="AE248" s="62"/>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row>
    <row r="249" spans="1:77" x14ac:dyDescent="0.3">
      <c r="A249" s="39"/>
      <c r="B249" s="42"/>
      <c r="C249" s="42"/>
      <c r="D249" s="75"/>
      <c r="E249" s="75"/>
      <c r="F249" s="76"/>
      <c r="G249" s="47"/>
      <c r="H249" s="47"/>
      <c r="I249" s="75"/>
      <c r="J249" s="76"/>
      <c r="K249" s="76"/>
      <c r="L249" s="75"/>
      <c r="M249" s="49"/>
      <c r="N249" s="76"/>
      <c r="O249" s="49"/>
      <c r="P249" s="77"/>
      <c r="Q249" s="53"/>
      <c r="R249" s="54"/>
      <c r="S249" s="55"/>
      <c r="T249" s="56"/>
      <c r="U249" s="56"/>
      <c r="V249" s="42"/>
      <c r="W249" s="57"/>
      <c r="X249" s="58"/>
      <c r="Y249" s="75"/>
      <c r="Z249" s="59"/>
      <c r="AA249" s="61"/>
      <c r="AB249" s="61"/>
      <c r="AC249" s="61"/>
      <c r="AD249" s="62"/>
      <c r="AE249" s="62"/>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row>
    <row r="250" spans="1:77" x14ac:dyDescent="0.3">
      <c r="A250" s="39"/>
      <c r="B250" s="42"/>
      <c r="C250" s="42"/>
      <c r="D250" s="75"/>
      <c r="E250" s="75"/>
      <c r="F250" s="76"/>
      <c r="G250" s="47"/>
      <c r="H250" s="47"/>
      <c r="I250" s="75"/>
      <c r="J250" s="76"/>
      <c r="K250" s="76"/>
      <c r="L250" s="75"/>
      <c r="M250" s="49"/>
      <c r="N250" s="76"/>
      <c r="O250" s="49"/>
      <c r="P250" s="77"/>
      <c r="Q250" s="53"/>
      <c r="R250" s="54"/>
      <c r="S250" s="55"/>
      <c r="T250" s="56"/>
      <c r="U250" s="56"/>
      <c r="V250" s="42"/>
      <c r="W250" s="57"/>
      <c r="X250" s="58"/>
      <c r="Y250" s="75"/>
      <c r="Z250" s="59"/>
      <c r="AA250" s="61"/>
      <c r="AB250" s="61"/>
      <c r="AC250" s="61"/>
      <c r="AD250" s="62"/>
      <c r="AE250" s="62"/>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row>
    <row r="251" spans="1:77" x14ac:dyDescent="0.3">
      <c r="A251" s="39"/>
      <c r="B251" s="42"/>
      <c r="C251" s="42"/>
      <c r="D251" s="75"/>
      <c r="E251" s="75"/>
      <c r="F251" s="76"/>
      <c r="G251" s="47"/>
      <c r="H251" s="47"/>
      <c r="I251" s="75"/>
      <c r="J251" s="76"/>
      <c r="K251" s="76"/>
      <c r="L251" s="75"/>
      <c r="M251" s="49"/>
      <c r="N251" s="76"/>
      <c r="O251" s="49"/>
      <c r="P251" s="77"/>
      <c r="Q251" s="53"/>
      <c r="R251" s="54"/>
      <c r="S251" s="55"/>
      <c r="T251" s="56"/>
      <c r="U251" s="56"/>
      <c r="V251" s="42"/>
      <c r="W251" s="57"/>
      <c r="X251" s="58"/>
      <c r="Y251" s="75"/>
      <c r="Z251" s="59"/>
      <c r="AA251" s="61"/>
      <c r="AB251" s="61"/>
      <c r="AC251" s="61"/>
      <c r="AD251" s="62"/>
      <c r="AE251" s="62"/>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row>
    <row r="252" spans="1:77" x14ac:dyDescent="0.3">
      <c r="A252" s="39"/>
      <c r="B252" s="42"/>
      <c r="C252" s="42"/>
      <c r="D252" s="75"/>
      <c r="E252" s="75"/>
      <c r="F252" s="76"/>
      <c r="G252" s="47"/>
      <c r="H252" s="47"/>
      <c r="I252" s="75"/>
      <c r="J252" s="76"/>
      <c r="K252" s="76"/>
      <c r="L252" s="75"/>
      <c r="M252" s="49"/>
      <c r="N252" s="76"/>
      <c r="O252" s="49"/>
      <c r="P252" s="77"/>
      <c r="Q252" s="53"/>
      <c r="R252" s="54"/>
      <c r="S252" s="55"/>
      <c r="T252" s="56"/>
      <c r="U252" s="56"/>
      <c r="V252" s="42"/>
      <c r="W252" s="57"/>
      <c r="X252" s="58"/>
      <c r="Y252" s="75"/>
      <c r="Z252" s="59"/>
      <c r="AA252" s="61"/>
      <c r="AB252" s="61"/>
      <c r="AC252" s="61"/>
      <c r="AD252" s="62"/>
      <c r="AE252" s="62"/>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row>
    <row r="253" spans="1:77" x14ac:dyDescent="0.3">
      <c r="A253" s="39"/>
      <c r="B253" s="42"/>
      <c r="C253" s="42"/>
      <c r="D253" s="75"/>
      <c r="E253" s="75"/>
      <c r="F253" s="76"/>
      <c r="G253" s="47"/>
      <c r="H253" s="47"/>
      <c r="I253" s="75"/>
      <c r="J253" s="76"/>
      <c r="K253" s="76"/>
      <c r="L253" s="75"/>
      <c r="M253" s="49"/>
      <c r="N253" s="76"/>
      <c r="O253" s="49"/>
      <c r="P253" s="77"/>
      <c r="Q253" s="53"/>
      <c r="R253" s="54"/>
      <c r="S253" s="55"/>
      <c r="T253" s="56"/>
      <c r="U253" s="56"/>
      <c r="V253" s="42"/>
      <c r="W253" s="57"/>
      <c r="X253" s="58"/>
      <c r="Y253" s="75"/>
      <c r="Z253" s="59"/>
      <c r="AA253" s="61"/>
      <c r="AB253" s="61"/>
      <c r="AC253" s="61"/>
      <c r="AD253" s="62"/>
      <c r="AE253" s="62"/>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row>
    <row r="254" spans="1:77" x14ac:dyDescent="0.3">
      <c r="A254" s="39"/>
      <c r="B254" s="42"/>
      <c r="C254" s="42"/>
      <c r="D254" s="75"/>
      <c r="E254" s="75"/>
      <c r="F254" s="76"/>
      <c r="G254" s="47"/>
      <c r="H254" s="47"/>
      <c r="I254" s="75"/>
      <c r="J254" s="76"/>
      <c r="K254" s="76"/>
      <c r="L254" s="75"/>
      <c r="M254" s="49"/>
      <c r="N254" s="76"/>
      <c r="O254" s="49"/>
      <c r="P254" s="77"/>
      <c r="Q254" s="53"/>
      <c r="R254" s="54"/>
      <c r="S254" s="55"/>
      <c r="T254" s="56"/>
      <c r="U254" s="56"/>
      <c r="V254" s="42"/>
      <c r="W254" s="57"/>
      <c r="X254" s="58"/>
      <c r="Y254" s="75"/>
      <c r="Z254" s="59"/>
      <c r="AA254" s="61"/>
      <c r="AB254" s="61"/>
      <c r="AC254" s="61"/>
      <c r="AD254" s="62"/>
      <c r="AE254" s="62"/>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row>
    <row r="255" spans="1:77" x14ac:dyDescent="0.3">
      <c r="A255" s="39"/>
      <c r="B255" s="42"/>
      <c r="C255" s="42"/>
      <c r="D255" s="75"/>
      <c r="E255" s="75"/>
      <c r="F255" s="76"/>
      <c r="G255" s="47"/>
      <c r="H255" s="47"/>
      <c r="I255" s="75"/>
      <c r="J255" s="76"/>
      <c r="K255" s="76"/>
      <c r="L255" s="75"/>
      <c r="M255" s="49"/>
      <c r="N255" s="76"/>
      <c r="O255" s="49"/>
      <c r="P255" s="77"/>
      <c r="Q255" s="53"/>
      <c r="R255" s="54"/>
      <c r="S255" s="55"/>
      <c r="T255" s="56"/>
      <c r="U255" s="56"/>
      <c r="V255" s="42"/>
      <c r="W255" s="57"/>
      <c r="X255" s="58"/>
      <c r="Y255" s="75"/>
      <c r="Z255" s="59"/>
      <c r="AA255" s="61"/>
      <c r="AB255" s="61"/>
      <c r="AC255" s="61"/>
      <c r="AD255" s="62"/>
      <c r="AE255" s="62"/>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row>
    <row r="256" spans="1:77" x14ac:dyDescent="0.3">
      <c r="A256" s="39"/>
      <c r="B256" s="42"/>
      <c r="C256" s="42"/>
      <c r="D256" s="75"/>
      <c r="E256" s="75"/>
      <c r="F256" s="76"/>
      <c r="G256" s="47"/>
      <c r="H256" s="47"/>
      <c r="I256" s="75"/>
      <c r="J256" s="76"/>
      <c r="K256" s="76"/>
      <c r="L256" s="75"/>
      <c r="M256" s="49"/>
      <c r="N256" s="76"/>
      <c r="O256" s="49"/>
      <c r="P256" s="77"/>
      <c r="Q256" s="53"/>
      <c r="R256" s="54"/>
      <c r="S256" s="55"/>
      <c r="T256" s="56"/>
      <c r="U256" s="56"/>
      <c r="V256" s="42"/>
      <c r="W256" s="57"/>
      <c r="X256" s="58"/>
      <c r="Y256" s="75"/>
      <c r="Z256" s="59"/>
      <c r="AA256" s="61"/>
      <c r="AB256" s="61"/>
      <c r="AC256" s="61"/>
      <c r="AD256" s="62"/>
      <c r="AE256" s="62"/>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row>
    <row r="257" spans="1:77" x14ac:dyDescent="0.3">
      <c r="A257" s="39"/>
      <c r="B257" s="42"/>
      <c r="C257" s="42"/>
      <c r="D257" s="75"/>
      <c r="E257" s="75"/>
      <c r="F257" s="76"/>
      <c r="G257" s="47"/>
      <c r="H257" s="47"/>
      <c r="I257" s="75"/>
      <c r="J257" s="76"/>
      <c r="K257" s="76"/>
      <c r="L257" s="75"/>
      <c r="M257" s="49"/>
      <c r="N257" s="76"/>
      <c r="O257" s="49"/>
      <c r="P257" s="77"/>
      <c r="Q257" s="53"/>
      <c r="R257" s="54"/>
      <c r="S257" s="55"/>
      <c r="T257" s="56"/>
      <c r="U257" s="56"/>
      <c r="V257" s="42"/>
      <c r="W257" s="57"/>
      <c r="X257" s="58"/>
      <c r="Y257" s="75"/>
      <c r="Z257" s="59"/>
      <c r="AA257" s="61"/>
      <c r="AB257" s="61"/>
      <c r="AC257" s="61"/>
      <c r="AD257" s="62"/>
      <c r="AE257" s="62"/>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row>
    <row r="258" spans="1:77" x14ac:dyDescent="0.3">
      <c r="A258" s="39"/>
      <c r="B258" s="42"/>
      <c r="C258" s="42"/>
      <c r="D258" s="75"/>
      <c r="E258" s="75"/>
      <c r="F258" s="76"/>
      <c r="G258" s="47"/>
      <c r="H258" s="47"/>
      <c r="I258" s="75"/>
      <c r="J258" s="76"/>
      <c r="K258" s="76"/>
      <c r="L258" s="75"/>
      <c r="M258" s="49"/>
      <c r="N258" s="76"/>
      <c r="O258" s="49"/>
      <c r="P258" s="77"/>
      <c r="Q258" s="53"/>
      <c r="R258" s="54"/>
      <c r="S258" s="55"/>
      <c r="T258" s="56"/>
      <c r="U258" s="56"/>
      <c r="V258" s="42"/>
      <c r="W258" s="57"/>
      <c r="X258" s="58"/>
      <c r="Y258" s="75"/>
      <c r="Z258" s="59"/>
      <c r="AA258" s="61"/>
      <c r="AB258" s="61"/>
      <c r="AC258" s="61"/>
      <c r="AD258" s="62"/>
      <c r="AE258" s="62"/>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row>
    <row r="259" spans="1:77" x14ac:dyDescent="0.3">
      <c r="A259" s="39"/>
      <c r="B259" s="42"/>
      <c r="C259" s="42"/>
      <c r="D259" s="75"/>
      <c r="E259" s="75"/>
      <c r="F259" s="76"/>
      <c r="G259" s="47"/>
      <c r="H259" s="47"/>
      <c r="I259" s="75"/>
      <c r="J259" s="76"/>
      <c r="K259" s="76"/>
      <c r="L259" s="75"/>
      <c r="M259" s="49"/>
      <c r="N259" s="76"/>
      <c r="O259" s="49"/>
      <c r="P259" s="77"/>
      <c r="Q259" s="53"/>
      <c r="R259" s="54"/>
      <c r="S259" s="55"/>
      <c r="T259" s="56"/>
      <c r="U259" s="56"/>
      <c r="V259" s="42"/>
      <c r="W259" s="57"/>
      <c r="X259" s="58"/>
      <c r="Y259" s="75"/>
      <c r="Z259" s="59"/>
      <c r="AA259" s="61"/>
      <c r="AB259" s="61"/>
      <c r="AC259" s="61"/>
      <c r="AD259" s="62"/>
      <c r="AE259" s="62"/>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row>
    <row r="260" spans="1:77" x14ac:dyDescent="0.3">
      <c r="A260" s="39"/>
      <c r="B260" s="42"/>
      <c r="C260" s="42"/>
      <c r="D260" s="75"/>
      <c r="E260" s="75"/>
      <c r="F260" s="76"/>
      <c r="G260" s="47"/>
      <c r="H260" s="47"/>
      <c r="I260" s="75"/>
      <c r="J260" s="76"/>
      <c r="K260" s="76"/>
      <c r="L260" s="75"/>
      <c r="M260" s="49"/>
      <c r="N260" s="76"/>
      <c r="O260" s="49"/>
      <c r="P260" s="77"/>
      <c r="Q260" s="53"/>
      <c r="R260" s="54"/>
      <c r="S260" s="55"/>
      <c r="T260" s="56"/>
      <c r="U260" s="56"/>
      <c r="V260" s="42"/>
      <c r="W260" s="57"/>
      <c r="X260" s="58"/>
      <c r="Y260" s="75"/>
      <c r="Z260" s="59"/>
      <c r="AA260" s="61"/>
      <c r="AB260" s="61"/>
      <c r="AC260" s="61"/>
      <c r="AD260" s="62"/>
      <c r="AE260" s="62"/>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row>
    <row r="261" spans="1:77" x14ac:dyDescent="0.3">
      <c r="A261" s="39"/>
      <c r="B261" s="42"/>
      <c r="C261" s="42"/>
      <c r="D261" s="75"/>
      <c r="E261" s="75"/>
      <c r="F261" s="76"/>
      <c r="G261" s="47"/>
      <c r="H261" s="47"/>
      <c r="I261" s="75"/>
      <c r="J261" s="76"/>
      <c r="K261" s="76"/>
      <c r="L261" s="75"/>
      <c r="M261" s="49"/>
      <c r="N261" s="76"/>
      <c r="O261" s="49"/>
      <c r="P261" s="77"/>
      <c r="Q261" s="53"/>
      <c r="R261" s="54"/>
      <c r="S261" s="55"/>
      <c r="T261" s="56"/>
      <c r="U261" s="56"/>
      <c r="V261" s="42"/>
      <c r="W261" s="57"/>
      <c r="X261" s="58"/>
      <c r="Y261" s="75"/>
      <c r="Z261" s="59"/>
      <c r="AA261" s="61"/>
      <c r="AB261" s="61"/>
      <c r="AC261" s="61"/>
      <c r="AD261" s="62"/>
      <c r="AE261" s="62"/>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row>
    <row r="262" spans="1:77" x14ac:dyDescent="0.3">
      <c r="A262" s="39"/>
      <c r="B262" s="42"/>
      <c r="C262" s="42"/>
      <c r="D262" s="75"/>
      <c r="E262" s="75"/>
      <c r="F262" s="76"/>
      <c r="G262" s="47"/>
      <c r="H262" s="47"/>
      <c r="I262" s="75"/>
      <c r="J262" s="76"/>
      <c r="K262" s="76"/>
      <c r="L262" s="75"/>
      <c r="M262" s="49"/>
      <c r="N262" s="76"/>
      <c r="O262" s="49"/>
      <c r="P262" s="77"/>
      <c r="Q262" s="53"/>
      <c r="R262" s="54"/>
      <c r="S262" s="55"/>
      <c r="T262" s="56"/>
      <c r="U262" s="56"/>
      <c r="V262" s="42"/>
      <c r="W262" s="57"/>
      <c r="X262" s="58"/>
      <c r="Y262" s="75"/>
      <c r="Z262" s="59"/>
      <c r="AA262" s="61"/>
      <c r="AB262" s="61"/>
      <c r="AC262" s="61"/>
      <c r="AD262" s="62"/>
      <c r="AE262" s="62"/>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row>
    <row r="263" spans="1:77" x14ac:dyDescent="0.3">
      <c r="A263" s="39"/>
      <c r="B263" s="42"/>
      <c r="C263" s="42"/>
      <c r="D263" s="75"/>
      <c r="E263" s="75"/>
      <c r="F263" s="76"/>
      <c r="G263" s="47"/>
      <c r="H263" s="47"/>
      <c r="I263" s="75"/>
      <c r="J263" s="76"/>
      <c r="K263" s="76"/>
      <c r="L263" s="75"/>
      <c r="M263" s="49"/>
      <c r="N263" s="76"/>
      <c r="O263" s="49"/>
      <c r="P263" s="77"/>
      <c r="Q263" s="53"/>
      <c r="R263" s="54"/>
      <c r="S263" s="55"/>
      <c r="T263" s="56"/>
      <c r="U263" s="56"/>
      <c r="V263" s="42"/>
      <c r="W263" s="57"/>
      <c r="X263" s="58"/>
      <c r="Y263" s="75"/>
      <c r="Z263" s="59"/>
      <c r="AA263" s="61"/>
      <c r="AB263" s="61"/>
      <c r="AC263" s="61"/>
      <c r="AD263" s="62"/>
      <c r="AE263" s="62"/>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row>
    <row r="264" spans="1:77" x14ac:dyDescent="0.3">
      <c r="A264" s="39"/>
      <c r="B264" s="42"/>
      <c r="C264" s="42"/>
      <c r="D264" s="75"/>
      <c r="E264" s="75"/>
      <c r="F264" s="76"/>
      <c r="G264" s="47"/>
      <c r="H264" s="47"/>
      <c r="I264" s="75"/>
      <c r="J264" s="76"/>
      <c r="K264" s="76"/>
      <c r="L264" s="75"/>
      <c r="M264" s="49"/>
      <c r="N264" s="76"/>
      <c r="O264" s="49"/>
      <c r="P264" s="77"/>
      <c r="Q264" s="53"/>
      <c r="R264" s="54"/>
      <c r="S264" s="55"/>
      <c r="T264" s="56"/>
      <c r="U264" s="56"/>
      <c r="V264" s="42"/>
      <c r="W264" s="57"/>
      <c r="X264" s="58"/>
      <c r="Y264" s="75"/>
      <c r="Z264" s="59"/>
      <c r="AA264" s="61"/>
      <c r="AB264" s="61"/>
      <c r="AC264" s="61"/>
      <c r="AD264" s="62"/>
      <c r="AE264" s="62"/>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row>
    <row r="265" spans="1:77" x14ac:dyDescent="0.3">
      <c r="A265" s="39"/>
      <c r="B265" s="42"/>
      <c r="C265" s="42"/>
      <c r="D265" s="75"/>
      <c r="E265" s="75"/>
      <c r="F265" s="76"/>
      <c r="G265" s="47"/>
      <c r="H265" s="47"/>
      <c r="I265" s="75"/>
      <c r="J265" s="76"/>
      <c r="K265" s="76"/>
      <c r="L265" s="75"/>
      <c r="M265" s="49"/>
      <c r="N265" s="76"/>
      <c r="O265" s="49"/>
      <c r="P265" s="77"/>
      <c r="Q265" s="53"/>
      <c r="R265" s="54"/>
      <c r="S265" s="55"/>
      <c r="T265" s="56"/>
      <c r="U265" s="56"/>
      <c r="V265" s="42"/>
      <c r="W265" s="57"/>
      <c r="X265" s="58"/>
      <c r="Y265" s="75"/>
      <c r="Z265" s="59"/>
      <c r="AA265" s="61"/>
      <c r="AB265" s="61"/>
      <c r="AC265" s="61"/>
      <c r="AD265" s="62"/>
      <c r="AE265" s="62"/>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row>
    <row r="266" spans="1:77" x14ac:dyDescent="0.3">
      <c r="A266" s="39"/>
      <c r="B266" s="42"/>
      <c r="C266" s="42"/>
      <c r="D266" s="75"/>
      <c r="E266" s="75"/>
      <c r="F266" s="76"/>
      <c r="G266" s="47"/>
      <c r="H266" s="47"/>
      <c r="I266" s="75"/>
      <c r="J266" s="76"/>
      <c r="K266" s="76"/>
      <c r="L266" s="75"/>
      <c r="M266" s="49"/>
      <c r="N266" s="76"/>
      <c r="O266" s="49"/>
      <c r="P266" s="77"/>
      <c r="Q266" s="53"/>
      <c r="R266" s="54"/>
      <c r="S266" s="55"/>
      <c r="T266" s="56"/>
      <c r="U266" s="56"/>
      <c r="V266" s="42"/>
      <c r="W266" s="57"/>
      <c r="X266" s="58"/>
      <c r="Y266" s="75"/>
      <c r="Z266" s="59"/>
      <c r="AA266" s="61"/>
      <c r="AB266" s="61"/>
      <c r="AC266" s="61"/>
      <c r="AD266" s="62"/>
      <c r="AE266" s="62"/>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row>
    <row r="267" spans="1:77" x14ac:dyDescent="0.3">
      <c r="A267" s="39"/>
      <c r="B267" s="42"/>
      <c r="C267" s="42"/>
      <c r="D267" s="75"/>
      <c r="E267" s="75"/>
      <c r="F267" s="76"/>
      <c r="G267" s="47"/>
      <c r="H267" s="47"/>
      <c r="I267" s="75"/>
      <c r="J267" s="76"/>
      <c r="K267" s="76"/>
      <c r="L267" s="75"/>
      <c r="M267" s="49"/>
      <c r="N267" s="76"/>
      <c r="O267" s="49"/>
      <c r="P267" s="77"/>
      <c r="Q267" s="53"/>
      <c r="R267" s="54"/>
      <c r="S267" s="55"/>
      <c r="T267" s="56"/>
      <c r="U267" s="56"/>
      <c r="V267" s="42"/>
      <c r="W267" s="57"/>
      <c r="X267" s="58"/>
      <c r="Y267" s="75"/>
      <c r="Z267" s="59"/>
      <c r="AA267" s="61"/>
      <c r="AB267" s="61"/>
      <c r="AC267" s="61"/>
      <c r="AD267" s="62"/>
      <c r="AE267" s="62"/>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row>
    <row r="268" spans="1:77" x14ac:dyDescent="0.3">
      <c r="A268" s="39"/>
      <c r="B268" s="42"/>
      <c r="C268" s="42"/>
      <c r="D268" s="75"/>
      <c r="E268" s="75"/>
      <c r="F268" s="76"/>
      <c r="G268" s="47"/>
      <c r="H268" s="47"/>
      <c r="I268" s="75"/>
      <c r="J268" s="76"/>
      <c r="K268" s="76"/>
      <c r="L268" s="75"/>
      <c r="M268" s="49"/>
      <c r="N268" s="76"/>
      <c r="O268" s="49"/>
      <c r="P268" s="77"/>
      <c r="Q268" s="53"/>
      <c r="R268" s="54"/>
      <c r="S268" s="55"/>
      <c r="T268" s="56"/>
      <c r="U268" s="56"/>
      <c r="V268" s="42"/>
      <c r="W268" s="57"/>
      <c r="X268" s="58"/>
      <c r="Y268" s="75"/>
      <c r="Z268" s="59"/>
      <c r="AA268" s="61"/>
      <c r="AB268" s="61"/>
      <c r="AC268" s="61"/>
      <c r="AD268" s="62"/>
      <c r="AE268" s="62"/>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row>
    <row r="269" spans="1:77" x14ac:dyDescent="0.3">
      <c r="A269" s="39"/>
      <c r="B269" s="42"/>
      <c r="C269" s="42"/>
      <c r="D269" s="75"/>
      <c r="E269" s="75"/>
      <c r="F269" s="76"/>
      <c r="G269" s="47"/>
      <c r="H269" s="47"/>
      <c r="I269" s="75"/>
      <c r="J269" s="76"/>
      <c r="K269" s="76"/>
      <c r="L269" s="75"/>
      <c r="M269" s="49"/>
      <c r="N269" s="76"/>
      <c r="O269" s="49"/>
      <c r="P269" s="77"/>
      <c r="Q269" s="53"/>
      <c r="R269" s="54"/>
      <c r="S269" s="55"/>
      <c r="T269" s="56"/>
      <c r="U269" s="56"/>
      <c r="V269" s="42"/>
      <c r="W269" s="57"/>
      <c r="X269" s="58"/>
      <c r="Y269" s="75"/>
      <c r="Z269" s="59"/>
      <c r="AA269" s="61"/>
      <c r="AB269" s="61"/>
      <c r="AC269" s="61"/>
      <c r="AD269" s="62"/>
      <c r="AE269" s="62"/>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row>
    <row r="270" spans="1:77" x14ac:dyDescent="0.3">
      <c r="A270" s="39"/>
      <c r="B270" s="42"/>
      <c r="C270" s="42"/>
      <c r="D270" s="75"/>
      <c r="E270" s="75"/>
      <c r="F270" s="76"/>
      <c r="G270" s="47"/>
      <c r="H270" s="47"/>
      <c r="I270" s="75"/>
      <c r="J270" s="76"/>
      <c r="K270" s="76"/>
      <c r="L270" s="75"/>
      <c r="M270" s="49"/>
      <c r="N270" s="76"/>
      <c r="O270" s="49"/>
      <c r="P270" s="77"/>
      <c r="Q270" s="53"/>
      <c r="R270" s="54"/>
      <c r="S270" s="55"/>
      <c r="T270" s="56"/>
      <c r="U270" s="56"/>
      <c r="V270" s="42"/>
      <c r="W270" s="57"/>
      <c r="X270" s="58"/>
      <c r="Y270" s="75"/>
      <c r="Z270" s="59"/>
      <c r="AA270" s="61"/>
      <c r="AB270" s="61"/>
      <c r="AC270" s="61"/>
      <c r="AD270" s="62"/>
      <c r="AE270" s="62"/>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row>
    <row r="271" spans="1:77" x14ac:dyDescent="0.3">
      <c r="A271" s="39"/>
      <c r="B271" s="42"/>
      <c r="C271" s="42"/>
      <c r="D271" s="75"/>
      <c r="E271" s="75"/>
      <c r="F271" s="76"/>
      <c r="G271" s="47"/>
      <c r="H271" s="47"/>
      <c r="I271" s="75"/>
      <c r="J271" s="76"/>
      <c r="K271" s="76"/>
      <c r="L271" s="75"/>
      <c r="M271" s="49"/>
      <c r="N271" s="76"/>
      <c r="O271" s="49"/>
      <c r="P271" s="77"/>
      <c r="Q271" s="53"/>
      <c r="R271" s="54"/>
      <c r="S271" s="55"/>
      <c r="T271" s="56"/>
      <c r="U271" s="56"/>
      <c r="V271" s="42"/>
      <c r="W271" s="57"/>
      <c r="X271" s="58"/>
      <c r="Y271" s="75"/>
      <c r="Z271" s="59"/>
      <c r="AA271" s="61"/>
      <c r="AB271" s="61"/>
      <c r="AC271" s="61"/>
      <c r="AD271" s="62"/>
      <c r="AE271" s="62"/>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row>
    <row r="272" spans="1:77" x14ac:dyDescent="0.3">
      <c r="A272" s="39"/>
      <c r="B272" s="42"/>
      <c r="C272" s="42"/>
      <c r="D272" s="75"/>
      <c r="E272" s="75"/>
      <c r="F272" s="76"/>
      <c r="G272" s="47"/>
      <c r="H272" s="47"/>
      <c r="I272" s="75"/>
      <c r="J272" s="76"/>
      <c r="K272" s="76"/>
      <c r="L272" s="75"/>
      <c r="M272" s="49"/>
      <c r="N272" s="76"/>
      <c r="O272" s="49"/>
      <c r="P272" s="77"/>
      <c r="Q272" s="53"/>
      <c r="R272" s="54"/>
      <c r="S272" s="55"/>
      <c r="T272" s="56"/>
      <c r="U272" s="56"/>
      <c r="V272" s="42"/>
      <c r="W272" s="57"/>
      <c r="X272" s="58"/>
      <c r="Y272" s="75"/>
      <c r="Z272" s="59"/>
      <c r="AA272" s="61"/>
      <c r="AB272" s="61"/>
      <c r="AC272" s="61"/>
      <c r="AD272" s="62"/>
      <c r="AE272" s="62"/>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row>
    <row r="273" spans="1:77" x14ac:dyDescent="0.3">
      <c r="A273" s="39"/>
      <c r="B273" s="42"/>
      <c r="C273" s="42"/>
      <c r="D273" s="75"/>
      <c r="E273" s="75"/>
      <c r="F273" s="76"/>
      <c r="G273" s="47"/>
      <c r="H273" s="47"/>
      <c r="I273" s="75"/>
      <c r="J273" s="76"/>
      <c r="K273" s="76"/>
      <c r="L273" s="75"/>
      <c r="M273" s="49"/>
      <c r="N273" s="76"/>
      <c r="O273" s="49"/>
      <c r="P273" s="77"/>
      <c r="Q273" s="53"/>
      <c r="R273" s="54"/>
      <c r="S273" s="55"/>
      <c r="T273" s="56"/>
      <c r="U273" s="56"/>
      <c r="V273" s="42"/>
      <c r="W273" s="57"/>
      <c r="X273" s="58"/>
      <c r="Y273" s="75"/>
      <c r="Z273" s="59"/>
      <c r="AA273" s="61"/>
      <c r="AB273" s="61"/>
      <c r="AC273" s="61"/>
      <c r="AD273" s="62"/>
      <c r="AE273" s="62"/>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row>
    <row r="274" spans="1:77" x14ac:dyDescent="0.3">
      <c r="A274" s="39"/>
      <c r="B274" s="42"/>
      <c r="C274" s="42"/>
      <c r="D274" s="75"/>
      <c r="E274" s="75"/>
      <c r="F274" s="76"/>
      <c r="G274" s="47"/>
      <c r="H274" s="47"/>
      <c r="I274" s="75"/>
      <c r="J274" s="76"/>
      <c r="K274" s="76"/>
      <c r="L274" s="75"/>
      <c r="M274" s="49"/>
      <c r="N274" s="76"/>
      <c r="O274" s="49"/>
      <c r="P274" s="77"/>
      <c r="Q274" s="53"/>
      <c r="R274" s="54"/>
      <c r="S274" s="55"/>
      <c r="T274" s="56"/>
      <c r="U274" s="56"/>
      <c r="V274" s="42"/>
      <c r="W274" s="57"/>
      <c r="X274" s="58"/>
      <c r="Y274" s="75"/>
      <c r="Z274" s="59"/>
      <c r="AA274" s="61"/>
      <c r="AB274" s="61"/>
      <c r="AC274" s="61"/>
      <c r="AD274" s="62"/>
      <c r="AE274" s="62"/>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row>
    <row r="275" spans="1:77" x14ac:dyDescent="0.3">
      <c r="A275" s="39"/>
      <c r="B275" s="42"/>
      <c r="C275" s="42"/>
      <c r="D275" s="75"/>
      <c r="E275" s="75"/>
      <c r="F275" s="76"/>
      <c r="G275" s="47"/>
      <c r="H275" s="47"/>
      <c r="I275" s="75"/>
      <c r="J275" s="76"/>
      <c r="K275" s="76"/>
      <c r="L275" s="75"/>
      <c r="M275" s="49"/>
      <c r="N275" s="76"/>
      <c r="O275" s="49"/>
      <c r="P275" s="77"/>
      <c r="Q275" s="53"/>
      <c r="R275" s="54"/>
      <c r="S275" s="55"/>
      <c r="T275" s="56"/>
      <c r="U275" s="56"/>
      <c r="V275" s="42"/>
      <c r="W275" s="57"/>
      <c r="X275" s="58"/>
      <c r="Y275" s="75"/>
      <c r="Z275" s="59"/>
      <c r="AA275" s="61"/>
      <c r="AB275" s="61"/>
      <c r="AC275" s="61"/>
      <c r="AD275" s="62"/>
      <c r="AE275" s="62"/>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row>
    <row r="276" spans="1:77" x14ac:dyDescent="0.3">
      <c r="A276" s="39"/>
      <c r="B276" s="42"/>
      <c r="C276" s="42"/>
      <c r="D276" s="75"/>
      <c r="E276" s="75"/>
      <c r="F276" s="76"/>
      <c r="G276" s="47"/>
      <c r="H276" s="47"/>
      <c r="I276" s="75"/>
      <c r="J276" s="76"/>
      <c r="K276" s="76"/>
      <c r="L276" s="75"/>
      <c r="M276" s="49"/>
      <c r="N276" s="76"/>
      <c r="O276" s="49"/>
      <c r="P276" s="77"/>
      <c r="Q276" s="53"/>
      <c r="R276" s="54"/>
      <c r="S276" s="55"/>
      <c r="T276" s="56"/>
      <c r="U276" s="56"/>
      <c r="V276" s="42"/>
      <c r="W276" s="57"/>
      <c r="X276" s="58"/>
      <c r="Y276" s="75"/>
      <c r="Z276" s="59"/>
      <c r="AA276" s="61"/>
      <c r="AB276" s="61"/>
      <c r="AC276" s="61"/>
      <c r="AD276" s="62"/>
      <c r="AE276" s="62"/>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row>
    <row r="277" spans="1:77" x14ac:dyDescent="0.3">
      <c r="A277" s="39"/>
      <c r="B277" s="42"/>
      <c r="C277" s="42"/>
      <c r="D277" s="75"/>
      <c r="E277" s="75"/>
      <c r="F277" s="76"/>
      <c r="G277" s="47"/>
      <c r="H277" s="47"/>
      <c r="I277" s="75"/>
      <c r="J277" s="76"/>
      <c r="K277" s="76"/>
      <c r="L277" s="75"/>
      <c r="M277" s="49"/>
      <c r="N277" s="76"/>
      <c r="O277" s="49"/>
      <c r="P277" s="77"/>
      <c r="Q277" s="53"/>
      <c r="R277" s="54"/>
      <c r="S277" s="55"/>
      <c r="T277" s="56"/>
      <c r="U277" s="56"/>
      <c r="V277" s="42"/>
      <c r="W277" s="57"/>
      <c r="X277" s="58"/>
      <c r="Y277" s="75"/>
      <c r="Z277" s="59"/>
      <c r="AA277" s="61"/>
      <c r="AB277" s="61"/>
      <c r="AC277" s="61"/>
      <c r="AD277" s="62"/>
      <c r="AE277" s="62"/>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row>
    <row r="278" spans="1:77" x14ac:dyDescent="0.3">
      <c r="A278" s="39"/>
      <c r="B278" s="42"/>
      <c r="C278" s="42"/>
      <c r="D278" s="75"/>
      <c r="E278" s="75"/>
      <c r="F278" s="76"/>
      <c r="G278" s="47"/>
      <c r="H278" s="47"/>
      <c r="I278" s="75"/>
      <c r="J278" s="76"/>
      <c r="K278" s="76"/>
      <c r="L278" s="75"/>
      <c r="M278" s="49"/>
      <c r="N278" s="76"/>
      <c r="O278" s="49"/>
      <c r="P278" s="77"/>
      <c r="Q278" s="53"/>
      <c r="R278" s="54"/>
      <c r="S278" s="55"/>
      <c r="T278" s="56"/>
      <c r="U278" s="56"/>
      <c r="V278" s="42"/>
      <c r="W278" s="57"/>
      <c r="X278" s="58"/>
      <c r="Y278" s="75"/>
      <c r="Z278" s="59"/>
      <c r="AA278" s="61"/>
      <c r="AB278" s="61"/>
      <c r="AC278" s="61"/>
      <c r="AD278" s="62"/>
      <c r="AE278" s="62"/>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row>
    <row r="279" spans="1:77" x14ac:dyDescent="0.3">
      <c r="A279" s="39"/>
      <c r="B279" s="42"/>
      <c r="C279" s="42"/>
      <c r="D279" s="75"/>
      <c r="E279" s="75"/>
      <c r="F279" s="76"/>
      <c r="G279" s="47"/>
      <c r="H279" s="47"/>
      <c r="I279" s="75"/>
      <c r="J279" s="76"/>
      <c r="K279" s="76"/>
      <c r="L279" s="75"/>
      <c r="M279" s="49"/>
      <c r="N279" s="76"/>
      <c r="O279" s="49"/>
      <c r="P279" s="77"/>
      <c r="Q279" s="53"/>
      <c r="R279" s="54"/>
      <c r="S279" s="55"/>
      <c r="T279" s="56"/>
      <c r="U279" s="56"/>
      <c r="V279" s="42"/>
      <c r="W279" s="57"/>
      <c r="X279" s="58"/>
      <c r="Y279" s="75"/>
      <c r="Z279" s="59"/>
      <c r="AA279" s="61"/>
      <c r="AB279" s="61"/>
      <c r="AC279" s="61"/>
      <c r="AD279" s="62"/>
      <c r="AE279" s="62"/>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row>
    <row r="280" spans="1:77" x14ac:dyDescent="0.3">
      <c r="A280" s="39"/>
      <c r="B280" s="42"/>
      <c r="C280" s="42"/>
      <c r="D280" s="75"/>
      <c r="E280" s="75"/>
      <c r="F280" s="76"/>
      <c r="G280" s="47"/>
      <c r="H280" s="47"/>
      <c r="I280" s="75"/>
      <c r="J280" s="76"/>
      <c r="K280" s="76"/>
      <c r="L280" s="75"/>
      <c r="M280" s="49"/>
      <c r="N280" s="76"/>
      <c r="O280" s="49"/>
      <c r="P280" s="77"/>
      <c r="Q280" s="53"/>
      <c r="R280" s="54"/>
      <c r="S280" s="55"/>
      <c r="T280" s="56"/>
      <c r="U280" s="56"/>
      <c r="V280" s="42"/>
      <c r="W280" s="57"/>
      <c r="X280" s="58"/>
      <c r="Y280" s="75"/>
      <c r="Z280" s="59"/>
      <c r="AA280" s="61"/>
      <c r="AB280" s="61"/>
      <c r="AC280" s="61"/>
      <c r="AD280" s="62"/>
      <c r="AE280" s="62"/>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row>
    <row r="281" spans="1:77" x14ac:dyDescent="0.3">
      <c r="A281" s="39"/>
      <c r="B281" s="42"/>
      <c r="C281" s="42"/>
      <c r="D281" s="75"/>
      <c r="E281" s="75"/>
      <c r="F281" s="76"/>
      <c r="G281" s="47"/>
      <c r="H281" s="47"/>
      <c r="I281" s="75"/>
      <c r="J281" s="76"/>
      <c r="K281" s="76"/>
      <c r="L281" s="75"/>
      <c r="M281" s="49"/>
      <c r="N281" s="76"/>
      <c r="O281" s="49"/>
      <c r="P281" s="77"/>
      <c r="Q281" s="53"/>
      <c r="R281" s="54"/>
      <c r="S281" s="55"/>
      <c r="T281" s="56"/>
      <c r="U281" s="56"/>
      <c r="V281" s="42"/>
      <c r="W281" s="57"/>
      <c r="X281" s="58"/>
      <c r="Y281" s="75"/>
      <c r="Z281" s="59"/>
      <c r="AA281" s="61"/>
      <c r="AB281" s="61"/>
      <c r="AC281" s="61"/>
      <c r="AD281" s="62"/>
      <c r="AE281" s="62"/>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row>
    <row r="282" spans="1:77" x14ac:dyDescent="0.3">
      <c r="A282" s="39"/>
      <c r="B282" s="42"/>
      <c r="C282" s="42"/>
      <c r="D282" s="75"/>
      <c r="E282" s="75"/>
      <c r="F282" s="76"/>
      <c r="G282" s="47"/>
      <c r="H282" s="47"/>
      <c r="I282" s="75"/>
      <c r="J282" s="76"/>
      <c r="K282" s="76"/>
      <c r="L282" s="75"/>
      <c r="M282" s="49"/>
      <c r="N282" s="76"/>
      <c r="O282" s="49"/>
      <c r="P282" s="77"/>
      <c r="Q282" s="53"/>
      <c r="R282" s="54"/>
      <c r="S282" s="55"/>
      <c r="T282" s="56"/>
      <c r="U282" s="56"/>
      <c r="V282" s="42"/>
      <c r="W282" s="57"/>
      <c r="X282" s="58"/>
      <c r="Y282" s="75"/>
      <c r="Z282" s="59"/>
      <c r="AA282" s="61"/>
      <c r="AB282" s="61"/>
      <c r="AC282" s="61"/>
      <c r="AD282" s="62"/>
      <c r="AE282" s="62"/>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row>
    <row r="283" spans="1:77" x14ac:dyDescent="0.3">
      <c r="A283" s="39"/>
      <c r="B283" s="42"/>
      <c r="C283" s="42"/>
      <c r="D283" s="75"/>
      <c r="E283" s="75"/>
      <c r="F283" s="76"/>
      <c r="G283" s="47"/>
      <c r="H283" s="47"/>
      <c r="I283" s="75"/>
      <c r="J283" s="76"/>
      <c r="K283" s="76"/>
      <c r="L283" s="75"/>
      <c r="M283" s="49"/>
      <c r="N283" s="76"/>
      <c r="O283" s="49"/>
      <c r="P283" s="77"/>
      <c r="Q283" s="53"/>
      <c r="R283" s="54"/>
      <c r="S283" s="55"/>
      <c r="T283" s="56"/>
      <c r="U283" s="56"/>
      <c r="V283" s="42"/>
      <c r="W283" s="57"/>
      <c r="X283" s="58"/>
      <c r="Y283" s="75"/>
      <c r="Z283" s="59"/>
      <c r="AA283" s="61"/>
      <c r="AB283" s="61"/>
      <c r="AC283" s="61"/>
      <c r="AD283" s="62"/>
      <c r="AE283" s="62"/>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row>
    <row r="284" spans="1:77" x14ac:dyDescent="0.3">
      <c r="A284" s="39"/>
      <c r="B284" s="42"/>
      <c r="C284" s="42"/>
      <c r="D284" s="75"/>
      <c r="E284" s="75"/>
      <c r="F284" s="76"/>
      <c r="G284" s="47"/>
      <c r="H284" s="47"/>
      <c r="I284" s="75"/>
      <c r="J284" s="76"/>
      <c r="K284" s="76"/>
      <c r="L284" s="75"/>
      <c r="M284" s="49"/>
      <c r="N284" s="76"/>
      <c r="O284" s="49"/>
      <c r="P284" s="77"/>
      <c r="Q284" s="53"/>
      <c r="R284" s="54"/>
      <c r="S284" s="55"/>
      <c r="T284" s="56"/>
      <c r="U284" s="56"/>
      <c r="V284" s="42"/>
      <c r="W284" s="57"/>
      <c r="X284" s="58"/>
      <c r="Y284" s="75"/>
      <c r="Z284" s="59"/>
      <c r="AA284" s="61"/>
      <c r="AB284" s="61"/>
      <c r="AC284" s="61"/>
      <c r="AD284" s="62"/>
      <c r="AE284" s="62"/>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row>
    <row r="285" spans="1:77" x14ac:dyDescent="0.3">
      <c r="A285" s="39"/>
      <c r="B285" s="42"/>
      <c r="C285" s="42"/>
      <c r="D285" s="75"/>
      <c r="E285" s="75"/>
      <c r="F285" s="76"/>
      <c r="G285" s="47"/>
      <c r="H285" s="47"/>
      <c r="I285" s="75"/>
      <c r="J285" s="76"/>
      <c r="K285" s="76"/>
      <c r="L285" s="75"/>
      <c r="M285" s="49"/>
      <c r="N285" s="76"/>
      <c r="O285" s="49"/>
      <c r="P285" s="77"/>
      <c r="Q285" s="53"/>
      <c r="R285" s="54"/>
      <c r="S285" s="55"/>
      <c r="T285" s="56"/>
      <c r="U285" s="56"/>
      <c r="V285" s="42"/>
      <c r="W285" s="57"/>
      <c r="X285" s="58"/>
      <c r="Y285" s="75"/>
      <c r="Z285" s="59"/>
      <c r="AA285" s="61"/>
      <c r="AB285" s="61"/>
      <c r="AC285" s="61"/>
      <c r="AD285" s="62"/>
      <c r="AE285" s="62"/>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row>
    <row r="286" spans="1:77" x14ac:dyDescent="0.3">
      <c r="A286" s="39"/>
      <c r="B286" s="42"/>
      <c r="C286" s="42"/>
      <c r="D286" s="75"/>
      <c r="E286" s="75"/>
      <c r="F286" s="76"/>
      <c r="G286" s="47"/>
      <c r="H286" s="47"/>
      <c r="I286" s="75"/>
      <c r="J286" s="76"/>
      <c r="K286" s="76"/>
      <c r="L286" s="75"/>
      <c r="M286" s="49"/>
      <c r="N286" s="76"/>
      <c r="O286" s="49"/>
      <c r="P286" s="77"/>
      <c r="Q286" s="53"/>
      <c r="R286" s="54"/>
      <c r="S286" s="55"/>
      <c r="T286" s="56"/>
      <c r="U286" s="56"/>
      <c r="V286" s="42"/>
      <c r="W286" s="57"/>
      <c r="X286" s="58"/>
      <c r="Y286" s="75"/>
      <c r="Z286" s="59"/>
      <c r="AA286" s="61"/>
      <c r="AB286" s="61"/>
      <c r="AC286" s="61"/>
      <c r="AD286" s="62"/>
      <c r="AE286" s="62"/>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row>
    <row r="287" spans="1:77" x14ac:dyDescent="0.3">
      <c r="A287" s="39"/>
      <c r="B287" s="42"/>
      <c r="C287" s="42"/>
      <c r="D287" s="75"/>
      <c r="E287" s="75"/>
      <c r="F287" s="76"/>
      <c r="G287" s="47"/>
      <c r="H287" s="47"/>
      <c r="I287" s="75"/>
      <c r="J287" s="76"/>
      <c r="K287" s="76"/>
      <c r="L287" s="75"/>
      <c r="M287" s="49"/>
      <c r="N287" s="76"/>
      <c r="O287" s="49"/>
      <c r="P287" s="77"/>
      <c r="Q287" s="53"/>
      <c r="R287" s="54"/>
      <c r="S287" s="55"/>
      <c r="T287" s="56"/>
      <c r="U287" s="56"/>
      <c r="V287" s="42"/>
      <c r="W287" s="57"/>
      <c r="X287" s="58"/>
      <c r="Y287" s="75"/>
      <c r="Z287" s="59"/>
      <c r="AA287" s="61"/>
      <c r="AB287" s="61"/>
      <c r="AC287" s="61"/>
      <c r="AD287" s="62"/>
      <c r="AE287" s="62"/>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row>
    <row r="288" spans="1:77" x14ac:dyDescent="0.3">
      <c r="A288" s="39"/>
      <c r="B288" s="42"/>
      <c r="C288" s="42"/>
      <c r="D288" s="75"/>
      <c r="E288" s="75"/>
      <c r="F288" s="76"/>
      <c r="G288" s="47"/>
      <c r="H288" s="47"/>
      <c r="I288" s="75"/>
      <c r="J288" s="76"/>
      <c r="K288" s="76"/>
      <c r="L288" s="75"/>
      <c r="M288" s="49"/>
      <c r="N288" s="76"/>
      <c r="O288" s="49"/>
      <c r="P288" s="77"/>
      <c r="Q288" s="53"/>
      <c r="R288" s="54"/>
      <c r="S288" s="55"/>
      <c r="T288" s="56"/>
      <c r="U288" s="56"/>
      <c r="V288" s="42"/>
      <c r="W288" s="57"/>
      <c r="X288" s="58"/>
      <c r="Y288" s="75"/>
      <c r="Z288" s="59"/>
      <c r="AA288" s="61"/>
      <c r="AB288" s="61"/>
      <c r="AC288" s="61"/>
      <c r="AD288" s="62"/>
      <c r="AE288" s="62"/>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row>
    <row r="289" spans="1:77" x14ac:dyDescent="0.3">
      <c r="A289" s="39"/>
      <c r="B289" s="42"/>
      <c r="C289" s="42"/>
      <c r="D289" s="75"/>
      <c r="E289" s="75"/>
      <c r="F289" s="76"/>
      <c r="G289" s="47"/>
      <c r="H289" s="47"/>
      <c r="I289" s="75"/>
      <c r="J289" s="76"/>
      <c r="K289" s="76"/>
      <c r="L289" s="75"/>
      <c r="M289" s="49"/>
      <c r="N289" s="76"/>
      <c r="O289" s="49"/>
      <c r="P289" s="77"/>
      <c r="Q289" s="53"/>
      <c r="R289" s="54"/>
      <c r="S289" s="55"/>
      <c r="T289" s="56"/>
      <c r="U289" s="56"/>
      <c r="V289" s="42"/>
      <c r="W289" s="57"/>
      <c r="X289" s="58"/>
      <c r="Y289" s="75"/>
      <c r="Z289" s="59"/>
      <c r="AA289" s="61"/>
      <c r="AB289" s="61"/>
      <c r="AC289" s="61"/>
      <c r="AD289" s="62"/>
      <c r="AE289" s="62"/>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row>
    <row r="290" spans="1:77" x14ac:dyDescent="0.3">
      <c r="A290" s="39"/>
      <c r="B290" s="42"/>
      <c r="C290" s="42"/>
      <c r="D290" s="75"/>
      <c r="E290" s="75"/>
      <c r="F290" s="76"/>
      <c r="G290" s="47"/>
      <c r="H290" s="47"/>
      <c r="I290" s="75"/>
      <c r="J290" s="76"/>
      <c r="K290" s="76"/>
      <c r="L290" s="75"/>
      <c r="M290" s="49"/>
      <c r="N290" s="76"/>
      <c r="O290" s="49"/>
      <c r="P290" s="77"/>
      <c r="Q290" s="53"/>
      <c r="R290" s="54"/>
      <c r="S290" s="55"/>
      <c r="T290" s="56"/>
      <c r="U290" s="56"/>
      <c r="V290" s="42"/>
      <c r="W290" s="57"/>
      <c r="X290" s="58"/>
      <c r="Y290" s="75"/>
      <c r="Z290" s="59"/>
      <c r="AA290" s="61"/>
      <c r="AB290" s="61"/>
      <c r="AC290" s="61"/>
      <c r="AD290" s="62"/>
      <c r="AE290" s="62"/>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row>
    <row r="291" spans="1:77" x14ac:dyDescent="0.3">
      <c r="A291" s="39"/>
      <c r="B291" s="42"/>
      <c r="C291" s="42"/>
      <c r="D291" s="75"/>
      <c r="E291" s="75"/>
      <c r="F291" s="76"/>
      <c r="G291" s="47"/>
      <c r="H291" s="47"/>
      <c r="I291" s="75"/>
      <c r="J291" s="76"/>
      <c r="K291" s="76"/>
      <c r="L291" s="75"/>
      <c r="M291" s="49"/>
      <c r="N291" s="76"/>
      <c r="O291" s="49"/>
      <c r="P291" s="77"/>
      <c r="Q291" s="53"/>
      <c r="R291" s="54"/>
      <c r="S291" s="55"/>
      <c r="T291" s="56"/>
      <c r="U291" s="56"/>
      <c r="V291" s="42"/>
      <c r="W291" s="57"/>
      <c r="X291" s="58"/>
      <c r="Y291" s="75"/>
      <c r="Z291" s="59"/>
      <c r="AA291" s="61"/>
      <c r="AB291" s="61"/>
      <c r="AC291" s="61"/>
      <c r="AD291" s="62"/>
      <c r="AE291" s="62"/>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row>
    <row r="292" spans="1:77" x14ac:dyDescent="0.3">
      <c r="A292" s="39"/>
      <c r="B292" s="42"/>
      <c r="C292" s="42"/>
      <c r="D292" s="75"/>
      <c r="E292" s="75"/>
      <c r="F292" s="76"/>
      <c r="G292" s="47"/>
      <c r="H292" s="47"/>
      <c r="I292" s="75"/>
      <c r="J292" s="76"/>
      <c r="K292" s="76"/>
      <c r="L292" s="75"/>
      <c r="M292" s="49"/>
      <c r="N292" s="76"/>
      <c r="O292" s="49"/>
      <c r="P292" s="77"/>
      <c r="Q292" s="53"/>
      <c r="R292" s="54"/>
      <c r="S292" s="55"/>
      <c r="T292" s="56"/>
      <c r="U292" s="56"/>
      <c r="V292" s="42"/>
      <c r="W292" s="57"/>
      <c r="X292" s="58"/>
      <c r="Y292" s="75"/>
      <c r="Z292" s="59"/>
      <c r="AA292" s="61"/>
      <c r="AB292" s="61"/>
      <c r="AC292" s="61"/>
      <c r="AD292" s="62"/>
      <c r="AE292" s="62"/>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row>
    <row r="293" spans="1:77" x14ac:dyDescent="0.3">
      <c r="A293" s="39"/>
      <c r="B293" s="42"/>
      <c r="C293" s="42"/>
      <c r="D293" s="75"/>
      <c r="E293" s="75"/>
      <c r="F293" s="76"/>
      <c r="G293" s="47"/>
      <c r="H293" s="47"/>
      <c r="I293" s="75"/>
      <c r="J293" s="76"/>
      <c r="K293" s="76"/>
      <c r="L293" s="75"/>
      <c r="M293" s="49"/>
      <c r="N293" s="76"/>
      <c r="O293" s="49"/>
      <c r="P293" s="77"/>
      <c r="Q293" s="53"/>
      <c r="R293" s="54"/>
      <c r="S293" s="55"/>
      <c r="T293" s="56"/>
      <c r="U293" s="56"/>
      <c r="V293" s="42"/>
      <c r="W293" s="57"/>
      <c r="X293" s="58"/>
      <c r="Y293" s="75"/>
      <c r="Z293" s="59"/>
      <c r="AA293" s="61"/>
      <c r="AB293" s="61"/>
      <c r="AC293" s="61"/>
      <c r="AD293" s="62"/>
      <c r="AE293" s="62"/>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row>
    <row r="294" spans="1:77" x14ac:dyDescent="0.3">
      <c r="A294" s="39"/>
      <c r="B294" s="42"/>
      <c r="C294" s="42"/>
      <c r="D294" s="75"/>
      <c r="E294" s="75"/>
      <c r="F294" s="76"/>
      <c r="G294" s="47"/>
      <c r="H294" s="47"/>
      <c r="I294" s="75"/>
      <c r="J294" s="76"/>
      <c r="K294" s="76"/>
      <c r="L294" s="75"/>
      <c r="M294" s="49"/>
      <c r="N294" s="76"/>
      <c r="O294" s="49"/>
      <c r="P294" s="77"/>
      <c r="Q294" s="53"/>
      <c r="R294" s="54"/>
      <c r="S294" s="55"/>
      <c r="T294" s="56"/>
      <c r="U294" s="56"/>
      <c r="V294" s="42"/>
      <c r="W294" s="57"/>
      <c r="X294" s="58"/>
      <c r="Y294" s="75"/>
      <c r="Z294" s="59"/>
      <c r="AA294" s="61"/>
      <c r="AB294" s="61"/>
      <c r="AC294" s="61"/>
      <c r="AD294" s="62"/>
      <c r="AE294" s="62"/>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row>
    <row r="295" spans="1:77" x14ac:dyDescent="0.3">
      <c r="A295" s="39"/>
      <c r="B295" s="42"/>
      <c r="C295" s="42"/>
      <c r="D295" s="75"/>
      <c r="E295" s="75"/>
      <c r="F295" s="76"/>
      <c r="G295" s="47"/>
      <c r="H295" s="47"/>
      <c r="I295" s="75"/>
      <c r="J295" s="76"/>
      <c r="K295" s="76"/>
      <c r="L295" s="75"/>
      <c r="M295" s="49"/>
      <c r="N295" s="76"/>
      <c r="O295" s="49"/>
      <c r="P295" s="77"/>
      <c r="Q295" s="53"/>
      <c r="R295" s="54"/>
      <c r="S295" s="55"/>
      <c r="T295" s="56"/>
      <c r="U295" s="56"/>
      <c r="V295" s="42"/>
      <c r="W295" s="57"/>
      <c r="X295" s="58"/>
      <c r="Y295" s="75"/>
      <c r="Z295" s="59"/>
      <c r="AA295" s="61"/>
      <c r="AB295" s="61"/>
      <c r="AC295" s="61"/>
      <c r="AD295" s="62"/>
      <c r="AE295" s="62"/>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row>
    <row r="296" spans="1:77" x14ac:dyDescent="0.3">
      <c r="A296" s="39"/>
      <c r="B296" s="42"/>
      <c r="C296" s="42"/>
      <c r="D296" s="75"/>
      <c r="E296" s="75"/>
      <c r="F296" s="76"/>
      <c r="G296" s="47"/>
      <c r="H296" s="47"/>
      <c r="I296" s="75"/>
      <c r="J296" s="76"/>
      <c r="K296" s="76"/>
      <c r="L296" s="75"/>
      <c r="M296" s="49"/>
      <c r="N296" s="76"/>
      <c r="O296" s="49"/>
      <c r="P296" s="77"/>
      <c r="Q296" s="53"/>
      <c r="R296" s="54"/>
      <c r="S296" s="55"/>
      <c r="T296" s="56"/>
      <c r="U296" s="56"/>
      <c r="V296" s="42"/>
      <c r="W296" s="57"/>
      <c r="X296" s="58"/>
      <c r="Y296" s="75"/>
      <c r="Z296" s="59"/>
      <c r="AA296" s="61"/>
      <c r="AB296" s="61"/>
      <c r="AC296" s="61"/>
      <c r="AD296" s="62"/>
      <c r="AE296" s="62"/>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row>
    <row r="297" spans="1:77" x14ac:dyDescent="0.3">
      <c r="A297" s="39"/>
      <c r="B297" s="42"/>
      <c r="C297" s="42"/>
      <c r="D297" s="75"/>
      <c r="E297" s="75"/>
      <c r="F297" s="76"/>
      <c r="G297" s="47"/>
      <c r="H297" s="47"/>
      <c r="I297" s="75"/>
      <c r="J297" s="76"/>
      <c r="K297" s="76"/>
      <c r="L297" s="75"/>
      <c r="M297" s="49"/>
      <c r="N297" s="76"/>
      <c r="O297" s="49"/>
      <c r="P297" s="77"/>
      <c r="Q297" s="53"/>
      <c r="R297" s="54"/>
      <c r="S297" s="55"/>
      <c r="T297" s="56"/>
      <c r="U297" s="56"/>
      <c r="V297" s="42"/>
      <c r="W297" s="57"/>
      <c r="X297" s="58"/>
      <c r="Y297" s="75"/>
      <c r="Z297" s="59"/>
      <c r="AA297" s="61"/>
      <c r="AB297" s="61"/>
      <c r="AC297" s="61"/>
      <c r="AD297" s="62"/>
      <c r="AE297" s="62"/>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row>
    <row r="298" spans="1:77" x14ac:dyDescent="0.3">
      <c r="A298" s="39"/>
      <c r="B298" s="42"/>
      <c r="C298" s="42"/>
      <c r="D298" s="75"/>
      <c r="E298" s="75"/>
      <c r="F298" s="76"/>
      <c r="G298" s="47"/>
      <c r="H298" s="47"/>
      <c r="I298" s="75"/>
      <c r="J298" s="76"/>
      <c r="K298" s="76"/>
      <c r="L298" s="75"/>
      <c r="M298" s="49"/>
      <c r="N298" s="76"/>
      <c r="O298" s="49"/>
      <c r="P298" s="77"/>
      <c r="Q298" s="53"/>
      <c r="R298" s="54"/>
      <c r="S298" s="55"/>
      <c r="T298" s="56"/>
      <c r="U298" s="56"/>
      <c r="V298" s="42"/>
      <c r="W298" s="57"/>
      <c r="X298" s="58"/>
      <c r="Y298" s="75"/>
      <c r="Z298" s="59"/>
      <c r="AA298" s="61"/>
      <c r="AB298" s="61"/>
      <c r="AC298" s="61"/>
      <c r="AD298" s="62"/>
      <c r="AE298" s="62"/>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row>
    <row r="299" spans="1:77" x14ac:dyDescent="0.3">
      <c r="A299" s="39"/>
      <c r="B299" s="42"/>
      <c r="C299" s="42"/>
      <c r="D299" s="75"/>
      <c r="E299" s="75"/>
      <c r="F299" s="76"/>
      <c r="G299" s="47"/>
      <c r="H299" s="47"/>
      <c r="I299" s="75"/>
      <c r="J299" s="76"/>
      <c r="K299" s="76"/>
      <c r="L299" s="75"/>
      <c r="M299" s="49"/>
      <c r="N299" s="76"/>
      <c r="O299" s="49"/>
      <c r="P299" s="77"/>
      <c r="Q299" s="53"/>
      <c r="R299" s="54"/>
      <c r="S299" s="55"/>
      <c r="T299" s="56"/>
      <c r="U299" s="56"/>
      <c r="V299" s="42"/>
      <c r="W299" s="57"/>
      <c r="X299" s="58"/>
      <c r="Y299" s="75"/>
      <c r="Z299" s="59"/>
      <c r="AA299" s="61"/>
      <c r="AB299" s="61"/>
      <c r="AC299" s="61"/>
      <c r="AD299" s="62"/>
      <c r="AE299" s="62"/>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row>
    <row r="300" spans="1:77" x14ac:dyDescent="0.3">
      <c r="A300" s="39"/>
      <c r="B300" s="42"/>
      <c r="C300" s="42"/>
      <c r="D300" s="75"/>
      <c r="E300" s="75"/>
      <c r="F300" s="76"/>
      <c r="G300" s="47"/>
      <c r="H300" s="47"/>
      <c r="I300" s="75"/>
      <c r="J300" s="76"/>
      <c r="K300" s="76"/>
      <c r="L300" s="75"/>
      <c r="M300" s="49"/>
      <c r="N300" s="76"/>
      <c r="O300" s="49"/>
      <c r="P300" s="77"/>
      <c r="Q300" s="53"/>
      <c r="R300" s="54"/>
      <c r="S300" s="55"/>
      <c r="T300" s="56"/>
      <c r="U300" s="56"/>
      <c r="V300" s="42"/>
      <c r="W300" s="57"/>
      <c r="X300" s="58"/>
      <c r="Y300" s="75"/>
      <c r="Z300" s="59"/>
      <c r="AA300" s="61"/>
      <c r="AB300" s="61"/>
      <c r="AC300" s="61"/>
      <c r="AD300" s="62"/>
      <c r="AE300" s="62"/>
      <c r="AF300" s="34"/>
      <c r="AG300" s="34"/>
      <c r="AH300" s="34"/>
      <c r="AI300" s="34"/>
      <c r="AJ300" s="34"/>
      <c r="AK300" s="34"/>
      <c r="AL300" s="34"/>
      <c r="AM300" s="34"/>
      <c r="AN300" s="34"/>
      <c r="AO300" s="34"/>
      <c r="AP300" s="34"/>
      <c r="AQ300" s="34"/>
      <c r="AR300" s="34"/>
      <c r="AS300" s="34"/>
      <c r="AT300" s="34"/>
      <c r="AU300" s="34"/>
      <c r="AV300" s="34"/>
      <c r="AW300" s="34"/>
      <c r="AX300" s="34"/>
      <c r="AY300" s="34"/>
      <c r="AZ300" s="34"/>
      <c r="BA300" s="34"/>
      <c r="BB300" s="34"/>
      <c r="BD300" s="34"/>
      <c r="BE300" s="34"/>
      <c r="BF300" s="34"/>
      <c r="BG300" s="34"/>
      <c r="BH300" s="34"/>
      <c r="BI300" s="34"/>
      <c r="BJ300" s="34"/>
      <c r="BK300" s="34"/>
      <c r="BL300" s="34"/>
      <c r="BM300" s="34"/>
      <c r="BN300" s="34"/>
      <c r="BO300" s="34"/>
      <c r="BP300" s="34"/>
      <c r="BQ300" s="34"/>
      <c r="BR300" s="34"/>
      <c r="BS300" s="34"/>
      <c r="BT300" s="34"/>
      <c r="BU300" s="34"/>
      <c r="BV300" s="34"/>
      <c r="BW300" s="34"/>
      <c r="BX300" s="34"/>
      <c r="BY300" s="34"/>
    </row>
    <row r="301" spans="1:77" x14ac:dyDescent="0.3">
      <c r="A301" s="39"/>
      <c r="B301" s="42"/>
      <c r="C301" s="42"/>
      <c r="D301" s="75"/>
      <c r="E301" s="75"/>
      <c r="F301" s="76"/>
      <c r="G301" s="47"/>
      <c r="H301" s="47"/>
      <c r="I301" s="75"/>
      <c r="J301" s="76"/>
      <c r="K301" s="76"/>
      <c r="L301" s="75"/>
      <c r="M301" s="49"/>
      <c r="N301" s="76"/>
      <c r="O301" s="49"/>
      <c r="P301" s="77"/>
      <c r="Q301" s="53"/>
      <c r="R301" s="54"/>
      <c r="S301" s="55"/>
      <c r="T301" s="56"/>
      <c r="U301" s="56"/>
      <c r="V301" s="42"/>
      <c r="W301" s="57"/>
      <c r="X301" s="58"/>
      <c r="Y301" s="75"/>
      <c r="Z301" s="59"/>
      <c r="AA301" s="61"/>
      <c r="AB301" s="61"/>
      <c r="AC301" s="61"/>
      <c r="AD301" s="62"/>
      <c r="AE301" s="62"/>
      <c r="AF301" s="34"/>
      <c r="AG301" s="34"/>
      <c r="AH301" s="34"/>
      <c r="AI301" s="34"/>
      <c r="AJ301" s="34"/>
      <c r="AK301" s="34"/>
      <c r="AL301" s="34"/>
      <c r="AM301" s="34"/>
      <c r="AN301" s="34"/>
      <c r="AO301" s="34"/>
      <c r="AP301" s="34"/>
      <c r="AQ301" s="34"/>
      <c r="AR301" s="34"/>
      <c r="AS301" s="34"/>
      <c r="AT301" s="34"/>
      <c r="AU301" s="34"/>
      <c r="AV301" s="34"/>
      <c r="AW301" s="34"/>
      <c r="AX301" s="34"/>
      <c r="AY301" s="34"/>
      <c r="AZ301" s="34"/>
      <c r="BA301" s="34"/>
      <c r="BB301" s="34"/>
      <c r="BD301" s="34"/>
      <c r="BE301" s="34"/>
      <c r="BF301" s="34"/>
      <c r="BG301" s="34"/>
      <c r="BH301" s="34"/>
      <c r="BI301" s="34"/>
      <c r="BJ301" s="34"/>
      <c r="BK301" s="34"/>
      <c r="BL301" s="34"/>
      <c r="BM301" s="34"/>
      <c r="BN301" s="34"/>
      <c r="BO301" s="34"/>
      <c r="BP301" s="34"/>
      <c r="BQ301" s="34"/>
      <c r="BR301" s="34"/>
      <c r="BS301" s="34"/>
      <c r="BT301" s="34"/>
      <c r="BU301" s="34"/>
      <c r="BV301" s="34"/>
      <c r="BW301" s="34"/>
      <c r="BX301" s="34"/>
      <c r="BY301" s="34"/>
    </row>
    <row r="302" spans="1:77" x14ac:dyDescent="0.3">
      <c r="A302" s="39"/>
      <c r="B302" s="42"/>
      <c r="C302" s="42"/>
      <c r="D302" s="75"/>
      <c r="E302" s="75"/>
      <c r="F302" s="76"/>
      <c r="G302" s="47"/>
      <c r="H302" s="47"/>
      <c r="I302" s="75"/>
      <c r="J302" s="76"/>
      <c r="K302" s="76"/>
      <c r="L302" s="75"/>
      <c r="M302" s="49"/>
      <c r="N302" s="76"/>
      <c r="O302" s="49"/>
      <c r="P302" s="77"/>
      <c r="Q302" s="53"/>
      <c r="R302" s="54"/>
      <c r="S302" s="55"/>
      <c r="T302" s="56"/>
      <c r="U302" s="56"/>
      <c r="V302" s="42"/>
      <c r="W302" s="57"/>
      <c r="X302" s="58"/>
      <c r="Y302" s="75"/>
      <c r="Z302" s="59"/>
      <c r="AA302" s="61"/>
      <c r="AB302" s="61"/>
      <c r="AC302" s="61"/>
      <c r="AD302" s="62"/>
      <c r="AE302" s="62"/>
      <c r="AF302" s="34"/>
      <c r="AG302" s="34"/>
      <c r="AH302" s="34"/>
      <c r="AI302" s="34"/>
      <c r="AJ302" s="34"/>
      <c r="AK302" s="34"/>
      <c r="AL302" s="34"/>
      <c r="AM302" s="34"/>
      <c r="AN302" s="34"/>
      <c r="AO302" s="34"/>
      <c r="AP302" s="34"/>
      <c r="AQ302" s="34"/>
      <c r="AR302" s="34"/>
      <c r="AS302" s="34"/>
      <c r="AT302" s="34"/>
      <c r="AU302" s="34"/>
      <c r="AV302" s="34"/>
      <c r="AW302" s="34"/>
      <c r="AX302" s="34"/>
      <c r="AY302" s="34"/>
      <c r="AZ302" s="34"/>
      <c r="BA302" s="34"/>
      <c r="BB302" s="34"/>
      <c r="BD302" s="34"/>
      <c r="BE302" s="34"/>
      <c r="BF302" s="34"/>
      <c r="BG302" s="34"/>
      <c r="BH302" s="34"/>
      <c r="BI302" s="34"/>
      <c r="BJ302" s="34"/>
      <c r="BK302" s="34"/>
      <c r="BL302" s="34"/>
      <c r="BM302" s="34"/>
      <c r="BN302" s="34"/>
      <c r="BO302" s="34"/>
      <c r="BP302" s="34"/>
      <c r="BQ302" s="34"/>
      <c r="BR302" s="34"/>
      <c r="BS302" s="34"/>
      <c r="BT302" s="34"/>
      <c r="BU302" s="34"/>
      <c r="BV302" s="34"/>
      <c r="BW302" s="34"/>
      <c r="BX302" s="34"/>
      <c r="BY302" s="34"/>
    </row>
    <row r="303" spans="1:77" x14ac:dyDescent="0.3">
      <c r="A303" s="39"/>
      <c r="B303" s="42"/>
      <c r="C303" s="42"/>
      <c r="D303" s="75"/>
      <c r="E303" s="75"/>
      <c r="F303" s="76"/>
      <c r="G303" s="47"/>
      <c r="H303" s="47"/>
      <c r="I303" s="75"/>
      <c r="J303" s="76"/>
      <c r="K303" s="76"/>
      <c r="L303" s="75"/>
      <c r="M303" s="49"/>
      <c r="N303" s="76"/>
      <c r="O303" s="49"/>
      <c r="P303" s="77"/>
      <c r="Q303" s="53"/>
      <c r="R303" s="54"/>
      <c r="S303" s="55"/>
      <c r="T303" s="56"/>
      <c r="U303" s="56"/>
      <c r="V303" s="42"/>
      <c r="W303" s="57"/>
      <c r="X303" s="58"/>
      <c r="Y303" s="75"/>
      <c r="Z303" s="59"/>
      <c r="AA303" s="61"/>
      <c r="AB303" s="61"/>
      <c r="AC303" s="61"/>
      <c r="AD303" s="62"/>
      <c r="AE303" s="62"/>
      <c r="AF303" s="34"/>
      <c r="AG303" s="34"/>
      <c r="AH303" s="34"/>
      <c r="AI303" s="34"/>
      <c r="AJ303" s="34"/>
      <c r="AK303" s="34"/>
      <c r="AL303" s="34"/>
      <c r="AM303" s="34"/>
      <c r="AN303" s="34"/>
      <c r="AO303" s="34"/>
      <c r="AP303" s="34"/>
      <c r="AQ303" s="34"/>
      <c r="AR303" s="34"/>
      <c r="AS303" s="34"/>
      <c r="AT303" s="34"/>
      <c r="AU303" s="34"/>
      <c r="AV303" s="34"/>
      <c r="AW303" s="34"/>
      <c r="AX303" s="34"/>
      <c r="AY303" s="34"/>
      <c r="AZ303" s="34"/>
      <c r="BA303" s="34"/>
      <c r="BB303" s="34"/>
      <c r="BD303" s="34"/>
      <c r="BE303" s="34"/>
      <c r="BF303" s="34"/>
      <c r="BG303" s="34"/>
      <c r="BH303" s="34"/>
      <c r="BI303" s="34"/>
      <c r="BJ303" s="34"/>
      <c r="BK303" s="34"/>
      <c r="BL303" s="34"/>
      <c r="BM303" s="34"/>
      <c r="BN303" s="34"/>
      <c r="BO303" s="34"/>
      <c r="BP303" s="34"/>
      <c r="BQ303" s="34"/>
      <c r="BR303" s="34"/>
      <c r="BS303" s="34"/>
      <c r="BT303" s="34"/>
      <c r="BU303" s="34"/>
      <c r="BV303" s="34"/>
      <c r="BW303" s="34"/>
      <c r="BX303" s="34"/>
      <c r="BY303" s="34"/>
    </row>
    <row r="304" spans="1:77" x14ac:dyDescent="0.3">
      <c r="A304" s="39"/>
      <c r="B304" s="42"/>
      <c r="C304" s="42"/>
      <c r="D304" s="75"/>
      <c r="E304" s="75"/>
      <c r="F304" s="76"/>
      <c r="G304" s="47"/>
      <c r="H304" s="47"/>
      <c r="I304" s="75"/>
      <c r="J304" s="76"/>
      <c r="K304" s="76"/>
      <c r="L304" s="75"/>
      <c r="M304" s="49"/>
      <c r="N304" s="76"/>
      <c r="O304" s="49"/>
      <c r="P304" s="77"/>
      <c r="Q304" s="53"/>
      <c r="R304" s="54"/>
      <c r="S304" s="55"/>
      <c r="T304" s="56"/>
      <c r="U304" s="56"/>
      <c r="V304" s="42"/>
      <c r="W304" s="57"/>
      <c r="X304" s="58"/>
      <c r="Y304" s="75"/>
      <c r="Z304" s="59"/>
      <c r="AA304" s="61"/>
      <c r="AB304" s="61"/>
      <c r="AC304" s="61"/>
      <c r="AD304" s="62"/>
      <c r="AE304" s="62"/>
      <c r="AF304" s="34"/>
      <c r="AG304" s="34"/>
      <c r="AH304" s="34"/>
      <c r="AI304" s="34"/>
      <c r="AJ304" s="34"/>
      <c r="AK304" s="34"/>
      <c r="AL304" s="34"/>
      <c r="AM304" s="34"/>
      <c r="AN304" s="34"/>
      <c r="AO304" s="34"/>
      <c r="AP304" s="34"/>
      <c r="AQ304" s="34"/>
      <c r="AR304" s="34"/>
      <c r="AS304" s="34"/>
      <c r="AT304" s="34"/>
      <c r="AU304" s="34"/>
      <c r="AV304" s="34"/>
      <c r="AW304" s="34"/>
      <c r="AX304" s="34"/>
      <c r="AY304" s="34"/>
      <c r="AZ304" s="34"/>
      <c r="BA304" s="34"/>
      <c r="BB304" s="34"/>
      <c r="BD304" s="34"/>
      <c r="BE304" s="34"/>
      <c r="BF304" s="34"/>
      <c r="BG304" s="34"/>
      <c r="BH304" s="34"/>
      <c r="BI304" s="34"/>
      <c r="BJ304" s="34"/>
      <c r="BK304" s="34"/>
      <c r="BL304" s="34"/>
      <c r="BM304" s="34"/>
      <c r="BN304" s="34"/>
      <c r="BO304" s="34"/>
      <c r="BP304" s="34"/>
      <c r="BQ304" s="34"/>
      <c r="BR304" s="34"/>
      <c r="BS304" s="34"/>
      <c r="BT304" s="34"/>
      <c r="BU304" s="34"/>
      <c r="BV304" s="34"/>
      <c r="BW304" s="34"/>
      <c r="BX304" s="34"/>
      <c r="BY304" s="34"/>
    </row>
    <row r="305" spans="1:77" x14ac:dyDescent="0.3">
      <c r="A305" s="39"/>
      <c r="B305" s="42"/>
      <c r="C305" s="42"/>
      <c r="D305" s="75"/>
      <c r="E305" s="75"/>
      <c r="F305" s="76"/>
      <c r="G305" s="47"/>
      <c r="H305" s="47"/>
      <c r="I305" s="75"/>
      <c r="J305" s="76"/>
      <c r="K305" s="76"/>
      <c r="L305" s="75"/>
      <c r="M305" s="49"/>
      <c r="N305" s="76"/>
      <c r="O305" s="49"/>
      <c r="P305" s="77"/>
      <c r="Q305" s="53"/>
      <c r="R305" s="54"/>
      <c r="S305" s="55"/>
      <c r="T305" s="56"/>
      <c r="U305" s="56"/>
      <c r="V305" s="42"/>
      <c r="W305" s="57"/>
      <c r="X305" s="58"/>
      <c r="Y305" s="75"/>
      <c r="Z305" s="59"/>
      <c r="AA305" s="61"/>
      <c r="AB305" s="61"/>
      <c r="AC305" s="61"/>
      <c r="AD305" s="62"/>
      <c r="AE305" s="62"/>
      <c r="AF305" s="34"/>
      <c r="AG305" s="34"/>
      <c r="AH305" s="34"/>
      <c r="AI305" s="34"/>
      <c r="AJ305" s="34"/>
      <c r="AK305" s="34"/>
      <c r="AL305" s="34"/>
      <c r="AM305" s="34"/>
      <c r="AN305" s="34"/>
      <c r="AO305" s="34"/>
      <c r="AP305" s="34"/>
      <c r="AQ305" s="34"/>
      <c r="AR305" s="34"/>
      <c r="AS305" s="34"/>
      <c r="AT305" s="34"/>
      <c r="AU305" s="34"/>
      <c r="AV305" s="34"/>
      <c r="AW305" s="34"/>
      <c r="AX305" s="34"/>
      <c r="AY305" s="34"/>
      <c r="AZ305" s="34"/>
      <c r="BA305" s="34"/>
      <c r="BB305" s="34"/>
      <c r="BD305" s="34"/>
      <c r="BE305" s="34"/>
      <c r="BF305" s="34"/>
      <c r="BG305" s="34"/>
      <c r="BH305" s="34"/>
      <c r="BI305" s="34"/>
      <c r="BJ305" s="34"/>
      <c r="BK305" s="34"/>
      <c r="BL305" s="34"/>
      <c r="BM305" s="34"/>
      <c r="BN305" s="34"/>
      <c r="BO305" s="34"/>
      <c r="BP305" s="34"/>
      <c r="BQ305" s="34"/>
      <c r="BR305" s="34"/>
      <c r="BS305" s="34"/>
      <c r="BT305" s="34"/>
      <c r="BU305" s="34"/>
      <c r="BV305" s="34"/>
      <c r="BW305" s="34"/>
      <c r="BX305" s="34"/>
      <c r="BY305" s="34"/>
    </row>
    <row r="306" spans="1:77" x14ac:dyDescent="0.3">
      <c r="A306" s="39"/>
      <c r="B306" s="42"/>
      <c r="C306" s="42"/>
      <c r="D306" s="75"/>
      <c r="E306" s="75"/>
      <c r="F306" s="76"/>
      <c r="G306" s="47"/>
      <c r="H306" s="47"/>
      <c r="I306" s="75"/>
      <c r="J306" s="76"/>
      <c r="K306" s="76"/>
      <c r="L306" s="75"/>
      <c r="M306" s="49"/>
      <c r="N306" s="76"/>
      <c r="O306" s="49"/>
      <c r="P306" s="77"/>
      <c r="Q306" s="53"/>
      <c r="R306" s="54"/>
      <c r="S306" s="55"/>
      <c r="T306" s="56"/>
      <c r="U306" s="56"/>
      <c r="V306" s="42"/>
      <c r="W306" s="57"/>
      <c r="X306" s="58"/>
      <c r="Y306" s="75"/>
      <c r="Z306" s="59"/>
      <c r="AA306" s="61"/>
      <c r="AB306" s="61"/>
      <c r="AC306" s="61"/>
      <c r="AD306" s="62"/>
      <c r="AE306" s="62"/>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D306" s="34"/>
      <c r="BE306" s="34"/>
      <c r="BF306" s="34"/>
      <c r="BG306" s="34"/>
      <c r="BH306" s="34"/>
      <c r="BI306" s="34"/>
      <c r="BJ306" s="34"/>
      <c r="BK306" s="34"/>
      <c r="BL306" s="34"/>
      <c r="BM306" s="34"/>
      <c r="BN306" s="34"/>
      <c r="BO306" s="34"/>
      <c r="BP306" s="34"/>
      <c r="BQ306" s="34"/>
      <c r="BR306" s="34"/>
      <c r="BS306" s="34"/>
      <c r="BT306" s="34"/>
      <c r="BU306" s="34"/>
      <c r="BV306" s="34"/>
      <c r="BW306" s="34"/>
      <c r="BX306" s="34"/>
      <c r="BY306" s="34"/>
    </row>
    <row r="307" spans="1:77" x14ac:dyDescent="0.3">
      <c r="A307" s="39"/>
      <c r="B307" s="42"/>
      <c r="C307" s="42"/>
      <c r="D307" s="75"/>
      <c r="E307" s="75"/>
      <c r="F307" s="76"/>
      <c r="G307" s="47"/>
      <c r="H307" s="47"/>
      <c r="I307" s="75"/>
      <c r="J307" s="76"/>
      <c r="K307" s="76"/>
      <c r="L307" s="75"/>
      <c r="M307" s="49"/>
      <c r="N307" s="76"/>
      <c r="O307" s="49"/>
      <c r="P307" s="77"/>
      <c r="Q307" s="53"/>
      <c r="R307" s="54"/>
      <c r="S307" s="55"/>
      <c r="T307" s="56"/>
      <c r="U307" s="56"/>
      <c r="V307" s="42"/>
      <c r="W307" s="57"/>
      <c r="X307" s="58"/>
      <c r="Y307" s="75"/>
      <c r="Z307" s="59"/>
      <c r="AA307" s="61"/>
      <c r="AB307" s="61"/>
      <c r="AC307" s="61"/>
      <c r="AD307" s="62"/>
      <c r="AE307" s="62"/>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D307" s="34"/>
      <c r="BE307" s="34"/>
      <c r="BF307" s="34"/>
      <c r="BG307" s="34"/>
      <c r="BH307" s="34"/>
      <c r="BI307" s="34"/>
      <c r="BJ307" s="34"/>
      <c r="BK307" s="34"/>
      <c r="BL307" s="34"/>
      <c r="BM307" s="34"/>
      <c r="BN307" s="34"/>
      <c r="BO307" s="34"/>
      <c r="BP307" s="34"/>
      <c r="BQ307" s="34"/>
      <c r="BR307" s="34"/>
      <c r="BS307" s="34"/>
      <c r="BT307" s="34"/>
      <c r="BU307" s="34"/>
      <c r="BV307" s="34"/>
      <c r="BW307" s="34"/>
      <c r="BX307" s="34"/>
      <c r="BY307" s="34"/>
    </row>
    <row r="308" spans="1:77" x14ac:dyDescent="0.3">
      <c r="A308" s="39"/>
      <c r="B308" s="42"/>
      <c r="C308" s="42"/>
      <c r="D308" s="75"/>
      <c r="E308" s="75"/>
      <c r="F308" s="76"/>
      <c r="G308" s="47"/>
      <c r="H308" s="47"/>
      <c r="I308" s="75"/>
      <c r="J308" s="76"/>
      <c r="K308" s="76"/>
      <c r="L308" s="75"/>
      <c r="M308" s="49"/>
      <c r="N308" s="76"/>
      <c r="O308" s="49"/>
      <c r="P308" s="77"/>
      <c r="Q308" s="53"/>
      <c r="R308" s="54"/>
      <c r="S308" s="55"/>
      <c r="T308" s="56"/>
      <c r="U308" s="56"/>
      <c r="V308" s="42"/>
      <c r="W308" s="57"/>
      <c r="X308" s="58"/>
      <c r="Y308" s="75"/>
      <c r="Z308" s="59"/>
      <c r="AA308" s="61"/>
      <c r="AB308" s="61"/>
      <c r="AC308" s="61"/>
      <c r="AD308" s="62"/>
      <c r="AE308" s="62"/>
      <c r="AF308" s="34"/>
      <c r="AG308" s="34"/>
      <c r="AH308" s="34"/>
      <c r="AI308" s="34"/>
      <c r="AJ308" s="34"/>
      <c r="AK308" s="34"/>
      <c r="AL308" s="34"/>
      <c r="AM308" s="34"/>
      <c r="AN308" s="34"/>
      <c r="AO308" s="34"/>
      <c r="AP308" s="34"/>
      <c r="AQ308" s="34"/>
      <c r="AR308" s="34"/>
      <c r="AS308" s="34"/>
      <c r="AT308" s="34"/>
      <c r="AU308" s="34"/>
      <c r="AV308" s="34"/>
      <c r="AW308" s="34"/>
      <c r="AX308" s="34"/>
      <c r="AY308" s="34"/>
      <c r="AZ308" s="34"/>
      <c r="BA308" s="34"/>
      <c r="BB308" s="34"/>
      <c r="BD308" s="34"/>
      <c r="BE308" s="34"/>
      <c r="BF308" s="34"/>
      <c r="BG308" s="34"/>
      <c r="BH308" s="34"/>
      <c r="BI308" s="34"/>
      <c r="BJ308" s="34"/>
      <c r="BK308" s="34"/>
      <c r="BL308" s="34"/>
      <c r="BM308" s="34"/>
      <c r="BN308" s="34"/>
      <c r="BO308" s="34"/>
      <c r="BP308" s="34"/>
      <c r="BQ308" s="34"/>
      <c r="BR308" s="34"/>
      <c r="BS308" s="34"/>
      <c r="BT308" s="34"/>
      <c r="BU308" s="34"/>
      <c r="BV308" s="34"/>
      <c r="BW308" s="34"/>
      <c r="BX308" s="34"/>
      <c r="BY308" s="34"/>
    </row>
    <row r="309" spans="1:77" x14ac:dyDescent="0.3">
      <c r="A309" s="39"/>
      <c r="B309" s="42"/>
      <c r="C309" s="42"/>
      <c r="D309" s="75"/>
      <c r="E309" s="75"/>
      <c r="F309" s="76"/>
      <c r="G309" s="47"/>
      <c r="H309" s="47"/>
      <c r="I309" s="75"/>
      <c r="J309" s="76"/>
      <c r="K309" s="76"/>
      <c r="L309" s="75"/>
      <c r="M309" s="49"/>
      <c r="N309" s="76"/>
      <c r="O309" s="49"/>
      <c r="P309" s="77"/>
      <c r="Q309" s="53"/>
      <c r="R309" s="54"/>
      <c r="S309" s="55"/>
      <c r="T309" s="56"/>
      <c r="U309" s="56"/>
      <c r="V309" s="42"/>
      <c r="W309" s="57"/>
      <c r="X309" s="58"/>
      <c r="Y309" s="75"/>
      <c r="Z309" s="59"/>
      <c r="AA309" s="61"/>
      <c r="AB309" s="61"/>
      <c r="AC309" s="61"/>
      <c r="AD309" s="62"/>
      <c r="AE309" s="62"/>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D309" s="34"/>
      <c r="BE309" s="34"/>
      <c r="BF309" s="34"/>
      <c r="BG309" s="34"/>
      <c r="BH309" s="34"/>
      <c r="BI309" s="34"/>
      <c r="BJ309" s="34"/>
      <c r="BK309" s="34"/>
      <c r="BL309" s="34"/>
      <c r="BM309" s="34"/>
      <c r="BN309" s="34"/>
      <c r="BO309" s="34"/>
      <c r="BP309" s="34"/>
      <c r="BQ309" s="34"/>
      <c r="BR309" s="34"/>
      <c r="BS309" s="34"/>
      <c r="BT309" s="34"/>
      <c r="BU309" s="34"/>
      <c r="BV309" s="34"/>
      <c r="BW309" s="34"/>
      <c r="BX309" s="34"/>
      <c r="BY309" s="34"/>
    </row>
    <row r="310" spans="1:77" x14ac:dyDescent="0.3">
      <c r="A310" s="39"/>
      <c r="B310" s="42"/>
      <c r="C310" s="42"/>
      <c r="D310" s="75"/>
      <c r="E310" s="75"/>
      <c r="F310" s="76"/>
      <c r="G310" s="47"/>
      <c r="H310" s="47"/>
      <c r="I310" s="75"/>
      <c r="J310" s="76"/>
      <c r="K310" s="76"/>
      <c r="L310" s="75"/>
      <c r="M310" s="49"/>
      <c r="N310" s="76"/>
      <c r="O310" s="49"/>
      <c r="P310" s="77"/>
      <c r="Q310" s="53"/>
      <c r="R310" s="54"/>
      <c r="S310" s="55"/>
      <c r="T310" s="56"/>
      <c r="U310" s="56"/>
      <c r="V310" s="42"/>
      <c r="W310" s="57"/>
      <c r="X310" s="58"/>
      <c r="Y310" s="75"/>
      <c r="Z310" s="59"/>
      <c r="AA310" s="61"/>
      <c r="AB310" s="61"/>
      <c r="AC310" s="61"/>
      <c r="AD310" s="62"/>
      <c r="AE310" s="62"/>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D310" s="34"/>
      <c r="BE310" s="34"/>
      <c r="BF310" s="34"/>
      <c r="BG310" s="34"/>
      <c r="BH310" s="34"/>
      <c r="BI310" s="34"/>
      <c r="BJ310" s="34"/>
      <c r="BK310" s="34"/>
      <c r="BL310" s="34"/>
      <c r="BM310" s="34"/>
      <c r="BN310" s="34"/>
      <c r="BO310" s="34"/>
      <c r="BP310" s="34"/>
      <c r="BQ310" s="34"/>
      <c r="BR310" s="34"/>
      <c r="BS310" s="34"/>
      <c r="BT310" s="34"/>
      <c r="BU310" s="34"/>
      <c r="BV310" s="34"/>
      <c r="BW310" s="34"/>
      <c r="BX310" s="34"/>
      <c r="BY310" s="34"/>
    </row>
    <row r="311" spans="1:77" x14ac:dyDescent="0.3">
      <c r="A311" s="39"/>
      <c r="B311" s="42"/>
      <c r="C311" s="42"/>
      <c r="D311" s="75"/>
      <c r="E311" s="75"/>
      <c r="F311" s="76"/>
      <c r="G311" s="47"/>
      <c r="H311" s="47"/>
      <c r="I311" s="75"/>
      <c r="J311" s="76"/>
      <c r="K311" s="76"/>
      <c r="L311" s="75"/>
      <c r="M311" s="49"/>
      <c r="N311" s="76"/>
      <c r="O311" s="49"/>
      <c r="P311" s="77"/>
      <c r="Q311" s="53"/>
      <c r="R311" s="54"/>
      <c r="S311" s="55"/>
      <c r="T311" s="56"/>
      <c r="U311" s="56"/>
      <c r="V311" s="42"/>
      <c r="W311" s="57"/>
      <c r="X311" s="58"/>
      <c r="Y311" s="75"/>
      <c r="Z311" s="59"/>
      <c r="AA311" s="61"/>
      <c r="AB311" s="61"/>
      <c r="AC311" s="61"/>
      <c r="AD311" s="62"/>
      <c r="AE311" s="62"/>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D311" s="34"/>
      <c r="BE311" s="34"/>
      <c r="BF311" s="34"/>
      <c r="BG311" s="34"/>
      <c r="BH311" s="34"/>
      <c r="BI311" s="34"/>
      <c r="BJ311" s="34"/>
      <c r="BK311" s="34"/>
      <c r="BL311" s="34"/>
      <c r="BM311" s="34"/>
      <c r="BN311" s="34"/>
      <c r="BO311" s="34"/>
      <c r="BP311" s="34"/>
      <c r="BQ311" s="34"/>
      <c r="BR311" s="34"/>
      <c r="BS311" s="34"/>
      <c r="BT311" s="34"/>
      <c r="BU311" s="34"/>
      <c r="BV311" s="34"/>
      <c r="BW311" s="34"/>
      <c r="BX311" s="34"/>
      <c r="BY311" s="34"/>
    </row>
    <row r="312" spans="1:77" x14ac:dyDescent="0.3">
      <c r="A312" s="39"/>
      <c r="B312" s="42"/>
      <c r="C312" s="42"/>
      <c r="D312" s="75"/>
      <c r="E312" s="75"/>
      <c r="F312" s="76"/>
      <c r="G312" s="47"/>
      <c r="H312" s="47"/>
      <c r="I312" s="75"/>
      <c r="J312" s="76"/>
      <c r="K312" s="76"/>
      <c r="L312" s="75"/>
      <c r="M312" s="49"/>
      <c r="N312" s="76"/>
      <c r="O312" s="49"/>
      <c r="P312" s="77"/>
      <c r="Q312" s="53"/>
      <c r="R312" s="54"/>
      <c r="S312" s="55"/>
      <c r="T312" s="56"/>
      <c r="U312" s="56"/>
      <c r="V312" s="42"/>
      <c r="W312" s="57"/>
      <c r="X312" s="58"/>
      <c r="Y312" s="75"/>
      <c r="Z312" s="59"/>
      <c r="AA312" s="61"/>
      <c r="AB312" s="61"/>
      <c r="AC312" s="61"/>
      <c r="AD312" s="62"/>
      <c r="AE312" s="62"/>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D312" s="34"/>
      <c r="BE312" s="34"/>
      <c r="BF312" s="34"/>
      <c r="BG312" s="34"/>
      <c r="BH312" s="34"/>
      <c r="BI312" s="34"/>
      <c r="BJ312" s="34"/>
      <c r="BK312" s="34"/>
      <c r="BL312" s="34"/>
      <c r="BM312" s="34"/>
      <c r="BN312" s="34"/>
      <c r="BO312" s="34"/>
      <c r="BP312" s="34"/>
      <c r="BQ312" s="34"/>
      <c r="BR312" s="34"/>
      <c r="BS312" s="34"/>
      <c r="BT312" s="34"/>
      <c r="BU312" s="34"/>
      <c r="BV312" s="34"/>
      <c r="BW312" s="34"/>
      <c r="BX312" s="34"/>
      <c r="BY312" s="34"/>
    </row>
    <row r="313" spans="1:77" x14ac:dyDescent="0.3">
      <c r="A313" s="39"/>
      <c r="B313" s="42"/>
      <c r="C313" s="42"/>
      <c r="D313" s="75"/>
      <c r="E313" s="75"/>
      <c r="F313" s="76"/>
      <c r="G313" s="47"/>
      <c r="H313" s="47"/>
      <c r="I313" s="75"/>
      <c r="J313" s="76"/>
      <c r="K313" s="76"/>
      <c r="L313" s="75"/>
      <c r="M313" s="49"/>
      <c r="N313" s="76"/>
      <c r="O313" s="49"/>
      <c r="P313" s="77"/>
      <c r="Q313" s="53"/>
      <c r="R313" s="54"/>
      <c r="S313" s="55"/>
      <c r="T313" s="56"/>
      <c r="U313" s="56"/>
      <c r="V313" s="42"/>
      <c r="W313" s="57"/>
      <c r="X313" s="58"/>
      <c r="Y313" s="75"/>
      <c r="Z313" s="59"/>
      <c r="AA313" s="61"/>
      <c r="AB313" s="61"/>
      <c r="AC313" s="61"/>
      <c r="AD313" s="62"/>
      <c r="AE313" s="62"/>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D313" s="34"/>
      <c r="BE313" s="34"/>
      <c r="BF313" s="34"/>
      <c r="BG313" s="34"/>
      <c r="BH313" s="34"/>
      <c r="BI313" s="34"/>
      <c r="BJ313" s="34"/>
      <c r="BK313" s="34"/>
      <c r="BL313" s="34"/>
      <c r="BM313" s="34"/>
      <c r="BN313" s="34"/>
      <c r="BO313" s="34"/>
      <c r="BP313" s="34"/>
      <c r="BQ313" s="34"/>
      <c r="BR313" s="34"/>
      <c r="BS313" s="34"/>
      <c r="BT313" s="34"/>
      <c r="BU313" s="34"/>
      <c r="BV313" s="34"/>
      <c r="BW313" s="34"/>
      <c r="BX313" s="34"/>
      <c r="BY313" s="34"/>
    </row>
    <row r="314" spans="1:77" x14ac:dyDescent="0.3">
      <c r="A314" s="39"/>
      <c r="B314" s="42"/>
      <c r="C314" s="42"/>
      <c r="D314" s="75"/>
      <c r="E314" s="75"/>
      <c r="F314" s="76"/>
      <c r="G314" s="47"/>
      <c r="H314" s="47"/>
      <c r="I314" s="75"/>
      <c r="J314" s="76"/>
      <c r="K314" s="76"/>
      <c r="L314" s="75"/>
      <c r="M314" s="49"/>
      <c r="N314" s="76"/>
      <c r="O314" s="49"/>
      <c r="P314" s="77"/>
      <c r="Q314" s="53"/>
      <c r="R314" s="54"/>
      <c r="S314" s="55"/>
      <c r="T314" s="56"/>
      <c r="U314" s="56"/>
      <c r="V314" s="42"/>
      <c r="W314" s="57"/>
      <c r="X314" s="58"/>
      <c r="Y314" s="75"/>
      <c r="Z314" s="59"/>
      <c r="AA314" s="61"/>
      <c r="AB314" s="61"/>
      <c r="AC314" s="61"/>
      <c r="AD314" s="62"/>
      <c r="AE314" s="62"/>
      <c r="AF314" s="34"/>
      <c r="AG314" s="34"/>
      <c r="AH314" s="34"/>
      <c r="AI314" s="34"/>
      <c r="AJ314" s="34"/>
      <c r="AK314" s="34"/>
      <c r="AL314" s="34"/>
      <c r="AM314" s="34"/>
      <c r="AN314" s="34"/>
      <c r="AO314" s="34"/>
      <c r="AP314" s="34"/>
      <c r="AQ314" s="34"/>
      <c r="AR314" s="34"/>
      <c r="AS314" s="34"/>
      <c r="AT314" s="34"/>
      <c r="AU314" s="34"/>
      <c r="AV314" s="34"/>
      <c r="AW314" s="34"/>
      <c r="AX314" s="34"/>
      <c r="AY314" s="34"/>
      <c r="AZ314" s="34"/>
      <c r="BA314" s="34"/>
      <c r="BB314" s="34"/>
      <c r="BD314" s="34"/>
      <c r="BE314" s="34"/>
      <c r="BF314" s="34"/>
      <c r="BG314" s="34"/>
      <c r="BH314" s="34"/>
      <c r="BI314" s="34"/>
      <c r="BJ314" s="34"/>
      <c r="BK314" s="34"/>
      <c r="BL314" s="34"/>
      <c r="BM314" s="34"/>
      <c r="BN314" s="34"/>
      <c r="BO314" s="34"/>
      <c r="BP314" s="34"/>
      <c r="BQ314" s="34"/>
      <c r="BR314" s="34"/>
      <c r="BS314" s="34"/>
      <c r="BT314" s="34"/>
      <c r="BU314" s="34"/>
      <c r="BV314" s="34"/>
      <c r="BW314" s="34"/>
      <c r="BX314" s="34"/>
      <c r="BY314" s="34"/>
    </row>
    <row r="315" spans="1:77" x14ac:dyDescent="0.3">
      <c r="A315" s="39"/>
      <c r="B315" s="42"/>
      <c r="C315" s="42"/>
      <c r="D315" s="75"/>
      <c r="E315" s="75"/>
      <c r="F315" s="76"/>
      <c r="G315" s="47"/>
      <c r="H315" s="47"/>
      <c r="I315" s="75"/>
      <c r="J315" s="76"/>
      <c r="K315" s="76"/>
      <c r="L315" s="75"/>
      <c r="M315" s="49"/>
      <c r="N315" s="76"/>
      <c r="O315" s="49"/>
      <c r="P315" s="77"/>
      <c r="Q315" s="53"/>
      <c r="R315" s="54"/>
      <c r="S315" s="55"/>
      <c r="T315" s="56"/>
      <c r="U315" s="56"/>
      <c r="V315" s="42"/>
      <c r="W315" s="57"/>
      <c r="X315" s="58"/>
      <c r="Y315" s="75"/>
      <c r="Z315" s="59"/>
      <c r="AA315" s="61"/>
      <c r="AB315" s="61"/>
      <c r="AC315" s="61"/>
      <c r="AD315" s="62"/>
      <c r="AE315" s="62"/>
      <c r="AF315" s="34"/>
      <c r="AG315" s="34"/>
      <c r="AH315" s="34"/>
      <c r="AI315" s="34"/>
      <c r="AJ315" s="34"/>
      <c r="AK315" s="34"/>
      <c r="AL315" s="34"/>
      <c r="AM315" s="34"/>
      <c r="AN315" s="34"/>
      <c r="AO315" s="34"/>
      <c r="AP315" s="34"/>
      <c r="AQ315" s="34"/>
      <c r="AR315" s="34"/>
      <c r="AS315" s="34"/>
      <c r="AT315" s="34"/>
      <c r="AU315" s="34"/>
      <c r="AV315" s="34"/>
      <c r="AW315" s="34"/>
      <c r="AX315" s="34"/>
      <c r="AY315" s="34"/>
      <c r="AZ315" s="34"/>
      <c r="BA315" s="34"/>
      <c r="BB315" s="34"/>
      <c r="BD315" s="34"/>
      <c r="BE315" s="34"/>
      <c r="BF315" s="34"/>
      <c r="BG315" s="34"/>
      <c r="BH315" s="34"/>
      <c r="BI315" s="34"/>
      <c r="BJ315" s="34"/>
      <c r="BK315" s="34"/>
      <c r="BL315" s="34"/>
      <c r="BM315" s="34"/>
      <c r="BN315" s="34"/>
      <c r="BO315" s="34"/>
      <c r="BP315" s="34"/>
      <c r="BQ315" s="34"/>
      <c r="BR315" s="34"/>
      <c r="BS315" s="34"/>
      <c r="BT315" s="34"/>
      <c r="BU315" s="34"/>
      <c r="BV315" s="34"/>
      <c r="BW315" s="34"/>
      <c r="BX315" s="34"/>
      <c r="BY315" s="34"/>
    </row>
    <row r="316" spans="1:77" x14ac:dyDescent="0.3">
      <c r="A316" s="39"/>
      <c r="B316" s="42"/>
      <c r="C316" s="42"/>
      <c r="D316" s="75"/>
      <c r="E316" s="75"/>
      <c r="F316" s="76"/>
      <c r="G316" s="47"/>
      <c r="H316" s="47"/>
      <c r="I316" s="75"/>
      <c r="J316" s="76"/>
      <c r="K316" s="76"/>
      <c r="L316" s="75"/>
      <c r="M316" s="49"/>
      <c r="N316" s="76"/>
      <c r="O316" s="49"/>
      <c r="P316" s="77"/>
      <c r="Q316" s="53"/>
      <c r="R316" s="54"/>
      <c r="S316" s="55"/>
      <c r="T316" s="56"/>
      <c r="U316" s="56"/>
      <c r="V316" s="42"/>
      <c r="W316" s="57"/>
      <c r="X316" s="58"/>
      <c r="Y316" s="75"/>
      <c r="Z316" s="59"/>
      <c r="AA316" s="61"/>
      <c r="AB316" s="61"/>
      <c r="AC316" s="61"/>
      <c r="AD316" s="62"/>
      <c r="AE316" s="62"/>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D316" s="34"/>
      <c r="BE316" s="34"/>
      <c r="BF316" s="34"/>
      <c r="BG316" s="34"/>
      <c r="BH316" s="34"/>
      <c r="BI316" s="34"/>
      <c r="BJ316" s="34"/>
      <c r="BK316" s="34"/>
      <c r="BL316" s="34"/>
      <c r="BM316" s="34"/>
      <c r="BN316" s="34"/>
      <c r="BO316" s="34"/>
      <c r="BP316" s="34"/>
      <c r="BQ316" s="34"/>
      <c r="BR316" s="34"/>
      <c r="BS316" s="34"/>
      <c r="BT316" s="34"/>
      <c r="BU316" s="34"/>
      <c r="BV316" s="34"/>
      <c r="BW316" s="34"/>
      <c r="BX316" s="34"/>
      <c r="BY316" s="34"/>
    </row>
    <row r="317" spans="1:77" x14ac:dyDescent="0.3">
      <c r="A317" s="39"/>
      <c r="B317" s="42"/>
      <c r="C317" s="42"/>
      <c r="D317" s="75"/>
      <c r="E317" s="75"/>
      <c r="F317" s="76"/>
      <c r="G317" s="47"/>
      <c r="H317" s="47"/>
      <c r="I317" s="75"/>
      <c r="J317" s="76"/>
      <c r="K317" s="76"/>
      <c r="L317" s="75"/>
      <c r="M317" s="49"/>
      <c r="N317" s="76"/>
      <c r="O317" s="49"/>
      <c r="P317" s="77"/>
      <c r="Q317" s="53"/>
      <c r="R317" s="54"/>
      <c r="S317" s="55"/>
      <c r="T317" s="56"/>
      <c r="U317" s="56"/>
      <c r="V317" s="42"/>
      <c r="W317" s="57"/>
      <c r="X317" s="58"/>
      <c r="Y317" s="75"/>
      <c r="Z317" s="59"/>
      <c r="AA317" s="61"/>
      <c r="AB317" s="61"/>
      <c r="AC317" s="61"/>
      <c r="AD317" s="62"/>
      <c r="AE317" s="62"/>
      <c r="AF317" s="34"/>
      <c r="AG317" s="34"/>
      <c r="AH317" s="34"/>
      <c r="AI317" s="34"/>
      <c r="AJ317" s="34"/>
      <c r="AK317" s="34"/>
      <c r="AL317" s="34"/>
      <c r="AM317" s="34"/>
      <c r="AN317" s="34"/>
      <c r="AO317" s="34"/>
      <c r="AP317" s="34"/>
      <c r="AQ317" s="34"/>
      <c r="AR317" s="34"/>
      <c r="AS317" s="34"/>
      <c r="AT317" s="34"/>
      <c r="AU317" s="34"/>
      <c r="AV317" s="34"/>
      <c r="AW317" s="34"/>
      <c r="AX317" s="34"/>
      <c r="AY317" s="34"/>
      <c r="AZ317" s="34"/>
      <c r="BA317" s="34"/>
      <c r="BB317" s="34"/>
      <c r="BD317" s="34"/>
      <c r="BE317" s="34"/>
      <c r="BF317" s="34"/>
      <c r="BG317" s="34"/>
      <c r="BH317" s="34"/>
      <c r="BI317" s="34"/>
      <c r="BJ317" s="34"/>
      <c r="BK317" s="34"/>
      <c r="BL317" s="34"/>
      <c r="BM317" s="34"/>
      <c r="BN317" s="34"/>
      <c r="BO317" s="34"/>
      <c r="BP317" s="34"/>
      <c r="BQ317" s="34"/>
      <c r="BR317" s="34"/>
      <c r="BS317" s="34"/>
      <c r="BT317" s="34"/>
      <c r="BU317" s="34"/>
      <c r="BV317" s="34"/>
      <c r="BW317" s="34"/>
      <c r="BX317" s="34"/>
      <c r="BY317" s="34"/>
    </row>
    <row r="318" spans="1:77" x14ac:dyDescent="0.3">
      <c r="A318" s="39"/>
      <c r="B318" s="42"/>
      <c r="C318" s="42"/>
      <c r="D318" s="75"/>
      <c r="E318" s="75"/>
      <c r="F318" s="76"/>
      <c r="G318" s="47"/>
      <c r="H318" s="47"/>
      <c r="I318" s="75"/>
      <c r="J318" s="76"/>
      <c r="K318" s="76"/>
      <c r="L318" s="75"/>
      <c r="M318" s="49"/>
      <c r="N318" s="76"/>
      <c r="O318" s="49"/>
      <c r="P318" s="77"/>
      <c r="Q318" s="53"/>
      <c r="R318" s="54"/>
      <c r="S318" s="55"/>
      <c r="T318" s="56"/>
      <c r="U318" s="56"/>
      <c r="V318" s="42"/>
      <c r="W318" s="57"/>
      <c r="X318" s="58"/>
      <c r="Y318" s="75"/>
      <c r="Z318" s="59"/>
      <c r="AA318" s="61"/>
      <c r="AB318" s="61"/>
      <c r="AC318" s="61"/>
      <c r="AD318" s="62"/>
      <c r="AE318" s="62"/>
      <c r="AF318" s="34"/>
      <c r="AG318" s="34"/>
      <c r="AH318" s="34"/>
      <c r="AI318" s="34"/>
      <c r="AJ318" s="34"/>
      <c r="AK318" s="34"/>
      <c r="AL318" s="34"/>
      <c r="AM318" s="34"/>
      <c r="AN318" s="34"/>
      <c r="AO318" s="34"/>
      <c r="AP318" s="34"/>
      <c r="AQ318" s="34"/>
      <c r="AR318" s="34"/>
      <c r="AS318" s="34"/>
      <c r="AT318" s="34"/>
      <c r="AU318" s="34"/>
      <c r="AV318" s="34"/>
      <c r="AW318" s="34"/>
      <c r="AX318" s="34"/>
      <c r="AY318" s="34"/>
      <c r="AZ318" s="34"/>
      <c r="BA318" s="34"/>
      <c r="BB318" s="34"/>
      <c r="BD318" s="34"/>
      <c r="BE318" s="34"/>
      <c r="BF318" s="34"/>
      <c r="BG318" s="34"/>
      <c r="BH318" s="34"/>
      <c r="BI318" s="34"/>
      <c r="BJ318" s="34"/>
      <c r="BK318" s="34"/>
      <c r="BL318" s="34"/>
      <c r="BM318" s="34"/>
      <c r="BN318" s="34"/>
      <c r="BO318" s="34"/>
      <c r="BP318" s="34"/>
      <c r="BQ318" s="34"/>
      <c r="BR318" s="34"/>
      <c r="BS318" s="34"/>
      <c r="BT318" s="34"/>
      <c r="BU318" s="34"/>
      <c r="BV318" s="34"/>
      <c r="BW318" s="34"/>
      <c r="BX318" s="34"/>
      <c r="BY318" s="34"/>
    </row>
    <row r="319" spans="1:77" x14ac:dyDescent="0.3">
      <c r="A319" s="39"/>
      <c r="B319" s="42"/>
      <c r="C319" s="42"/>
      <c r="D319" s="75"/>
      <c r="E319" s="75"/>
      <c r="F319" s="76"/>
      <c r="G319" s="47"/>
      <c r="H319" s="47"/>
      <c r="I319" s="75"/>
      <c r="J319" s="76"/>
      <c r="K319" s="76"/>
      <c r="L319" s="75"/>
      <c r="M319" s="49"/>
      <c r="N319" s="76"/>
      <c r="O319" s="49"/>
      <c r="P319" s="77"/>
      <c r="Q319" s="53"/>
      <c r="R319" s="54"/>
      <c r="S319" s="55"/>
      <c r="T319" s="56"/>
      <c r="U319" s="56"/>
      <c r="V319" s="42"/>
      <c r="W319" s="57"/>
      <c r="X319" s="58"/>
      <c r="Y319" s="75"/>
      <c r="Z319" s="59"/>
      <c r="AA319" s="61"/>
      <c r="AB319" s="61"/>
      <c r="AC319" s="61"/>
      <c r="AD319" s="62"/>
      <c r="AE319" s="62"/>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D319" s="34"/>
      <c r="BE319" s="34"/>
      <c r="BF319" s="34"/>
      <c r="BG319" s="34"/>
      <c r="BH319" s="34"/>
      <c r="BI319" s="34"/>
      <c r="BJ319" s="34"/>
      <c r="BK319" s="34"/>
      <c r="BL319" s="34"/>
      <c r="BM319" s="34"/>
      <c r="BN319" s="34"/>
      <c r="BO319" s="34"/>
      <c r="BP319" s="34"/>
      <c r="BQ319" s="34"/>
      <c r="BR319" s="34"/>
      <c r="BS319" s="34"/>
      <c r="BT319" s="34"/>
      <c r="BU319" s="34"/>
      <c r="BV319" s="34"/>
      <c r="BW319" s="34"/>
      <c r="BX319" s="34"/>
      <c r="BY319" s="34"/>
    </row>
    <row r="320" spans="1:77" x14ac:dyDescent="0.3">
      <c r="A320" s="39"/>
      <c r="B320" s="42"/>
      <c r="C320" s="42"/>
      <c r="D320" s="75"/>
      <c r="E320" s="75"/>
      <c r="F320" s="76"/>
      <c r="G320" s="47"/>
      <c r="H320" s="47"/>
      <c r="I320" s="75"/>
      <c r="J320" s="76"/>
      <c r="K320" s="76"/>
      <c r="L320" s="75"/>
      <c r="M320" s="49"/>
      <c r="N320" s="76"/>
      <c r="O320" s="49"/>
      <c r="P320" s="77"/>
      <c r="Q320" s="53"/>
      <c r="R320" s="54"/>
      <c r="S320" s="55"/>
      <c r="T320" s="56"/>
      <c r="U320" s="56"/>
      <c r="V320" s="42"/>
      <c r="W320" s="57"/>
      <c r="X320" s="58"/>
      <c r="Y320" s="75"/>
      <c r="Z320" s="59"/>
      <c r="AA320" s="61"/>
      <c r="AB320" s="61"/>
      <c r="AC320" s="61"/>
      <c r="AD320" s="62"/>
      <c r="AE320" s="62"/>
      <c r="AF320" s="34"/>
      <c r="AG320" s="34"/>
      <c r="AH320" s="34"/>
      <c r="AI320" s="34"/>
      <c r="AJ320" s="34"/>
      <c r="AK320" s="34"/>
      <c r="AL320" s="34"/>
      <c r="AM320" s="34"/>
      <c r="AN320" s="34"/>
      <c r="AO320" s="34"/>
      <c r="AP320" s="34"/>
      <c r="AQ320" s="34"/>
      <c r="AR320" s="34"/>
      <c r="AS320" s="34"/>
      <c r="AT320" s="34"/>
      <c r="AU320" s="34"/>
      <c r="AV320" s="34"/>
      <c r="AW320" s="34"/>
      <c r="AX320" s="34"/>
      <c r="AY320" s="34"/>
      <c r="AZ320" s="34"/>
      <c r="BA320" s="34"/>
      <c r="BB320" s="34"/>
      <c r="BD320" s="34"/>
      <c r="BE320" s="34"/>
      <c r="BF320" s="34"/>
      <c r="BG320" s="34"/>
      <c r="BH320" s="34"/>
      <c r="BI320" s="34"/>
      <c r="BJ320" s="34"/>
      <c r="BK320" s="34"/>
      <c r="BL320" s="34"/>
      <c r="BM320" s="34"/>
      <c r="BN320" s="34"/>
      <c r="BO320" s="34"/>
      <c r="BP320" s="34"/>
      <c r="BQ320" s="34"/>
      <c r="BR320" s="34"/>
      <c r="BS320" s="34"/>
      <c r="BT320" s="34"/>
      <c r="BU320" s="34"/>
      <c r="BV320" s="34"/>
      <c r="BW320" s="34"/>
      <c r="BX320" s="34"/>
      <c r="BY320" s="34"/>
    </row>
    <row r="321" spans="1:77" x14ac:dyDescent="0.3">
      <c r="A321" s="39"/>
      <c r="B321" s="42"/>
      <c r="C321" s="42"/>
      <c r="D321" s="75"/>
      <c r="E321" s="75"/>
      <c r="F321" s="76"/>
      <c r="G321" s="47"/>
      <c r="H321" s="47"/>
      <c r="I321" s="75"/>
      <c r="J321" s="76"/>
      <c r="K321" s="76"/>
      <c r="L321" s="75"/>
      <c r="M321" s="49"/>
      <c r="N321" s="76"/>
      <c r="O321" s="49"/>
      <c r="P321" s="77"/>
      <c r="Q321" s="53"/>
      <c r="R321" s="54"/>
      <c r="S321" s="55"/>
      <c r="T321" s="56"/>
      <c r="U321" s="56"/>
      <c r="V321" s="42"/>
      <c r="W321" s="57"/>
      <c r="X321" s="58"/>
      <c r="Y321" s="75"/>
      <c r="Z321" s="59"/>
      <c r="AA321" s="61"/>
      <c r="AB321" s="61"/>
      <c r="AC321" s="61"/>
      <c r="AD321" s="62"/>
      <c r="AE321" s="62"/>
      <c r="AF321" s="34"/>
      <c r="AG321" s="34"/>
      <c r="AH321" s="34"/>
      <c r="AI321" s="34"/>
      <c r="AJ321" s="34"/>
      <c r="AK321" s="34"/>
      <c r="AL321" s="34"/>
      <c r="AM321" s="34"/>
      <c r="AN321" s="34"/>
      <c r="AO321" s="34"/>
      <c r="AP321" s="34"/>
      <c r="AQ321" s="34"/>
      <c r="AR321" s="34"/>
      <c r="AS321" s="34"/>
      <c r="AT321" s="34"/>
      <c r="AU321" s="34"/>
      <c r="AV321" s="34"/>
      <c r="AW321" s="34"/>
      <c r="AX321" s="34"/>
      <c r="AY321" s="34"/>
      <c r="AZ321" s="34"/>
      <c r="BA321" s="34"/>
      <c r="BB321" s="34"/>
      <c r="BD321" s="34"/>
      <c r="BE321" s="34"/>
      <c r="BF321" s="34"/>
      <c r="BG321" s="34"/>
      <c r="BH321" s="34"/>
      <c r="BI321" s="34"/>
      <c r="BJ321" s="34"/>
      <c r="BK321" s="34"/>
      <c r="BL321" s="34"/>
      <c r="BM321" s="34"/>
      <c r="BN321" s="34"/>
      <c r="BO321" s="34"/>
      <c r="BP321" s="34"/>
      <c r="BQ321" s="34"/>
      <c r="BR321" s="34"/>
      <c r="BS321" s="34"/>
      <c r="BT321" s="34"/>
      <c r="BU321" s="34"/>
      <c r="BV321" s="34"/>
      <c r="BW321" s="34"/>
      <c r="BX321" s="34"/>
      <c r="BY321" s="34"/>
    </row>
    <row r="322" spans="1:77" x14ac:dyDescent="0.3">
      <c r="A322" s="39"/>
      <c r="B322" s="42"/>
      <c r="C322" s="42"/>
      <c r="D322" s="75"/>
      <c r="E322" s="75"/>
      <c r="F322" s="76"/>
      <c r="G322" s="47"/>
      <c r="H322" s="47"/>
      <c r="I322" s="75"/>
      <c r="J322" s="76"/>
      <c r="K322" s="76"/>
      <c r="L322" s="75"/>
      <c r="M322" s="49"/>
      <c r="N322" s="76"/>
      <c r="O322" s="49"/>
      <c r="P322" s="77"/>
      <c r="Q322" s="53"/>
      <c r="R322" s="54"/>
      <c r="S322" s="55"/>
      <c r="T322" s="56"/>
      <c r="U322" s="56"/>
      <c r="V322" s="42"/>
      <c r="W322" s="57"/>
      <c r="X322" s="58"/>
      <c r="Y322" s="75"/>
      <c r="Z322" s="59"/>
      <c r="AA322" s="61"/>
      <c r="AB322" s="61"/>
      <c r="AC322" s="61"/>
      <c r="AD322" s="62"/>
      <c r="AE322" s="62"/>
      <c r="AF322" s="34"/>
      <c r="AG322" s="34"/>
      <c r="AH322" s="34"/>
      <c r="AI322" s="34"/>
      <c r="AJ322" s="34"/>
      <c r="AK322" s="34"/>
      <c r="AL322" s="34"/>
      <c r="AM322" s="34"/>
      <c r="AN322" s="34"/>
      <c r="AO322" s="34"/>
      <c r="AP322" s="34"/>
      <c r="AQ322" s="34"/>
      <c r="AR322" s="34"/>
      <c r="AS322" s="34"/>
      <c r="AT322" s="34"/>
      <c r="AU322" s="34"/>
      <c r="AV322" s="34"/>
      <c r="AW322" s="34"/>
      <c r="AX322" s="34"/>
      <c r="AY322" s="34"/>
      <c r="AZ322" s="34"/>
      <c r="BA322" s="34"/>
      <c r="BB322" s="34"/>
      <c r="BD322" s="34"/>
      <c r="BE322" s="34"/>
      <c r="BF322" s="34"/>
      <c r="BG322" s="34"/>
      <c r="BH322" s="34"/>
      <c r="BI322" s="34"/>
      <c r="BJ322" s="34"/>
      <c r="BK322" s="34"/>
      <c r="BL322" s="34"/>
      <c r="BM322" s="34"/>
      <c r="BN322" s="34"/>
      <c r="BO322" s="34"/>
      <c r="BP322" s="34"/>
      <c r="BQ322" s="34"/>
      <c r="BR322" s="34"/>
      <c r="BS322" s="34"/>
      <c r="BT322" s="34"/>
      <c r="BU322" s="34"/>
      <c r="BV322" s="34"/>
      <c r="BW322" s="34"/>
      <c r="BX322" s="34"/>
      <c r="BY322" s="34"/>
    </row>
    <row r="323" spans="1:77" x14ac:dyDescent="0.3">
      <c r="A323" s="39"/>
      <c r="B323" s="42"/>
      <c r="C323" s="42"/>
      <c r="D323" s="75"/>
      <c r="E323" s="75"/>
      <c r="F323" s="76"/>
      <c r="G323" s="47"/>
      <c r="H323" s="47"/>
      <c r="I323" s="75"/>
      <c r="J323" s="76"/>
      <c r="K323" s="76"/>
      <c r="L323" s="75"/>
      <c r="M323" s="49"/>
      <c r="N323" s="76"/>
      <c r="O323" s="49"/>
      <c r="P323" s="77"/>
      <c r="Q323" s="53"/>
      <c r="R323" s="54"/>
      <c r="S323" s="55"/>
      <c r="T323" s="56"/>
      <c r="U323" s="56"/>
      <c r="V323" s="42"/>
      <c r="W323" s="57"/>
      <c r="X323" s="58"/>
      <c r="Y323" s="75"/>
      <c r="Z323" s="59"/>
      <c r="AA323" s="61"/>
      <c r="AB323" s="61"/>
      <c r="AC323" s="61"/>
      <c r="AD323" s="62"/>
      <c r="AE323" s="62"/>
      <c r="AF323" s="34"/>
      <c r="AG323" s="34"/>
      <c r="AH323" s="34"/>
      <c r="AI323" s="34"/>
      <c r="AJ323" s="34"/>
      <c r="AK323" s="34"/>
      <c r="AL323" s="34"/>
      <c r="AM323" s="34"/>
      <c r="AN323" s="34"/>
      <c r="AO323" s="34"/>
      <c r="AP323" s="34"/>
      <c r="AQ323" s="34"/>
      <c r="AR323" s="34"/>
      <c r="AS323" s="34"/>
      <c r="AT323" s="34"/>
      <c r="AU323" s="34"/>
      <c r="AV323" s="34"/>
      <c r="AW323" s="34"/>
      <c r="AX323" s="34"/>
      <c r="AY323" s="34"/>
      <c r="AZ323" s="34"/>
      <c r="BA323" s="34"/>
      <c r="BB323" s="34"/>
      <c r="BD323" s="34"/>
      <c r="BE323" s="34"/>
      <c r="BF323" s="34"/>
      <c r="BG323" s="34"/>
      <c r="BH323" s="34"/>
      <c r="BI323" s="34"/>
      <c r="BJ323" s="34"/>
      <c r="BK323" s="34"/>
      <c r="BL323" s="34"/>
      <c r="BM323" s="34"/>
      <c r="BN323" s="34"/>
      <c r="BO323" s="34"/>
      <c r="BP323" s="34"/>
      <c r="BQ323" s="34"/>
      <c r="BR323" s="34"/>
      <c r="BS323" s="34"/>
      <c r="BT323" s="34"/>
      <c r="BU323" s="34"/>
      <c r="BV323" s="34"/>
      <c r="BW323" s="34"/>
      <c r="BX323" s="34"/>
      <c r="BY323" s="34"/>
    </row>
    <row r="324" spans="1:77" x14ac:dyDescent="0.3">
      <c r="A324" s="39"/>
      <c r="B324" s="42"/>
      <c r="C324" s="42"/>
      <c r="D324" s="75"/>
      <c r="E324" s="75"/>
      <c r="F324" s="76"/>
      <c r="G324" s="47"/>
      <c r="H324" s="47"/>
      <c r="I324" s="75"/>
      <c r="J324" s="76"/>
      <c r="K324" s="76"/>
      <c r="L324" s="75"/>
      <c r="M324" s="49"/>
      <c r="N324" s="76"/>
      <c r="O324" s="49"/>
      <c r="P324" s="77"/>
      <c r="Q324" s="53"/>
      <c r="R324" s="54"/>
      <c r="S324" s="55"/>
      <c r="T324" s="56"/>
      <c r="U324" s="56"/>
      <c r="V324" s="42"/>
      <c r="W324" s="57"/>
      <c r="X324" s="58"/>
      <c r="Y324" s="75"/>
      <c r="Z324" s="59"/>
      <c r="AA324" s="61"/>
      <c r="AB324" s="61"/>
      <c r="AC324" s="61"/>
      <c r="AD324" s="62"/>
      <c r="AE324" s="62"/>
      <c r="AF324" s="34"/>
      <c r="AG324" s="34"/>
      <c r="AH324" s="34"/>
      <c r="AI324" s="34"/>
      <c r="AJ324" s="34"/>
      <c r="AK324" s="34"/>
      <c r="AL324" s="34"/>
      <c r="AM324" s="34"/>
      <c r="AN324" s="34"/>
      <c r="AO324" s="34"/>
      <c r="AP324" s="34"/>
      <c r="AQ324" s="34"/>
      <c r="AR324" s="34"/>
      <c r="AS324" s="34"/>
      <c r="AT324" s="34"/>
      <c r="AU324" s="34"/>
      <c r="AV324" s="34"/>
      <c r="AW324" s="34"/>
      <c r="AX324" s="34"/>
      <c r="AY324" s="34"/>
      <c r="AZ324" s="34"/>
      <c r="BA324" s="34"/>
      <c r="BB324" s="34"/>
      <c r="BD324" s="34"/>
      <c r="BE324" s="34"/>
      <c r="BF324" s="34"/>
      <c r="BG324" s="34"/>
      <c r="BH324" s="34"/>
      <c r="BI324" s="34"/>
      <c r="BJ324" s="34"/>
      <c r="BK324" s="34"/>
      <c r="BL324" s="34"/>
      <c r="BM324" s="34"/>
      <c r="BN324" s="34"/>
      <c r="BO324" s="34"/>
      <c r="BP324" s="34"/>
      <c r="BQ324" s="34"/>
      <c r="BR324" s="34"/>
      <c r="BS324" s="34"/>
      <c r="BT324" s="34"/>
      <c r="BU324" s="34"/>
      <c r="BV324" s="34"/>
      <c r="BW324" s="34"/>
      <c r="BX324" s="34"/>
      <c r="BY324" s="34"/>
    </row>
    <row r="325" spans="1:77" x14ac:dyDescent="0.3">
      <c r="A325" s="39"/>
      <c r="B325" s="42"/>
      <c r="C325" s="42"/>
      <c r="D325" s="75"/>
      <c r="E325" s="75"/>
      <c r="F325" s="76"/>
      <c r="G325" s="47"/>
      <c r="H325" s="47"/>
      <c r="I325" s="75"/>
      <c r="J325" s="76"/>
      <c r="K325" s="76"/>
      <c r="L325" s="75"/>
      <c r="M325" s="49"/>
      <c r="N325" s="76"/>
      <c r="O325" s="49"/>
      <c r="P325" s="77"/>
      <c r="Q325" s="53"/>
      <c r="R325" s="54"/>
      <c r="S325" s="55"/>
      <c r="T325" s="56"/>
      <c r="U325" s="56"/>
      <c r="V325" s="42"/>
      <c r="W325" s="57"/>
      <c r="X325" s="58"/>
      <c r="Y325" s="75"/>
      <c r="Z325" s="59"/>
      <c r="AA325" s="61"/>
      <c r="AB325" s="61"/>
      <c r="AC325" s="61"/>
      <c r="AD325" s="62"/>
      <c r="AE325" s="62"/>
      <c r="AF325" s="34"/>
      <c r="AG325" s="34"/>
      <c r="AH325" s="34"/>
      <c r="AI325" s="34"/>
      <c r="AJ325" s="34"/>
      <c r="AK325" s="34"/>
      <c r="AL325" s="34"/>
      <c r="AM325" s="34"/>
      <c r="AN325" s="34"/>
      <c r="AO325" s="34"/>
      <c r="AP325" s="34"/>
      <c r="AQ325" s="34"/>
      <c r="AR325" s="34"/>
      <c r="AS325" s="34"/>
      <c r="AT325" s="34"/>
      <c r="AU325" s="34"/>
      <c r="AV325" s="34"/>
      <c r="AW325" s="34"/>
      <c r="AX325" s="34"/>
      <c r="AY325" s="34"/>
      <c r="AZ325" s="34"/>
      <c r="BA325" s="34"/>
      <c r="BB325" s="34"/>
      <c r="BD325" s="34"/>
      <c r="BE325" s="34"/>
      <c r="BF325" s="34"/>
      <c r="BG325" s="34"/>
      <c r="BH325" s="34"/>
      <c r="BI325" s="34"/>
      <c r="BJ325" s="34"/>
      <c r="BK325" s="34"/>
      <c r="BL325" s="34"/>
      <c r="BM325" s="34"/>
      <c r="BN325" s="34"/>
      <c r="BO325" s="34"/>
      <c r="BP325" s="34"/>
      <c r="BQ325" s="34"/>
      <c r="BR325" s="34"/>
      <c r="BS325" s="34"/>
      <c r="BT325" s="34"/>
      <c r="BU325" s="34"/>
      <c r="BV325" s="34"/>
      <c r="BW325" s="34"/>
      <c r="BX325" s="34"/>
      <c r="BY325" s="34"/>
    </row>
    <row r="326" spans="1:77" x14ac:dyDescent="0.3">
      <c r="A326" s="39"/>
      <c r="B326" s="42"/>
      <c r="C326" s="42"/>
      <c r="D326" s="75"/>
      <c r="E326" s="75"/>
      <c r="F326" s="76"/>
      <c r="G326" s="47"/>
      <c r="H326" s="47"/>
      <c r="I326" s="75"/>
      <c r="J326" s="76"/>
      <c r="K326" s="76"/>
      <c r="L326" s="75"/>
      <c r="M326" s="49"/>
      <c r="N326" s="76"/>
      <c r="O326" s="49"/>
      <c r="P326" s="77"/>
      <c r="Q326" s="53"/>
      <c r="R326" s="54"/>
      <c r="S326" s="55"/>
      <c r="T326" s="56"/>
      <c r="U326" s="56"/>
      <c r="V326" s="42"/>
      <c r="W326" s="57"/>
      <c r="X326" s="58"/>
      <c r="Y326" s="75"/>
      <c r="Z326" s="59"/>
      <c r="AA326" s="61"/>
      <c r="AB326" s="61"/>
      <c r="AC326" s="61"/>
      <c r="AD326" s="62"/>
      <c r="AE326" s="62"/>
      <c r="AF326" s="34"/>
      <c r="AG326" s="34"/>
      <c r="AH326" s="34"/>
      <c r="AI326" s="34"/>
      <c r="AJ326" s="34"/>
      <c r="AK326" s="34"/>
      <c r="AL326" s="34"/>
      <c r="AM326" s="34"/>
      <c r="AN326" s="34"/>
      <c r="AO326" s="34"/>
      <c r="AP326" s="34"/>
      <c r="AQ326" s="34"/>
      <c r="AR326" s="34"/>
      <c r="AS326" s="34"/>
      <c r="AT326" s="34"/>
      <c r="AU326" s="34"/>
      <c r="AV326" s="34"/>
      <c r="AW326" s="34"/>
      <c r="AX326" s="34"/>
      <c r="AY326" s="34"/>
      <c r="AZ326" s="34"/>
      <c r="BA326" s="34"/>
      <c r="BB326" s="34"/>
      <c r="BD326" s="34"/>
      <c r="BE326" s="34"/>
      <c r="BF326" s="34"/>
      <c r="BG326" s="34"/>
      <c r="BH326" s="34"/>
      <c r="BI326" s="34"/>
      <c r="BJ326" s="34"/>
      <c r="BK326" s="34"/>
      <c r="BL326" s="34"/>
      <c r="BM326" s="34"/>
      <c r="BN326" s="34"/>
      <c r="BO326" s="34"/>
      <c r="BP326" s="34"/>
      <c r="BQ326" s="34"/>
      <c r="BR326" s="34"/>
      <c r="BS326" s="34"/>
      <c r="BT326" s="34"/>
      <c r="BU326" s="34"/>
      <c r="BV326" s="34"/>
      <c r="BW326" s="34"/>
      <c r="BX326" s="34"/>
      <c r="BY326" s="34"/>
    </row>
    <row r="327" spans="1:77" x14ac:dyDescent="0.3">
      <c r="A327" s="39"/>
      <c r="B327" s="42"/>
      <c r="C327" s="42"/>
      <c r="D327" s="75"/>
      <c r="E327" s="75"/>
      <c r="F327" s="76"/>
      <c r="G327" s="47"/>
      <c r="H327" s="47"/>
      <c r="I327" s="75"/>
      <c r="J327" s="76"/>
      <c r="K327" s="76"/>
      <c r="L327" s="75"/>
      <c r="M327" s="49"/>
      <c r="N327" s="76"/>
      <c r="O327" s="49"/>
      <c r="P327" s="77"/>
      <c r="Q327" s="53"/>
      <c r="R327" s="54"/>
      <c r="S327" s="55"/>
      <c r="T327" s="56"/>
      <c r="U327" s="56"/>
      <c r="V327" s="42"/>
      <c r="W327" s="57"/>
      <c r="X327" s="58"/>
      <c r="Y327" s="75"/>
      <c r="Z327" s="59"/>
      <c r="AA327" s="61"/>
      <c r="AB327" s="61"/>
      <c r="AC327" s="61"/>
      <c r="AD327" s="62"/>
      <c r="AE327" s="62"/>
      <c r="AF327" s="34"/>
      <c r="AG327" s="34"/>
      <c r="AH327" s="34"/>
      <c r="AI327" s="34"/>
      <c r="AJ327" s="34"/>
      <c r="AK327" s="34"/>
      <c r="AL327" s="34"/>
      <c r="AM327" s="34"/>
      <c r="AN327" s="34"/>
      <c r="AO327" s="34"/>
      <c r="AP327" s="34"/>
      <c r="AQ327" s="34"/>
      <c r="AR327" s="34"/>
      <c r="AS327" s="34"/>
      <c r="AT327" s="34"/>
      <c r="AU327" s="34"/>
      <c r="AV327" s="34"/>
      <c r="AW327" s="34"/>
      <c r="AX327" s="34"/>
      <c r="AY327" s="34"/>
      <c r="AZ327" s="34"/>
      <c r="BA327" s="34"/>
      <c r="BB327" s="34"/>
      <c r="BD327" s="34"/>
      <c r="BE327" s="34"/>
      <c r="BF327" s="34"/>
      <c r="BG327" s="34"/>
      <c r="BH327" s="34"/>
      <c r="BI327" s="34"/>
      <c r="BJ327" s="34"/>
      <c r="BK327" s="34"/>
      <c r="BL327" s="34"/>
      <c r="BM327" s="34"/>
      <c r="BN327" s="34"/>
      <c r="BO327" s="34"/>
      <c r="BP327" s="34"/>
      <c r="BQ327" s="34"/>
      <c r="BR327" s="34"/>
      <c r="BS327" s="34"/>
      <c r="BT327" s="34"/>
      <c r="BU327" s="34"/>
      <c r="BV327" s="34"/>
      <c r="BW327" s="34"/>
      <c r="BX327" s="34"/>
      <c r="BY327" s="34"/>
    </row>
    <row r="328" spans="1:77" x14ac:dyDescent="0.3">
      <c r="A328" s="39"/>
      <c r="B328" s="42"/>
      <c r="C328" s="42"/>
      <c r="D328" s="75"/>
      <c r="E328" s="75"/>
      <c r="F328" s="76"/>
      <c r="G328" s="47"/>
      <c r="H328" s="47"/>
      <c r="I328" s="75"/>
      <c r="J328" s="76"/>
      <c r="K328" s="76"/>
      <c r="L328" s="75"/>
      <c r="M328" s="49"/>
      <c r="N328" s="76"/>
      <c r="O328" s="49"/>
      <c r="P328" s="77"/>
      <c r="Q328" s="53"/>
      <c r="R328" s="54"/>
      <c r="S328" s="55"/>
      <c r="T328" s="56"/>
      <c r="U328" s="56"/>
      <c r="V328" s="42"/>
      <c r="W328" s="57"/>
      <c r="X328" s="58"/>
      <c r="Y328" s="75"/>
      <c r="Z328" s="59"/>
      <c r="AA328" s="61"/>
      <c r="AB328" s="61"/>
      <c r="AC328" s="61"/>
      <c r="AD328" s="62"/>
      <c r="AE328" s="62"/>
      <c r="AF328" s="34"/>
      <c r="AG328" s="34"/>
      <c r="AH328" s="34"/>
      <c r="AI328" s="34"/>
      <c r="AJ328" s="34"/>
      <c r="AK328" s="34"/>
      <c r="AL328" s="34"/>
      <c r="AM328" s="34"/>
      <c r="AN328" s="34"/>
      <c r="AO328" s="34"/>
      <c r="AP328" s="34"/>
      <c r="AQ328" s="34"/>
      <c r="AR328" s="34"/>
      <c r="AS328" s="34"/>
      <c r="AT328" s="34"/>
      <c r="AU328" s="34"/>
      <c r="AV328" s="34"/>
      <c r="AW328" s="34"/>
      <c r="AX328" s="34"/>
      <c r="AY328" s="34"/>
      <c r="AZ328" s="34"/>
      <c r="BA328" s="34"/>
      <c r="BB328" s="34"/>
      <c r="BD328" s="34"/>
      <c r="BE328" s="34"/>
      <c r="BF328" s="34"/>
      <c r="BG328" s="34"/>
      <c r="BH328" s="34"/>
      <c r="BI328" s="34"/>
      <c r="BJ328" s="34"/>
      <c r="BK328" s="34"/>
      <c r="BL328" s="34"/>
      <c r="BM328" s="34"/>
      <c r="BN328" s="34"/>
      <c r="BO328" s="34"/>
      <c r="BP328" s="34"/>
      <c r="BQ328" s="34"/>
      <c r="BR328" s="34"/>
      <c r="BS328" s="34"/>
      <c r="BT328" s="34"/>
      <c r="BU328" s="34"/>
      <c r="BV328" s="34"/>
      <c r="BW328" s="34"/>
      <c r="BX328" s="34"/>
      <c r="BY328" s="34"/>
    </row>
    <row r="329" spans="1:77" x14ac:dyDescent="0.3">
      <c r="A329" s="39"/>
      <c r="B329" s="42"/>
      <c r="C329" s="42"/>
      <c r="D329" s="75"/>
      <c r="E329" s="75"/>
      <c r="F329" s="76"/>
      <c r="G329" s="47"/>
      <c r="H329" s="47"/>
      <c r="I329" s="75"/>
      <c r="J329" s="76"/>
      <c r="K329" s="76"/>
      <c r="L329" s="75"/>
      <c r="M329" s="49"/>
      <c r="N329" s="76"/>
      <c r="O329" s="49"/>
      <c r="P329" s="77"/>
      <c r="Q329" s="53"/>
      <c r="R329" s="54"/>
      <c r="S329" s="55"/>
      <c r="T329" s="56"/>
      <c r="U329" s="56"/>
      <c r="V329" s="42"/>
      <c r="W329" s="57"/>
      <c r="X329" s="58"/>
      <c r="Y329" s="75"/>
      <c r="Z329" s="59"/>
      <c r="AA329" s="61"/>
      <c r="AB329" s="61"/>
      <c r="AC329" s="61"/>
      <c r="AD329" s="62"/>
      <c r="AE329" s="62"/>
      <c r="AF329" s="34"/>
      <c r="AG329" s="34"/>
      <c r="AH329" s="34"/>
      <c r="AI329" s="34"/>
      <c r="AJ329" s="34"/>
      <c r="AK329" s="34"/>
      <c r="AL329" s="34"/>
      <c r="AM329" s="34"/>
      <c r="AN329" s="34"/>
      <c r="AO329" s="34"/>
      <c r="AP329" s="34"/>
      <c r="AQ329" s="34"/>
      <c r="AR329" s="34"/>
      <c r="AS329" s="34"/>
      <c r="AT329" s="34"/>
      <c r="AU329" s="34"/>
      <c r="AV329" s="34"/>
      <c r="AW329" s="34"/>
      <c r="AX329" s="34"/>
      <c r="AY329" s="34"/>
      <c r="AZ329" s="34"/>
      <c r="BA329" s="34"/>
      <c r="BB329" s="34"/>
      <c r="BD329" s="34"/>
      <c r="BE329" s="34"/>
      <c r="BF329" s="34"/>
      <c r="BG329" s="34"/>
      <c r="BH329" s="34"/>
      <c r="BI329" s="34"/>
      <c r="BJ329" s="34"/>
      <c r="BK329" s="34"/>
      <c r="BL329" s="34"/>
      <c r="BM329" s="34"/>
      <c r="BN329" s="34"/>
      <c r="BO329" s="34"/>
      <c r="BP329" s="34"/>
      <c r="BQ329" s="34"/>
      <c r="BR329" s="34"/>
      <c r="BS329" s="34"/>
      <c r="BT329" s="34"/>
      <c r="BU329" s="34"/>
      <c r="BV329" s="34"/>
      <c r="BW329" s="34"/>
      <c r="BX329" s="34"/>
      <c r="BY329" s="34"/>
    </row>
    <row r="330" spans="1:77" x14ac:dyDescent="0.3">
      <c r="A330" s="39"/>
      <c r="B330" s="42"/>
      <c r="C330" s="42"/>
      <c r="D330" s="75"/>
      <c r="E330" s="75"/>
      <c r="F330" s="76"/>
      <c r="G330" s="47"/>
      <c r="H330" s="47"/>
      <c r="I330" s="75"/>
      <c r="J330" s="76"/>
      <c r="K330" s="76"/>
      <c r="L330" s="75"/>
      <c r="M330" s="49"/>
      <c r="N330" s="76"/>
      <c r="O330" s="49"/>
      <c r="P330" s="77"/>
      <c r="Q330" s="53"/>
      <c r="R330" s="54"/>
      <c r="S330" s="55"/>
      <c r="T330" s="56"/>
      <c r="U330" s="56"/>
      <c r="V330" s="42"/>
      <c r="W330" s="57"/>
      <c r="X330" s="58"/>
      <c r="Y330" s="75"/>
      <c r="Z330" s="59"/>
      <c r="AA330" s="61"/>
      <c r="AB330" s="61"/>
      <c r="AC330" s="61"/>
      <c r="AD330" s="62"/>
      <c r="AE330" s="62"/>
      <c r="AF330" s="34"/>
      <c r="AG330" s="34"/>
      <c r="AH330" s="34"/>
      <c r="AI330" s="34"/>
      <c r="AJ330" s="34"/>
      <c r="AK330" s="34"/>
      <c r="AL330" s="34"/>
      <c r="AM330" s="34"/>
      <c r="AN330" s="34"/>
      <c r="AO330" s="34"/>
      <c r="AP330" s="34"/>
      <c r="AQ330" s="34"/>
      <c r="AR330" s="34"/>
      <c r="AS330" s="34"/>
      <c r="AT330" s="34"/>
      <c r="AU330" s="34"/>
      <c r="AV330" s="34"/>
      <c r="AW330" s="34"/>
      <c r="AX330" s="34"/>
      <c r="AY330" s="34"/>
      <c r="AZ330" s="34"/>
      <c r="BA330" s="34"/>
      <c r="BB330" s="34"/>
      <c r="BD330" s="34"/>
      <c r="BE330" s="34"/>
      <c r="BF330" s="34"/>
      <c r="BG330" s="34"/>
      <c r="BH330" s="34"/>
      <c r="BI330" s="34"/>
      <c r="BJ330" s="34"/>
      <c r="BK330" s="34"/>
      <c r="BL330" s="34"/>
      <c r="BM330" s="34"/>
      <c r="BN330" s="34"/>
      <c r="BO330" s="34"/>
      <c r="BP330" s="34"/>
      <c r="BQ330" s="34"/>
      <c r="BR330" s="34"/>
      <c r="BS330" s="34"/>
      <c r="BT330" s="34"/>
      <c r="BU330" s="34"/>
      <c r="BV330" s="34"/>
      <c r="BW330" s="34"/>
      <c r="BX330" s="34"/>
      <c r="BY330" s="34"/>
    </row>
    <row r="331" spans="1:77" x14ac:dyDescent="0.3">
      <c r="A331" s="39"/>
      <c r="B331" s="42"/>
      <c r="C331" s="42"/>
      <c r="D331" s="75"/>
      <c r="E331" s="75"/>
      <c r="F331" s="76"/>
      <c r="G331" s="47"/>
      <c r="H331" s="47"/>
      <c r="I331" s="75"/>
      <c r="J331" s="76"/>
      <c r="K331" s="76"/>
      <c r="L331" s="75"/>
      <c r="M331" s="49"/>
      <c r="N331" s="76"/>
      <c r="O331" s="49"/>
      <c r="P331" s="77"/>
      <c r="Q331" s="53"/>
      <c r="R331" s="54"/>
      <c r="S331" s="55"/>
      <c r="T331" s="56"/>
      <c r="U331" s="56"/>
      <c r="V331" s="42"/>
      <c r="W331" s="57"/>
      <c r="X331" s="58"/>
      <c r="Y331" s="75"/>
      <c r="Z331" s="59"/>
      <c r="AA331" s="61"/>
      <c r="AB331" s="61"/>
      <c r="AC331" s="61"/>
      <c r="AD331" s="62"/>
      <c r="AE331" s="62"/>
      <c r="AF331" s="34"/>
      <c r="AG331" s="34"/>
      <c r="AH331" s="34"/>
      <c r="AI331" s="34"/>
      <c r="AJ331" s="34"/>
      <c r="AK331" s="34"/>
      <c r="AL331" s="34"/>
      <c r="AM331" s="34"/>
      <c r="AN331" s="34"/>
      <c r="AO331" s="34"/>
      <c r="AP331" s="34"/>
      <c r="AQ331" s="34"/>
      <c r="AR331" s="34"/>
      <c r="AS331" s="34"/>
      <c r="AT331" s="34"/>
      <c r="AU331" s="34"/>
      <c r="AV331" s="34"/>
      <c r="AW331" s="34"/>
      <c r="AX331" s="34"/>
      <c r="AY331" s="34"/>
      <c r="AZ331" s="34"/>
      <c r="BA331" s="34"/>
      <c r="BB331" s="34"/>
      <c r="BD331" s="34"/>
      <c r="BE331" s="34"/>
      <c r="BF331" s="34"/>
      <c r="BG331" s="34"/>
      <c r="BH331" s="34"/>
      <c r="BI331" s="34"/>
      <c r="BJ331" s="34"/>
      <c r="BK331" s="34"/>
      <c r="BL331" s="34"/>
      <c r="BM331" s="34"/>
      <c r="BN331" s="34"/>
      <c r="BO331" s="34"/>
      <c r="BP331" s="34"/>
      <c r="BQ331" s="34"/>
      <c r="BR331" s="34"/>
      <c r="BS331" s="34"/>
      <c r="BT331" s="34"/>
      <c r="BU331" s="34"/>
      <c r="BV331" s="34"/>
      <c r="BW331" s="34"/>
      <c r="BX331" s="34"/>
      <c r="BY331" s="34"/>
    </row>
    <row r="332" spans="1:77" x14ac:dyDescent="0.3">
      <c r="A332" s="39"/>
      <c r="B332" s="42"/>
      <c r="C332" s="42"/>
      <c r="D332" s="75"/>
      <c r="E332" s="75"/>
      <c r="F332" s="76"/>
      <c r="G332" s="47"/>
      <c r="H332" s="47"/>
      <c r="I332" s="75"/>
      <c r="J332" s="76"/>
      <c r="K332" s="76"/>
      <c r="L332" s="75"/>
      <c r="M332" s="49"/>
      <c r="N332" s="76"/>
      <c r="O332" s="49"/>
      <c r="P332" s="77"/>
      <c r="Q332" s="53"/>
      <c r="R332" s="54"/>
      <c r="S332" s="55"/>
      <c r="T332" s="56"/>
      <c r="U332" s="56"/>
      <c r="V332" s="42"/>
      <c r="W332" s="57"/>
      <c r="X332" s="58"/>
      <c r="Y332" s="75"/>
      <c r="Z332" s="59"/>
      <c r="AA332" s="61"/>
      <c r="AB332" s="61"/>
      <c r="AC332" s="61"/>
      <c r="AD332" s="62"/>
      <c r="AE332" s="62"/>
      <c r="AF332" s="34"/>
      <c r="AG332" s="34"/>
      <c r="AH332" s="34"/>
      <c r="AI332" s="34"/>
      <c r="AJ332" s="34"/>
      <c r="AK332" s="34"/>
      <c r="AL332" s="34"/>
      <c r="AM332" s="34"/>
      <c r="AN332" s="34"/>
      <c r="AO332" s="34"/>
      <c r="AP332" s="34"/>
      <c r="AQ332" s="34"/>
      <c r="AR332" s="34"/>
      <c r="AS332" s="34"/>
      <c r="AT332" s="34"/>
      <c r="AU332" s="34"/>
      <c r="AV332" s="34"/>
      <c r="AW332" s="34"/>
      <c r="AX332" s="34"/>
      <c r="AY332" s="34"/>
      <c r="AZ332" s="34"/>
      <c r="BA332" s="34"/>
      <c r="BB332" s="34"/>
      <c r="BD332" s="34"/>
      <c r="BE332" s="34"/>
      <c r="BF332" s="34"/>
      <c r="BG332" s="34"/>
      <c r="BH332" s="34"/>
      <c r="BI332" s="34"/>
      <c r="BJ332" s="34"/>
      <c r="BK332" s="34"/>
      <c r="BL332" s="34"/>
      <c r="BM332" s="34"/>
      <c r="BN332" s="34"/>
      <c r="BO332" s="34"/>
      <c r="BP332" s="34"/>
      <c r="BQ332" s="34"/>
      <c r="BR332" s="34"/>
      <c r="BS332" s="34"/>
      <c r="BT332" s="34"/>
      <c r="BU332" s="34"/>
      <c r="BV332" s="34"/>
      <c r="BW332" s="34"/>
      <c r="BX332" s="34"/>
      <c r="BY332" s="34"/>
    </row>
    <row r="333" spans="1:77" x14ac:dyDescent="0.3">
      <c r="A333" s="39"/>
      <c r="B333" s="42"/>
      <c r="C333" s="42"/>
      <c r="D333" s="75"/>
      <c r="E333" s="75"/>
      <c r="F333" s="76"/>
      <c r="G333" s="47"/>
      <c r="H333" s="47"/>
      <c r="I333" s="75"/>
      <c r="J333" s="76"/>
      <c r="K333" s="76"/>
      <c r="L333" s="75"/>
      <c r="M333" s="49"/>
      <c r="N333" s="76"/>
      <c r="O333" s="49"/>
      <c r="P333" s="77"/>
      <c r="Q333" s="53"/>
      <c r="R333" s="54"/>
      <c r="S333" s="55"/>
      <c r="T333" s="56"/>
      <c r="U333" s="56"/>
      <c r="V333" s="42"/>
      <c r="W333" s="57"/>
      <c r="X333" s="58"/>
      <c r="Y333" s="75"/>
      <c r="Z333" s="59"/>
      <c r="AA333" s="61"/>
      <c r="AB333" s="61"/>
      <c r="AC333" s="61"/>
      <c r="AD333" s="62"/>
      <c r="AE333" s="62"/>
      <c r="AF333" s="34"/>
      <c r="AG333" s="34"/>
      <c r="AH333" s="34"/>
      <c r="AI333" s="34"/>
      <c r="AJ333" s="34"/>
      <c r="AK333" s="34"/>
      <c r="AL333" s="34"/>
      <c r="AM333" s="34"/>
      <c r="AN333" s="34"/>
      <c r="AO333" s="34"/>
      <c r="AP333" s="34"/>
      <c r="AQ333" s="34"/>
      <c r="AR333" s="34"/>
      <c r="AS333" s="34"/>
      <c r="AT333" s="34"/>
      <c r="AU333" s="34"/>
      <c r="AV333" s="34"/>
      <c r="AW333" s="34"/>
      <c r="AX333" s="34"/>
      <c r="AY333" s="34"/>
      <c r="AZ333" s="34"/>
      <c r="BA333" s="34"/>
      <c r="BB333" s="34"/>
      <c r="BD333" s="34"/>
      <c r="BE333" s="34"/>
      <c r="BF333" s="34"/>
      <c r="BG333" s="34"/>
      <c r="BH333" s="34"/>
      <c r="BI333" s="34"/>
      <c r="BJ333" s="34"/>
      <c r="BK333" s="34"/>
      <c r="BL333" s="34"/>
      <c r="BM333" s="34"/>
      <c r="BN333" s="34"/>
      <c r="BO333" s="34"/>
      <c r="BP333" s="34"/>
      <c r="BQ333" s="34"/>
      <c r="BR333" s="34"/>
      <c r="BS333" s="34"/>
      <c r="BT333" s="34"/>
      <c r="BU333" s="34"/>
      <c r="BV333" s="34"/>
      <c r="BW333" s="34"/>
      <c r="BX333" s="34"/>
      <c r="BY333" s="34"/>
    </row>
    <row r="334" spans="1:77" x14ac:dyDescent="0.3">
      <c r="A334" s="39"/>
      <c r="B334" s="42"/>
      <c r="C334" s="42"/>
      <c r="D334" s="75"/>
      <c r="E334" s="75"/>
      <c r="F334" s="76"/>
      <c r="G334" s="47"/>
      <c r="H334" s="47"/>
      <c r="I334" s="75"/>
      <c r="J334" s="76"/>
      <c r="K334" s="76"/>
      <c r="L334" s="75"/>
      <c r="M334" s="49"/>
      <c r="N334" s="76"/>
      <c r="O334" s="49"/>
      <c r="P334" s="77"/>
      <c r="Q334" s="53"/>
      <c r="R334" s="54"/>
      <c r="S334" s="55"/>
      <c r="T334" s="56"/>
      <c r="U334" s="56"/>
      <c r="V334" s="42"/>
      <c r="W334" s="57"/>
      <c r="X334" s="58"/>
      <c r="Y334" s="75"/>
      <c r="Z334" s="59"/>
      <c r="AA334" s="61"/>
      <c r="AB334" s="61"/>
      <c r="AC334" s="61"/>
      <c r="AD334" s="62"/>
      <c r="AE334" s="62"/>
      <c r="AF334" s="34"/>
      <c r="AG334" s="34"/>
      <c r="AH334" s="34"/>
      <c r="AI334" s="34"/>
      <c r="AJ334" s="34"/>
      <c r="AK334" s="34"/>
      <c r="AL334" s="34"/>
      <c r="AM334" s="34"/>
      <c r="AN334" s="34"/>
      <c r="AO334" s="34"/>
      <c r="AP334" s="34"/>
      <c r="AQ334" s="34"/>
      <c r="AR334" s="34"/>
      <c r="AS334" s="34"/>
      <c r="AT334" s="34"/>
      <c r="AU334" s="34"/>
      <c r="AV334" s="34"/>
      <c r="AW334" s="34"/>
      <c r="AX334" s="34"/>
      <c r="AY334" s="34"/>
      <c r="AZ334" s="34"/>
      <c r="BA334" s="34"/>
      <c r="BB334" s="34"/>
      <c r="BD334" s="34"/>
      <c r="BE334" s="34"/>
      <c r="BF334" s="34"/>
      <c r="BG334" s="34"/>
      <c r="BH334" s="34"/>
      <c r="BI334" s="34"/>
      <c r="BJ334" s="34"/>
      <c r="BK334" s="34"/>
      <c r="BL334" s="34"/>
      <c r="BM334" s="34"/>
      <c r="BN334" s="34"/>
      <c r="BO334" s="34"/>
      <c r="BP334" s="34"/>
      <c r="BQ334" s="34"/>
      <c r="BR334" s="34"/>
      <c r="BS334" s="34"/>
      <c r="BT334" s="34"/>
      <c r="BU334" s="34"/>
      <c r="BV334" s="34"/>
      <c r="BW334" s="34"/>
      <c r="BX334" s="34"/>
      <c r="BY334" s="34"/>
    </row>
    <row r="335" spans="1:77" x14ac:dyDescent="0.3">
      <c r="A335" s="39"/>
      <c r="B335" s="42"/>
      <c r="C335" s="42"/>
      <c r="D335" s="75"/>
      <c r="E335" s="75"/>
      <c r="F335" s="76"/>
      <c r="G335" s="47"/>
      <c r="H335" s="47"/>
      <c r="I335" s="75"/>
      <c r="J335" s="76"/>
      <c r="K335" s="76"/>
      <c r="L335" s="75"/>
      <c r="M335" s="49"/>
      <c r="N335" s="76"/>
      <c r="O335" s="49"/>
      <c r="P335" s="77"/>
      <c r="Q335" s="53"/>
      <c r="R335" s="54"/>
      <c r="S335" s="55"/>
      <c r="T335" s="56"/>
      <c r="U335" s="56"/>
      <c r="V335" s="42"/>
      <c r="W335" s="57"/>
      <c r="X335" s="58"/>
      <c r="Y335" s="75"/>
      <c r="Z335" s="59"/>
      <c r="AA335" s="61"/>
      <c r="AB335" s="61"/>
      <c r="AC335" s="61"/>
      <c r="AD335" s="62"/>
      <c r="AE335" s="62"/>
      <c r="AF335" s="34"/>
      <c r="AG335" s="34"/>
      <c r="AH335" s="34"/>
      <c r="AI335" s="34"/>
      <c r="AJ335" s="34"/>
      <c r="AK335" s="34"/>
      <c r="AL335" s="34"/>
      <c r="AM335" s="34"/>
      <c r="AN335" s="34"/>
      <c r="AO335" s="34"/>
      <c r="AP335" s="34"/>
      <c r="AQ335" s="34"/>
      <c r="AR335" s="34"/>
      <c r="AS335" s="34"/>
      <c r="AT335" s="34"/>
      <c r="AU335" s="34"/>
      <c r="AV335" s="34"/>
      <c r="AW335" s="34"/>
      <c r="AX335" s="34"/>
      <c r="AY335" s="34"/>
      <c r="AZ335" s="34"/>
      <c r="BA335" s="34"/>
      <c r="BB335" s="34"/>
      <c r="BD335" s="34"/>
      <c r="BE335" s="34"/>
      <c r="BF335" s="34"/>
      <c r="BG335" s="34"/>
      <c r="BH335" s="34"/>
      <c r="BI335" s="34"/>
      <c r="BJ335" s="34"/>
      <c r="BK335" s="34"/>
      <c r="BL335" s="34"/>
      <c r="BM335" s="34"/>
      <c r="BN335" s="34"/>
      <c r="BO335" s="34"/>
      <c r="BP335" s="34"/>
      <c r="BQ335" s="34"/>
      <c r="BR335" s="34"/>
      <c r="BS335" s="34"/>
      <c r="BT335" s="34"/>
      <c r="BU335" s="34"/>
      <c r="BV335" s="34"/>
      <c r="BW335" s="34"/>
      <c r="BX335" s="34"/>
      <c r="BY335" s="34"/>
    </row>
    <row r="336" spans="1:77" x14ac:dyDescent="0.3">
      <c r="A336" s="39"/>
      <c r="B336" s="42"/>
      <c r="C336" s="42"/>
      <c r="D336" s="75"/>
      <c r="E336" s="75"/>
      <c r="F336" s="76"/>
      <c r="G336" s="47"/>
      <c r="H336" s="47"/>
      <c r="I336" s="75"/>
      <c r="J336" s="76"/>
      <c r="K336" s="76"/>
      <c r="L336" s="75"/>
      <c r="M336" s="49"/>
      <c r="N336" s="76"/>
      <c r="O336" s="49"/>
      <c r="P336" s="77"/>
      <c r="Q336" s="53"/>
      <c r="R336" s="54"/>
      <c r="S336" s="55"/>
      <c r="T336" s="56"/>
      <c r="U336" s="56"/>
      <c r="V336" s="42"/>
      <c r="W336" s="57"/>
      <c r="X336" s="58"/>
      <c r="Y336" s="75"/>
      <c r="Z336" s="59"/>
      <c r="AA336" s="61"/>
      <c r="AB336" s="61"/>
      <c r="AC336" s="61"/>
      <c r="AD336" s="62"/>
      <c r="AE336" s="62"/>
      <c r="AF336" s="34"/>
      <c r="AG336" s="34"/>
      <c r="AH336" s="34"/>
      <c r="AI336" s="34"/>
      <c r="AJ336" s="34"/>
      <c r="AK336" s="34"/>
      <c r="AL336" s="34"/>
      <c r="AM336" s="34"/>
      <c r="AN336" s="34"/>
      <c r="AO336" s="34"/>
      <c r="AP336" s="34"/>
      <c r="AQ336" s="34"/>
      <c r="AR336" s="34"/>
      <c r="AS336" s="34"/>
      <c r="AT336" s="34"/>
      <c r="AU336" s="34"/>
      <c r="AV336" s="34"/>
      <c r="AW336" s="34"/>
      <c r="AX336" s="34"/>
      <c r="AY336" s="34"/>
      <c r="AZ336" s="34"/>
      <c r="BA336" s="34"/>
      <c r="BB336" s="34"/>
      <c r="BD336" s="34"/>
      <c r="BE336" s="34"/>
      <c r="BF336" s="34"/>
      <c r="BG336" s="34"/>
      <c r="BH336" s="34"/>
      <c r="BI336" s="34"/>
      <c r="BJ336" s="34"/>
      <c r="BK336" s="34"/>
      <c r="BL336" s="34"/>
      <c r="BM336" s="34"/>
      <c r="BN336" s="34"/>
      <c r="BO336" s="34"/>
      <c r="BP336" s="34"/>
      <c r="BQ336" s="34"/>
      <c r="BR336" s="34"/>
      <c r="BS336" s="34"/>
      <c r="BT336" s="34"/>
      <c r="BU336" s="34"/>
      <c r="BV336" s="34"/>
      <c r="BW336" s="34"/>
      <c r="BX336" s="34"/>
      <c r="BY336" s="34"/>
    </row>
    <row r="337" spans="1:77" x14ac:dyDescent="0.3">
      <c r="A337" s="39"/>
      <c r="B337" s="42"/>
      <c r="C337" s="42"/>
      <c r="D337" s="75"/>
      <c r="E337" s="75"/>
      <c r="F337" s="76"/>
      <c r="G337" s="47"/>
      <c r="H337" s="47"/>
      <c r="I337" s="75"/>
      <c r="J337" s="76"/>
      <c r="K337" s="76"/>
      <c r="L337" s="75"/>
      <c r="M337" s="49"/>
      <c r="N337" s="76"/>
      <c r="O337" s="49"/>
      <c r="P337" s="77"/>
      <c r="Q337" s="53"/>
      <c r="R337" s="54"/>
      <c r="S337" s="55"/>
      <c r="T337" s="56"/>
      <c r="U337" s="56"/>
      <c r="V337" s="42"/>
      <c r="W337" s="57"/>
      <c r="X337" s="58"/>
      <c r="Y337" s="75"/>
      <c r="Z337" s="59"/>
      <c r="AA337" s="61"/>
      <c r="AB337" s="61"/>
      <c r="AC337" s="61"/>
      <c r="AD337" s="62"/>
      <c r="AE337" s="62"/>
      <c r="AF337" s="34"/>
      <c r="AG337" s="34"/>
      <c r="AH337" s="34"/>
      <c r="AI337" s="34"/>
      <c r="AJ337" s="34"/>
      <c r="AK337" s="34"/>
      <c r="AL337" s="34"/>
      <c r="AM337" s="34"/>
      <c r="AN337" s="34"/>
      <c r="AO337" s="34"/>
      <c r="AP337" s="34"/>
      <c r="AQ337" s="34"/>
      <c r="AR337" s="34"/>
      <c r="AS337" s="34"/>
      <c r="AT337" s="34"/>
      <c r="AU337" s="34"/>
      <c r="AV337" s="34"/>
      <c r="AW337" s="34"/>
      <c r="AX337" s="34"/>
      <c r="AY337" s="34"/>
      <c r="AZ337" s="34"/>
      <c r="BA337" s="34"/>
      <c r="BB337" s="34"/>
      <c r="BD337" s="34"/>
      <c r="BE337" s="34"/>
      <c r="BF337" s="34"/>
      <c r="BG337" s="34"/>
      <c r="BH337" s="34"/>
      <c r="BI337" s="34"/>
      <c r="BJ337" s="34"/>
      <c r="BK337" s="34"/>
      <c r="BL337" s="34"/>
      <c r="BM337" s="34"/>
      <c r="BN337" s="34"/>
      <c r="BO337" s="34"/>
      <c r="BP337" s="34"/>
      <c r="BQ337" s="34"/>
      <c r="BR337" s="34"/>
      <c r="BS337" s="34"/>
      <c r="BT337" s="34"/>
      <c r="BU337" s="34"/>
      <c r="BV337" s="34"/>
      <c r="BW337" s="34"/>
      <c r="BX337" s="34"/>
      <c r="BY337" s="34"/>
    </row>
    <row r="338" spans="1:77" x14ac:dyDescent="0.3">
      <c r="A338" s="39"/>
      <c r="B338" s="42"/>
      <c r="C338" s="42"/>
      <c r="D338" s="75"/>
      <c r="E338" s="75"/>
      <c r="F338" s="76"/>
      <c r="G338" s="47"/>
      <c r="H338" s="47"/>
      <c r="I338" s="75"/>
      <c r="J338" s="76"/>
      <c r="K338" s="76"/>
      <c r="L338" s="75"/>
      <c r="M338" s="49"/>
      <c r="N338" s="76"/>
      <c r="O338" s="49"/>
      <c r="P338" s="77"/>
      <c r="Q338" s="53"/>
      <c r="R338" s="54"/>
      <c r="S338" s="55"/>
      <c r="T338" s="56"/>
      <c r="U338" s="56"/>
      <c r="V338" s="42"/>
      <c r="W338" s="57"/>
      <c r="X338" s="58"/>
      <c r="Y338" s="75"/>
      <c r="Z338" s="59"/>
      <c r="AA338" s="61"/>
      <c r="AB338" s="61"/>
      <c r="AC338" s="61"/>
      <c r="AD338" s="62"/>
      <c r="AE338" s="62"/>
      <c r="AF338" s="34"/>
      <c r="AG338" s="34"/>
      <c r="AH338" s="34"/>
      <c r="AI338" s="34"/>
      <c r="AJ338" s="34"/>
      <c r="AK338" s="34"/>
      <c r="AL338" s="34"/>
      <c r="AM338" s="34"/>
      <c r="AN338" s="34"/>
      <c r="AO338" s="34"/>
      <c r="AP338" s="34"/>
      <c r="AQ338" s="34"/>
      <c r="AR338" s="34"/>
      <c r="AS338" s="34"/>
      <c r="AT338" s="34"/>
      <c r="AU338" s="34"/>
      <c r="AV338" s="34"/>
      <c r="AW338" s="34"/>
      <c r="AX338" s="34"/>
      <c r="AY338" s="34"/>
      <c r="AZ338" s="34"/>
      <c r="BA338" s="34"/>
      <c r="BB338" s="34"/>
      <c r="BD338" s="34"/>
      <c r="BE338" s="34"/>
      <c r="BF338" s="34"/>
      <c r="BG338" s="34"/>
      <c r="BH338" s="34"/>
      <c r="BI338" s="34"/>
      <c r="BJ338" s="34"/>
      <c r="BK338" s="34"/>
      <c r="BL338" s="34"/>
      <c r="BM338" s="34"/>
      <c r="BN338" s="34"/>
      <c r="BO338" s="34"/>
      <c r="BP338" s="34"/>
      <c r="BQ338" s="34"/>
      <c r="BR338" s="34"/>
      <c r="BS338" s="34"/>
      <c r="BT338" s="34"/>
      <c r="BU338" s="34"/>
      <c r="BV338" s="34"/>
      <c r="BW338" s="34"/>
      <c r="BX338" s="34"/>
      <c r="BY338" s="34"/>
    </row>
    <row r="339" spans="1:77" x14ac:dyDescent="0.3">
      <c r="A339" s="39"/>
      <c r="B339" s="42"/>
      <c r="C339" s="42"/>
      <c r="D339" s="75"/>
      <c r="E339" s="75"/>
      <c r="F339" s="76"/>
      <c r="G339" s="47"/>
      <c r="H339" s="47"/>
      <c r="I339" s="75"/>
      <c r="J339" s="76"/>
      <c r="K339" s="76"/>
      <c r="L339" s="75"/>
      <c r="M339" s="49"/>
      <c r="N339" s="76"/>
      <c r="O339" s="49"/>
      <c r="P339" s="77"/>
      <c r="Q339" s="53"/>
      <c r="R339" s="54"/>
      <c r="S339" s="55"/>
      <c r="T339" s="56"/>
      <c r="U339" s="56"/>
      <c r="V339" s="42"/>
      <c r="W339" s="57"/>
      <c r="X339" s="58"/>
      <c r="Y339" s="75"/>
      <c r="Z339" s="59"/>
      <c r="AA339" s="61"/>
      <c r="AB339" s="61"/>
      <c r="AC339" s="61"/>
      <c r="AD339" s="62"/>
      <c r="AE339" s="62"/>
      <c r="AF339" s="34"/>
      <c r="AG339" s="34"/>
      <c r="AH339" s="34"/>
      <c r="AI339" s="34"/>
      <c r="AJ339" s="34"/>
      <c r="AK339" s="34"/>
      <c r="AL339" s="34"/>
      <c r="AM339" s="34"/>
      <c r="AN339" s="34"/>
      <c r="AO339" s="34"/>
      <c r="AP339" s="34"/>
      <c r="AQ339" s="34"/>
      <c r="AR339" s="34"/>
      <c r="AS339" s="34"/>
      <c r="AT339" s="34"/>
      <c r="AU339" s="34"/>
      <c r="AV339" s="34"/>
      <c r="AW339" s="34"/>
      <c r="AX339" s="34"/>
      <c r="AY339" s="34"/>
      <c r="AZ339" s="34"/>
      <c r="BA339" s="34"/>
      <c r="BB339" s="34"/>
      <c r="BD339" s="34"/>
      <c r="BE339" s="34"/>
      <c r="BF339" s="34"/>
      <c r="BG339" s="34"/>
      <c r="BH339" s="34"/>
      <c r="BI339" s="34"/>
      <c r="BJ339" s="34"/>
      <c r="BK339" s="34"/>
      <c r="BL339" s="34"/>
      <c r="BM339" s="34"/>
      <c r="BN339" s="34"/>
      <c r="BO339" s="34"/>
      <c r="BP339" s="34"/>
      <c r="BQ339" s="34"/>
      <c r="BR339" s="34"/>
      <c r="BS339" s="34"/>
      <c r="BT339" s="34"/>
      <c r="BU339" s="34"/>
      <c r="BV339" s="34"/>
      <c r="BW339" s="34"/>
      <c r="BX339" s="34"/>
      <c r="BY339" s="34"/>
    </row>
    <row r="340" spans="1:77" x14ac:dyDescent="0.3">
      <c r="A340" s="39"/>
      <c r="B340" s="42"/>
      <c r="C340" s="42"/>
      <c r="D340" s="75"/>
      <c r="E340" s="75"/>
      <c r="F340" s="76"/>
      <c r="G340" s="47"/>
      <c r="H340" s="47"/>
      <c r="I340" s="75"/>
      <c r="J340" s="76"/>
      <c r="K340" s="76"/>
      <c r="L340" s="75"/>
      <c r="M340" s="49"/>
      <c r="N340" s="76"/>
      <c r="O340" s="49"/>
      <c r="P340" s="77"/>
      <c r="Q340" s="53"/>
      <c r="R340" s="54"/>
      <c r="S340" s="55"/>
      <c r="T340" s="56"/>
      <c r="U340" s="56"/>
      <c r="V340" s="42"/>
      <c r="W340" s="57"/>
      <c r="X340" s="58"/>
      <c r="Y340" s="75"/>
      <c r="Z340" s="59"/>
      <c r="AA340" s="61"/>
      <c r="AB340" s="61"/>
      <c r="AC340" s="61"/>
      <c r="AD340" s="62"/>
      <c r="AE340" s="62"/>
      <c r="AF340" s="34"/>
      <c r="AG340" s="34"/>
      <c r="AH340" s="34"/>
      <c r="AI340" s="34"/>
      <c r="AJ340" s="34"/>
      <c r="AK340" s="34"/>
      <c r="AL340" s="34"/>
      <c r="AM340" s="34"/>
      <c r="AN340" s="34"/>
      <c r="AO340" s="34"/>
      <c r="AP340" s="34"/>
      <c r="AQ340" s="34"/>
      <c r="AR340" s="34"/>
      <c r="AS340" s="34"/>
      <c r="AT340" s="34"/>
      <c r="AU340" s="34"/>
      <c r="AV340" s="34"/>
      <c r="AW340" s="34"/>
      <c r="AX340" s="34"/>
      <c r="AY340" s="34"/>
      <c r="AZ340" s="34"/>
      <c r="BA340" s="34"/>
      <c r="BB340" s="34"/>
      <c r="BD340" s="34"/>
      <c r="BE340" s="34"/>
      <c r="BF340" s="34"/>
      <c r="BG340" s="34"/>
      <c r="BH340" s="34"/>
      <c r="BI340" s="34"/>
      <c r="BJ340" s="34"/>
      <c r="BK340" s="34"/>
      <c r="BL340" s="34"/>
      <c r="BM340" s="34"/>
      <c r="BN340" s="34"/>
      <c r="BO340" s="34"/>
      <c r="BP340" s="34"/>
      <c r="BQ340" s="34"/>
      <c r="BR340" s="34"/>
      <c r="BS340" s="34"/>
      <c r="BT340" s="34"/>
      <c r="BU340" s="34"/>
      <c r="BV340" s="34"/>
      <c r="BW340" s="34"/>
      <c r="BX340" s="34"/>
      <c r="BY340" s="34"/>
    </row>
    <row r="341" spans="1:77" x14ac:dyDescent="0.3">
      <c r="A341" s="39"/>
      <c r="B341" s="42"/>
      <c r="C341" s="42"/>
      <c r="D341" s="75"/>
      <c r="E341" s="75"/>
      <c r="F341" s="76"/>
      <c r="G341" s="47"/>
      <c r="H341" s="47"/>
      <c r="I341" s="75"/>
      <c r="J341" s="76"/>
      <c r="K341" s="76"/>
      <c r="L341" s="75"/>
      <c r="M341" s="49"/>
      <c r="N341" s="76"/>
      <c r="O341" s="49"/>
      <c r="P341" s="77"/>
      <c r="Q341" s="53"/>
      <c r="R341" s="54"/>
      <c r="S341" s="55"/>
      <c r="T341" s="56"/>
      <c r="U341" s="56"/>
      <c r="V341" s="42"/>
      <c r="W341" s="57"/>
      <c r="X341" s="58"/>
      <c r="Y341" s="75"/>
      <c r="Z341" s="59"/>
      <c r="AA341" s="61"/>
      <c r="AB341" s="61"/>
      <c r="AC341" s="61"/>
      <c r="AD341" s="62"/>
      <c r="AE341" s="62"/>
      <c r="AF341" s="34"/>
      <c r="AG341" s="34"/>
      <c r="AH341" s="34"/>
      <c r="AI341" s="34"/>
      <c r="AJ341" s="34"/>
      <c r="AK341" s="34"/>
      <c r="AL341" s="34"/>
      <c r="AM341" s="34"/>
      <c r="AN341" s="34"/>
      <c r="AO341" s="34"/>
      <c r="AP341" s="34"/>
      <c r="AQ341" s="34"/>
      <c r="AR341" s="34"/>
      <c r="AS341" s="34"/>
      <c r="AT341" s="34"/>
      <c r="AU341" s="34"/>
      <c r="AV341" s="34"/>
      <c r="AW341" s="34"/>
      <c r="AX341" s="34"/>
      <c r="AY341" s="34"/>
      <c r="AZ341" s="34"/>
      <c r="BA341" s="34"/>
      <c r="BB341" s="34"/>
      <c r="BD341" s="34"/>
      <c r="BE341" s="34"/>
      <c r="BF341" s="34"/>
      <c r="BG341" s="34"/>
      <c r="BH341" s="34"/>
      <c r="BI341" s="34"/>
      <c r="BJ341" s="34"/>
      <c r="BK341" s="34"/>
      <c r="BL341" s="34"/>
      <c r="BM341" s="34"/>
      <c r="BN341" s="34"/>
      <c r="BO341" s="34"/>
      <c r="BP341" s="34"/>
      <c r="BQ341" s="34"/>
      <c r="BR341" s="34"/>
      <c r="BS341" s="34"/>
      <c r="BT341" s="34"/>
      <c r="BU341" s="34"/>
      <c r="BV341" s="34"/>
      <c r="BW341" s="34"/>
      <c r="BX341" s="34"/>
      <c r="BY341" s="34"/>
    </row>
    <row r="342" spans="1:77" x14ac:dyDescent="0.3">
      <c r="A342" s="39"/>
      <c r="B342" s="42"/>
      <c r="C342" s="42"/>
      <c r="D342" s="75"/>
      <c r="E342" s="75"/>
      <c r="F342" s="76"/>
      <c r="G342" s="47"/>
      <c r="H342" s="47"/>
      <c r="I342" s="75"/>
      <c r="J342" s="76"/>
      <c r="K342" s="76"/>
      <c r="L342" s="75"/>
      <c r="M342" s="49"/>
      <c r="N342" s="76"/>
      <c r="O342" s="49"/>
      <c r="P342" s="77"/>
      <c r="Q342" s="53"/>
      <c r="R342" s="54"/>
      <c r="S342" s="55"/>
      <c r="T342" s="56"/>
      <c r="U342" s="56"/>
      <c r="V342" s="42"/>
      <c r="W342" s="57"/>
      <c r="X342" s="58"/>
      <c r="Y342" s="75"/>
      <c r="Z342" s="59"/>
      <c r="AA342" s="61"/>
      <c r="AB342" s="61"/>
      <c r="AC342" s="61"/>
      <c r="AD342" s="62"/>
      <c r="AE342" s="62"/>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D342" s="34"/>
      <c r="BE342" s="34"/>
      <c r="BF342" s="34"/>
      <c r="BG342" s="34"/>
      <c r="BH342" s="34"/>
      <c r="BI342" s="34"/>
      <c r="BJ342" s="34"/>
      <c r="BK342" s="34"/>
      <c r="BL342" s="34"/>
      <c r="BM342" s="34"/>
      <c r="BN342" s="34"/>
      <c r="BO342" s="34"/>
      <c r="BP342" s="34"/>
      <c r="BQ342" s="34"/>
      <c r="BR342" s="34"/>
      <c r="BS342" s="34"/>
      <c r="BT342" s="34"/>
      <c r="BU342" s="34"/>
      <c r="BV342" s="34"/>
      <c r="BW342" s="34"/>
      <c r="BX342" s="34"/>
      <c r="BY342" s="34"/>
    </row>
    <row r="343" spans="1:77" x14ac:dyDescent="0.3">
      <c r="A343" s="39"/>
      <c r="B343" s="42"/>
      <c r="C343" s="42"/>
      <c r="D343" s="75"/>
      <c r="E343" s="75"/>
      <c r="F343" s="76"/>
      <c r="G343" s="47"/>
      <c r="H343" s="47"/>
      <c r="I343" s="75"/>
      <c r="J343" s="76"/>
      <c r="K343" s="76"/>
      <c r="L343" s="75"/>
      <c r="M343" s="49"/>
      <c r="N343" s="76"/>
      <c r="O343" s="49"/>
      <c r="P343" s="77"/>
      <c r="Q343" s="53"/>
      <c r="R343" s="54"/>
      <c r="S343" s="55"/>
      <c r="T343" s="56"/>
      <c r="U343" s="56"/>
      <c r="V343" s="42"/>
      <c r="W343" s="57"/>
      <c r="X343" s="58"/>
      <c r="Y343" s="75"/>
      <c r="Z343" s="59"/>
      <c r="AA343" s="61"/>
      <c r="AB343" s="61"/>
      <c r="AC343" s="61"/>
      <c r="AD343" s="62"/>
      <c r="AE343" s="62"/>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D343" s="34"/>
      <c r="BE343" s="34"/>
      <c r="BF343" s="34"/>
      <c r="BG343" s="34"/>
      <c r="BH343" s="34"/>
      <c r="BI343" s="34"/>
      <c r="BJ343" s="34"/>
      <c r="BK343" s="34"/>
      <c r="BL343" s="34"/>
      <c r="BM343" s="34"/>
      <c r="BN343" s="34"/>
      <c r="BO343" s="34"/>
      <c r="BP343" s="34"/>
      <c r="BQ343" s="34"/>
      <c r="BR343" s="34"/>
      <c r="BS343" s="34"/>
      <c r="BT343" s="34"/>
      <c r="BU343" s="34"/>
      <c r="BV343" s="34"/>
      <c r="BW343" s="34"/>
      <c r="BX343" s="34"/>
      <c r="BY343" s="34"/>
    </row>
    <row r="344" spans="1:77" x14ac:dyDescent="0.3">
      <c r="A344" s="39"/>
      <c r="B344" s="42"/>
      <c r="C344" s="42"/>
      <c r="D344" s="75"/>
      <c r="E344" s="75"/>
      <c r="F344" s="76"/>
      <c r="G344" s="47"/>
      <c r="H344" s="47"/>
      <c r="I344" s="75"/>
      <c r="J344" s="76"/>
      <c r="K344" s="76"/>
      <c r="L344" s="75"/>
      <c r="M344" s="49"/>
      <c r="N344" s="76"/>
      <c r="O344" s="49"/>
      <c r="P344" s="77"/>
      <c r="Q344" s="53"/>
      <c r="R344" s="54"/>
      <c r="S344" s="55"/>
      <c r="T344" s="56"/>
      <c r="U344" s="56"/>
      <c r="V344" s="42"/>
      <c r="W344" s="57"/>
      <c r="X344" s="58"/>
      <c r="Y344" s="75"/>
      <c r="Z344" s="59"/>
      <c r="AA344" s="61"/>
      <c r="AB344" s="61"/>
      <c r="AC344" s="61"/>
      <c r="AD344" s="62"/>
      <c r="AE344" s="62"/>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D344" s="34"/>
      <c r="BE344" s="34"/>
      <c r="BF344" s="34"/>
      <c r="BG344" s="34"/>
      <c r="BH344" s="34"/>
      <c r="BI344" s="34"/>
      <c r="BJ344" s="34"/>
      <c r="BK344" s="34"/>
      <c r="BL344" s="34"/>
      <c r="BM344" s="34"/>
      <c r="BN344" s="34"/>
      <c r="BO344" s="34"/>
      <c r="BP344" s="34"/>
      <c r="BQ344" s="34"/>
      <c r="BR344" s="34"/>
      <c r="BS344" s="34"/>
      <c r="BT344" s="34"/>
      <c r="BU344" s="34"/>
      <c r="BV344" s="34"/>
      <c r="BW344" s="34"/>
      <c r="BX344" s="34"/>
      <c r="BY344" s="34"/>
    </row>
    <row r="345" spans="1:77" x14ac:dyDescent="0.3">
      <c r="A345" s="39"/>
      <c r="B345" s="42"/>
      <c r="C345" s="42"/>
      <c r="D345" s="75"/>
      <c r="E345" s="75"/>
      <c r="F345" s="76"/>
      <c r="G345" s="47"/>
      <c r="H345" s="47"/>
      <c r="I345" s="75"/>
      <c r="J345" s="76"/>
      <c r="K345" s="76"/>
      <c r="L345" s="75"/>
      <c r="M345" s="49"/>
      <c r="N345" s="76"/>
      <c r="O345" s="49"/>
      <c r="P345" s="77"/>
      <c r="Q345" s="53"/>
      <c r="R345" s="54"/>
      <c r="S345" s="55"/>
      <c r="T345" s="56"/>
      <c r="U345" s="56"/>
      <c r="V345" s="42"/>
      <c r="W345" s="57"/>
      <c r="X345" s="58"/>
      <c r="Y345" s="75"/>
      <c r="Z345" s="59"/>
      <c r="AA345" s="61"/>
      <c r="AB345" s="61"/>
      <c r="AC345" s="61"/>
      <c r="AD345" s="62"/>
      <c r="AE345" s="62"/>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D345" s="34"/>
      <c r="BE345" s="34"/>
      <c r="BF345" s="34"/>
      <c r="BG345" s="34"/>
      <c r="BH345" s="34"/>
      <c r="BI345" s="34"/>
      <c r="BJ345" s="34"/>
      <c r="BK345" s="34"/>
      <c r="BL345" s="34"/>
      <c r="BM345" s="34"/>
      <c r="BN345" s="34"/>
      <c r="BO345" s="34"/>
      <c r="BP345" s="34"/>
      <c r="BQ345" s="34"/>
      <c r="BR345" s="34"/>
      <c r="BS345" s="34"/>
      <c r="BT345" s="34"/>
      <c r="BU345" s="34"/>
      <c r="BV345" s="34"/>
      <c r="BW345" s="34"/>
      <c r="BX345" s="34"/>
      <c r="BY345" s="34"/>
    </row>
    <row r="346" spans="1:77" x14ac:dyDescent="0.3">
      <c r="A346" s="39"/>
      <c r="B346" s="42"/>
      <c r="C346" s="42"/>
      <c r="D346" s="75"/>
      <c r="E346" s="75"/>
      <c r="F346" s="76"/>
      <c r="G346" s="47"/>
      <c r="H346" s="47"/>
      <c r="I346" s="75"/>
      <c r="J346" s="76"/>
      <c r="K346" s="76"/>
      <c r="L346" s="75"/>
      <c r="M346" s="49"/>
      <c r="N346" s="76"/>
      <c r="O346" s="49"/>
      <c r="P346" s="77"/>
      <c r="Q346" s="53"/>
      <c r="R346" s="54"/>
      <c r="S346" s="55"/>
      <c r="T346" s="56"/>
      <c r="U346" s="56"/>
      <c r="V346" s="42"/>
      <c r="W346" s="57"/>
      <c r="X346" s="58"/>
      <c r="Y346" s="75"/>
      <c r="Z346" s="59"/>
      <c r="AA346" s="61"/>
      <c r="AB346" s="61"/>
      <c r="AC346" s="61"/>
      <c r="AD346" s="62"/>
      <c r="AE346" s="62"/>
      <c r="AF346" s="34"/>
      <c r="AG346" s="34"/>
      <c r="AH346" s="34"/>
      <c r="AI346" s="34"/>
      <c r="AJ346" s="34"/>
      <c r="AK346" s="34"/>
      <c r="AL346" s="34"/>
      <c r="AM346" s="34"/>
      <c r="AN346" s="34"/>
      <c r="AO346" s="34"/>
      <c r="AP346" s="34"/>
      <c r="AQ346" s="34"/>
      <c r="AR346" s="34"/>
      <c r="AS346" s="34"/>
      <c r="AT346" s="34"/>
      <c r="AU346" s="34"/>
      <c r="AV346" s="34"/>
      <c r="AW346" s="34"/>
      <c r="AX346" s="34"/>
      <c r="AY346" s="34"/>
      <c r="AZ346" s="34"/>
      <c r="BA346" s="34"/>
      <c r="BB346" s="34"/>
      <c r="BD346" s="34"/>
      <c r="BE346" s="34"/>
      <c r="BF346" s="34"/>
      <c r="BG346" s="34"/>
      <c r="BH346" s="34"/>
      <c r="BI346" s="34"/>
      <c r="BJ346" s="34"/>
      <c r="BK346" s="34"/>
      <c r="BL346" s="34"/>
      <c r="BM346" s="34"/>
      <c r="BN346" s="34"/>
      <c r="BO346" s="34"/>
      <c r="BP346" s="34"/>
      <c r="BQ346" s="34"/>
      <c r="BR346" s="34"/>
      <c r="BS346" s="34"/>
      <c r="BT346" s="34"/>
      <c r="BU346" s="34"/>
      <c r="BV346" s="34"/>
      <c r="BW346" s="34"/>
      <c r="BX346" s="34"/>
      <c r="BY346" s="34"/>
    </row>
    <row r="347" spans="1:77" x14ac:dyDescent="0.3">
      <c r="A347" s="39"/>
      <c r="B347" s="42"/>
      <c r="C347" s="42"/>
      <c r="D347" s="75"/>
      <c r="E347" s="75"/>
      <c r="F347" s="76"/>
      <c r="G347" s="47"/>
      <c r="H347" s="47"/>
      <c r="I347" s="75"/>
      <c r="J347" s="76"/>
      <c r="K347" s="76"/>
      <c r="L347" s="75"/>
      <c r="M347" s="49"/>
      <c r="N347" s="76"/>
      <c r="O347" s="49"/>
      <c r="P347" s="77"/>
      <c r="Q347" s="53"/>
      <c r="R347" s="54"/>
      <c r="S347" s="55"/>
      <c r="T347" s="56"/>
      <c r="U347" s="56"/>
      <c r="V347" s="42"/>
      <c r="W347" s="57"/>
      <c r="X347" s="58"/>
      <c r="Y347" s="75"/>
      <c r="Z347" s="59"/>
      <c r="AA347" s="61"/>
      <c r="AB347" s="61"/>
      <c r="AC347" s="61"/>
      <c r="AD347" s="62"/>
      <c r="AE347" s="62"/>
      <c r="AF347" s="34"/>
      <c r="AG347" s="34"/>
      <c r="AH347" s="34"/>
      <c r="AI347" s="34"/>
      <c r="AJ347" s="34"/>
      <c r="AK347" s="34"/>
      <c r="AL347" s="34"/>
      <c r="AM347" s="34"/>
      <c r="AN347" s="34"/>
      <c r="AO347" s="34"/>
      <c r="AP347" s="34"/>
      <c r="AQ347" s="34"/>
      <c r="AR347" s="34"/>
      <c r="AS347" s="34"/>
      <c r="AT347" s="34"/>
      <c r="AU347" s="34"/>
      <c r="AV347" s="34"/>
      <c r="AW347" s="34"/>
      <c r="AX347" s="34"/>
      <c r="AY347" s="34"/>
      <c r="AZ347" s="34"/>
      <c r="BA347" s="34"/>
      <c r="BB347" s="34"/>
      <c r="BD347" s="34"/>
      <c r="BE347" s="34"/>
      <c r="BF347" s="34"/>
      <c r="BG347" s="34"/>
      <c r="BH347" s="34"/>
      <c r="BI347" s="34"/>
      <c r="BJ347" s="34"/>
      <c r="BK347" s="34"/>
      <c r="BL347" s="34"/>
      <c r="BM347" s="34"/>
      <c r="BN347" s="34"/>
      <c r="BO347" s="34"/>
      <c r="BP347" s="34"/>
      <c r="BQ347" s="34"/>
      <c r="BR347" s="34"/>
      <c r="BS347" s="34"/>
      <c r="BT347" s="34"/>
      <c r="BU347" s="34"/>
      <c r="BV347" s="34"/>
      <c r="BW347" s="34"/>
      <c r="BX347" s="34"/>
      <c r="BY347" s="34"/>
    </row>
    <row r="348" spans="1:77" x14ac:dyDescent="0.3">
      <c r="A348" s="39"/>
      <c r="B348" s="42"/>
      <c r="C348" s="42"/>
      <c r="D348" s="75"/>
      <c r="E348" s="75"/>
      <c r="F348" s="76"/>
      <c r="G348" s="47"/>
      <c r="H348" s="47"/>
      <c r="I348" s="75"/>
      <c r="J348" s="76"/>
      <c r="K348" s="76"/>
      <c r="L348" s="75"/>
      <c r="M348" s="49"/>
      <c r="N348" s="76"/>
      <c r="O348" s="49"/>
      <c r="P348" s="77"/>
      <c r="Q348" s="53"/>
      <c r="R348" s="54"/>
      <c r="S348" s="55"/>
      <c r="T348" s="56"/>
      <c r="U348" s="56"/>
      <c r="V348" s="42"/>
      <c r="W348" s="57"/>
      <c r="X348" s="58"/>
      <c r="Y348" s="75"/>
      <c r="Z348" s="59"/>
      <c r="AA348" s="61"/>
      <c r="AB348" s="61"/>
      <c r="AC348" s="61"/>
      <c r="AD348" s="62"/>
      <c r="AE348" s="62"/>
      <c r="AF348" s="34"/>
      <c r="AG348" s="34"/>
      <c r="AH348" s="34"/>
      <c r="AI348" s="34"/>
      <c r="AJ348" s="34"/>
      <c r="AK348" s="34"/>
      <c r="AL348" s="34"/>
      <c r="AM348" s="34"/>
      <c r="AN348" s="34"/>
      <c r="AO348" s="34"/>
      <c r="AP348" s="34"/>
      <c r="AQ348" s="34"/>
      <c r="AR348" s="34"/>
      <c r="AS348" s="34"/>
      <c r="AT348" s="34"/>
      <c r="AU348" s="34"/>
      <c r="AV348" s="34"/>
      <c r="AW348" s="34"/>
      <c r="AX348" s="34"/>
      <c r="AY348" s="34"/>
      <c r="AZ348" s="34"/>
      <c r="BA348" s="34"/>
      <c r="BB348" s="34"/>
      <c r="BD348" s="34"/>
      <c r="BE348" s="34"/>
      <c r="BF348" s="34"/>
      <c r="BG348" s="34"/>
      <c r="BH348" s="34"/>
      <c r="BI348" s="34"/>
      <c r="BJ348" s="34"/>
      <c r="BK348" s="34"/>
      <c r="BL348" s="34"/>
      <c r="BM348" s="34"/>
      <c r="BN348" s="34"/>
      <c r="BO348" s="34"/>
      <c r="BP348" s="34"/>
      <c r="BQ348" s="34"/>
      <c r="BR348" s="34"/>
      <c r="BS348" s="34"/>
      <c r="BT348" s="34"/>
      <c r="BU348" s="34"/>
      <c r="BV348" s="34"/>
      <c r="BW348" s="34"/>
      <c r="BX348" s="34"/>
      <c r="BY348" s="34"/>
    </row>
    <row r="349" spans="1:77" x14ac:dyDescent="0.3">
      <c r="A349" s="39"/>
      <c r="B349" s="42"/>
      <c r="C349" s="42"/>
      <c r="D349" s="75"/>
      <c r="E349" s="75"/>
      <c r="F349" s="76"/>
      <c r="G349" s="47"/>
      <c r="H349" s="47"/>
      <c r="I349" s="75"/>
      <c r="J349" s="76"/>
      <c r="K349" s="76"/>
      <c r="L349" s="75"/>
      <c r="M349" s="49"/>
      <c r="N349" s="76"/>
      <c r="O349" s="49"/>
      <c r="P349" s="77"/>
      <c r="Q349" s="53"/>
      <c r="R349" s="54"/>
      <c r="S349" s="55"/>
      <c r="T349" s="56"/>
      <c r="U349" s="56"/>
      <c r="V349" s="42"/>
      <c r="W349" s="57"/>
      <c r="X349" s="58"/>
      <c r="Y349" s="75"/>
      <c r="Z349" s="59"/>
      <c r="AA349" s="61"/>
      <c r="AB349" s="61"/>
      <c r="AC349" s="61"/>
      <c r="AD349" s="62"/>
      <c r="AE349" s="62"/>
      <c r="AF349" s="34"/>
      <c r="AG349" s="34"/>
      <c r="AH349" s="34"/>
      <c r="AI349" s="34"/>
      <c r="AJ349" s="34"/>
      <c r="AK349" s="34"/>
      <c r="AL349" s="34"/>
      <c r="AM349" s="34"/>
      <c r="AN349" s="34"/>
      <c r="AO349" s="34"/>
      <c r="AP349" s="34"/>
      <c r="AQ349" s="34"/>
      <c r="AR349" s="34"/>
      <c r="AS349" s="34"/>
      <c r="AT349" s="34"/>
      <c r="AU349" s="34"/>
      <c r="AV349" s="34"/>
      <c r="AW349" s="34"/>
      <c r="AX349" s="34"/>
      <c r="AY349" s="34"/>
      <c r="AZ349" s="34"/>
      <c r="BA349" s="34"/>
      <c r="BB349" s="34"/>
      <c r="BD349" s="34"/>
      <c r="BE349" s="34"/>
      <c r="BF349" s="34"/>
      <c r="BG349" s="34"/>
      <c r="BH349" s="34"/>
      <c r="BI349" s="34"/>
      <c r="BJ349" s="34"/>
      <c r="BK349" s="34"/>
      <c r="BL349" s="34"/>
      <c r="BM349" s="34"/>
      <c r="BN349" s="34"/>
      <c r="BO349" s="34"/>
      <c r="BP349" s="34"/>
      <c r="BQ349" s="34"/>
      <c r="BR349" s="34"/>
      <c r="BS349" s="34"/>
      <c r="BT349" s="34"/>
      <c r="BU349" s="34"/>
      <c r="BV349" s="34"/>
      <c r="BW349" s="34"/>
      <c r="BX349" s="34"/>
      <c r="BY349" s="34"/>
    </row>
    <row r="350" spans="1:77" x14ac:dyDescent="0.3">
      <c r="A350" s="39"/>
      <c r="B350" s="42"/>
      <c r="C350" s="42"/>
      <c r="D350" s="75"/>
      <c r="E350" s="75"/>
      <c r="F350" s="76"/>
      <c r="G350" s="47"/>
      <c r="H350" s="47"/>
      <c r="I350" s="75"/>
      <c r="J350" s="76"/>
      <c r="K350" s="76"/>
      <c r="L350" s="75"/>
      <c r="M350" s="49"/>
      <c r="N350" s="76"/>
      <c r="O350" s="49"/>
      <c r="P350" s="77"/>
      <c r="Q350" s="53"/>
      <c r="R350" s="54"/>
      <c r="S350" s="55"/>
      <c r="T350" s="56"/>
      <c r="U350" s="56"/>
      <c r="V350" s="42"/>
      <c r="W350" s="57"/>
      <c r="X350" s="58"/>
      <c r="Y350" s="75"/>
      <c r="Z350" s="59"/>
      <c r="AA350" s="61"/>
      <c r="AB350" s="61"/>
      <c r="AC350" s="61"/>
      <c r="AD350" s="62"/>
      <c r="AE350" s="62"/>
      <c r="AF350" s="34"/>
      <c r="AG350" s="34"/>
      <c r="AH350" s="34"/>
      <c r="AI350" s="34"/>
      <c r="AJ350" s="34"/>
      <c r="AK350" s="34"/>
      <c r="AL350" s="34"/>
      <c r="AM350" s="34"/>
      <c r="AN350" s="34"/>
      <c r="AO350" s="34"/>
      <c r="AP350" s="34"/>
      <c r="AQ350" s="34"/>
      <c r="AR350" s="34"/>
      <c r="AS350" s="34"/>
      <c r="AT350" s="34"/>
      <c r="AU350" s="34"/>
      <c r="AV350" s="34"/>
      <c r="AW350" s="34"/>
      <c r="AX350" s="34"/>
      <c r="AY350" s="34"/>
      <c r="AZ350" s="34"/>
      <c r="BA350" s="34"/>
      <c r="BB350" s="34"/>
      <c r="BD350" s="34"/>
      <c r="BE350" s="34"/>
      <c r="BF350" s="34"/>
      <c r="BG350" s="34"/>
      <c r="BH350" s="34"/>
      <c r="BI350" s="34"/>
      <c r="BJ350" s="34"/>
      <c r="BK350" s="34"/>
      <c r="BL350" s="34"/>
      <c r="BM350" s="34"/>
      <c r="BN350" s="34"/>
      <c r="BO350" s="34"/>
      <c r="BP350" s="34"/>
      <c r="BQ350" s="34"/>
      <c r="BR350" s="34"/>
      <c r="BS350" s="34"/>
      <c r="BT350" s="34"/>
      <c r="BU350" s="34"/>
      <c r="BV350" s="34"/>
      <c r="BW350" s="34"/>
      <c r="BX350" s="34"/>
      <c r="BY350" s="34"/>
    </row>
    <row r="351" spans="1:77" x14ac:dyDescent="0.3">
      <c r="A351" s="39"/>
      <c r="B351" s="42"/>
      <c r="C351" s="42"/>
      <c r="D351" s="75"/>
      <c r="E351" s="75"/>
      <c r="F351" s="76"/>
      <c r="G351" s="47"/>
      <c r="H351" s="47"/>
      <c r="I351" s="75"/>
      <c r="J351" s="76"/>
      <c r="K351" s="76"/>
      <c r="L351" s="75"/>
      <c r="M351" s="49"/>
      <c r="N351" s="76"/>
      <c r="O351" s="49"/>
      <c r="P351" s="77"/>
      <c r="Q351" s="53"/>
      <c r="R351" s="54"/>
      <c r="S351" s="55"/>
      <c r="T351" s="56"/>
      <c r="U351" s="56"/>
      <c r="V351" s="42"/>
      <c r="W351" s="57"/>
      <c r="X351" s="58"/>
      <c r="Y351" s="75"/>
      <c r="Z351" s="59"/>
      <c r="AA351" s="61"/>
      <c r="AB351" s="61"/>
      <c r="AC351" s="61"/>
      <c r="AD351" s="62"/>
      <c r="AE351" s="62"/>
      <c r="AF351" s="34"/>
      <c r="AG351" s="34"/>
      <c r="AH351" s="34"/>
      <c r="AI351" s="34"/>
      <c r="AJ351" s="34"/>
      <c r="AK351" s="34"/>
      <c r="AL351" s="34"/>
      <c r="AM351" s="34"/>
      <c r="AN351" s="34"/>
      <c r="AO351" s="34"/>
      <c r="AP351" s="34"/>
      <c r="AQ351" s="34"/>
      <c r="AR351" s="34"/>
      <c r="AS351" s="34"/>
      <c r="AT351" s="34"/>
      <c r="AU351" s="34"/>
      <c r="AV351" s="34"/>
      <c r="AW351" s="34"/>
      <c r="AX351" s="34"/>
      <c r="AY351" s="34"/>
      <c r="AZ351" s="34"/>
      <c r="BA351" s="34"/>
      <c r="BB351" s="34"/>
      <c r="BD351" s="34"/>
      <c r="BE351" s="34"/>
      <c r="BF351" s="34"/>
      <c r="BG351" s="34"/>
      <c r="BH351" s="34"/>
      <c r="BI351" s="34"/>
      <c r="BJ351" s="34"/>
      <c r="BK351" s="34"/>
      <c r="BL351" s="34"/>
      <c r="BM351" s="34"/>
      <c r="BN351" s="34"/>
      <c r="BO351" s="34"/>
      <c r="BP351" s="34"/>
      <c r="BQ351" s="34"/>
      <c r="BR351" s="34"/>
      <c r="BS351" s="34"/>
      <c r="BT351" s="34"/>
      <c r="BU351" s="34"/>
      <c r="BV351" s="34"/>
      <c r="BW351" s="34"/>
      <c r="BX351" s="34"/>
      <c r="BY351" s="34"/>
    </row>
    <row r="352" spans="1:77" x14ac:dyDescent="0.3">
      <c r="A352" s="39"/>
      <c r="B352" s="42"/>
      <c r="C352" s="42"/>
      <c r="D352" s="75"/>
      <c r="E352" s="75"/>
      <c r="F352" s="76"/>
      <c r="G352" s="47"/>
      <c r="H352" s="47"/>
      <c r="I352" s="75"/>
      <c r="J352" s="76"/>
      <c r="K352" s="76"/>
      <c r="L352" s="75"/>
      <c r="M352" s="49"/>
      <c r="N352" s="76"/>
      <c r="O352" s="49"/>
      <c r="P352" s="77"/>
      <c r="Q352" s="53"/>
      <c r="R352" s="54"/>
      <c r="S352" s="55"/>
      <c r="T352" s="56"/>
      <c r="U352" s="56"/>
      <c r="V352" s="42"/>
      <c r="W352" s="57"/>
      <c r="X352" s="58"/>
      <c r="Y352" s="75"/>
      <c r="Z352" s="59"/>
      <c r="AA352" s="61"/>
      <c r="AB352" s="61"/>
      <c r="AC352" s="61"/>
      <c r="AD352" s="62"/>
      <c r="AE352" s="62"/>
      <c r="AF352" s="34"/>
      <c r="AG352" s="34"/>
      <c r="AH352" s="34"/>
      <c r="AI352" s="34"/>
      <c r="AJ352" s="34"/>
      <c r="AK352" s="34"/>
      <c r="AL352" s="34"/>
      <c r="AM352" s="34"/>
      <c r="AN352" s="34"/>
      <c r="AO352" s="34"/>
      <c r="AP352" s="34"/>
      <c r="AQ352" s="34"/>
      <c r="AR352" s="34"/>
      <c r="AS352" s="34"/>
      <c r="AT352" s="34"/>
      <c r="AU352" s="34"/>
      <c r="AV352" s="34"/>
      <c r="AW352" s="34"/>
      <c r="AX352" s="34"/>
      <c r="AY352" s="34"/>
      <c r="AZ352" s="34"/>
      <c r="BA352" s="34"/>
      <c r="BB352" s="34"/>
      <c r="BD352" s="34"/>
      <c r="BE352" s="34"/>
      <c r="BF352" s="34"/>
      <c r="BG352" s="34"/>
      <c r="BH352" s="34"/>
      <c r="BI352" s="34"/>
      <c r="BJ352" s="34"/>
      <c r="BK352" s="34"/>
      <c r="BL352" s="34"/>
      <c r="BM352" s="34"/>
      <c r="BN352" s="34"/>
      <c r="BO352" s="34"/>
      <c r="BP352" s="34"/>
      <c r="BQ352" s="34"/>
      <c r="BR352" s="34"/>
      <c r="BS352" s="34"/>
      <c r="BT352" s="34"/>
      <c r="BU352" s="34"/>
      <c r="BV352" s="34"/>
      <c r="BW352" s="34"/>
      <c r="BX352" s="34"/>
      <c r="BY352" s="34"/>
    </row>
    <row r="353" spans="1:77" x14ac:dyDescent="0.3">
      <c r="A353" s="39"/>
      <c r="B353" s="42"/>
      <c r="C353" s="42"/>
      <c r="D353" s="75"/>
      <c r="E353" s="75"/>
      <c r="F353" s="76"/>
      <c r="G353" s="47"/>
      <c r="H353" s="47"/>
      <c r="I353" s="75"/>
      <c r="J353" s="76"/>
      <c r="K353" s="76"/>
      <c r="L353" s="75"/>
      <c r="M353" s="49"/>
      <c r="N353" s="76"/>
      <c r="O353" s="49"/>
      <c r="P353" s="77"/>
      <c r="Q353" s="53"/>
      <c r="R353" s="54"/>
      <c r="S353" s="55"/>
      <c r="T353" s="56"/>
      <c r="U353" s="56"/>
      <c r="V353" s="42"/>
      <c r="W353" s="57"/>
      <c r="X353" s="58"/>
      <c r="Y353" s="75"/>
      <c r="Z353" s="59"/>
      <c r="AA353" s="61"/>
      <c r="AB353" s="61"/>
      <c r="AC353" s="61"/>
      <c r="AD353" s="62"/>
      <c r="AE353" s="62"/>
      <c r="AF353" s="34"/>
      <c r="AG353" s="34"/>
      <c r="AH353" s="34"/>
      <c r="AI353" s="34"/>
      <c r="AJ353" s="34"/>
      <c r="AK353" s="34"/>
      <c r="AL353" s="34"/>
      <c r="AM353" s="34"/>
      <c r="AN353" s="34"/>
      <c r="AO353" s="34"/>
      <c r="AP353" s="34"/>
      <c r="AQ353" s="34"/>
      <c r="AR353" s="34"/>
      <c r="AS353" s="34"/>
      <c r="AT353" s="34"/>
      <c r="AU353" s="34"/>
      <c r="AV353" s="34"/>
      <c r="AW353" s="34"/>
      <c r="AX353" s="34"/>
      <c r="AY353" s="34"/>
      <c r="AZ353" s="34"/>
      <c r="BA353" s="34"/>
      <c r="BB353" s="34"/>
      <c r="BD353" s="34"/>
      <c r="BE353" s="34"/>
      <c r="BF353" s="34"/>
      <c r="BG353" s="34"/>
      <c r="BH353" s="34"/>
      <c r="BI353" s="34"/>
      <c r="BJ353" s="34"/>
      <c r="BK353" s="34"/>
      <c r="BL353" s="34"/>
      <c r="BM353" s="34"/>
      <c r="BN353" s="34"/>
      <c r="BO353" s="34"/>
      <c r="BP353" s="34"/>
      <c r="BQ353" s="34"/>
      <c r="BR353" s="34"/>
      <c r="BS353" s="34"/>
      <c r="BT353" s="34"/>
      <c r="BU353" s="34"/>
      <c r="BV353" s="34"/>
      <c r="BW353" s="34"/>
      <c r="BX353" s="34"/>
      <c r="BY353" s="34"/>
    </row>
    <row r="354" spans="1:77" x14ac:dyDescent="0.3">
      <c r="A354" s="39"/>
      <c r="B354" s="42"/>
      <c r="C354" s="42"/>
      <c r="D354" s="75"/>
      <c r="E354" s="75"/>
      <c r="F354" s="76"/>
      <c r="G354" s="47"/>
      <c r="H354" s="47"/>
      <c r="I354" s="75"/>
      <c r="J354" s="76"/>
      <c r="K354" s="76"/>
      <c r="L354" s="75"/>
      <c r="M354" s="49"/>
      <c r="N354" s="76"/>
      <c r="O354" s="49"/>
      <c r="P354" s="77"/>
      <c r="Q354" s="53"/>
      <c r="R354" s="54"/>
      <c r="S354" s="55"/>
      <c r="T354" s="56"/>
      <c r="U354" s="56"/>
      <c r="V354" s="42"/>
      <c r="W354" s="57"/>
      <c r="X354" s="58"/>
      <c r="Y354" s="75"/>
      <c r="Z354" s="59"/>
      <c r="AA354" s="61"/>
      <c r="AB354" s="61"/>
      <c r="AC354" s="61"/>
      <c r="AD354" s="62"/>
      <c r="AE354" s="62"/>
      <c r="AF354" s="34"/>
      <c r="AG354" s="34"/>
      <c r="AH354" s="34"/>
      <c r="AI354" s="34"/>
      <c r="AJ354" s="34"/>
      <c r="AK354" s="34"/>
      <c r="AL354" s="34"/>
      <c r="AM354" s="34"/>
      <c r="AN354" s="34"/>
      <c r="AO354" s="34"/>
      <c r="AP354" s="34"/>
      <c r="AQ354" s="34"/>
      <c r="AR354" s="34"/>
      <c r="AS354" s="34"/>
      <c r="AT354" s="34"/>
      <c r="AU354" s="34"/>
      <c r="AV354" s="34"/>
      <c r="AW354" s="34"/>
      <c r="AX354" s="34"/>
      <c r="AY354" s="34"/>
      <c r="AZ354" s="34"/>
      <c r="BA354" s="34"/>
      <c r="BB354" s="34"/>
      <c r="BD354" s="34"/>
      <c r="BE354" s="34"/>
      <c r="BF354" s="34"/>
      <c r="BG354" s="34"/>
      <c r="BH354" s="34"/>
      <c r="BI354" s="34"/>
      <c r="BJ354" s="34"/>
      <c r="BK354" s="34"/>
      <c r="BL354" s="34"/>
      <c r="BM354" s="34"/>
      <c r="BN354" s="34"/>
      <c r="BO354" s="34"/>
      <c r="BP354" s="34"/>
      <c r="BQ354" s="34"/>
      <c r="BR354" s="34"/>
      <c r="BS354" s="34"/>
      <c r="BT354" s="34"/>
      <c r="BU354" s="34"/>
      <c r="BV354" s="34"/>
      <c r="BW354" s="34"/>
      <c r="BX354" s="34"/>
      <c r="BY354" s="34"/>
    </row>
    <row r="355" spans="1:77" x14ac:dyDescent="0.3">
      <c r="A355" s="39"/>
      <c r="B355" s="42"/>
      <c r="C355" s="42"/>
      <c r="D355" s="75"/>
      <c r="E355" s="75"/>
      <c r="F355" s="76"/>
      <c r="G355" s="47"/>
      <c r="H355" s="47"/>
      <c r="I355" s="75"/>
      <c r="J355" s="76"/>
      <c r="K355" s="76"/>
      <c r="L355" s="75"/>
      <c r="M355" s="49"/>
      <c r="N355" s="76"/>
      <c r="O355" s="49"/>
      <c r="P355" s="77"/>
      <c r="Q355" s="53"/>
      <c r="R355" s="54"/>
      <c r="S355" s="55"/>
      <c r="T355" s="56"/>
      <c r="U355" s="56"/>
      <c r="V355" s="42"/>
      <c r="W355" s="57"/>
      <c r="X355" s="58"/>
      <c r="Y355" s="75"/>
      <c r="Z355" s="59"/>
      <c r="AA355" s="61"/>
      <c r="AB355" s="61"/>
      <c r="AC355" s="61"/>
      <c r="AD355" s="62"/>
      <c r="AE355" s="62"/>
      <c r="AF355" s="34"/>
      <c r="AG355" s="34"/>
      <c r="AH355" s="34"/>
      <c r="AI355" s="34"/>
      <c r="AJ355" s="34"/>
      <c r="AK355" s="34"/>
      <c r="AL355" s="34"/>
      <c r="AM355" s="34"/>
      <c r="AN355" s="34"/>
      <c r="AO355" s="34"/>
      <c r="AP355" s="34"/>
      <c r="AQ355" s="34"/>
      <c r="AR355" s="34"/>
      <c r="AS355" s="34"/>
      <c r="AT355" s="34"/>
      <c r="AU355" s="34"/>
      <c r="AV355" s="34"/>
      <c r="AW355" s="34"/>
      <c r="AX355" s="34"/>
      <c r="AY355" s="34"/>
      <c r="AZ355" s="34"/>
      <c r="BA355" s="34"/>
      <c r="BB355" s="34"/>
      <c r="BD355" s="34"/>
      <c r="BE355" s="34"/>
      <c r="BF355" s="34"/>
      <c r="BG355" s="34"/>
      <c r="BH355" s="34"/>
      <c r="BI355" s="34"/>
      <c r="BJ355" s="34"/>
      <c r="BK355" s="34"/>
      <c r="BL355" s="34"/>
      <c r="BM355" s="34"/>
      <c r="BN355" s="34"/>
      <c r="BO355" s="34"/>
      <c r="BP355" s="34"/>
      <c r="BQ355" s="34"/>
      <c r="BR355" s="34"/>
      <c r="BS355" s="34"/>
      <c r="BT355" s="34"/>
      <c r="BU355" s="34"/>
      <c r="BV355" s="34"/>
      <c r="BW355" s="34"/>
      <c r="BX355" s="34"/>
      <c r="BY355" s="34"/>
    </row>
    <row r="356" spans="1:77" x14ac:dyDescent="0.3">
      <c r="A356" s="39"/>
      <c r="B356" s="42"/>
      <c r="C356" s="42"/>
      <c r="D356" s="75"/>
      <c r="E356" s="75"/>
      <c r="F356" s="76"/>
      <c r="G356" s="47"/>
      <c r="H356" s="47"/>
      <c r="I356" s="75"/>
      <c r="J356" s="76"/>
      <c r="K356" s="76"/>
      <c r="L356" s="75"/>
      <c r="M356" s="49"/>
      <c r="N356" s="76"/>
      <c r="O356" s="49"/>
      <c r="P356" s="77"/>
      <c r="Q356" s="53"/>
      <c r="R356" s="54"/>
      <c r="S356" s="55"/>
      <c r="T356" s="56"/>
      <c r="U356" s="56"/>
      <c r="V356" s="42"/>
      <c r="W356" s="57"/>
      <c r="X356" s="58"/>
      <c r="Y356" s="75"/>
      <c r="Z356" s="59"/>
      <c r="AA356" s="61"/>
      <c r="AB356" s="61"/>
      <c r="AC356" s="61"/>
      <c r="AD356" s="62"/>
      <c r="AE356" s="62"/>
      <c r="AF356" s="34"/>
      <c r="AG356" s="34"/>
      <c r="AH356" s="34"/>
      <c r="AI356" s="34"/>
      <c r="AJ356" s="34"/>
      <c r="AK356" s="34"/>
      <c r="AL356" s="34"/>
      <c r="AM356" s="34"/>
      <c r="AN356" s="34"/>
      <c r="AO356" s="34"/>
      <c r="AP356" s="34"/>
      <c r="AQ356" s="34"/>
      <c r="AR356" s="34"/>
      <c r="AS356" s="34"/>
      <c r="AT356" s="34"/>
      <c r="AU356" s="34"/>
      <c r="AV356" s="34"/>
      <c r="AW356" s="34"/>
      <c r="AX356" s="34"/>
      <c r="AY356" s="34"/>
      <c r="AZ356" s="34"/>
      <c r="BA356" s="34"/>
      <c r="BB356" s="34"/>
      <c r="BD356" s="34"/>
      <c r="BE356" s="34"/>
      <c r="BF356" s="34"/>
      <c r="BG356" s="34"/>
      <c r="BH356" s="34"/>
      <c r="BI356" s="34"/>
      <c r="BJ356" s="34"/>
      <c r="BK356" s="34"/>
      <c r="BL356" s="34"/>
      <c r="BM356" s="34"/>
      <c r="BN356" s="34"/>
      <c r="BO356" s="34"/>
      <c r="BP356" s="34"/>
      <c r="BQ356" s="34"/>
      <c r="BR356" s="34"/>
      <c r="BS356" s="34"/>
      <c r="BT356" s="34"/>
      <c r="BU356" s="34"/>
      <c r="BV356" s="34"/>
      <c r="BW356" s="34"/>
      <c r="BX356" s="34"/>
      <c r="BY356" s="34"/>
    </row>
    <row r="357" spans="1:77" x14ac:dyDescent="0.3">
      <c r="A357" s="39"/>
      <c r="B357" s="42"/>
      <c r="C357" s="42"/>
      <c r="D357" s="75"/>
      <c r="E357" s="75"/>
      <c r="F357" s="76"/>
      <c r="G357" s="47"/>
      <c r="H357" s="47"/>
      <c r="I357" s="75"/>
      <c r="J357" s="76"/>
      <c r="K357" s="76"/>
      <c r="L357" s="75"/>
      <c r="M357" s="49"/>
      <c r="N357" s="76"/>
      <c r="O357" s="49"/>
      <c r="P357" s="77"/>
      <c r="Q357" s="53"/>
      <c r="R357" s="54"/>
      <c r="S357" s="55"/>
      <c r="T357" s="56"/>
      <c r="U357" s="56"/>
      <c r="V357" s="42"/>
      <c r="W357" s="57"/>
      <c r="X357" s="58"/>
      <c r="Y357" s="75"/>
      <c r="Z357" s="59"/>
      <c r="AA357" s="61"/>
      <c r="AB357" s="61"/>
      <c r="AC357" s="61"/>
      <c r="AD357" s="62"/>
      <c r="AE357" s="62"/>
      <c r="AF357" s="34"/>
      <c r="AG357" s="34"/>
      <c r="AH357" s="34"/>
      <c r="AI357" s="34"/>
      <c r="AJ357" s="34"/>
      <c r="AK357" s="34"/>
      <c r="AL357" s="34"/>
      <c r="AM357" s="34"/>
      <c r="AN357" s="34"/>
      <c r="AO357" s="34"/>
      <c r="AP357" s="34"/>
      <c r="AQ357" s="34"/>
      <c r="AR357" s="34"/>
      <c r="AS357" s="34"/>
      <c r="AT357" s="34"/>
      <c r="AU357" s="34"/>
      <c r="AV357" s="34"/>
      <c r="AW357" s="34"/>
      <c r="AX357" s="34"/>
      <c r="AY357" s="34"/>
      <c r="AZ357" s="34"/>
      <c r="BA357" s="34"/>
      <c r="BB357" s="34"/>
      <c r="BD357" s="34"/>
      <c r="BE357" s="34"/>
      <c r="BF357" s="34"/>
      <c r="BG357" s="34"/>
      <c r="BH357" s="34"/>
      <c r="BI357" s="34"/>
      <c r="BJ357" s="34"/>
      <c r="BK357" s="34"/>
      <c r="BL357" s="34"/>
      <c r="BM357" s="34"/>
      <c r="BN357" s="34"/>
      <c r="BO357" s="34"/>
      <c r="BP357" s="34"/>
      <c r="BQ357" s="34"/>
      <c r="BR357" s="34"/>
      <c r="BS357" s="34"/>
      <c r="BT357" s="34"/>
      <c r="BU357" s="34"/>
      <c r="BV357" s="34"/>
      <c r="BW357" s="34"/>
      <c r="BX357" s="34"/>
      <c r="BY357" s="34"/>
    </row>
    <row r="358" spans="1:77" x14ac:dyDescent="0.3">
      <c r="A358" s="39"/>
      <c r="B358" s="42"/>
      <c r="C358" s="42"/>
      <c r="D358" s="75"/>
      <c r="E358" s="75"/>
      <c r="F358" s="76"/>
      <c r="G358" s="47"/>
      <c r="H358" s="47"/>
      <c r="I358" s="75"/>
      <c r="J358" s="76"/>
      <c r="K358" s="76"/>
      <c r="L358" s="75"/>
      <c r="M358" s="49"/>
      <c r="N358" s="76"/>
      <c r="O358" s="49"/>
      <c r="P358" s="77"/>
      <c r="Q358" s="53"/>
      <c r="R358" s="54"/>
      <c r="S358" s="55"/>
      <c r="T358" s="56"/>
      <c r="U358" s="56"/>
      <c r="V358" s="42"/>
      <c r="W358" s="57"/>
      <c r="X358" s="58"/>
      <c r="Y358" s="75"/>
      <c r="Z358" s="59"/>
      <c r="AA358" s="61"/>
      <c r="AB358" s="61"/>
      <c r="AC358" s="61"/>
      <c r="AD358" s="62"/>
      <c r="AE358" s="62"/>
      <c r="AF358" s="34"/>
      <c r="AG358" s="34"/>
      <c r="AH358" s="34"/>
      <c r="AI358" s="34"/>
      <c r="AJ358" s="34"/>
      <c r="AK358" s="34"/>
      <c r="AL358" s="34"/>
      <c r="AM358" s="34"/>
      <c r="AN358" s="34"/>
      <c r="AO358" s="34"/>
      <c r="AP358" s="34"/>
      <c r="AQ358" s="34"/>
      <c r="AR358" s="34"/>
      <c r="AS358" s="34"/>
      <c r="AT358" s="34"/>
      <c r="AU358" s="34"/>
      <c r="AV358" s="34"/>
      <c r="AW358" s="34"/>
      <c r="AX358" s="34"/>
      <c r="AY358" s="34"/>
      <c r="AZ358" s="34"/>
      <c r="BA358" s="34"/>
      <c r="BB358" s="34"/>
      <c r="BD358" s="34"/>
      <c r="BE358" s="34"/>
      <c r="BF358" s="34"/>
      <c r="BG358" s="34"/>
      <c r="BH358" s="34"/>
      <c r="BI358" s="34"/>
      <c r="BJ358" s="34"/>
      <c r="BK358" s="34"/>
      <c r="BL358" s="34"/>
      <c r="BM358" s="34"/>
      <c r="BN358" s="34"/>
      <c r="BO358" s="34"/>
      <c r="BP358" s="34"/>
      <c r="BQ358" s="34"/>
      <c r="BR358" s="34"/>
      <c r="BS358" s="34"/>
      <c r="BT358" s="34"/>
      <c r="BU358" s="34"/>
      <c r="BV358" s="34"/>
      <c r="BW358" s="34"/>
      <c r="BX358" s="34"/>
      <c r="BY358" s="34"/>
    </row>
    <row r="359" spans="1:77" x14ac:dyDescent="0.3">
      <c r="A359" s="39"/>
      <c r="B359" s="42"/>
      <c r="C359" s="42"/>
      <c r="D359" s="75"/>
      <c r="E359" s="75"/>
      <c r="F359" s="76"/>
      <c r="G359" s="47"/>
      <c r="H359" s="47"/>
      <c r="I359" s="75"/>
      <c r="J359" s="76"/>
      <c r="K359" s="76"/>
      <c r="L359" s="75"/>
      <c r="M359" s="49"/>
      <c r="N359" s="76"/>
      <c r="O359" s="49"/>
      <c r="P359" s="77"/>
      <c r="Q359" s="53"/>
      <c r="R359" s="54"/>
      <c r="S359" s="55"/>
      <c r="T359" s="56"/>
      <c r="U359" s="56"/>
      <c r="V359" s="42"/>
      <c r="W359" s="57"/>
      <c r="X359" s="58"/>
      <c r="Y359" s="75"/>
      <c r="Z359" s="59"/>
      <c r="AA359" s="61"/>
      <c r="AB359" s="61"/>
      <c r="AC359" s="61"/>
      <c r="AD359" s="62"/>
      <c r="AE359" s="62"/>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D359" s="34"/>
      <c r="BE359" s="34"/>
      <c r="BF359" s="34"/>
      <c r="BG359" s="34"/>
      <c r="BH359" s="34"/>
      <c r="BI359" s="34"/>
      <c r="BJ359" s="34"/>
      <c r="BK359" s="34"/>
      <c r="BL359" s="34"/>
      <c r="BM359" s="34"/>
      <c r="BN359" s="34"/>
      <c r="BO359" s="34"/>
      <c r="BP359" s="34"/>
      <c r="BQ359" s="34"/>
      <c r="BR359" s="34"/>
      <c r="BS359" s="34"/>
      <c r="BT359" s="34"/>
      <c r="BU359" s="34"/>
      <c r="BV359" s="34"/>
      <c r="BW359" s="34"/>
      <c r="BX359" s="34"/>
      <c r="BY359" s="34"/>
    </row>
    <row r="360" spans="1:77" x14ac:dyDescent="0.3">
      <c r="A360" s="39"/>
      <c r="B360" s="42"/>
      <c r="C360" s="42"/>
      <c r="D360" s="75"/>
      <c r="E360" s="75"/>
      <c r="F360" s="76"/>
      <c r="G360" s="47"/>
      <c r="H360" s="47"/>
      <c r="I360" s="75"/>
      <c r="J360" s="76"/>
      <c r="K360" s="76"/>
      <c r="L360" s="75"/>
      <c r="M360" s="49"/>
      <c r="N360" s="76"/>
      <c r="O360" s="49"/>
      <c r="P360" s="77"/>
      <c r="Q360" s="53"/>
      <c r="R360" s="54"/>
      <c r="S360" s="55"/>
      <c r="T360" s="56"/>
      <c r="U360" s="56"/>
      <c r="V360" s="42"/>
      <c r="W360" s="57"/>
      <c r="X360" s="58"/>
      <c r="Y360" s="75"/>
      <c r="Z360" s="59"/>
      <c r="AA360" s="61"/>
      <c r="AB360" s="61"/>
      <c r="AC360" s="61"/>
      <c r="AD360" s="62"/>
      <c r="AE360" s="62"/>
      <c r="AF360" s="34"/>
      <c r="AG360" s="34"/>
      <c r="AH360" s="34"/>
      <c r="AI360" s="34"/>
      <c r="AJ360" s="34"/>
      <c r="AK360" s="34"/>
      <c r="AL360" s="34"/>
      <c r="AM360" s="34"/>
      <c r="AN360" s="34"/>
      <c r="AO360" s="34"/>
      <c r="AP360" s="34"/>
      <c r="AQ360" s="34"/>
      <c r="AR360" s="34"/>
      <c r="AS360" s="34"/>
      <c r="AT360" s="34"/>
      <c r="AU360" s="34"/>
      <c r="AV360" s="34"/>
      <c r="AW360" s="34"/>
      <c r="AX360" s="34"/>
      <c r="AY360" s="34"/>
      <c r="AZ360" s="34"/>
      <c r="BA360" s="34"/>
      <c r="BB360" s="34"/>
      <c r="BD360" s="34"/>
      <c r="BE360" s="34"/>
      <c r="BF360" s="34"/>
      <c r="BG360" s="34"/>
      <c r="BH360" s="34"/>
      <c r="BI360" s="34"/>
      <c r="BJ360" s="34"/>
      <c r="BK360" s="34"/>
      <c r="BL360" s="34"/>
      <c r="BM360" s="34"/>
      <c r="BN360" s="34"/>
      <c r="BO360" s="34"/>
      <c r="BP360" s="34"/>
      <c r="BQ360" s="34"/>
      <c r="BR360" s="34"/>
      <c r="BS360" s="34"/>
      <c r="BT360" s="34"/>
      <c r="BU360" s="34"/>
      <c r="BV360" s="34"/>
      <c r="BW360" s="34"/>
      <c r="BX360" s="34"/>
      <c r="BY360" s="34"/>
    </row>
    <row r="361" spans="1:77" x14ac:dyDescent="0.3">
      <c r="A361" s="39"/>
      <c r="B361" s="42"/>
      <c r="C361" s="42"/>
      <c r="D361" s="75"/>
      <c r="E361" s="75"/>
      <c r="F361" s="76"/>
      <c r="G361" s="47"/>
      <c r="H361" s="47"/>
      <c r="I361" s="75"/>
      <c r="J361" s="76"/>
      <c r="K361" s="76"/>
      <c r="L361" s="75"/>
      <c r="M361" s="49"/>
      <c r="N361" s="76"/>
      <c r="O361" s="49"/>
      <c r="P361" s="77"/>
      <c r="Q361" s="53"/>
      <c r="R361" s="54"/>
      <c r="S361" s="55"/>
      <c r="T361" s="56"/>
      <c r="U361" s="56"/>
      <c r="V361" s="42"/>
      <c r="W361" s="57"/>
      <c r="X361" s="58"/>
      <c r="Y361" s="75"/>
      <c r="Z361" s="59"/>
      <c r="AA361" s="61"/>
      <c r="AB361" s="61"/>
      <c r="AC361" s="61"/>
      <c r="AD361" s="62"/>
      <c r="AE361" s="62"/>
      <c r="AF361" s="34"/>
      <c r="AG361" s="34"/>
      <c r="AH361" s="34"/>
      <c r="AI361" s="34"/>
      <c r="AJ361" s="34"/>
      <c r="AK361" s="34"/>
      <c r="AL361" s="34"/>
      <c r="AM361" s="34"/>
      <c r="AN361" s="34"/>
      <c r="AO361" s="34"/>
      <c r="AP361" s="34"/>
      <c r="AQ361" s="34"/>
      <c r="AR361" s="34"/>
      <c r="AS361" s="34"/>
      <c r="AT361" s="34"/>
      <c r="AU361" s="34"/>
      <c r="AV361" s="34"/>
      <c r="AW361" s="34"/>
      <c r="AX361" s="34"/>
      <c r="AY361" s="34"/>
      <c r="AZ361" s="34"/>
      <c r="BA361" s="34"/>
      <c r="BB361" s="34"/>
      <c r="BD361" s="34"/>
      <c r="BE361" s="34"/>
      <c r="BF361" s="34"/>
      <c r="BG361" s="34"/>
      <c r="BH361" s="34"/>
      <c r="BI361" s="34"/>
      <c r="BJ361" s="34"/>
      <c r="BK361" s="34"/>
      <c r="BL361" s="34"/>
      <c r="BM361" s="34"/>
      <c r="BN361" s="34"/>
      <c r="BO361" s="34"/>
      <c r="BP361" s="34"/>
      <c r="BQ361" s="34"/>
      <c r="BR361" s="34"/>
      <c r="BS361" s="34"/>
      <c r="BT361" s="34"/>
      <c r="BU361" s="34"/>
      <c r="BV361" s="34"/>
      <c r="BW361" s="34"/>
      <c r="BX361" s="34"/>
      <c r="BY361" s="34"/>
    </row>
    <row r="362" spans="1:77" x14ac:dyDescent="0.3">
      <c r="A362" s="39"/>
      <c r="B362" s="42"/>
      <c r="C362" s="42"/>
      <c r="D362" s="75"/>
      <c r="E362" s="75"/>
      <c r="F362" s="76"/>
      <c r="G362" s="47"/>
      <c r="H362" s="47"/>
      <c r="I362" s="75"/>
      <c r="J362" s="76"/>
      <c r="K362" s="76"/>
      <c r="L362" s="75"/>
      <c r="M362" s="49"/>
      <c r="N362" s="76"/>
      <c r="O362" s="49"/>
      <c r="P362" s="77"/>
      <c r="Q362" s="53"/>
      <c r="R362" s="54"/>
      <c r="S362" s="55"/>
      <c r="T362" s="56"/>
      <c r="U362" s="56"/>
      <c r="V362" s="42"/>
      <c r="W362" s="57"/>
      <c r="X362" s="58"/>
      <c r="Y362" s="75"/>
      <c r="Z362" s="59"/>
      <c r="AA362" s="61"/>
      <c r="AB362" s="61"/>
      <c r="AC362" s="61"/>
      <c r="AD362" s="62"/>
      <c r="AE362" s="62"/>
      <c r="AF362" s="34"/>
      <c r="AG362" s="34"/>
      <c r="AH362" s="34"/>
      <c r="AI362" s="34"/>
      <c r="AJ362" s="34"/>
      <c r="AK362" s="34"/>
      <c r="AL362" s="34"/>
      <c r="AM362" s="34"/>
      <c r="AN362" s="34"/>
      <c r="AO362" s="34"/>
      <c r="AP362" s="34"/>
      <c r="AQ362" s="34"/>
      <c r="AR362" s="34"/>
      <c r="AS362" s="34"/>
      <c r="AT362" s="34"/>
      <c r="AU362" s="34"/>
      <c r="AV362" s="34"/>
      <c r="AW362" s="34"/>
      <c r="AX362" s="34"/>
      <c r="AY362" s="34"/>
      <c r="AZ362" s="34"/>
      <c r="BA362" s="34"/>
      <c r="BB362" s="34"/>
      <c r="BD362" s="34"/>
      <c r="BE362" s="34"/>
      <c r="BF362" s="34"/>
      <c r="BG362" s="34"/>
      <c r="BH362" s="34"/>
      <c r="BI362" s="34"/>
      <c r="BJ362" s="34"/>
      <c r="BK362" s="34"/>
      <c r="BL362" s="34"/>
      <c r="BM362" s="34"/>
      <c r="BN362" s="34"/>
      <c r="BO362" s="34"/>
      <c r="BP362" s="34"/>
      <c r="BQ362" s="34"/>
      <c r="BR362" s="34"/>
      <c r="BS362" s="34"/>
      <c r="BT362" s="34"/>
      <c r="BU362" s="34"/>
      <c r="BV362" s="34"/>
      <c r="BW362" s="34"/>
      <c r="BX362" s="34"/>
      <c r="BY362" s="34"/>
    </row>
    <row r="363" spans="1:77" x14ac:dyDescent="0.3">
      <c r="A363" s="39"/>
      <c r="B363" s="42"/>
      <c r="C363" s="42"/>
      <c r="D363" s="75"/>
      <c r="E363" s="75"/>
      <c r="F363" s="76"/>
      <c r="G363" s="47"/>
      <c r="H363" s="47"/>
      <c r="I363" s="75"/>
      <c r="J363" s="76"/>
      <c r="K363" s="76"/>
      <c r="L363" s="75"/>
      <c r="M363" s="49"/>
      <c r="N363" s="76"/>
      <c r="O363" s="49"/>
      <c r="P363" s="77"/>
      <c r="Q363" s="53"/>
      <c r="R363" s="54"/>
      <c r="S363" s="55"/>
      <c r="T363" s="56"/>
      <c r="U363" s="56"/>
      <c r="V363" s="42"/>
      <c r="W363" s="57"/>
      <c r="X363" s="58"/>
      <c r="Y363" s="75"/>
      <c r="Z363" s="59"/>
      <c r="AA363" s="61"/>
      <c r="AB363" s="61"/>
      <c r="AC363" s="61"/>
      <c r="AD363" s="62"/>
      <c r="AE363" s="62"/>
      <c r="AF363" s="34"/>
      <c r="AG363" s="34"/>
      <c r="AH363" s="34"/>
      <c r="AI363" s="34"/>
      <c r="AJ363" s="34"/>
      <c r="AK363" s="34"/>
      <c r="AL363" s="34"/>
      <c r="AM363" s="34"/>
      <c r="AN363" s="34"/>
      <c r="AO363" s="34"/>
      <c r="AP363" s="34"/>
      <c r="AQ363" s="34"/>
      <c r="AR363" s="34"/>
      <c r="AS363" s="34"/>
      <c r="AT363" s="34"/>
      <c r="AU363" s="34"/>
      <c r="AV363" s="34"/>
      <c r="AW363" s="34"/>
      <c r="AX363" s="34"/>
      <c r="AY363" s="34"/>
      <c r="AZ363" s="34"/>
      <c r="BA363" s="34"/>
      <c r="BB363" s="34"/>
      <c r="BD363" s="34"/>
      <c r="BE363" s="34"/>
      <c r="BF363" s="34"/>
      <c r="BG363" s="34"/>
      <c r="BH363" s="34"/>
      <c r="BI363" s="34"/>
      <c r="BJ363" s="34"/>
      <c r="BK363" s="34"/>
      <c r="BL363" s="34"/>
      <c r="BM363" s="34"/>
      <c r="BN363" s="34"/>
      <c r="BO363" s="34"/>
      <c r="BP363" s="34"/>
      <c r="BQ363" s="34"/>
      <c r="BR363" s="34"/>
      <c r="BS363" s="34"/>
      <c r="BT363" s="34"/>
      <c r="BU363" s="34"/>
      <c r="BV363" s="34"/>
      <c r="BW363" s="34"/>
      <c r="BX363" s="34"/>
      <c r="BY363" s="34"/>
    </row>
    <row r="364" spans="1:77" x14ac:dyDescent="0.3">
      <c r="A364" s="39"/>
      <c r="B364" s="42"/>
      <c r="C364" s="42"/>
      <c r="D364" s="75"/>
      <c r="E364" s="75"/>
      <c r="F364" s="76"/>
      <c r="G364" s="47"/>
      <c r="H364" s="47"/>
      <c r="I364" s="75"/>
      <c r="J364" s="76"/>
      <c r="K364" s="76"/>
      <c r="L364" s="75"/>
      <c r="M364" s="49"/>
      <c r="N364" s="76"/>
      <c r="O364" s="49"/>
      <c r="P364" s="77"/>
      <c r="Q364" s="53"/>
      <c r="R364" s="54"/>
      <c r="S364" s="55"/>
      <c r="T364" s="56"/>
      <c r="U364" s="56"/>
      <c r="V364" s="42"/>
      <c r="W364" s="57"/>
      <c r="X364" s="58"/>
      <c r="Y364" s="75"/>
      <c r="Z364" s="59"/>
      <c r="AA364" s="61"/>
      <c r="AB364" s="61"/>
      <c r="AC364" s="61"/>
      <c r="AD364" s="62"/>
      <c r="AE364" s="62"/>
      <c r="AF364" s="34"/>
      <c r="AG364" s="34"/>
      <c r="AH364" s="34"/>
      <c r="AI364" s="34"/>
      <c r="AJ364" s="34"/>
      <c r="AK364" s="34"/>
      <c r="AL364" s="34"/>
      <c r="AM364" s="34"/>
      <c r="AN364" s="34"/>
      <c r="AO364" s="34"/>
      <c r="AP364" s="34"/>
      <c r="AQ364" s="34"/>
      <c r="AR364" s="34"/>
      <c r="AS364" s="34"/>
      <c r="AT364" s="34"/>
      <c r="AU364" s="34"/>
      <c r="AV364" s="34"/>
      <c r="AW364" s="34"/>
      <c r="AX364" s="34"/>
      <c r="AY364" s="34"/>
      <c r="AZ364" s="34"/>
      <c r="BA364" s="34"/>
      <c r="BB364" s="34"/>
      <c r="BD364" s="34"/>
      <c r="BE364" s="34"/>
      <c r="BF364" s="34"/>
      <c r="BG364" s="34"/>
      <c r="BH364" s="34"/>
      <c r="BI364" s="34"/>
      <c r="BJ364" s="34"/>
      <c r="BK364" s="34"/>
      <c r="BL364" s="34"/>
      <c r="BM364" s="34"/>
      <c r="BN364" s="34"/>
      <c r="BO364" s="34"/>
      <c r="BP364" s="34"/>
      <c r="BQ364" s="34"/>
      <c r="BR364" s="34"/>
      <c r="BS364" s="34"/>
      <c r="BT364" s="34"/>
      <c r="BU364" s="34"/>
      <c r="BV364" s="34"/>
      <c r="BW364" s="34"/>
      <c r="BX364" s="34"/>
      <c r="BY364" s="34"/>
    </row>
    <row r="365" spans="1:77" x14ac:dyDescent="0.3">
      <c r="A365" s="39"/>
      <c r="B365" s="42"/>
      <c r="C365" s="42"/>
      <c r="D365" s="75"/>
      <c r="E365" s="75"/>
      <c r="F365" s="76"/>
      <c r="G365" s="47"/>
      <c r="H365" s="47"/>
      <c r="I365" s="75"/>
      <c r="J365" s="76"/>
      <c r="K365" s="76"/>
      <c r="L365" s="75"/>
      <c r="M365" s="49"/>
      <c r="N365" s="76"/>
      <c r="O365" s="49"/>
      <c r="P365" s="77"/>
      <c r="Q365" s="53"/>
      <c r="R365" s="54"/>
      <c r="S365" s="55"/>
      <c r="T365" s="56"/>
      <c r="U365" s="56"/>
      <c r="V365" s="42"/>
      <c r="W365" s="57"/>
      <c r="X365" s="58"/>
      <c r="Y365" s="75"/>
      <c r="Z365" s="59"/>
      <c r="AA365" s="61"/>
      <c r="AB365" s="61"/>
      <c r="AC365" s="61"/>
      <c r="AD365" s="62"/>
      <c r="AE365" s="62"/>
      <c r="AF365" s="34"/>
      <c r="AG365" s="34"/>
      <c r="AH365" s="34"/>
      <c r="AI365" s="34"/>
      <c r="AJ365" s="34"/>
      <c r="AK365" s="34"/>
      <c r="AL365" s="34"/>
      <c r="AM365" s="34"/>
      <c r="AN365" s="34"/>
      <c r="AO365" s="34"/>
      <c r="AP365" s="34"/>
      <c r="AQ365" s="34"/>
      <c r="AR365" s="34"/>
      <c r="AS365" s="34"/>
      <c r="AT365" s="34"/>
      <c r="AU365" s="34"/>
      <c r="AV365" s="34"/>
      <c r="AW365" s="34"/>
      <c r="AX365" s="34"/>
      <c r="AY365" s="34"/>
      <c r="AZ365" s="34"/>
      <c r="BA365" s="34"/>
      <c r="BB365" s="34"/>
      <c r="BD365" s="34"/>
      <c r="BE365" s="34"/>
      <c r="BF365" s="34"/>
      <c r="BG365" s="34"/>
      <c r="BH365" s="34"/>
      <c r="BI365" s="34"/>
      <c r="BJ365" s="34"/>
      <c r="BK365" s="34"/>
      <c r="BL365" s="34"/>
      <c r="BM365" s="34"/>
      <c r="BN365" s="34"/>
      <c r="BO365" s="34"/>
      <c r="BP365" s="34"/>
      <c r="BQ365" s="34"/>
      <c r="BR365" s="34"/>
      <c r="BS365" s="34"/>
      <c r="BT365" s="34"/>
      <c r="BU365" s="34"/>
      <c r="BV365" s="34"/>
      <c r="BW365" s="34"/>
      <c r="BX365" s="34"/>
      <c r="BY365" s="34"/>
    </row>
    <row r="366" spans="1:77" x14ac:dyDescent="0.3">
      <c r="A366" s="39"/>
      <c r="B366" s="42"/>
      <c r="C366" s="42"/>
      <c r="D366" s="75"/>
      <c r="E366" s="75"/>
      <c r="F366" s="76"/>
      <c r="G366" s="47"/>
      <c r="H366" s="47"/>
      <c r="I366" s="75"/>
      <c r="J366" s="76"/>
      <c r="K366" s="76"/>
      <c r="L366" s="75"/>
      <c r="M366" s="49"/>
      <c r="N366" s="76"/>
      <c r="O366" s="49"/>
      <c r="P366" s="77"/>
      <c r="Q366" s="53"/>
      <c r="R366" s="54"/>
      <c r="S366" s="55"/>
      <c r="T366" s="56"/>
      <c r="U366" s="56"/>
      <c r="V366" s="42"/>
      <c r="W366" s="57"/>
      <c r="X366" s="58"/>
      <c r="Y366" s="75"/>
      <c r="Z366" s="59"/>
      <c r="AA366" s="61"/>
      <c r="AB366" s="61"/>
      <c r="AC366" s="61"/>
      <c r="AD366" s="62"/>
      <c r="AE366" s="62"/>
      <c r="AF366" s="34"/>
      <c r="AG366" s="34"/>
      <c r="AH366" s="34"/>
      <c r="AI366" s="34"/>
      <c r="AJ366" s="34"/>
      <c r="AK366" s="34"/>
      <c r="AL366" s="34"/>
      <c r="AM366" s="34"/>
      <c r="AN366" s="34"/>
      <c r="AO366" s="34"/>
      <c r="AP366" s="34"/>
      <c r="AQ366" s="34"/>
      <c r="AR366" s="34"/>
      <c r="AS366" s="34"/>
      <c r="AT366" s="34"/>
      <c r="AU366" s="34"/>
      <c r="AV366" s="34"/>
      <c r="AW366" s="34"/>
      <c r="AX366" s="34"/>
      <c r="AY366" s="34"/>
      <c r="AZ366" s="34"/>
      <c r="BA366" s="34"/>
      <c r="BB366" s="34"/>
      <c r="BD366" s="34"/>
      <c r="BE366" s="34"/>
      <c r="BF366" s="34"/>
      <c r="BG366" s="34"/>
      <c r="BH366" s="34"/>
      <c r="BI366" s="34"/>
      <c r="BJ366" s="34"/>
      <c r="BK366" s="34"/>
      <c r="BL366" s="34"/>
      <c r="BM366" s="34"/>
      <c r="BN366" s="34"/>
      <c r="BO366" s="34"/>
      <c r="BP366" s="34"/>
      <c r="BQ366" s="34"/>
      <c r="BR366" s="34"/>
      <c r="BS366" s="34"/>
      <c r="BT366" s="34"/>
      <c r="BU366" s="34"/>
      <c r="BV366" s="34"/>
      <c r="BW366" s="34"/>
      <c r="BX366" s="34"/>
      <c r="BY366" s="34"/>
    </row>
    <row r="367" spans="1:77" x14ac:dyDescent="0.3">
      <c r="A367" s="39"/>
      <c r="B367" s="42"/>
      <c r="C367" s="42"/>
      <c r="D367" s="75"/>
      <c r="E367" s="75"/>
      <c r="F367" s="76"/>
      <c r="G367" s="47"/>
      <c r="H367" s="47"/>
      <c r="I367" s="75"/>
      <c r="J367" s="76"/>
      <c r="K367" s="76"/>
      <c r="L367" s="75"/>
      <c r="M367" s="49"/>
      <c r="N367" s="76"/>
      <c r="O367" s="49"/>
      <c r="P367" s="77"/>
      <c r="Q367" s="53"/>
      <c r="R367" s="54"/>
      <c r="S367" s="55"/>
      <c r="T367" s="56"/>
      <c r="U367" s="56"/>
      <c r="V367" s="42"/>
      <c r="W367" s="57"/>
      <c r="X367" s="58"/>
      <c r="Y367" s="75"/>
      <c r="Z367" s="59"/>
      <c r="AA367" s="61"/>
      <c r="AB367" s="61"/>
      <c r="AC367" s="61"/>
      <c r="AD367" s="62"/>
      <c r="AE367" s="62"/>
      <c r="AF367" s="34"/>
      <c r="AG367" s="34"/>
      <c r="AH367" s="34"/>
      <c r="AI367" s="34"/>
      <c r="AJ367" s="34"/>
      <c r="AK367" s="34"/>
      <c r="AL367" s="34"/>
      <c r="AM367" s="34"/>
      <c r="AN367" s="34"/>
      <c r="AO367" s="34"/>
      <c r="AP367" s="34"/>
      <c r="AQ367" s="34"/>
      <c r="AR367" s="34"/>
      <c r="AS367" s="34"/>
      <c r="AT367" s="34"/>
      <c r="AU367" s="34"/>
      <c r="AV367" s="34"/>
      <c r="AW367" s="34"/>
      <c r="AX367" s="34"/>
      <c r="AY367" s="34"/>
      <c r="AZ367" s="34"/>
      <c r="BA367" s="34"/>
      <c r="BB367" s="34"/>
      <c r="BD367" s="34"/>
      <c r="BE367" s="34"/>
      <c r="BF367" s="34"/>
      <c r="BG367" s="34"/>
      <c r="BH367" s="34"/>
      <c r="BI367" s="34"/>
      <c r="BJ367" s="34"/>
      <c r="BK367" s="34"/>
      <c r="BL367" s="34"/>
      <c r="BM367" s="34"/>
      <c r="BN367" s="34"/>
      <c r="BO367" s="34"/>
      <c r="BP367" s="34"/>
      <c r="BQ367" s="34"/>
      <c r="BR367" s="34"/>
      <c r="BS367" s="34"/>
      <c r="BT367" s="34"/>
      <c r="BU367" s="34"/>
      <c r="BV367" s="34"/>
      <c r="BW367" s="34"/>
      <c r="BX367" s="34"/>
      <c r="BY367" s="34"/>
    </row>
    <row r="368" spans="1:77" x14ac:dyDescent="0.3">
      <c r="A368" s="39"/>
      <c r="B368" s="42"/>
      <c r="C368" s="42"/>
      <c r="D368" s="75"/>
      <c r="E368" s="75"/>
      <c r="F368" s="76"/>
      <c r="G368" s="47"/>
      <c r="H368" s="47"/>
      <c r="I368" s="75"/>
      <c r="J368" s="76"/>
      <c r="K368" s="76"/>
      <c r="L368" s="75"/>
      <c r="M368" s="49"/>
      <c r="N368" s="76"/>
      <c r="O368" s="49"/>
      <c r="P368" s="77"/>
      <c r="Q368" s="53"/>
      <c r="R368" s="54"/>
      <c r="S368" s="55"/>
      <c r="T368" s="56"/>
      <c r="U368" s="56"/>
      <c r="V368" s="42"/>
      <c r="W368" s="57"/>
      <c r="X368" s="58"/>
      <c r="Y368" s="75"/>
      <c r="Z368" s="59"/>
      <c r="AA368" s="61"/>
      <c r="AB368" s="61"/>
      <c r="AC368" s="61"/>
      <c r="AD368" s="62"/>
      <c r="AE368" s="62"/>
      <c r="AF368" s="34"/>
      <c r="AG368" s="34"/>
      <c r="AH368" s="34"/>
      <c r="AI368" s="34"/>
      <c r="AJ368" s="34"/>
      <c r="AK368" s="34"/>
      <c r="AL368" s="34"/>
      <c r="AM368" s="34"/>
      <c r="AN368" s="34"/>
      <c r="AO368" s="34"/>
      <c r="AP368" s="34"/>
      <c r="AQ368" s="34"/>
      <c r="AR368" s="34"/>
      <c r="AS368" s="34"/>
      <c r="AT368" s="34"/>
      <c r="AU368" s="34"/>
      <c r="AV368" s="34"/>
      <c r="AW368" s="34"/>
      <c r="AX368" s="34"/>
      <c r="AY368" s="34"/>
      <c r="AZ368" s="34"/>
      <c r="BA368" s="34"/>
      <c r="BB368" s="34"/>
      <c r="BD368" s="34"/>
      <c r="BE368" s="34"/>
      <c r="BF368" s="34"/>
      <c r="BG368" s="34"/>
      <c r="BH368" s="34"/>
      <c r="BI368" s="34"/>
      <c r="BJ368" s="34"/>
      <c r="BK368" s="34"/>
      <c r="BL368" s="34"/>
      <c r="BM368" s="34"/>
      <c r="BN368" s="34"/>
      <c r="BO368" s="34"/>
      <c r="BP368" s="34"/>
      <c r="BQ368" s="34"/>
      <c r="BR368" s="34"/>
      <c r="BS368" s="34"/>
      <c r="BT368" s="34"/>
      <c r="BU368" s="34"/>
      <c r="BV368" s="34"/>
      <c r="BW368" s="34"/>
      <c r="BX368" s="34"/>
      <c r="BY368" s="34"/>
    </row>
    <row r="369" spans="1:77" x14ac:dyDescent="0.3">
      <c r="A369" s="39"/>
      <c r="B369" s="42"/>
      <c r="C369" s="42"/>
      <c r="D369" s="75"/>
      <c r="E369" s="75"/>
      <c r="F369" s="76"/>
      <c r="G369" s="47"/>
      <c r="H369" s="47"/>
      <c r="I369" s="75"/>
      <c r="J369" s="76"/>
      <c r="K369" s="76"/>
      <c r="L369" s="75"/>
      <c r="M369" s="49"/>
      <c r="N369" s="76"/>
      <c r="O369" s="49"/>
      <c r="P369" s="77"/>
      <c r="Q369" s="53"/>
      <c r="R369" s="54"/>
      <c r="S369" s="55"/>
      <c r="T369" s="56"/>
      <c r="U369" s="56"/>
      <c r="V369" s="42"/>
      <c r="W369" s="57"/>
      <c r="X369" s="58"/>
      <c r="Y369" s="75"/>
      <c r="Z369" s="59"/>
      <c r="AA369" s="61"/>
      <c r="AB369" s="61"/>
      <c r="AC369" s="61"/>
      <c r="AD369" s="62"/>
      <c r="AE369" s="62"/>
      <c r="AF369" s="34"/>
      <c r="AG369" s="34"/>
      <c r="AH369" s="34"/>
      <c r="AI369" s="34"/>
      <c r="AJ369" s="34"/>
      <c r="AK369" s="34"/>
      <c r="AL369" s="34"/>
      <c r="AM369" s="34"/>
      <c r="AN369" s="34"/>
      <c r="AO369" s="34"/>
      <c r="AP369" s="34"/>
      <c r="AQ369" s="34"/>
      <c r="AR369" s="34"/>
      <c r="AS369" s="34"/>
      <c r="AT369" s="34"/>
      <c r="AU369" s="34"/>
      <c r="AV369" s="34"/>
      <c r="AW369" s="34"/>
      <c r="AX369" s="34"/>
      <c r="AY369" s="34"/>
      <c r="AZ369" s="34"/>
      <c r="BA369" s="34"/>
      <c r="BB369" s="34"/>
      <c r="BD369" s="34"/>
      <c r="BE369" s="34"/>
      <c r="BF369" s="34"/>
      <c r="BG369" s="34"/>
      <c r="BH369" s="34"/>
      <c r="BI369" s="34"/>
      <c r="BJ369" s="34"/>
      <c r="BK369" s="34"/>
      <c r="BL369" s="34"/>
      <c r="BM369" s="34"/>
      <c r="BN369" s="34"/>
      <c r="BO369" s="34"/>
      <c r="BP369" s="34"/>
      <c r="BQ369" s="34"/>
      <c r="BR369" s="34"/>
      <c r="BS369" s="34"/>
      <c r="BT369" s="34"/>
      <c r="BU369" s="34"/>
      <c r="BV369" s="34"/>
      <c r="BW369" s="34"/>
      <c r="BX369" s="34"/>
      <c r="BY369" s="34"/>
    </row>
    <row r="370" spans="1:77" x14ac:dyDescent="0.3">
      <c r="A370" s="39"/>
      <c r="B370" s="42"/>
      <c r="C370" s="42"/>
      <c r="D370" s="75"/>
      <c r="E370" s="75"/>
      <c r="F370" s="76"/>
      <c r="G370" s="47"/>
      <c r="H370" s="47"/>
      <c r="I370" s="75"/>
      <c r="J370" s="76"/>
      <c r="K370" s="76"/>
      <c r="L370" s="75"/>
      <c r="M370" s="49"/>
      <c r="N370" s="76"/>
      <c r="O370" s="49"/>
      <c r="P370" s="77"/>
      <c r="Q370" s="53"/>
      <c r="R370" s="54"/>
      <c r="S370" s="55"/>
      <c r="T370" s="56"/>
      <c r="U370" s="56"/>
      <c r="V370" s="42"/>
      <c r="W370" s="57"/>
      <c r="X370" s="58"/>
      <c r="Y370" s="75"/>
      <c r="Z370" s="59"/>
      <c r="AA370" s="61"/>
      <c r="AB370" s="61"/>
      <c r="AC370" s="61"/>
      <c r="AD370" s="62"/>
      <c r="AE370" s="62"/>
      <c r="AF370" s="34"/>
      <c r="AG370" s="34"/>
      <c r="AH370" s="34"/>
      <c r="AI370" s="34"/>
      <c r="AJ370" s="34"/>
      <c r="AK370" s="34"/>
      <c r="AL370" s="34"/>
      <c r="AM370" s="34"/>
      <c r="AN370" s="34"/>
      <c r="AO370" s="34"/>
      <c r="AP370" s="34"/>
      <c r="AQ370" s="34"/>
      <c r="AR370" s="34"/>
      <c r="AS370" s="34"/>
      <c r="AT370" s="34"/>
      <c r="AU370" s="34"/>
      <c r="AV370" s="34"/>
      <c r="AW370" s="34"/>
      <c r="AX370" s="34"/>
      <c r="AY370" s="34"/>
      <c r="AZ370" s="34"/>
      <c r="BA370" s="34"/>
      <c r="BB370" s="34"/>
      <c r="BD370" s="34"/>
      <c r="BE370" s="34"/>
      <c r="BF370" s="34"/>
      <c r="BG370" s="34"/>
      <c r="BH370" s="34"/>
      <c r="BI370" s="34"/>
      <c r="BJ370" s="34"/>
      <c r="BK370" s="34"/>
      <c r="BL370" s="34"/>
      <c r="BM370" s="34"/>
      <c r="BN370" s="34"/>
      <c r="BO370" s="34"/>
      <c r="BP370" s="34"/>
      <c r="BQ370" s="34"/>
      <c r="BR370" s="34"/>
      <c r="BS370" s="34"/>
      <c r="BT370" s="34"/>
      <c r="BU370" s="34"/>
      <c r="BV370" s="34"/>
      <c r="BW370" s="34"/>
      <c r="BX370" s="34"/>
      <c r="BY370" s="34"/>
    </row>
    <row r="371" spans="1:77" x14ac:dyDescent="0.3">
      <c r="A371" s="39"/>
      <c r="B371" s="42"/>
      <c r="C371" s="42"/>
      <c r="D371" s="75"/>
      <c r="E371" s="75"/>
      <c r="F371" s="76"/>
      <c r="G371" s="47"/>
      <c r="H371" s="47"/>
      <c r="I371" s="75"/>
      <c r="J371" s="76"/>
      <c r="K371" s="76"/>
      <c r="L371" s="75"/>
      <c r="M371" s="49"/>
      <c r="N371" s="76"/>
      <c r="O371" s="49"/>
      <c r="P371" s="77"/>
      <c r="Q371" s="53"/>
      <c r="R371" s="54"/>
      <c r="S371" s="55"/>
      <c r="T371" s="56"/>
      <c r="U371" s="56"/>
      <c r="V371" s="42"/>
      <c r="W371" s="57"/>
      <c r="X371" s="58"/>
      <c r="Y371" s="75"/>
      <c r="Z371" s="59"/>
      <c r="AA371" s="61"/>
      <c r="AB371" s="61"/>
      <c r="AC371" s="61"/>
      <c r="AD371" s="62"/>
      <c r="AE371" s="62"/>
      <c r="AF371" s="34"/>
      <c r="AG371" s="34"/>
      <c r="AH371" s="34"/>
      <c r="AI371" s="34"/>
      <c r="AJ371" s="34"/>
      <c r="AK371" s="34"/>
      <c r="AL371" s="34"/>
      <c r="AM371" s="34"/>
      <c r="AN371" s="34"/>
      <c r="AO371" s="34"/>
      <c r="AP371" s="34"/>
      <c r="AQ371" s="34"/>
      <c r="AR371" s="34"/>
      <c r="AS371" s="34"/>
      <c r="AT371" s="34"/>
      <c r="AU371" s="34"/>
      <c r="AV371" s="34"/>
      <c r="AW371" s="34"/>
      <c r="AX371" s="34"/>
      <c r="AY371" s="34"/>
      <c r="AZ371" s="34"/>
      <c r="BA371" s="34"/>
      <c r="BB371" s="34"/>
      <c r="BD371" s="34"/>
      <c r="BE371" s="34"/>
      <c r="BF371" s="34"/>
      <c r="BG371" s="34"/>
      <c r="BH371" s="34"/>
      <c r="BI371" s="34"/>
      <c r="BJ371" s="34"/>
      <c r="BK371" s="34"/>
      <c r="BL371" s="34"/>
      <c r="BM371" s="34"/>
      <c r="BN371" s="34"/>
      <c r="BO371" s="34"/>
      <c r="BP371" s="34"/>
      <c r="BQ371" s="34"/>
      <c r="BR371" s="34"/>
      <c r="BS371" s="34"/>
      <c r="BT371" s="34"/>
      <c r="BU371" s="34"/>
      <c r="BV371" s="34"/>
      <c r="BW371" s="34"/>
      <c r="BX371" s="34"/>
      <c r="BY371" s="34"/>
    </row>
    <row r="372" spans="1:77" x14ac:dyDescent="0.3">
      <c r="A372" s="39"/>
      <c r="B372" s="42"/>
      <c r="C372" s="42"/>
      <c r="D372" s="75"/>
      <c r="E372" s="75"/>
      <c r="F372" s="76"/>
      <c r="G372" s="47"/>
      <c r="H372" s="47"/>
      <c r="I372" s="75"/>
      <c r="J372" s="76"/>
      <c r="K372" s="76"/>
      <c r="L372" s="75"/>
      <c r="M372" s="49"/>
      <c r="N372" s="76"/>
      <c r="O372" s="49"/>
      <c r="P372" s="77"/>
      <c r="Q372" s="53"/>
      <c r="R372" s="54"/>
      <c r="S372" s="55"/>
      <c r="T372" s="56"/>
      <c r="U372" s="56"/>
      <c r="V372" s="42"/>
      <c r="W372" s="57"/>
      <c r="X372" s="58"/>
      <c r="Y372" s="75"/>
      <c r="Z372" s="59"/>
      <c r="AA372" s="61"/>
      <c r="AB372" s="61"/>
      <c r="AC372" s="61"/>
      <c r="AD372" s="62"/>
      <c r="AE372" s="62"/>
      <c r="AF372" s="34"/>
      <c r="AG372" s="34"/>
      <c r="AH372" s="34"/>
      <c r="AI372" s="34"/>
      <c r="AJ372" s="34"/>
      <c r="AK372" s="34"/>
      <c r="AL372" s="34"/>
      <c r="AM372" s="34"/>
      <c r="AN372" s="34"/>
      <c r="AO372" s="34"/>
      <c r="AP372" s="34"/>
      <c r="AQ372" s="34"/>
      <c r="AR372" s="34"/>
      <c r="AS372" s="34"/>
      <c r="AT372" s="34"/>
      <c r="AU372" s="34"/>
      <c r="AV372" s="34"/>
      <c r="AW372" s="34"/>
      <c r="AX372" s="34"/>
      <c r="AY372" s="34"/>
      <c r="AZ372" s="34"/>
      <c r="BA372" s="34"/>
      <c r="BB372" s="34"/>
      <c r="BD372" s="34"/>
      <c r="BE372" s="34"/>
      <c r="BF372" s="34"/>
      <c r="BG372" s="34"/>
      <c r="BH372" s="34"/>
      <c r="BI372" s="34"/>
      <c r="BJ372" s="34"/>
      <c r="BK372" s="34"/>
      <c r="BL372" s="34"/>
      <c r="BM372" s="34"/>
      <c r="BN372" s="34"/>
      <c r="BO372" s="34"/>
      <c r="BP372" s="34"/>
      <c r="BQ372" s="34"/>
      <c r="BR372" s="34"/>
      <c r="BS372" s="34"/>
      <c r="BT372" s="34"/>
      <c r="BU372" s="34"/>
      <c r="BV372" s="34"/>
      <c r="BW372" s="34"/>
      <c r="BX372" s="34"/>
      <c r="BY372" s="34"/>
    </row>
    <row r="373" spans="1:77" x14ac:dyDescent="0.3">
      <c r="A373" s="39"/>
      <c r="B373" s="42"/>
      <c r="C373" s="42"/>
      <c r="D373" s="75"/>
      <c r="E373" s="75"/>
      <c r="F373" s="76"/>
      <c r="G373" s="47"/>
      <c r="H373" s="47"/>
      <c r="I373" s="75"/>
      <c r="J373" s="76"/>
      <c r="K373" s="76"/>
      <c r="L373" s="75"/>
      <c r="M373" s="49"/>
      <c r="N373" s="76"/>
      <c r="O373" s="49"/>
      <c r="P373" s="77"/>
      <c r="Q373" s="53"/>
      <c r="R373" s="54"/>
      <c r="S373" s="55"/>
      <c r="T373" s="56"/>
      <c r="U373" s="56"/>
      <c r="V373" s="42"/>
      <c r="W373" s="57"/>
      <c r="X373" s="58"/>
      <c r="Y373" s="75"/>
      <c r="Z373" s="59"/>
      <c r="AA373" s="61"/>
      <c r="AB373" s="61"/>
      <c r="AC373" s="61"/>
      <c r="AD373" s="62"/>
      <c r="AE373" s="62"/>
      <c r="AF373" s="34"/>
      <c r="AG373" s="34"/>
      <c r="AH373" s="34"/>
      <c r="AI373" s="34"/>
      <c r="AJ373" s="34"/>
      <c r="AK373" s="34"/>
      <c r="AL373" s="34"/>
      <c r="AM373" s="34"/>
      <c r="AN373" s="34"/>
      <c r="AO373" s="34"/>
      <c r="AP373" s="34"/>
      <c r="AQ373" s="34"/>
      <c r="AR373" s="34"/>
      <c r="AS373" s="34"/>
      <c r="AT373" s="34"/>
      <c r="AU373" s="34"/>
      <c r="AV373" s="34"/>
      <c r="AW373" s="34"/>
      <c r="AX373" s="34"/>
      <c r="AY373" s="34"/>
      <c r="AZ373" s="34"/>
      <c r="BA373" s="34"/>
      <c r="BB373" s="34"/>
      <c r="BD373" s="34"/>
      <c r="BE373" s="34"/>
      <c r="BF373" s="34"/>
      <c r="BG373" s="34"/>
      <c r="BH373" s="34"/>
      <c r="BI373" s="34"/>
      <c r="BJ373" s="34"/>
      <c r="BK373" s="34"/>
      <c r="BL373" s="34"/>
      <c r="BM373" s="34"/>
      <c r="BN373" s="34"/>
      <c r="BO373" s="34"/>
      <c r="BP373" s="34"/>
      <c r="BQ373" s="34"/>
      <c r="BR373" s="34"/>
      <c r="BS373" s="34"/>
      <c r="BT373" s="34"/>
      <c r="BU373" s="34"/>
      <c r="BV373" s="34"/>
      <c r="BW373" s="34"/>
      <c r="BX373" s="34"/>
      <c r="BY373" s="34"/>
    </row>
    <row r="374" spans="1:77" x14ac:dyDescent="0.3">
      <c r="A374" s="39"/>
      <c r="B374" s="42"/>
      <c r="C374" s="42"/>
      <c r="D374" s="75"/>
      <c r="E374" s="75"/>
      <c r="F374" s="76"/>
      <c r="G374" s="47"/>
      <c r="H374" s="47"/>
      <c r="I374" s="75"/>
      <c r="J374" s="76"/>
      <c r="K374" s="76"/>
      <c r="L374" s="75"/>
      <c r="M374" s="49"/>
      <c r="N374" s="76"/>
      <c r="O374" s="49"/>
      <c r="P374" s="77"/>
      <c r="Q374" s="53"/>
      <c r="R374" s="54"/>
      <c r="S374" s="55"/>
      <c r="T374" s="56"/>
      <c r="U374" s="56"/>
      <c r="V374" s="42"/>
      <c r="W374" s="57"/>
      <c r="X374" s="58"/>
      <c r="Y374" s="75"/>
      <c r="Z374" s="59"/>
      <c r="AA374" s="61"/>
      <c r="AB374" s="61"/>
      <c r="AC374" s="61"/>
      <c r="AD374" s="62"/>
      <c r="AE374" s="62"/>
      <c r="AF374" s="34"/>
      <c r="AG374" s="34"/>
      <c r="AH374" s="34"/>
      <c r="AI374" s="34"/>
      <c r="AJ374" s="34"/>
      <c r="AK374" s="34"/>
      <c r="AL374" s="34"/>
      <c r="AM374" s="34"/>
      <c r="AN374" s="34"/>
      <c r="AO374" s="34"/>
      <c r="AP374" s="34"/>
      <c r="AQ374" s="34"/>
      <c r="AR374" s="34"/>
      <c r="AS374" s="34"/>
      <c r="AT374" s="34"/>
      <c r="AU374" s="34"/>
      <c r="AV374" s="34"/>
      <c r="AW374" s="34"/>
      <c r="AX374" s="34"/>
      <c r="AY374" s="34"/>
      <c r="AZ374" s="34"/>
      <c r="BA374" s="34"/>
      <c r="BB374" s="34"/>
      <c r="BD374" s="34"/>
      <c r="BE374" s="34"/>
      <c r="BF374" s="34"/>
      <c r="BG374" s="34"/>
      <c r="BH374" s="34"/>
      <c r="BI374" s="34"/>
      <c r="BJ374" s="34"/>
      <c r="BK374" s="34"/>
      <c r="BL374" s="34"/>
      <c r="BM374" s="34"/>
      <c r="BN374" s="34"/>
      <c r="BO374" s="34"/>
      <c r="BP374" s="34"/>
      <c r="BQ374" s="34"/>
      <c r="BR374" s="34"/>
      <c r="BS374" s="34"/>
      <c r="BT374" s="34"/>
      <c r="BU374" s="34"/>
      <c r="BV374" s="34"/>
      <c r="BW374" s="34"/>
      <c r="BX374" s="34"/>
      <c r="BY374" s="34"/>
    </row>
    <row r="375" spans="1:77" x14ac:dyDescent="0.3">
      <c r="A375" s="39"/>
      <c r="B375" s="42"/>
      <c r="C375" s="42"/>
      <c r="D375" s="75"/>
      <c r="E375" s="75"/>
      <c r="F375" s="76"/>
      <c r="G375" s="47"/>
      <c r="H375" s="47"/>
      <c r="I375" s="75"/>
      <c r="J375" s="76"/>
      <c r="K375" s="76"/>
      <c r="L375" s="75"/>
      <c r="M375" s="49"/>
      <c r="N375" s="76"/>
      <c r="O375" s="49"/>
      <c r="P375" s="77"/>
      <c r="Q375" s="53"/>
      <c r="R375" s="54"/>
      <c r="S375" s="55"/>
      <c r="T375" s="56"/>
      <c r="U375" s="56"/>
      <c r="V375" s="42"/>
      <c r="W375" s="57"/>
      <c r="X375" s="58"/>
      <c r="Y375" s="75"/>
      <c r="Z375" s="59"/>
      <c r="AA375" s="61"/>
      <c r="AB375" s="61"/>
      <c r="AC375" s="61"/>
      <c r="AD375" s="62"/>
      <c r="AE375" s="62"/>
      <c r="AF375" s="34"/>
      <c r="AG375" s="34"/>
      <c r="AH375" s="34"/>
      <c r="AI375" s="34"/>
      <c r="AJ375" s="34"/>
      <c r="AK375" s="34"/>
      <c r="AL375" s="34"/>
      <c r="AM375" s="34"/>
      <c r="AN375" s="34"/>
      <c r="AO375" s="34"/>
      <c r="AP375" s="34"/>
      <c r="AQ375" s="34"/>
      <c r="AR375" s="34"/>
      <c r="AS375" s="34"/>
      <c r="AT375" s="34"/>
      <c r="AU375" s="34"/>
      <c r="AV375" s="34"/>
      <c r="AW375" s="34"/>
      <c r="AX375" s="34"/>
      <c r="AY375" s="34"/>
      <c r="AZ375" s="34"/>
      <c r="BA375" s="34"/>
      <c r="BB375" s="34"/>
      <c r="BD375" s="34"/>
      <c r="BE375" s="34"/>
      <c r="BF375" s="34"/>
      <c r="BG375" s="34"/>
      <c r="BH375" s="34"/>
      <c r="BI375" s="34"/>
      <c r="BJ375" s="34"/>
      <c r="BK375" s="34"/>
      <c r="BL375" s="34"/>
      <c r="BM375" s="34"/>
      <c r="BN375" s="34"/>
      <c r="BO375" s="34"/>
      <c r="BP375" s="34"/>
      <c r="BQ375" s="34"/>
      <c r="BR375" s="34"/>
      <c r="BS375" s="34"/>
      <c r="BT375" s="34"/>
      <c r="BU375" s="34"/>
      <c r="BV375" s="34"/>
      <c r="BW375" s="34"/>
      <c r="BX375" s="34"/>
      <c r="BY375" s="34"/>
    </row>
    <row r="376" spans="1:77" x14ac:dyDescent="0.3">
      <c r="A376" s="39"/>
      <c r="B376" s="42"/>
      <c r="C376" s="42"/>
      <c r="D376" s="75"/>
      <c r="E376" s="75"/>
      <c r="F376" s="76"/>
      <c r="G376" s="47"/>
      <c r="H376" s="47"/>
      <c r="I376" s="75"/>
      <c r="J376" s="76"/>
      <c r="K376" s="76"/>
      <c r="L376" s="75"/>
      <c r="M376" s="49"/>
      <c r="N376" s="76"/>
      <c r="O376" s="49"/>
      <c r="P376" s="77"/>
      <c r="Q376" s="53"/>
      <c r="R376" s="54"/>
      <c r="S376" s="55"/>
      <c r="T376" s="56"/>
      <c r="U376" s="56"/>
      <c r="V376" s="42"/>
      <c r="W376" s="57"/>
      <c r="X376" s="58"/>
      <c r="Y376" s="75"/>
      <c r="Z376" s="59"/>
      <c r="AA376" s="61"/>
      <c r="AB376" s="61"/>
      <c r="AC376" s="61"/>
      <c r="AD376" s="62"/>
      <c r="AE376" s="62"/>
      <c r="AF376" s="34"/>
      <c r="AG376" s="34"/>
      <c r="AH376" s="34"/>
      <c r="AI376" s="34"/>
      <c r="AJ376" s="34"/>
      <c r="AK376" s="34"/>
      <c r="AL376" s="34"/>
      <c r="AM376" s="34"/>
      <c r="AN376" s="34"/>
      <c r="AO376" s="34"/>
      <c r="AP376" s="34"/>
      <c r="AQ376" s="34"/>
      <c r="AR376" s="34"/>
      <c r="AS376" s="34"/>
      <c r="AT376" s="34"/>
      <c r="AU376" s="34"/>
      <c r="AV376" s="34"/>
      <c r="AW376" s="34"/>
      <c r="AX376" s="34"/>
      <c r="AY376" s="34"/>
      <c r="AZ376" s="34"/>
      <c r="BA376" s="34"/>
      <c r="BB376" s="34"/>
      <c r="BD376" s="34"/>
      <c r="BE376" s="34"/>
      <c r="BF376" s="34"/>
      <c r="BG376" s="34"/>
      <c r="BH376" s="34"/>
      <c r="BI376" s="34"/>
      <c r="BJ376" s="34"/>
      <c r="BK376" s="34"/>
      <c r="BL376" s="34"/>
      <c r="BM376" s="34"/>
      <c r="BN376" s="34"/>
      <c r="BO376" s="34"/>
      <c r="BP376" s="34"/>
      <c r="BQ376" s="34"/>
      <c r="BR376" s="34"/>
      <c r="BS376" s="34"/>
      <c r="BT376" s="34"/>
      <c r="BU376" s="34"/>
      <c r="BV376" s="34"/>
      <c r="BW376" s="34"/>
      <c r="BX376" s="34"/>
      <c r="BY376" s="34"/>
    </row>
    <row r="377" spans="1:77" x14ac:dyDescent="0.3">
      <c r="A377" s="39"/>
      <c r="B377" s="42"/>
      <c r="C377" s="42"/>
      <c r="D377" s="75"/>
      <c r="E377" s="75"/>
      <c r="F377" s="76"/>
      <c r="G377" s="47"/>
      <c r="H377" s="47"/>
      <c r="I377" s="75"/>
      <c r="J377" s="76"/>
      <c r="K377" s="76"/>
      <c r="L377" s="75"/>
      <c r="M377" s="49"/>
      <c r="N377" s="76"/>
      <c r="O377" s="49"/>
      <c r="P377" s="77"/>
      <c r="Q377" s="53"/>
      <c r="R377" s="54"/>
      <c r="S377" s="55"/>
      <c r="T377" s="56"/>
      <c r="U377" s="56"/>
      <c r="V377" s="42"/>
      <c r="W377" s="57"/>
      <c r="X377" s="58"/>
      <c r="Y377" s="75"/>
      <c r="Z377" s="59"/>
      <c r="AA377" s="61"/>
      <c r="AB377" s="61"/>
      <c r="AC377" s="61"/>
      <c r="AD377" s="62"/>
      <c r="AE377" s="62"/>
      <c r="AF377" s="34"/>
      <c r="AG377" s="34"/>
      <c r="AH377" s="34"/>
      <c r="AI377" s="34"/>
      <c r="AJ377" s="34"/>
      <c r="AK377" s="34"/>
      <c r="AL377" s="34"/>
      <c r="AM377" s="34"/>
      <c r="AN377" s="34"/>
      <c r="AO377" s="34"/>
      <c r="AP377" s="34"/>
      <c r="AQ377" s="34"/>
      <c r="AR377" s="34"/>
      <c r="AS377" s="34"/>
      <c r="AT377" s="34"/>
      <c r="AU377" s="34"/>
      <c r="AV377" s="34"/>
      <c r="AW377" s="34"/>
      <c r="AX377" s="34"/>
      <c r="AY377" s="34"/>
      <c r="AZ377" s="34"/>
      <c r="BA377" s="34"/>
      <c r="BB377" s="34"/>
      <c r="BD377" s="34"/>
      <c r="BE377" s="34"/>
      <c r="BF377" s="34"/>
      <c r="BG377" s="34"/>
      <c r="BH377" s="34"/>
      <c r="BI377" s="34"/>
      <c r="BJ377" s="34"/>
      <c r="BK377" s="34"/>
      <c r="BL377" s="34"/>
      <c r="BM377" s="34"/>
      <c r="BN377" s="34"/>
      <c r="BO377" s="34"/>
      <c r="BP377" s="34"/>
      <c r="BQ377" s="34"/>
      <c r="BR377" s="34"/>
      <c r="BS377" s="34"/>
      <c r="BT377" s="34"/>
      <c r="BU377" s="34"/>
      <c r="BV377" s="34"/>
      <c r="BW377" s="34"/>
      <c r="BX377" s="34"/>
      <c r="BY377" s="34"/>
    </row>
    <row r="378" spans="1:77" x14ac:dyDescent="0.3">
      <c r="A378" s="39"/>
      <c r="B378" s="42"/>
      <c r="C378" s="42"/>
      <c r="D378" s="75"/>
      <c r="E378" s="75"/>
      <c r="F378" s="76"/>
      <c r="G378" s="47"/>
      <c r="H378" s="47"/>
      <c r="I378" s="75"/>
      <c r="J378" s="76"/>
      <c r="K378" s="76"/>
      <c r="L378" s="75"/>
      <c r="M378" s="49"/>
      <c r="N378" s="76"/>
      <c r="O378" s="49"/>
      <c r="P378" s="77"/>
      <c r="Q378" s="53"/>
      <c r="R378" s="54"/>
      <c r="S378" s="55"/>
      <c r="T378" s="56"/>
      <c r="U378" s="56"/>
      <c r="V378" s="42"/>
      <c r="W378" s="57"/>
      <c r="X378" s="58"/>
      <c r="Y378" s="75"/>
      <c r="Z378" s="59"/>
      <c r="AA378" s="61"/>
      <c r="AB378" s="61"/>
      <c r="AC378" s="61"/>
      <c r="AD378" s="62"/>
      <c r="AE378" s="62"/>
      <c r="AF378" s="34"/>
      <c r="AG378" s="34"/>
      <c r="AH378" s="34"/>
      <c r="AI378" s="34"/>
      <c r="AJ378" s="34"/>
      <c r="AK378" s="34"/>
      <c r="AL378" s="34"/>
      <c r="AM378" s="34"/>
      <c r="AN378" s="34"/>
      <c r="AO378" s="34"/>
      <c r="AP378" s="34"/>
      <c r="AQ378" s="34"/>
      <c r="AR378" s="34"/>
      <c r="AS378" s="34"/>
      <c r="AT378" s="34"/>
      <c r="AU378" s="34"/>
      <c r="AV378" s="34"/>
      <c r="AW378" s="34"/>
      <c r="AX378" s="34"/>
      <c r="AY378" s="34"/>
      <c r="AZ378" s="34"/>
      <c r="BA378" s="34"/>
      <c r="BB378" s="34"/>
      <c r="BD378" s="34"/>
      <c r="BE378" s="34"/>
      <c r="BF378" s="34"/>
      <c r="BG378" s="34"/>
      <c r="BH378" s="34"/>
      <c r="BI378" s="34"/>
      <c r="BJ378" s="34"/>
      <c r="BK378" s="34"/>
      <c r="BL378" s="34"/>
      <c r="BM378" s="34"/>
      <c r="BN378" s="34"/>
      <c r="BO378" s="34"/>
      <c r="BP378" s="34"/>
      <c r="BQ378" s="34"/>
      <c r="BR378" s="34"/>
      <c r="BS378" s="34"/>
      <c r="BT378" s="34"/>
      <c r="BU378" s="34"/>
      <c r="BV378" s="34"/>
      <c r="BW378" s="34"/>
      <c r="BX378" s="34"/>
      <c r="BY378" s="34"/>
    </row>
    <row r="379" spans="1:77" x14ac:dyDescent="0.3">
      <c r="A379" s="39"/>
      <c r="B379" s="42"/>
      <c r="C379" s="42"/>
      <c r="D379" s="75"/>
      <c r="E379" s="75"/>
      <c r="F379" s="76"/>
      <c r="G379" s="47"/>
      <c r="H379" s="47"/>
      <c r="I379" s="75"/>
      <c r="J379" s="76"/>
      <c r="K379" s="76"/>
      <c r="L379" s="75"/>
      <c r="M379" s="49"/>
      <c r="N379" s="76"/>
      <c r="O379" s="49"/>
      <c r="P379" s="77"/>
      <c r="Q379" s="53"/>
      <c r="R379" s="54"/>
      <c r="S379" s="55"/>
      <c r="T379" s="56"/>
      <c r="U379" s="56"/>
      <c r="V379" s="42"/>
      <c r="W379" s="57"/>
      <c r="X379" s="58"/>
      <c r="Y379" s="75"/>
      <c r="Z379" s="59"/>
      <c r="AA379" s="61"/>
      <c r="AB379" s="61"/>
      <c r="AC379" s="61"/>
      <c r="AD379" s="62"/>
      <c r="AE379" s="62"/>
      <c r="AF379" s="34"/>
      <c r="AG379" s="34"/>
      <c r="AH379" s="34"/>
      <c r="AI379" s="34"/>
      <c r="AJ379" s="34"/>
      <c r="AK379" s="34"/>
      <c r="AL379" s="34"/>
      <c r="AM379" s="34"/>
      <c r="AN379" s="34"/>
      <c r="AO379" s="34"/>
      <c r="AP379" s="34"/>
      <c r="AQ379" s="34"/>
      <c r="AR379" s="34"/>
      <c r="AS379" s="34"/>
      <c r="AT379" s="34"/>
      <c r="AU379" s="34"/>
      <c r="AV379" s="34"/>
      <c r="AW379" s="34"/>
      <c r="AX379" s="34"/>
      <c r="AY379" s="34"/>
      <c r="AZ379" s="34"/>
      <c r="BA379" s="34"/>
      <c r="BB379" s="34"/>
      <c r="BD379" s="34"/>
      <c r="BE379" s="34"/>
      <c r="BF379" s="34"/>
      <c r="BG379" s="34"/>
      <c r="BH379" s="34"/>
      <c r="BI379" s="34"/>
      <c r="BJ379" s="34"/>
      <c r="BK379" s="34"/>
      <c r="BL379" s="34"/>
      <c r="BM379" s="34"/>
      <c r="BN379" s="34"/>
      <c r="BO379" s="34"/>
      <c r="BP379" s="34"/>
      <c r="BQ379" s="34"/>
      <c r="BR379" s="34"/>
      <c r="BS379" s="34"/>
      <c r="BT379" s="34"/>
      <c r="BU379" s="34"/>
      <c r="BV379" s="34"/>
      <c r="BW379" s="34"/>
      <c r="BX379" s="34"/>
      <c r="BY379" s="34"/>
    </row>
    <row r="380" spans="1:77" x14ac:dyDescent="0.3">
      <c r="A380" s="39"/>
      <c r="B380" s="42"/>
      <c r="C380" s="42"/>
      <c r="D380" s="75"/>
      <c r="E380" s="75"/>
      <c r="F380" s="76"/>
      <c r="G380" s="47"/>
      <c r="H380" s="47"/>
      <c r="I380" s="75"/>
      <c r="J380" s="76"/>
      <c r="K380" s="76"/>
      <c r="L380" s="75"/>
      <c r="M380" s="49"/>
      <c r="N380" s="76"/>
      <c r="O380" s="49"/>
      <c r="P380" s="77"/>
      <c r="Q380" s="53"/>
      <c r="R380" s="54"/>
      <c r="S380" s="55"/>
      <c r="T380" s="56"/>
      <c r="U380" s="56"/>
      <c r="V380" s="42"/>
      <c r="W380" s="57"/>
      <c r="X380" s="58"/>
      <c r="Y380" s="75"/>
      <c r="Z380" s="59"/>
      <c r="AA380" s="61"/>
      <c r="AB380" s="61"/>
      <c r="AC380" s="61"/>
      <c r="AD380" s="62"/>
      <c r="AE380" s="62"/>
      <c r="AF380" s="34"/>
      <c r="AG380" s="34"/>
      <c r="AH380" s="34"/>
      <c r="AI380" s="34"/>
      <c r="AJ380" s="34"/>
      <c r="AK380" s="34"/>
      <c r="AL380" s="34"/>
      <c r="AM380" s="34"/>
      <c r="AN380" s="34"/>
      <c r="AO380" s="34"/>
      <c r="AP380" s="34"/>
      <c r="AQ380" s="34"/>
      <c r="AR380" s="34"/>
      <c r="AS380" s="34"/>
      <c r="AT380" s="34"/>
      <c r="AU380" s="34"/>
      <c r="AV380" s="34"/>
      <c r="AW380" s="34"/>
      <c r="AX380" s="34"/>
      <c r="AY380" s="34"/>
      <c r="AZ380" s="34"/>
      <c r="BA380" s="34"/>
      <c r="BB380" s="34"/>
      <c r="BD380" s="34"/>
      <c r="BE380" s="34"/>
      <c r="BF380" s="34"/>
      <c r="BG380" s="34"/>
      <c r="BH380" s="34"/>
      <c r="BI380" s="34"/>
      <c r="BJ380" s="34"/>
      <c r="BK380" s="34"/>
      <c r="BL380" s="34"/>
      <c r="BM380" s="34"/>
      <c r="BN380" s="34"/>
      <c r="BO380" s="34"/>
      <c r="BP380" s="34"/>
      <c r="BQ380" s="34"/>
      <c r="BR380" s="34"/>
      <c r="BS380" s="34"/>
      <c r="BT380" s="34"/>
      <c r="BU380" s="34"/>
      <c r="BV380" s="34"/>
      <c r="BW380" s="34"/>
      <c r="BX380" s="34"/>
      <c r="BY380" s="34"/>
    </row>
    <row r="381" spans="1:77" x14ac:dyDescent="0.3">
      <c r="A381" s="39"/>
      <c r="B381" s="42"/>
      <c r="C381" s="42"/>
      <c r="D381" s="75"/>
      <c r="E381" s="75"/>
      <c r="F381" s="76"/>
      <c r="G381" s="47"/>
      <c r="H381" s="47"/>
      <c r="I381" s="75"/>
      <c r="J381" s="76"/>
      <c r="K381" s="76"/>
      <c r="L381" s="75"/>
      <c r="M381" s="49"/>
      <c r="N381" s="76"/>
      <c r="O381" s="49"/>
      <c r="P381" s="77"/>
      <c r="Q381" s="53"/>
      <c r="R381" s="54"/>
      <c r="S381" s="55"/>
      <c r="T381" s="56"/>
      <c r="U381" s="56"/>
      <c r="V381" s="42"/>
      <c r="W381" s="57"/>
      <c r="X381" s="58"/>
      <c r="Y381" s="75"/>
      <c r="Z381" s="59"/>
      <c r="AA381" s="61"/>
      <c r="AB381" s="61"/>
      <c r="AC381" s="61"/>
      <c r="AD381" s="62"/>
      <c r="AE381" s="62"/>
      <c r="AF381" s="34"/>
      <c r="AG381" s="34"/>
      <c r="AH381" s="34"/>
      <c r="AI381" s="34"/>
      <c r="AJ381" s="34"/>
      <c r="AK381" s="34"/>
      <c r="AL381" s="34"/>
      <c r="AM381" s="34"/>
      <c r="AN381" s="34"/>
      <c r="AO381" s="34"/>
      <c r="AP381" s="34"/>
      <c r="AQ381" s="34"/>
      <c r="AR381" s="34"/>
      <c r="AS381" s="34"/>
      <c r="AT381" s="34"/>
      <c r="AU381" s="34"/>
      <c r="AV381" s="34"/>
      <c r="AW381" s="34"/>
      <c r="AX381" s="34"/>
      <c r="AY381" s="34"/>
      <c r="AZ381" s="34"/>
      <c r="BA381" s="34"/>
      <c r="BB381" s="34"/>
      <c r="BD381" s="34"/>
      <c r="BE381" s="34"/>
      <c r="BF381" s="34"/>
      <c r="BG381" s="34"/>
      <c r="BH381" s="34"/>
      <c r="BI381" s="34"/>
      <c r="BJ381" s="34"/>
      <c r="BK381" s="34"/>
      <c r="BL381" s="34"/>
      <c r="BM381" s="34"/>
      <c r="BN381" s="34"/>
      <c r="BO381" s="34"/>
      <c r="BP381" s="34"/>
      <c r="BQ381" s="34"/>
      <c r="BR381" s="34"/>
      <c r="BS381" s="34"/>
      <c r="BT381" s="34"/>
      <c r="BU381" s="34"/>
      <c r="BV381" s="34"/>
      <c r="BW381" s="34"/>
      <c r="BX381" s="34"/>
      <c r="BY381" s="34"/>
    </row>
    <row r="382" spans="1:77" x14ac:dyDescent="0.3">
      <c r="A382" s="39"/>
      <c r="B382" s="42"/>
      <c r="C382" s="42"/>
      <c r="D382" s="75"/>
      <c r="E382" s="75"/>
      <c r="F382" s="76"/>
      <c r="G382" s="47"/>
      <c r="H382" s="47"/>
      <c r="I382" s="75"/>
      <c r="J382" s="76"/>
      <c r="K382" s="76"/>
      <c r="L382" s="75"/>
      <c r="M382" s="49"/>
      <c r="N382" s="76"/>
      <c r="O382" s="49"/>
      <c r="P382" s="77"/>
      <c r="Q382" s="53"/>
      <c r="R382" s="54"/>
      <c r="S382" s="55"/>
      <c r="T382" s="56"/>
      <c r="U382" s="56"/>
      <c r="V382" s="42"/>
      <c r="W382" s="57"/>
      <c r="X382" s="58"/>
      <c r="Y382" s="75"/>
      <c r="Z382" s="59"/>
      <c r="AA382" s="61"/>
      <c r="AB382" s="61"/>
      <c r="AC382" s="61"/>
      <c r="AD382" s="62"/>
      <c r="AE382" s="62"/>
      <c r="AF382" s="34"/>
      <c r="AG382" s="34"/>
      <c r="AH382" s="34"/>
      <c r="AI382" s="34"/>
      <c r="AJ382" s="34"/>
      <c r="AK382" s="34"/>
      <c r="AL382" s="34"/>
      <c r="AM382" s="34"/>
      <c r="AN382" s="34"/>
      <c r="AO382" s="34"/>
      <c r="AP382" s="34"/>
      <c r="AQ382" s="34"/>
      <c r="AR382" s="34"/>
      <c r="AS382" s="34"/>
      <c r="AT382" s="34"/>
      <c r="AU382" s="34"/>
      <c r="AV382" s="34"/>
      <c r="AW382" s="34"/>
      <c r="AX382" s="34"/>
      <c r="AY382" s="34"/>
      <c r="AZ382" s="34"/>
      <c r="BA382" s="34"/>
      <c r="BB382" s="34"/>
      <c r="BD382" s="34"/>
      <c r="BE382" s="34"/>
      <c r="BF382" s="34"/>
      <c r="BG382" s="34"/>
      <c r="BH382" s="34"/>
      <c r="BI382" s="34"/>
      <c r="BJ382" s="34"/>
      <c r="BK382" s="34"/>
      <c r="BL382" s="34"/>
      <c r="BM382" s="34"/>
      <c r="BN382" s="34"/>
      <c r="BO382" s="34"/>
      <c r="BP382" s="34"/>
      <c r="BQ382" s="34"/>
      <c r="BR382" s="34"/>
      <c r="BS382" s="34"/>
      <c r="BT382" s="34"/>
      <c r="BU382" s="34"/>
      <c r="BV382" s="34"/>
      <c r="BW382" s="34"/>
      <c r="BX382" s="34"/>
      <c r="BY382" s="34"/>
    </row>
    <row r="383" spans="1:77" x14ac:dyDescent="0.3">
      <c r="A383" s="39"/>
      <c r="B383" s="42"/>
      <c r="C383" s="42"/>
      <c r="D383" s="75"/>
      <c r="E383" s="75"/>
      <c r="F383" s="76"/>
      <c r="G383" s="47"/>
      <c r="H383" s="47"/>
      <c r="I383" s="75"/>
      <c r="J383" s="76"/>
      <c r="K383" s="76"/>
      <c r="L383" s="75"/>
      <c r="M383" s="49"/>
      <c r="N383" s="76"/>
      <c r="O383" s="49"/>
      <c r="P383" s="77"/>
      <c r="Q383" s="53"/>
      <c r="R383" s="54"/>
      <c r="S383" s="55"/>
      <c r="T383" s="56"/>
      <c r="U383" s="56"/>
      <c r="V383" s="42"/>
      <c r="W383" s="57"/>
      <c r="X383" s="58"/>
      <c r="Y383" s="75"/>
      <c r="Z383" s="59"/>
      <c r="AA383" s="61"/>
      <c r="AB383" s="61"/>
      <c r="AC383" s="61"/>
      <c r="AD383" s="62"/>
      <c r="AE383" s="62"/>
      <c r="AF383" s="34"/>
      <c r="AG383" s="34"/>
      <c r="AH383" s="34"/>
      <c r="AI383" s="34"/>
      <c r="AJ383" s="34"/>
      <c r="AK383" s="34"/>
      <c r="AL383" s="34"/>
      <c r="AM383" s="34"/>
      <c r="AN383" s="34"/>
      <c r="AO383" s="34"/>
      <c r="AP383" s="34"/>
      <c r="AQ383" s="34"/>
      <c r="AR383" s="34"/>
      <c r="AS383" s="34"/>
      <c r="AT383" s="34"/>
      <c r="AU383" s="34"/>
      <c r="AV383" s="34"/>
      <c r="AW383" s="34"/>
      <c r="AX383" s="34"/>
      <c r="AY383" s="34"/>
      <c r="AZ383" s="34"/>
      <c r="BA383" s="34"/>
      <c r="BB383" s="34"/>
      <c r="BD383" s="34"/>
      <c r="BE383" s="34"/>
      <c r="BF383" s="34"/>
      <c r="BG383" s="34"/>
      <c r="BH383" s="34"/>
      <c r="BI383" s="34"/>
      <c r="BJ383" s="34"/>
      <c r="BK383" s="34"/>
      <c r="BL383" s="34"/>
      <c r="BM383" s="34"/>
      <c r="BN383" s="34"/>
      <c r="BO383" s="34"/>
      <c r="BP383" s="34"/>
      <c r="BQ383" s="34"/>
      <c r="BR383" s="34"/>
      <c r="BS383" s="34"/>
      <c r="BT383" s="34"/>
      <c r="BU383" s="34"/>
      <c r="BV383" s="34"/>
      <c r="BW383" s="34"/>
      <c r="BX383" s="34"/>
      <c r="BY383" s="34"/>
    </row>
    <row r="384" spans="1:77" x14ac:dyDescent="0.3">
      <c r="A384" s="39"/>
      <c r="B384" s="42"/>
      <c r="C384" s="42"/>
      <c r="D384" s="75"/>
      <c r="E384" s="75"/>
      <c r="F384" s="76"/>
      <c r="G384" s="47"/>
      <c r="H384" s="47"/>
      <c r="I384" s="75"/>
      <c r="J384" s="76"/>
      <c r="K384" s="76"/>
      <c r="L384" s="75"/>
      <c r="M384" s="49"/>
      <c r="N384" s="76"/>
      <c r="O384" s="49"/>
      <c r="P384" s="77"/>
      <c r="Q384" s="53"/>
      <c r="R384" s="54"/>
      <c r="S384" s="55"/>
      <c r="T384" s="56"/>
      <c r="U384" s="56"/>
      <c r="V384" s="42"/>
      <c r="W384" s="57"/>
      <c r="X384" s="58"/>
      <c r="Y384" s="75"/>
      <c r="Z384" s="59"/>
      <c r="AA384" s="61"/>
      <c r="AB384" s="61"/>
      <c r="AC384" s="61"/>
      <c r="AD384" s="62"/>
      <c r="AE384" s="62"/>
      <c r="AF384" s="34"/>
      <c r="AG384" s="34"/>
      <c r="AH384" s="34"/>
      <c r="AI384" s="34"/>
      <c r="AJ384" s="34"/>
      <c r="AK384" s="34"/>
      <c r="AL384" s="34"/>
      <c r="AM384" s="34"/>
      <c r="AN384" s="34"/>
      <c r="AO384" s="34"/>
      <c r="AP384" s="34"/>
      <c r="AQ384" s="34"/>
      <c r="AR384" s="34"/>
      <c r="AS384" s="34"/>
      <c r="AT384" s="34"/>
      <c r="AU384" s="34"/>
      <c r="AV384" s="34"/>
      <c r="AW384" s="34"/>
      <c r="AX384" s="34"/>
      <c r="AY384" s="34"/>
      <c r="AZ384" s="34"/>
      <c r="BA384" s="34"/>
      <c r="BB384" s="34"/>
      <c r="BD384" s="34"/>
      <c r="BE384" s="34"/>
      <c r="BF384" s="34"/>
      <c r="BG384" s="34"/>
      <c r="BH384" s="34"/>
      <c r="BI384" s="34"/>
      <c r="BJ384" s="34"/>
      <c r="BK384" s="34"/>
      <c r="BL384" s="34"/>
      <c r="BM384" s="34"/>
      <c r="BN384" s="34"/>
      <c r="BO384" s="34"/>
      <c r="BP384" s="34"/>
      <c r="BQ384" s="34"/>
      <c r="BR384" s="34"/>
      <c r="BS384" s="34"/>
      <c r="BT384" s="34"/>
      <c r="BU384" s="34"/>
      <c r="BV384" s="34"/>
      <c r="BW384" s="34"/>
      <c r="BX384" s="34"/>
      <c r="BY384" s="34"/>
    </row>
    <row r="385" spans="1:77" x14ac:dyDescent="0.3">
      <c r="A385" s="39"/>
      <c r="B385" s="42"/>
      <c r="C385" s="42"/>
      <c r="D385" s="75"/>
      <c r="E385" s="75"/>
      <c r="F385" s="76"/>
      <c r="G385" s="47"/>
      <c r="H385" s="47"/>
      <c r="I385" s="75"/>
      <c r="J385" s="76"/>
      <c r="K385" s="76"/>
      <c r="L385" s="75"/>
      <c r="M385" s="49"/>
      <c r="N385" s="76"/>
      <c r="O385" s="49"/>
      <c r="P385" s="77"/>
      <c r="Q385" s="53"/>
      <c r="R385" s="54"/>
      <c r="S385" s="55"/>
      <c r="T385" s="56"/>
      <c r="U385" s="56"/>
      <c r="V385" s="42"/>
      <c r="W385" s="57"/>
      <c r="X385" s="58"/>
      <c r="Y385" s="75"/>
      <c r="Z385" s="59"/>
      <c r="AA385" s="61"/>
      <c r="AB385" s="61"/>
      <c r="AC385" s="61"/>
      <c r="AD385" s="62"/>
      <c r="AE385" s="62"/>
      <c r="AF385" s="34"/>
      <c r="AG385" s="34"/>
      <c r="AH385" s="34"/>
      <c r="AI385" s="34"/>
      <c r="AJ385" s="34"/>
      <c r="AK385" s="34"/>
      <c r="AL385" s="34"/>
      <c r="AM385" s="34"/>
      <c r="AN385" s="34"/>
      <c r="AO385" s="34"/>
      <c r="AP385" s="34"/>
      <c r="AQ385" s="34"/>
      <c r="AR385" s="34"/>
      <c r="AS385" s="34"/>
      <c r="AT385" s="34"/>
      <c r="AU385" s="34"/>
      <c r="AV385" s="34"/>
      <c r="AW385" s="34"/>
      <c r="AX385" s="34"/>
      <c r="AY385" s="34"/>
      <c r="AZ385" s="34"/>
      <c r="BA385" s="34"/>
      <c r="BB385" s="34"/>
      <c r="BD385" s="34"/>
      <c r="BE385" s="34"/>
      <c r="BF385" s="34"/>
      <c r="BG385" s="34"/>
      <c r="BH385" s="34"/>
      <c r="BI385" s="34"/>
      <c r="BJ385" s="34"/>
      <c r="BK385" s="34"/>
      <c r="BL385" s="34"/>
      <c r="BM385" s="34"/>
      <c r="BN385" s="34"/>
      <c r="BO385" s="34"/>
      <c r="BP385" s="34"/>
      <c r="BQ385" s="34"/>
      <c r="BR385" s="34"/>
      <c r="BS385" s="34"/>
      <c r="BT385" s="34"/>
      <c r="BU385" s="34"/>
      <c r="BV385" s="34"/>
      <c r="BW385" s="34"/>
      <c r="BX385" s="34"/>
      <c r="BY385" s="34"/>
    </row>
    <row r="386" spans="1:77" x14ac:dyDescent="0.3">
      <c r="A386" s="39"/>
      <c r="B386" s="42"/>
      <c r="C386" s="42"/>
      <c r="D386" s="75"/>
      <c r="E386" s="75"/>
      <c r="F386" s="76"/>
      <c r="G386" s="47"/>
      <c r="H386" s="47"/>
      <c r="I386" s="75"/>
      <c r="J386" s="76"/>
      <c r="K386" s="76"/>
      <c r="L386" s="75"/>
      <c r="M386" s="49"/>
      <c r="N386" s="76"/>
      <c r="O386" s="49"/>
      <c r="P386" s="77"/>
      <c r="Q386" s="53"/>
      <c r="R386" s="54"/>
      <c r="S386" s="55"/>
      <c r="T386" s="56"/>
      <c r="U386" s="56"/>
      <c r="V386" s="42"/>
      <c r="W386" s="57"/>
      <c r="X386" s="58"/>
      <c r="Y386" s="75"/>
      <c r="Z386" s="59"/>
      <c r="AA386" s="61"/>
      <c r="AB386" s="61"/>
      <c r="AC386" s="61"/>
      <c r="AD386" s="62"/>
      <c r="AE386" s="62"/>
      <c r="AF386" s="34"/>
      <c r="AG386" s="34"/>
      <c r="AH386" s="34"/>
      <c r="AI386" s="34"/>
      <c r="AJ386" s="34"/>
      <c r="AK386" s="34"/>
      <c r="AL386" s="34"/>
      <c r="AM386" s="34"/>
      <c r="AN386" s="34"/>
      <c r="AO386" s="34"/>
      <c r="AP386" s="34"/>
      <c r="AQ386" s="34"/>
      <c r="AR386" s="34"/>
      <c r="AS386" s="34"/>
      <c r="AT386" s="34"/>
      <c r="AU386" s="34"/>
      <c r="AV386" s="34"/>
      <c r="AW386" s="34"/>
      <c r="AX386" s="34"/>
      <c r="AY386" s="34"/>
      <c r="AZ386" s="34"/>
      <c r="BA386" s="34"/>
      <c r="BB386" s="34"/>
      <c r="BD386" s="34"/>
      <c r="BE386" s="34"/>
      <c r="BF386" s="34"/>
      <c r="BG386" s="34"/>
      <c r="BH386" s="34"/>
      <c r="BI386" s="34"/>
      <c r="BJ386" s="34"/>
      <c r="BK386" s="34"/>
      <c r="BL386" s="34"/>
      <c r="BM386" s="34"/>
      <c r="BN386" s="34"/>
      <c r="BO386" s="34"/>
      <c r="BP386" s="34"/>
      <c r="BQ386" s="34"/>
      <c r="BR386" s="34"/>
      <c r="BS386" s="34"/>
      <c r="BT386" s="34"/>
      <c r="BU386" s="34"/>
      <c r="BV386" s="34"/>
      <c r="BW386" s="34"/>
      <c r="BX386" s="34"/>
      <c r="BY386" s="34"/>
    </row>
    <row r="387" spans="1:77" x14ac:dyDescent="0.3">
      <c r="A387" s="39"/>
      <c r="B387" s="42"/>
      <c r="C387" s="42"/>
      <c r="D387" s="75"/>
      <c r="E387" s="75"/>
      <c r="F387" s="76"/>
      <c r="G387" s="47"/>
      <c r="H387" s="47"/>
      <c r="I387" s="75"/>
      <c r="J387" s="76"/>
      <c r="K387" s="76"/>
      <c r="L387" s="75"/>
      <c r="M387" s="49"/>
      <c r="N387" s="76"/>
      <c r="O387" s="49"/>
      <c r="P387" s="77"/>
      <c r="Q387" s="53"/>
      <c r="R387" s="54"/>
      <c r="S387" s="55"/>
      <c r="T387" s="56"/>
      <c r="U387" s="56"/>
      <c r="V387" s="42"/>
      <c r="W387" s="57"/>
      <c r="X387" s="58"/>
      <c r="Y387" s="75"/>
      <c r="Z387" s="59"/>
      <c r="AA387" s="61"/>
      <c r="AB387" s="61"/>
      <c r="AC387" s="61"/>
      <c r="AD387" s="62"/>
      <c r="AE387" s="62"/>
      <c r="AF387" s="34"/>
      <c r="AG387" s="34"/>
      <c r="AH387" s="34"/>
      <c r="AI387" s="34"/>
      <c r="AJ387" s="34"/>
      <c r="AK387" s="34"/>
      <c r="AL387" s="34"/>
      <c r="AM387" s="34"/>
      <c r="AN387" s="34"/>
      <c r="AO387" s="34"/>
      <c r="AP387" s="34"/>
      <c r="AQ387" s="34"/>
      <c r="AR387" s="34"/>
      <c r="AS387" s="34"/>
      <c r="AT387" s="34"/>
      <c r="AU387" s="34"/>
      <c r="AV387" s="34"/>
      <c r="AW387" s="34"/>
      <c r="AX387" s="34"/>
      <c r="AY387" s="34"/>
      <c r="AZ387" s="34"/>
      <c r="BA387" s="34"/>
      <c r="BB387" s="34"/>
      <c r="BD387" s="34"/>
      <c r="BE387" s="34"/>
      <c r="BF387" s="34"/>
      <c r="BG387" s="34"/>
      <c r="BH387" s="34"/>
      <c r="BI387" s="34"/>
      <c r="BJ387" s="34"/>
      <c r="BK387" s="34"/>
      <c r="BL387" s="34"/>
      <c r="BM387" s="34"/>
      <c r="BN387" s="34"/>
      <c r="BO387" s="34"/>
      <c r="BP387" s="34"/>
      <c r="BQ387" s="34"/>
      <c r="BR387" s="34"/>
      <c r="BS387" s="34"/>
      <c r="BT387" s="34"/>
      <c r="BU387" s="34"/>
      <c r="BV387" s="34"/>
      <c r="BW387" s="34"/>
      <c r="BX387" s="34"/>
      <c r="BY387" s="34"/>
    </row>
    <row r="388" spans="1:77" x14ac:dyDescent="0.3">
      <c r="A388" s="39"/>
      <c r="B388" s="42"/>
      <c r="C388" s="42"/>
      <c r="D388" s="75"/>
      <c r="E388" s="75"/>
      <c r="F388" s="76"/>
      <c r="G388" s="47"/>
      <c r="H388" s="47"/>
      <c r="I388" s="75"/>
      <c r="J388" s="76"/>
      <c r="K388" s="76"/>
      <c r="L388" s="75"/>
      <c r="M388" s="49"/>
      <c r="N388" s="76"/>
      <c r="O388" s="49"/>
      <c r="P388" s="77"/>
      <c r="Q388" s="53"/>
      <c r="R388" s="54"/>
      <c r="S388" s="55"/>
      <c r="T388" s="56"/>
      <c r="U388" s="56"/>
      <c r="V388" s="42"/>
      <c r="W388" s="57"/>
      <c r="X388" s="58"/>
      <c r="Y388" s="75"/>
      <c r="Z388" s="59"/>
      <c r="AA388" s="61"/>
      <c r="AB388" s="61"/>
      <c r="AC388" s="61"/>
      <c r="AD388" s="62"/>
      <c r="AE388" s="62"/>
      <c r="AF388" s="34"/>
      <c r="AG388" s="34"/>
      <c r="AH388" s="34"/>
      <c r="AI388" s="34"/>
      <c r="AJ388" s="34"/>
      <c r="AK388" s="34"/>
      <c r="AL388" s="34"/>
      <c r="AM388" s="34"/>
      <c r="AN388" s="34"/>
      <c r="AO388" s="34"/>
      <c r="AP388" s="34"/>
      <c r="AQ388" s="34"/>
      <c r="AR388" s="34"/>
      <c r="AS388" s="34"/>
      <c r="AT388" s="34"/>
      <c r="AU388" s="34"/>
      <c r="AV388" s="34"/>
      <c r="AW388" s="34"/>
      <c r="AX388" s="34"/>
      <c r="AY388" s="34"/>
      <c r="AZ388" s="34"/>
      <c r="BA388" s="34"/>
      <c r="BB388" s="34"/>
      <c r="BD388" s="34"/>
      <c r="BE388" s="34"/>
      <c r="BF388" s="34"/>
      <c r="BG388" s="34"/>
      <c r="BH388" s="34"/>
      <c r="BI388" s="34"/>
      <c r="BJ388" s="34"/>
      <c r="BK388" s="34"/>
      <c r="BL388" s="34"/>
      <c r="BM388" s="34"/>
      <c r="BN388" s="34"/>
      <c r="BO388" s="34"/>
      <c r="BP388" s="34"/>
      <c r="BQ388" s="34"/>
      <c r="BR388" s="34"/>
      <c r="BS388" s="34"/>
      <c r="BT388" s="34"/>
      <c r="BU388" s="34"/>
      <c r="BV388" s="34"/>
      <c r="BW388" s="34"/>
      <c r="BX388" s="34"/>
      <c r="BY388" s="34"/>
    </row>
    <row r="389" spans="1:77" x14ac:dyDescent="0.3">
      <c r="A389" s="39"/>
      <c r="B389" s="42"/>
      <c r="C389" s="42"/>
      <c r="D389" s="75"/>
      <c r="E389" s="75"/>
      <c r="F389" s="76"/>
      <c r="G389" s="47"/>
      <c r="H389" s="47"/>
      <c r="I389" s="75"/>
      <c r="J389" s="76"/>
      <c r="K389" s="76"/>
      <c r="L389" s="75"/>
      <c r="M389" s="49"/>
      <c r="N389" s="76"/>
      <c r="O389" s="49"/>
      <c r="P389" s="77"/>
      <c r="Q389" s="53"/>
      <c r="R389" s="54"/>
      <c r="S389" s="55"/>
      <c r="T389" s="56"/>
      <c r="U389" s="56"/>
      <c r="V389" s="42"/>
      <c r="W389" s="57"/>
      <c r="X389" s="58"/>
      <c r="Y389" s="75"/>
      <c r="Z389" s="59"/>
      <c r="AA389" s="61"/>
      <c r="AB389" s="61"/>
      <c r="AC389" s="61"/>
      <c r="AD389" s="62"/>
      <c r="AE389" s="62"/>
      <c r="AF389" s="34"/>
      <c r="AG389" s="34"/>
      <c r="AH389" s="34"/>
      <c r="AI389" s="34"/>
      <c r="AJ389" s="34"/>
      <c r="AK389" s="34"/>
      <c r="AL389" s="34"/>
      <c r="AM389" s="34"/>
      <c r="AN389" s="34"/>
      <c r="AO389" s="34"/>
      <c r="AP389" s="34"/>
      <c r="AQ389" s="34"/>
      <c r="AR389" s="34"/>
      <c r="AS389" s="34"/>
      <c r="AT389" s="34"/>
      <c r="AU389" s="34"/>
      <c r="AV389" s="34"/>
      <c r="AW389" s="34"/>
      <c r="AX389" s="34"/>
      <c r="AY389" s="34"/>
      <c r="AZ389" s="34"/>
      <c r="BA389" s="34"/>
      <c r="BB389" s="34"/>
      <c r="BD389" s="34"/>
      <c r="BE389" s="34"/>
      <c r="BF389" s="34"/>
      <c r="BG389" s="34"/>
      <c r="BH389" s="34"/>
      <c r="BI389" s="34"/>
      <c r="BJ389" s="34"/>
      <c r="BK389" s="34"/>
      <c r="BL389" s="34"/>
      <c r="BM389" s="34"/>
      <c r="BN389" s="34"/>
      <c r="BO389" s="34"/>
      <c r="BP389" s="34"/>
      <c r="BQ389" s="34"/>
      <c r="BR389" s="34"/>
      <c r="BS389" s="34"/>
      <c r="BT389" s="34"/>
      <c r="BU389" s="34"/>
      <c r="BV389" s="34"/>
      <c r="BW389" s="34"/>
      <c r="BX389" s="34"/>
      <c r="BY389" s="34"/>
    </row>
    <row r="390" spans="1:77" x14ac:dyDescent="0.3">
      <c r="A390" s="39"/>
      <c r="B390" s="42"/>
      <c r="C390" s="42"/>
      <c r="D390" s="75"/>
      <c r="E390" s="75"/>
      <c r="F390" s="76"/>
      <c r="G390" s="47"/>
      <c r="H390" s="47"/>
      <c r="I390" s="75"/>
      <c r="J390" s="76"/>
      <c r="K390" s="76"/>
      <c r="L390" s="75"/>
      <c r="M390" s="49"/>
      <c r="N390" s="76"/>
      <c r="O390" s="49"/>
      <c r="P390" s="77"/>
      <c r="Q390" s="53"/>
      <c r="R390" s="54"/>
      <c r="S390" s="55"/>
      <c r="T390" s="56"/>
      <c r="U390" s="56"/>
      <c r="V390" s="42"/>
      <c r="W390" s="57"/>
      <c r="X390" s="58"/>
      <c r="Y390" s="75"/>
      <c r="Z390" s="59"/>
      <c r="AA390" s="61"/>
      <c r="AB390" s="61"/>
      <c r="AC390" s="61"/>
      <c r="AD390" s="62"/>
      <c r="AE390" s="62"/>
      <c r="AF390" s="34"/>
      <c r="AG390" s="34"/>
      <c r="AH390" s="34"/>
      <c r="AI390" s="34"/>
      <c r="AJ390" s="34"/>
      <c r="AK390" s="34"/>
      <c r="AL390" s="34"/>
      <c r="AM390" s="34"/>
      <c r="AN390" s="34"/>
      <c r="AO390" s="34"/>
      <c r="AP390" s="34"/>
      <c r="AQ390" s="34"/>
      <c r="AR390" s="34"/>
      <c r="AS390" s="34"/>
      <c r="AT390" s="34"/>
      <c r="AU390" s="34"/>
      <c r="AV390" s="34"/>
      <c r="AW390" s="34"/>
      <c r="AX390" s="34"/>
      <c r="AY390" s="34"/>
      <c r="AZ390" s="34"/>
      <c r="BA390" s="34"/>
      <c r="BB390" s="34"/>
      <c r="BD390" s="34"/>
      <c r="BE390" s="34"/>
      <c r="BF390" s="34"/>
      <c r="BG390" s="34"/>
      <c r="BH390" s="34"/>
      <c r="BI390" s="34"/>
      <c r="BJ390" s="34"/>
      <c r="BK390" s="34"/>
      <c r="BL390" s="34"/>
      <c r="BM390" s="34"/>
      <c r="BN390" s="34"/>
      <c r="BO390" s="34"/>
      <c r="BP390" s="34"/>
      <c r="BQ390" s="34"/>
      <c r="BR390" s="34"/>
      <c r="BS390" s="34"/>
      <c r="BT390" s="34"/>
      <c r="BU390" s="34"/>
      <c r="BV390" s="34"/>
      <c r="BW390" s="34"/>
      <c r="BX390" s="34"/>
      <c r="BY390" s="34"/>
    </row>
    <row r="391" spans="1:77" x14ac:dyDescent="0.3">
      <c r="A391" s="39"/>
      <c r="B391" s="42"/>
      <c r="C391" s="42"/>
      <c r="D391" s="75"/>
      <c r="E391" s="75"/>
      <c r="F391" s="76"/>
      <c r="G391" s="47"/>
      <c r="H391" s="47"/>
      <c r="I391" s="75"/>
      <c r="J391" s="76"/>
      <c r="K391" s="76"/>
      <c r="L391" s="75"/>
      <c r="M391" s="49"/>
      <c r="N391" s="76"/>
      <c r="O391" s="49"/>
      <c r="P391" s="77"/>
      <c r="Q391" s="53"/>
      <c r="R391" s="54"/>
      <c r="S391" s="55"/>
      <c r="T391" s="56"/>
      <c r="U391" s="56"/>
      <c r="V391" s="42"/>
      <c r="W391" s="57"/>
      <c r="X391" s="58"/>
      <c r="Y391" s="75"/>
      <c r="Z391" s="59"/>
      <c r="AA391" s="61"/>
      <c r="AB391" s="61"/>
      <c r="AC391" s="61"/>
      <c r="AD391" s="62"/>
      <c r="AE391" s="62"/>
      <c r="AF391" s="34"/>
      <c r="AG391" s="34"/>
      <c r="AH391" s="34"/>
      <c r="AI391" s="34"/>
      <c r="AJ391" s="34"/>
      <c r="AK391" s="34"/>
      <c r="AL391" s="34"/>
      <c r="AM391" s="34"/>
      <c r="AN391" s="34"/>
      <c r="AO391" s="34"/>
      <c r="AP391" s="34"/>
      <c r="AQ391" s="34"/>
      <c r="AR391" s="34"/>
      <c r="AS391" s="34"/>
      <c r="AT391" s="34"/>
      <c r="AU391" s="34"/>
      <c r="AV391" s="34"/>
      <c r="AW391" s="34"/>
      <c r="AX391" s="34"/>
      <c r="AY391" s="34"/>
      <c r="AZ391" s="34"/>
      <c r="BA391" s="34"/>
      <c r="BB391" s="34"/>
      <c r="BD391" s="34"/>
      <c r="BE391" s="34"/>
      <c r="BF391" s="34"/>
      <c r="BG391" s="34"/>
      <c r="BH391" s="34"/>
      <c r="BI391" s="34"/>
      <c r="BJ391" s="34"/>
      <c r="BK391" s="34"/>
      <c r="BL391" s="34"/>
      <c r="BM391" s="34"/>
      <c r="BN391" s="34"/>
      <c r="BO391" s="34"/>
      <c r="BP391" s="34"/>
      <c r="BQ391" s="34"/>
      <c r="BR391" s="34"/>
      <c r="BS391" s="34"/>
      <c r="BT391" s="34"/>
      <c r="BU391" s="34"/>
      <c r="BV391" s="34"/>
      <c r="BW391" s="34"/>
      <c r="BX391" s="34"/>
      <c r="BY391" s="34"/>
    </row>
    <row r="392" spans="1:77" x14ac:dyDescent="0.3">
      <c r="A392" s="39"/>
      <c r="B392" s="42"/>
      <c r="C392" s="42"/>
      <c r="D392" s="75"/>
      <c r="E392" s="75"/>
      <c r="F392" s="76"/>
      <c r="G392" s="47"/>
      <c r="H392" s="47"/>
      <c r="I392" s="75"/>
      <c r="J392" s="76"/>
      <c r="K392" s="76"/>
      <c r="L392" s="75"/>
      <c r="M392" s="49"/>
      <c r="N392" s="76"/>
      <c r="O392" s="49"/>
      <c r="P392" s="77"/>
      <c r="Q392" s="53"/>
      <c r="R392" s="54"/>
      <c r="S392" s="55"/>
      <c r="T392" s="56"/>
      <c r="U392" s="56"/>
      <c r="V392" s="42"/>
      <c r="W392" s="57"/>
      <c r="X392" s="58"/>
      <c r="Y392" s="75"/>
      <c r="Z392" s="59"/>
      <c r="AA392" s="61"/>
      <c r="AB392" s="61"/>
      <c r="AC392" s="61"/>
      <c r="AD392" s="62"/>
      <c r="AE392" s="62"/>
      <c r="AF392" s="34"/>
      <c r="AG392" s="34"/>
      <c r="AH392" s="34"/>
      <c r="AI392" s="34"/>
      <c r="AJ392" s="34"/>
      <c r="AK392" s="34"/>
      <c r="AL392" s="34"/>
      <c r="AM392" s="34"/>
      <c r="AN392" s="34"/>
      <c r="AO392" s="34"/>
      <c r="AP392" s="34"/>
      <c r="AQ392" s="34"/>
      <c r="AR392" s="34"/>
      <c r="AS392" s="34"/>
      <c r="AT392" s="34"/>
      <c r="AU392" s="34"/>
      <c r="AV392" s="34"/>
      <c r="AW392" s="34"/>
      <c r="AX392" s="34"/>
      <c r="AY392" s="34"/>
      <c r="AZ392" s="34"/>
      <c r="BA392" s="34"/>
      <c r="BB392" s="34"/>
      <c r="BD392" s="34"/>
      <c r="BE392" s="34"/>
      <c r="BF392" s="34"/>
      <c r="BG392" s="34"/>
      <c r="BH392" s="34"/>
      <c r="BI392" s="34"/>
      <c r="BJ392" s="34"/>
      <c r="BK392" s="34"/>
      <c r="BL392" s="34"/>
      <c r="BM392" s="34"/>
      <c r="BN392" s="34"/>
      <c r="BO392" s="34"/>
      <c r="BP392" s="34"/>
      <c r="BQ392" s="34"/>
      <c r="BR392" s="34"/>
      <c r="BS392" s="34"/>
      <c r="BT392" s="34"/>
      <c r="BU392" s="34"/>
      <c r="BV392" s="34"/>
      <c r="BW392" s="34"/>
      <c r="BX392" s="34"/>
      <c r="BY392" s="34"/>
    </row>
    <row r="393" spans="1:77" x14ac:dyDescent="0.3">
      <c r="A393" s="39"/>
      <c r="B393" s="42"/>
      <c r="C393" s="42"/>
      <c r="D393" s="75"/>
      <c r="E393" s="75"/>
      <c r="F393" s="76"/>
      <c r="G393" s="47"/>
      <c r="H393" s="47"/>
      <c r="I393" s="75"/>
      <c r="J393" s="76"/>
      <c r="K393" s="76"/>
      <c r="L393" s="75"/>
      <c r="M393" s="49"/>
      <c r="N393" s="76"/>
      <c r="O393" s="49"/>
      <c r="P393" s="77"/>
      <c r="Q393" s="53"/>
      <c r="R393" s="54"/>
      <c r="S393" s="55"/>
      <c r="T393" s="56"/>
      <c r="U393" s="56"/>
      <c r="V393" s="42"/>
      <c r="W393" s="57"/>
      <c r="X393" s="58"/>
      <c r="Y393" s="75"/>
      <c r="Z393" s="59"/>
      <c r="AA393" s="61"/>
      <c r="AB393" s="61"/>
      <c r="AC393" s="61"/>
      <c r="AD393" s="62"/>
      <c r="AE393" s="62"/>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D393" s="34"/>
      <c r="BE393" s="34"/>
      <c r="BF393" s="34"/>
      <c r="BG393" s="34"/>
      <c r="BH393" s="34"/>
      <c r="BI393" s="34"/>
      <c r="BJ393" s="34"/>
      <c r="BK393" s="34"/>
      <c r="BL393" s="34"/>
      <c r="BM393" s="34"/>
      <c r="BN393" s="34"/>
      <c r="BO393" s="34"/>
      <c r="BP393" s="34"/>
      <c r="BQ393" s="34"/>
      <c r="BR393" s="34"/>
      <c r="BS393" s="34"/>
      <c r="BT393" s="34"/>
      <c r="BU393" s="34"/>
      <c r="BV393" s="34"/>
      <c r="BW393" s="34"/>
      <c r="BX393" s="34"/>
      <c r="BY393" s="34"/>
    </row>
    <row r="394" spans="1:77" x14ac:dyDescent="0.3">
      <c r="A394" s="39"/>
      <c r="B394" s="42"/>
      <c r="C394" s="42"/>
      <c r="D394" s="75"/>
      <c r="E394" s="75"/>
      <c r="F394" s="76"/>
      <c r="G394" s="47"/>
      <c r="H394" s="47"/>
      <c r="I394" s="75"/>
      <c r="J394" s="76"/>
      <c r="K394" s="76"/>
      <c r="L394" s="75"/>
      <c r="M394" s="49"/>
      <c r="N394" s="76"/>
      <c r="O394" s="49"/>
      <c r="P394" s="77"/>
      <c r="Q394" s="53"/>
      <c r="R394" s="54"/>
      <c r="S394" s="55"/>
      <c r="T394" s="56"/>
      <c r="U394" s="56"/>
      <c r="V394" s="42"/>
      <c r="W394" s="57"/>
      <c r="X394" s="58"/>
      <c r="Y394" s="75"/>
      <c r="Z394" s="59"/>
      <c r="AA394" s="61"/>
      <c r="AB394" s="61"/>
      <c r="AC394" s="61"/>
      <c r="AD394" s="62"/>
      <c r="AE394" s="62"/>
      <c r="AF394" s="34"/>
      <c r="AG394" s="34"/>
      <c r="AH394" s="34"/>
      <c r="AI394" s="34"/>
      <c r="AJ394" s="34"/>
      <c r="AK394" s="34"/>
      <c r="AL394" s="34"/>
      <c r="AM394" s="34"/>
      <c r="AN394" s="34"/>
      <c r="AO394" s="34"/>
      <c r="AP394" s="34"/>
      <c r="AQ394" s="34"/>
      <c r="AR394" s="34"/>
      <c r="AS394" s="34"/>
      <c r="AT394" s="34"/>
      <c r="AU394" s="34"/>
      <c r="AV394" s="34"/>
      <c r="AW394" s="34"/>
      <c r="AX394" s="34"/>
      <c r="AY394" s="34"/>
      <c r="AZ394" s="34"/>
      <c r="BA394" s="34"/>
      <c r="BB394" s="34"/>
      <c r="BD394" s="34"/>
      <c r="BE394" s="34"/>
      <c r="BF394" s="34"/>
      <c r="BG394" s="34"/>
      <c r="BH394" s="34"/>
      <c r="BI394" s="34"/>
      <c r="BJ394" s="34"/>
      <c r="BK394" s="34"/>
      <c r="BL394" s="34"/>
      <c r="BM394" s="34"/>
      <c r="BN394" s="34"/>
      <c r="BO394" s="34"/>
      <c r="BP394" s="34"/>
      <c r="BQ394" s="34"/>
      <c r="BR394" s="34"/>
      <c r="BS394" s="34"/>
      <c r="BT394" s="34"/>
      <c r="BU394" s="34"/>
      <c r="BV394" s="34"/>
      <c r="BW394" s="34"/>
      <c r="BX394" s="34"/>
      <c r="BY394" s="34"/>
    </row>
    <row r="395" spans="1:77" x14ac:dyDescent="0.3">
      <c r="A395" s="39"/>
      <c r="B395" s="42"/>
      <c r="C395" s="42"/>
      <c r="D395" s="75"/>
      <c r="E395" s="75"/>
      <c r="F395" s="76"/>
      <c r="G395" s="47"/>
      <c r="H395" s="47"/>
      <c r="I395" s="75"/>
      <c r="J395" s="76"/>
      <c r="K395" s="76"/>
      <c r="L395" s="75"/>
      <c r="M395" s="49"/>
      <c r="N395" s="76"/>
      <c r="O395" s="49"/>
      <c r="P395" s="77"/>
      <c r="Q395" s="53"/>
      <c r="R395" s="54"/>
      <c r="S395" s="55"/>
      <c r="T395" s="56"/>
      <c r="U395" s="56"/>
      <c r="V395" s="42"/>
      <c r="W395" s="57"/>
      <c r="X395" s="58"/>
      <c r="Y395" s="75"/>
      <c r="Z395" s="59"/>
      <c r="AA395" s="61"/>
      <c r="AB395" s="61"/>
      <c r="AC395" s="61"/>
      <c r="AD395" s="62"/>
      <c r="AE395" s="62"/>
      <c r="AF395" s="34"/>
      <c r="AG395" s="34"/>
      <c r="AH395" s="34"/>
      <c r="AI395" s="34"/>
      <c r="AJ395" s="34"/>
      <c r="AK395" s="34"/>
      <c r="AL395" s="34"/>
      <c r="AM395" s="34"/>
      <c r="AN395" s="34"/>
      <c r="AO395" s="34"/>
      <c r="AP395" s="34"/>
      <c r="AQ395" s="34"/>
      <c r="AR395" s="34"/>
      <c r="AS395" s="34"/>
      <c r="AT395" s="34"/>
      <c r="AU395" s="34"/>
      <c r="AV395" s="34"/>
      <c r="AW395" s="34"/>
      <c r="AX395" s="34"/>
      <c r="AY395" s="34"/>
      <c r="AZ395" s="34"/>
      <c r="BA395" s="34"/>
      <c r="BB395" s="34"/>
      <c r="BD395" s="34"/>
      <c r="BE395" s="34"/>
      <c r="BF395" s="34"/>
      <c r="BG395" s="34"/>
      <c r="BH395" s="34"/>
      <c r="BI395" s="34"/>
      <c r="BJ395" s="34"/>
      <c r="BK395" s="34"/>
      <c r="BL395" s="34"/>
      <c r="BM395" s="34"/>
      <c r="BN395" s="34"/>
      <c r="BO395" s="34"/>
      <c r="BP395" s="34"/>
      <c r="BQ395" s="34"/>
      <c r="BR395" s="34"/>
      <c r="BS395" s="34"/>
      <c r="BT395" s="34"/>
      <c r="BU395" s="34"/>
      <c r="BV395" s="34"/>
      <c r="BW395" s="34"/>
      <c r="BX395" s="34"/>
      <c r="BY395" s="34"/>
    </row>
    <row r="396" spans="1:77" x14ac:dyDescent="0.3">
      <c r="A396" s="39"/>
      <c r="B396" s="42"/>
      <c r="C396" s="42"/>
      <c r="D396" s="75"/>
      <c r="E396" s="75"/>
      <c r="F396" s="76"/>
      <c r="G396" s="47"/>
      <c r="H396" s="47"/>
      <c r="I396" s="75"/>
      <c r="J396" s="76"/>
      <c r="K396" s="76"/>
      <c r="L396" s="75"/>
      <c r="M396" s="49"/>
      <c r="N396" s="76"/>
      <c r="O396" s="49"/>
      <c r="P396" s="77"/>
      <c r="Q396" s="53"/>
      <c r="R396" s="54"/>
      <c r="S396" s="55"/>
      <c r="T396" s="56"/>
      <c r="U396" s="56"/>
      <c r="V396" s="42"/>
      <c r="W396" s="57"/>
      <c r="X396" s="58"/>
      <c r="Y396" s="75"/>
      <c r="Z396" s="59"/>
      <c r="AA396" s="61"/>
      <c r="AB396" s="61"/>
      <c r="AC396" s="61"/>
      <c r="AD396" s="62"/>
      <c r="AE396" s="62"/>
      <c r="AF396" s="34"/>
      <c r="AG396" s="34"/>
      <c r="AH396" s="34"/>
      <c r="AI396" s="34"/>
      <c r="AJ396" s="34"/>
      <c r="AK396" s="34"/>
      <c r="AL396" s="34"/>
      <c r="AM396" s="34"/>
      <c r="AN396" s="34"/>
      <c r="AO396" s="34"/>
      <c r="AP396" s="34"/>
      <c r="AQ396" s="34"/>
      <c r="AR396" s="34"/>
      <c r="AS396" s="34"/>
      <c r="AT396" s="34"/>
      <c r="AU396" s="34"/>
      <c r="AV396" s="34"/>
      <c r="AW396" s="34"/>
      <c r="AX396" s="34"/>
      <c r="AY396" s="34"/>
      <c r="AZ396" s="34"/>
      <c r="BA396" s="34"/>
      <c r="BB396" s="34"/>
      <c r="BD396" s="34"/>
      <c r="BE396" s="34"/>
      <c r="BF396" s="34"/>
      <c r="BG396" s="34"/>
      <c r="BH396" s="34"/>
      <c r="BI396" s="34"/>
      <c r="BJ396" s="34"/>
      <c r="BK396" s="34"/>
      <c r="BL396" s="34"/>
      <c r="BM396" s="34"/>
      <c r="BN396" s="34"/>
      <c r="BO396" s="34"/>
      <c r="BP396" s="34"/>
      <c r="BQ396" s="34"/>
      <c r="BR396" s="34"/>
      <c r="BS396" s="34"/>
      <c r="BT396" s="34"/>
      <c r="BU396" s="34"/>
      <c r="BV396" s="34"/>
      <c r="BW396" s="34"/>
      <c r="BX396" s="34"/>
      <c r="BY396" s="34"/>
    </row>
    <row r="397" spans="1:77" x14ac:dyDescent="0.3">
      <c r="A397" s="39"/>
      <c r="B397" s="42"/>
      <c r="C397" s="42"/>
      <c r="D397" s="75"/>
      <c r="E397" s="75"/>
      <c r="F397" s="76"/>
      <c r="G397" s="47"/>
      <c r="H397" s="47"/>
      <c r="I397" s="75"/>
      <c r="J397" s="76"/>
      <c r="K397" s="76"/>
      <c r="L397" s="75"/>
      <c r="M397" s="49"/>
      <c r="N397" s="76"/>
      <c r="O397" s="49"/>
      <c r="P397" s="77"/>
      <c r="Q397" s="53"/>
      <c r="R397" s="54"/>
      <c r="S397" s="55"/>
      <c r="T397" s="56"/>
      <c r="U397" s="56"/>
      <c r="V397" s="42"/>
      <c r="W397" s="57"/>
      <c r="X397" s="58"/>
      <c r="Y397" s="75"/>
      <c r="Z397" s="59"/>
      <c r="AA397" s="61"/>
      <c r="AB397" s="61"/>
      <c r="AC397" s="61"/>
      <c r="AD397" s="62"/>
      <c r="AE397" s="62"/>
      <c r="AF397" s="34"/>
      <c r="AG397" s="34"/>
      <c r="AH397" s="34"/>
      <c r="AI397" s="34"/>
      <c r="AJ397" s="34"/>
      <c r="AK397" s="34"/>
      <c r="AL397" s="34"/>
      <c r="AM397" s="34"/>
      <c r="AN397" s="34"/>
      <c r="AO397" s="34"/>
      <c r="AP397" s="34"/>
      <c r="AQ397" s="34"/>
      <c r="AR397" s="34"/>
      <c r="AS397" s="34"/>
      <c r="AT397" s="34"/>
      <c r="AU397" s="34"/>
      <c r="AV397" s="34"/>
      <c r="AW397" s="34"/>
      <c r="AX397" s="34"/>
      <c r="AY397" s="34"/>
      <c r="AZ397" s="34"/>
      <c r="BA397" s="34"/>
      <c r="BB397" s="34"/>
      <c r="BD397" s="34"/>
      <c r="BE397" s="34"/>
      <c r="BF397" s="34"/>
      <c r="BG397" s="34"/>
      <c r="BH397" s="34"/>
      <c r="BI397" s="34"/>
      <c r="BJ397" s="34"/>
      <c r="BK397" s="34"/>
      <c r="BL397" s="34"/>
      <c r="BM397" s="34"/>
      <c r="BN397" s="34"/>
      <c r="BO397" s="34"/>
      <c r="BP397" s="34"/>
      <c r="BQ397" s="34"/>
      <c r="BR397" s="34"/>
      <c r="BS397" s="34"/>
      <c r="BT397" s="34"/>
      <c r="BU397" s="34"/>
      <c r="BV397" s="34"/>
      <c r="BW397" s="34"/>
      <c r="BX397" s="34"/>
      <c r="BY397" s="34"/>
    </row>
    <row r="398" spans="1:77" x14ac:dyDescent="0.3">
      <c r="A398" s="39"/>
      <c r="B398" s="42"/>
      <c r="C398" s="42"/>
      <c r="D398" s="75"/>
      <c r="E398" s="75"/>
      <c r="F398" s="76"/>
      <c r="G398" s="47"/>
      <c r="H398" s="47"/>
      <c r="I398" s="75"/>
      <c r="J398" s="76"/>
      <c r="K398" s="76"/>
      <c r="L398" s="75"/>
      <c r="M398" s="49"/>
      <c r="N398" s="76"/>
      <c r="O398" s="49"/>
      <c r="P398" s="77"/>
      <c r="Q398" s="53"/>
      <c r="R398" s="54"/>
      <c r="S398" s="55"/>
      <c r="T398" s="56"/>
      <c r="U398" s="56"/>
      <c r="V398" s="42"/>
      <c r="W398" s="57"/>
      <c r="X398" s="58"/>
      <c r="Y398" s="75"/>
      <c r="Z398" s="59"/>
      <c r="AA398" s="61"/>
      <c r="AB398" s="61"/>
      <c r="AC398" s="61"/>
      <c r="AD398" s="62"/>
      <c r="AE398" s="62"/>
      <c r="AF398" s="34"/>
      <c r="AG398" s="34"/>
      <c r="AH398" s="34"/>
      <c r="AI398" s="34"/>
      <c r="AJ398" s="34"/>
      <c r="AK398" s="34"/>
      <c r="AL398" s="34"/>
      <c r="AM398" s="34"/>
      <c r="AN398" s="34"/>
      <c r="AO398" s="34"/>
      <c r="AP398" s="34"/>
      <c r="AQ398" s="34"/>
      <c r="AR398" s="34"/>
      <c r="AS398" s="34"/>
      <c r="AT398" s="34"/>
      <c r="AU398" s="34"/>
      <c r="AV398" s="34"/>
      <c r="AW398" s="34"/>
      <c r="AX398" s="34"/>
      <c r="AY398" s="34"/>
      <c r="AZ398" s="34"/>
      <c r="BA398" s="34"/>
      <c r="BB398" s="34"/>
      <c r="BD398" s="34"/>
      <c r="BE398" s="34"/>
      <c r="BF398" s="34"/>
      <c r="BG398" s="34"/>
      <c r="BH398" s="34"/>
      <c r="BI398" s="34"/>
      <c r="BJ398" s="34"/>
      <c r="BK398" s="34"/>
      <c r="BL398" s="34"/>
      <c r="BM398" s="34"/>
      <c r="BN398" s="34"/>
      <c r="BO398" s="34"/>
      <c r="BP398" s="34"/>
      <c r="BQ398" s="34"/>
      <c r="BR398" s="34"/>
      <c r="BS398" s="34"/>
      <c r="BT398" s="34"/>
      <c r="BU398" s="34"/>
      <c r="BV398" s="34"/>
      <c r="BW398" s="34"/>
      <c r="BX398" s="34"/>
      <c r="BY398" s="34"/>
    </row>
    <row r="399" spans="1:77" x14ac:dyDescent="0.3">
      <c r="A399" s="39"/>
      <c r="B399" s="42"/>
      <c r="C399" s="42"/>
      <c r="D399" s="75"/>
      <c r="E399" s="75"/>
      <c r="F399" s="76"/>
      <c r="G399" s="47"/>
      <c r="H399" s="47"/>
      <c r="I399" s="75"/>
      <c r="J399" s="76"/>
      <c r="K399" s="76"/>
      <c r="L399" s="75"/>
      <c r="M399" s="49"/>
      <c r="N399" s="76"/>
      <c r="O399" s="49"/>
      <c r="P399" s="77"/>
      <c r="Q399" s="53"/>
      <c r="R399" s="54"/>
      <c r="S399" s="55"/>
      <c r="T399" s="56"/>
      <c r="U399" s="56"/>
      <c r="V399" s="42"/>
      <c r="W399" s="57"/>
      <c r="X399" s="58"/>
      <c r="Y399" s="75"/>
      <c r="Z399" s="59"/>
      <c r="AA399" s="61"/>
      <c r="AB399" s="61"/>
      <c r="AC399" s="61"/>
      <c r="AD399" s="62"/>
      <c r="AE399" s="62"/>
      <c r="AF399" s="34"/>
      <c r="AG399" s="34"/>
      <c r="AH399" s="34"/>
      <c r="AI399" s="34"/>
      <c r="AJ399" s="34"/>
      <c r="AK399" s="34"/>
      <c r="AL399" s="34"/>
      <c r="AM399" s="34"/>
      <c r="AN399" s="34"/>
      <c r="AO399" s="34"/>
      <c r="AP399" s="34"/>
      <c r="AQ399" s="34"/>
      <c r="AR399" s="34"/>
      <c r="AS399" s="34"/>
      <c r="AT399" s="34"/>
      <c r="AU399" s="34"/>
      <c r="AV399" s="34"/>
      <c r="AW399" s="34"/>
      <c r="AX399" s="34"/>
      <c r="AY399" s="34"/>
      <c r="AZ399" s="34"/>
      <c r="BA399" s="34"/>
      <c r="BB399" s="34"/>
      <c r="BD399" s="34"/>
      <c r="BE399" s="34"/>
      <c r="BF399" s="34"/>
      <c r="BG399" s="34"/>
      <c r="BH399" s="34"/>
      <c r="BI399" s="34"/>
      <c r="BJ399" s="34"/>
      <c r="BK399" s="34"/>
      <c r="BL399" s="34"/>
      <c r="BM399" s="34"/>
      <c r="BN399" s="34"/>
      <c r="BO399" s="34"/>
      <c r="BP399" s="34"/>
      <c r="BQ399" s="34"/>
      <c r="BR399" s="34"/>
      <c r="BS399" s="34"/>
      <c r="BT399" s="34"/>
      <c r="BU399" s="34"/>
      <c r="BV399" s="34"/>
      <c r="BW399" s="34"/>
      <c r="BX399" s="34"/>
      <c r="BY399" s="34"/>
    </row>
    <row r="400" spans="1:77" x14ac:dyDescent="0.3">
      <c r="A400" s="39"/>
      <c r="B400" s="42"/>
      <c r="C400" s="42"/>
      <c r="D400" s="75"/>
      <c r="E400" s="75"/>
      <c r="F400" s="76"/>
      <c r="G400" s="47"/>
      <c r="H400" s="47"/>
      <c r="I400" s="75"/>
      <c r="J400" s="76"/>
      <c r="K400" s="76"/>
      <c r="L400" s="75"/>
      <c r="M400" s="49"/>
      <c r="N400" s="76"/>
      <c r="O400" s="49"/>
      <c r="P400" s="77"/>
      <c r="Q400" s="53"/>
      <c r="R400" s="54"/>
      <c r="S400" s="55"/>
      <c r="T400" s="56"/>
      <c r="U400" s="56"/>
      <c r="V400" s="42"/>
      <c r="W400" s="57"/>
      <c r="X400" s="58"/>
      <c r="Y400" s="75"/>
      <c r="Z400" s="59"/>
      <c r="AA400" s="61"/>
      <c r="AB400" s="61"/>
      <c r="AC400" s="61"/>
      <c r="AD400" s="62"/>
      <c r="AE400" s="62"/>
      <c r="AF400" s="34"/>
      <c r="AG400" s="34"/>
      <c r="AH400" s="34"/>
      <c r="AI400" s="34"/>
      <c r="AJ400" s="34"/>
      <c r="AK400" s="34"/>
      <c r="AL400" s="34"/>
      <c r="AM400" s="34"/>
      <c r="AN400" s="34"/>
      <c r="AO400" s="34"/>
      <c r="AP400" s="34"/>
      <c r="AQ400" s="34"/>
      <c r="AR400" s="34"/>
      <c r="AS400" s="34"/>
      <c r="AT400" s="34"/>
      <c r="AU400" s="34"/>
      <c r="AV400" s="34"/>
      <c r="AW400" s="34"/>
      <c r="AX400" s="34"/>
      <c r="AY400" s="34"/>
      <c r="AZ400" s="34"/>
      <c r="BA400" s="34"/>
      <c r="BB400" s="34"/>
      <c r="BD400" s="34"/>
      <c r="BE400" s="34"/>
      <c r="BF400" s="34"/>
      <c r="BG400" s="34"/>
      <c r="BH400" s="34"/>
      <c r="BI400" s="34"/>
      <c r="BJ400" s="34"/>
      <c r="BK400" s="34"/>
      <c r="BL400" s="34"/>
      <c r="BM400" s="34"/>
      <c r="BN400" s="34"/>
      <c r="BO400" s="34"/>
      <c r="BP400" s="34"/>
      <c r="BQ400" s="34"/>
      <c r="BR400" s="34"/>
      <c r="BS400" s="34"/>
      <c r="BT400" s="34"/>
      <c r="BU400" s="34"/>
      <c r="BV400" s="34"/>
      <c r="BW400" s="34"/>
      <c r="BX400" s="34"/>
      <c r="BY400" s="34"/>
    </row>
    <row r="401" spans="1:77" x14ac:dyDescent="0.3">
      <c r="A401" s="39"/>
      <c r="B401" s="42"/>
      <c r="C401" s="42"/>
      <c r="D401" s="75"/>
      <c r="E401" s="75"/>
      <c r="F401" s="76"/>
      <c r="G401" s="47"/>
      <c r="H401" s="47"/>
      <c r="I401" s="75"/>
      <c r="J401" s="76"/>
      <c r="K401" s="76"/>
      <c r="L401" s="75"/>
      <c r="M401" s="49"/>
      <c r="N401" s="76"/>
      <c r="O401" s="49"/>
      <c r="P401" s="77"/>
      <c r="Q401" s="53"/>
      <c r="R401" s="54"/>
      <c r="S401" s="55"/>
      <c r="T401" s="56"/>
      <c r="U401" s="56"/>
      <c r="V401" s="42"/>
      <c r="W401" s="57"/>
      <c r="X401" s="58"/>
      <c r="Y401" s="75"/>
      <c r="Z401" s="59"/>
      <c r="AA401" s="61"/>
      <c r="AB401" s="61"/>
      <c r="AC401" s="61"/>
      <c r="AD401" s="62"/>
      <c r="AE401" s="62"/>
      <c r="AF401" s="34"/>
      <c r="AG401" s="34"/>
      <c r="AH401" s="34"/>
      <c r="AI401" s="34"/>
      <c r="AJ401" s="34"/>
      <c r="AK401" s="34"/>
      <c r="AL401" s="34"/>
      <c r="AM401" s="34"/>
      <c r="AN401" s="34"/>
      <c r="AO401" s="34"/>
      <c r="AP401" s="34"/>
      <c r="AQ401" s="34"/>
      <c r="AR401" s="34"/>
      <c r="AS401" s="34"/>
      <c r="AT401" s="34"/>
      <c r="AU401" s="34"/>
      <c r="AV401" s="34"/>
      <c r="AW401" s="34"/>
      <c r="AX401" s="34"/>
      <c r="AY401" s="34"/>
      <c r="AZ401" s="34"/>
      <c r="BA401" s="34"/>
      <c r="BB401" s="34"/>
      <c r="BD401" s="34"/>
      <c r="BE401" s="34"/>
      <c r="BF401" s="34"/>
      <c r="BG401" s="34"/>
      <c r="BH401" s="34"/>
      <c r="BI401" s="34"/>
      <c r="BJ401" s="34"/>
      <c r="BK401" s="34"/>
      <c r="BL401" s="34"/>
      <c r="BM401" s="34"/>
      <c r="BN401" s="34"/>
      <c r="BO401" s="34"/>
      <c r="BP401" s="34"/>
      <c r="BQ401" s="34"/>
      <c r="BR401" s="34"/>
      <c r="BS401" s="34"/>
      <c r="BT401" s="34"/>
      <c r="BU401" s="34"/>
      <c r="BV401" s="34"/>
      <c r="BW401" s="34"/>
      <c r="BX401" s="34"/>
      <c r="BY401" s="34"/>
    </row>
    <row r="402" spans="1:77" x14ac:dyDescent="0.3">
      <c r="A402" s="39"/>
      <c r="B402" s="42"/>
      <c r="C402" s="42"/>
      <c r="D402" s="75"/>
      <c r="E402" s="75"/>
      <c r="F402" s="76"/>
      <c r="G402" s="47"/>
      <c r="H402" s="47"/>
      <c r="I402" s="75"/>
      <c r="J402" s="76"/>
      <c r="K402" s="76"/>
      <c r="L402" s="75"/>
      <c r="M402" s="49"/>
      <c r="N402" s="76"/>
      <c r="O402" s="49"/>
      <c r="P402" s="77"/>
      <c r="Q402" s="53"/>
      <c r="R402" s="54"/>
      <c r="S402" s="55"/>
      <c r="T402" s="56"/>
      <c r="U402" s="56"/>
      <c r="V402" s="42"/>
      <c r="W402" s="57"/>
      <c r="X402" s="58"/>
      <c r="Y402" s="75"/>
      <c r="Z402" s="59"/>
      <c r="AA402" s="61"/>
      <c r="AB402" s="61"/>
      <c r="AC402" s="61"/>
      <c r="AD402" s="62"/>
      <c r="AE402" s="62"/>
      <c r="AF402" s="34"/>
      <c r="AG402" s="34"/>
      <c r="AH402" s="34"/>
      <c r="AI402" s="34"/>
      <c r="AJ402" s="34"/>
      <c r="AK402" s="34"/>
      <c r="AL402" s="34"/>
      <c r="AM402" s="34"/>
      <c r="AN402" s="34"/>
      <c r="AO402" s="34"/>
      <c r="AP402" s="34"/>
      <c r="AQ402" s="34"/>
      <c r="AR402" s="34"/>
      <c r="AS402" s="34"/>
      <c r="AT402" s="34"/>
      <c r="AU402" s="34"/>
      <c r="AV402" s="34"/>
      <c r="AW402" s="34"/>
      <c r="AX402" s="34"/>
      <c r="AY402" s="34"/>
      <c r="AZ402" s="34"/>
      <c r="BA402" s="34"/>
      <c r="BB402" s="34"/>
      <c r="BD402" s="34"/>
      <c r="BE402" s="34"/>
      <c r="BF402" s="34"/>
      <c r="BG402" s="34"/>
      <c r="BH402" s="34"/>
      <c r="BI402" s="34"/>
      <c r="BJ402" s="34"/>
      <c r="BK402" s="34"/>
      <c r="BL402" s="34"/>
      <c r="BM402" s="34"/>
      <c r="BN402" s="34"/>
      <c r="BO402" s="34"/>
      <c r="BP402" s="34"/>
      <c r="BQ402" s="34"/>
      <c r="BR402" s="34"/>
      <c r="BS402" s="34"/>
      <c r="BT402" s="34"/>
      <c r="BU402" s="34"/>
      <c r="BV402" s="34"/>
      <c r="BW402" s="34"/>
      <c r="BX402" s="34"/>
      <c r="BY402" s="34"/>
    </row>
    <row r="403" spans="1:77" x14ac:dyDescent="0.3">
      <c r="A403" s="39"/>
      <c r="B403" s="42"/>
      <c r="C403" s="42"/>
      <c r="D403" s="75"/>
      <c r="E403" s="75"/>
      <c r="F403" s="76"/>
      <c r="G403" s="47"/>
      <c r="H403" s="47"/>
      <c r="I403" s="75"/>
      <c r="J403" s="76"/>
      <c r="K403" s="76"/>
      <c r="L403" s="75"/>
      <c r="M403" s="49"/>
      <c r="N403" s="76"/>
      <c r="O403" s="49"/>
      <c r="P403" s="77"/>
      <c r="Q403" s="53"/>
      <c r="R403" s="54"/>
      <c r="S403" s="55"/>
      <c r="T403" s="56"/>
      <c r="U403" s="56"/>
      <c r="V403" s="42"/>
      <c r="W403" s="57"/>
      <c r="X403" s="58"/>
      <c r="Y403" s="75"/>
      <c r="Z403" s="59"/>
      <c r="AA403" s="61"/>
      <c r="AB403" s="61"/>
      <c r="AC403" s="61"/>
      <c r="AD403" s="62"/>
      <c r="AE403" s="62"/>
      <c r="AF403" s="34"/>
      <c r="AG403" s="34"/>
      <c r="AH403" s="34"/>
      <c r="AI403" s="34"/>
      <c r="AJ403" s="34"/>
      <c r="AK403" s="34"/>
      <c r="AL403" s="34"/>
      <c r="AM403" s="34"/>
      <c r="AN403" s="34"/>
      <c r="AO403" s="34"/>
      <c r="AP403" s="34"/>
      <c r="AQ403" s="34"/>
      <c r="AR403" s="34"/>
      <c r="AS403" s="34"/>
      <c r="AT403" s="34"/>
      <c r="AU403" s="34"/>
      <c r="AV403" s="34"/>
      <c r="AW403" s="34"/>
      <c r="AX403" s="34"/>
      <c r="AY403" s="34"/>
      <c r="AZ403" s="34"/>
      <c r="BA403" s="34"/>
      <c r="BB403" s="34"/>
      <c r="BD403" s="34"/>
      <c r="BE403" s="34"/>
      <c r="BF403" s="34"/>
      <c r="BG403" s="34"/>
      <c r="BH403" s="34"/>
      <c r="BI403" s="34"/>
      <c r="BJ403" s="34"/>
      <c r="BK403" s="34"/>
      <c r="BL403" s="34"/>
      <c r="BM403" s="34"/>
      <c r="BN403" s="34"/>
      <c r="BO403" s="34"/>
      <c r="BP403" s="34"/>
      <c r="BQ403" s="34"/>
      <c r="BR403" s="34"/>
      <c r="BS403" s="34"/>
      <c r="BT403" s="34"/>
      <c r="BU403" s="34"/>
      <c r="BV403" s="34"/>
      <c r="BW403" s="34"/>
      <c r="BX403" s="34"/>
      <c r="BY403" s="34"/>
    </row>
    <row r="404" spans="1:77" x14ac:dyDescent="0.3">
      <c r="A404" s="39"/>
      <c r="B404" s="42"/>
      <c r="C404" s="42"/>
      <c r="D404" s="75"/>
      <c r="E404" s="75"/>
      <c r="F404" s="76"/>
      <c r="G404" s="47"/>
      <c r="H404" s="47"/>
      <c r="I404" s="75"/>
      <c r="J404" s="76"/>
      <c r="K404" s="76"/>
      <c r="L404" s="75"/>
      <c r="M404" s="49"/>
      <c r="N404" s="76"/>
      <c r="O404" s="49"/>
      <c r="P404" s="77"/>
      <c r="Q404" s="53"/>
      <c r="R404" s="54"/>
      <c r="S404" s="55"/>
      <c r="T404" s="56"/>
      <c r="U404" s="56"/>
      <c r="V404" s="42"/>
      <c r="W404" s="57"/>
      <c r="X404" s="58"/>
      <c r="Y404" s="75"/>
      <c r="Z404" s="59"/>
      <c r="AA404" s="61"/>
      <c r="AB404" s="61"/>
      <c r="AC404" s="61"/>
      <c r="AD404" s="62"/>
      <c r="AE404" s="62"/>
      <c r="AF404" s="34"/>
      <c r="AG404" s="34"/>
      <c r="AH404" s="34"/>
      <c r="AI404" s="34"/>
      <c r="AJ404" s="34"/>
      <c r="AK404" s="34"/>
      <c r="AL404" s="34"/>
      <c r="AM404" s="34"/>
      <c r="AN404" s="34"/>
      <c r="AO404" s="34"/>
      <c r="AP404" s="34"/>
      <c r="AQ404" s="34"/>
      <c r="AR404" s="34"/>
      <c r="AS404" s="34"/>
      <c r="AT404" s="34"/>
      <c r="AU404" s="34"/>
      <c r="AV404" s="34"/>
      <c r="AW404" s="34"/>
      <c r="AX404" s="34"/>
      <c r="AY404" s="34"/>
      <c r="AZ404" s="34"/>
      <c r="BA404" s="34"/>
      <c r="BB404" s="34"/>
      <c r="BD404" s="34"/>
      <c r="BE404" s="34"/>
      <c r="BF404" s="34"/>
      <c r="BG404" s="34"/>
      <c r="BH404" s="34"/>
      <c r="BI404" s="34"/>
      <c r="BJ404" s="34"/>
      <c r="BK404" s="34"/>
      <c r="BL404" s="34"/>
      <c r="BM404" s="34"/>
      <c r="BN404" s="34"/>
      <c r="BO404" s="34"/>
      <c r="BP404" s="34"/>
      <c r="BQ404" s="34"/>
      <c r="BR404" s="34"/>
      <c r="BS404" s="34"/>
      <c r="BT404" s="34"/>
      <c r="BU404" s="34"/>
      <c r="BV404" s="34"/>
      <c r="BW404" s="34"/>
      <c r="BX404" s="34"/>
      <c r="BY404" s="34"/>
    </row>
    <row r="405" spans="1:77" x14ac:dyDescent="0.3">
      <c r="A405" s="39"/>
      <c r="B405" s="42"/>
      <c r="C405" s="42"/>
      <c r="D405" s="75"/>
      <c r="E405" s="75"/>
      <c r="F405" s="76"/>
      <c r="G405" s="47"/>
      <c r="H405" s="47"/>
      <c r="I405" s="75"/>
      <c r="J405" s="76"/>
      <c r="K405" s="76"/>
      <c r="L405" s="75"/>
      <c r="M405" s="49"/>
      <c r="N405" s="76"/>
      <c r="O405" s="49"/>
      <c r="P405" s="77"/>
      <c r="Q405" s="53"/>
      <c r="R405" s="54"/>
      <c r="S405" s="55"/>
      <c r="T405" s="56"/>
      <c r="U405" s="56"/>
      <c r="V405" s="42"/>
      <c r="W405" s="57"/>
      <c r="X405" s="58"/>
      <c r="Y405" s="75"/>
      <c r="Z405" s="59"/>
      <c r="AA405" s="61"/>
      <c r="AB405" s="61"/>
      <c r="AC405" s="61"/>
      <c r="AD405" s="62"/>
      <c r="AE405" s="62"/>
      <c r="AF405" s="34"/>
      <c r="AG405" s="34"/>
      <c r="AH405" s="34"/>
      <c r="AI405" s="34"/>
      <c r="AJ405" s="34"/>
      <c r="AK405" s="34"/>
      <c r="AL405" s="34"/>
      <c r="AM405" s="34"/>
      <c r="AN405" s="34"/>
      <c r="AO405" s="34"/>
      <c r="AP405" s="34"/>
      <c r="AQ405" s="34"/>
      <c r="AR405" s="34"/>
      <c r="AS405" s="34"/>
      <c r="AT405" s="34"/>
      <c r="AU405" s="34"/>
      <c r="AV405" s="34"/>
      <c r="AW405" s="34"/>
      <c r="AX405" s="34"/>
      <c r="AY405" s="34"/>
      <c r="AZ405" s="34"/>
      <c r="BA405" s="34"/>
      <c r="BB405" s="34"/>
      <c r="BD405" s="34"/>
      <c r="BE405" s="34"/>
      <c r="BF405" s="34"/>
      <c r="BG405" s="34"/>
      <c r="BH405" s="34"/>
      <c r="BI405" s="34"/>
      <c r="BJ405" s="34"/>
      <c r="BK405" s="34"/>
      <c r="BL405" s="34"/>
      <c r="BM405" s="34"/>
      <c r="BN405" s="34"/>
      <c r="BO405" s="34"/>
      <c r="BP405" s="34"/>
      <c r="BQ405" s="34"/>
      <c r="BR405" s="34"/>
      <c r="BS405" s="34"/>
      <c r="BT405" s="34"/>
      <c r="BU405" s="34"/>
      <c r="BV405" s="34"/>
      <c r="BW405" s="34"/>
      <c r="BX405" s="34"/>
      <c r="BY405" s="34"/>
    </row>
    <row r="406" spans="1:77" x14ac:dyDescent="0.3">
      <c r="A406" s="39"/>
      <c r="B406" s="42"/>
      <c r="C406" s="42"/>
      <c r="D406" s="75"/>
      <c r="E406" s="75"/>
      <c r="F406" s="76"/>
      <c r="G406" s="47"/>
      <c r="H406" s="47"/>
      <c r="I406" s="75"/>
      <c r="J406" s="76"/>
      <c r="K406" s="76"/>
      <c r="L406" s="75"/>
      <c r="M406" s="49"/>
      <c r="N406" s="76"/>
      <c r="O406" s="49"/>
      <c r="P406" s="77"/>
      <c r="Q406" s="53"/>
      <c r="R406" s="54"/>
      <c r="S406" s="55"/>
      <c r="T406" s="56"/>
      <c r="U406" s="56"/>
      <c r="V406" s="42"/>
      <c r="W406" s="57"/>
      <c r="X406" s="58"/>
      <c r="Y406" s="75"/>
      <c r="Z406" s="59"/>
      <c r="AA406" s="61"/>
      <c r="AB406" s="61"/>
      <c r="AC406" s="61"/>
      <c r="AD406" s="62"/>
      <c r="AE406" s="62"/>
      <c r="AF406" s="34"/>
      <c r="AG406" s="34"/>
      <c r="AH406" s="34"/>
      <c r="AI406" s="34"/>
      <c r="AJ406" s="34"/>
      <c r="AK406" s="34"/>
      <c r="AL406" s="34"/>
      <c r="AM406" s="34"/>
      <c r="AN406" s="34"/>
      <c r="AO406" s="34"/>
      <c r="AP406" s="34"/>
      <c r="AQ406" s="34"/>
      <c r="AR406" s="34"/>
      <c r="AS406" s="34"/>
      <c r="AT406" s="34"/>
      <c r="AU406" s="34"/>
      <c r="AV406" s="34"/>
      <c r="AW406" s="34"/>
      <c r="AX406" s="34"/>
      <c r="AY406" s="34"/>
      <c r="AZ406" s="34"/>
      <c r="BA406" s="34"/>
      <c r="BB406" s="34"/>
      <c r="BD406" s="34"/>
      <c r="BE406" s="34"/>
      <c r="BF406" s="34"/>
      <c r="BG406" s="34"/>
      <c r="BH406" s="34"/>
      <c r="BI406" s="34"/>
      <c r="BJ406" s="34"/>
      <c r="BK406" s="34"/>
      <c r="BL406" s="34"/>
      <c r="BM406" s="34"/>
      <c r="BN406" s="34"/>
      <c r="BO406" s="34"/>
      <c r="BP406" s="34"/>
      <c r="BQ406" s="34"/>
      <c r="BR406" s="34"/>
      <c r="BS406" s="34"/>
      <c r="BT406" s="34"/>
      <c r="BU406" s="34"/>
      <c r="BV406" s="34"/>
      <c r="BW406" s="34"/>
      <c r="BX406" s="34"/>
      <c r="BY406" s="34"/>
    </row>
    <row r="407" spans="1:77" x14ac:dyDescent="0.3">
      <c r="A407" s="39"/>
      <c r="B407" s="42"/>
      <c r="C407" s="42"/>
      <c r="D407" s="75"/>
      <c r="E407" s="75"/>
      <c r="F407" s="76"/>
      <c r="G407" s="47"/>
      <c r="H407" s="47"/>
      <c r="I407" s="75"/>
      <c r="J407" s="76"/>
      <c r="K407" s="76"/>
      <c r="L407" s="75"/>
      <c r="M407" s="49"/>
      <c r="N407" s="76"/>
      <c r="O407" s="49"/>
      <c r="P407" s="77"/>
      <c r="Q407" s="53"/>
      <c r="R407" s="54"/>
      <c r="S407" s="55"/>
      <c r="T407" s="56"/>
      <c r="U407" s="56"/>
      <c r="V407" s="42"/>
      <c r="W407" s="57"/>
      <c r="X407" s="58"/>
      <c r="Y407" s="75"/>
      <c r="Z407" s="59"/>
      <c r="AA407" s="61"/>
      <c r="AB407" s="61"/>
      <c r="AC407" s="61"/>
      <c r="AD407" s="62"/>
      <c r="AE407" s="62"/>
      <c r="AF407" s="34"/>
      <c r="AG407" s="34"/>
      <c r="AH407" s="34"/>
      <c r="AI407" s="34"/>
      <c r="AJ407" s="34"/>
      <c r="AK407" s="34"/>
      <c r="AL407" s="34"/>
      <c r="AM407" s="34"/>
      <c r="AN407" s="34"/>
      <c r="AO407" s="34"/>
      <c r="AP407" s="34"/>
      <c r="AQ407" s="34"/>
      <c r="AR407" s="34"/>
      <c r="AS407" s="34"/>
      <c r="AT407" s="34"/>
      <c r="AU407" s="34"/>
      <c r="AV407" s="34"/>
      <c r="AW407" s="34"/>
      <c r="AX407" s="34"/>
      <c r="AY407" s="34"/>
      <c r="AZ407" s="34"/>
      <c r="BA407" s="34"/>
      <c r="BB407" s="34"/>
      <c r="BD407" s="34"/>
      <c r="BE407" s="34"/>
      <c r="BF407" s="34"/>
      <c r="BG407" s="34"/>
      <c r="BH407" s="34"/>
      <c r="BI407" s="34"/>
      <c r="BJ407" s="34"/>
      <c r="BK407" s="34"/>
      <c r="BL407" s="34"/>
      <c r="BM407" s="34"/>
      <c r="BN407" s="34"/>
      <c r="BO407" s="34"/>
      <c r="BP407" s="34"/>
      <c r="BQ407" s="34"/>
      <c r="BR407" s="34"/>
      <c r="BS407" s="34"/>
      <c r="BT407" s="34"/>
      <c r="BU407" s="34"/>
      <c r="BV407" s="34"/>
      <c r="BW407" s="34"/>
      <c r="BX407" s="34"/>
      <c r="BY407" s="34"/>
    </row>
    <row r="408" spans="1:77" x14ac:dyDescent="0.3">
      <c r="A408" s="39"/>
      <c r="B408" s="42"/>
      <c r="C408" s="42"/>
      <c r="D408" s="75"/>
      <c r="E408" s="75"/>
      <c r="F408" s="76"/>
      <c r="G408" s="47"/>
      <c r="H408" s="47"/>
      <c r="I408" s="75"/>
      <c r="J408" s="76"/>
      <c r="K408" s="76"/>
      <c r="L408" s="75"/>
      <c r="M408" s="49"/>
      <c r="N408" s="76"/>
      <c r="O408" s="49"/>
      <c r="P408" s="77"/>
      <c r="Q408" s="53"/>
      <c r="R408" s="54"/>
      <c r="S408" s="55"/>
      <c r="T408" s="56"/>
      <c r="U408" s="56"/>
      <c r="V408" s="42"/>
      <c r="W408" s="57"/>
      <c r="X408" s="58"/>
      <c r="Y408" s="75"/>
      <c r="Z408" s="59"/>
      <c r="AA408" s="61"/>
      <c r="AB408" s="61"/>
      <c r="AC408" s="61"/>
      <c r="AD408" s="62"/>
      <c r="AE408" s="62"/>
      <c r="AF408" s="34"/>
      <c r="AG408" s="34"/>
      <c r="AH408" s="34"/>
      <c r="AI408" s="34"/>
      <c r="AJ408" s="34"/>
      <c r="AK408" s="34"/>
      <c r="AL408" s="34"/>
      <c r="AM408" s="34"/>
      <c r="AN408" s="34"/>
      <c r="AO408" s="34"/>
      <c r="AP408" s="34"/>
      <c r="AQ408" s="34"/>
      <c r="AR408" s="34"/>
      <c r="AS408" s="34"/>
      <c r="AT408" s="34"/>
      <c r="AU408" s="34"/>
      <c r="AV408" s="34"/>
      <c r="AW408" s="34"/>
      <c r="AX408" s="34"/>
      <c r="AY408" s="34"/>
      <c r="AZ408" s="34"/>
      <c r="BA408" s="34"/>
      <c r="BB408" s="34"/>
      <c r="BD408" s="34"/>
      <c r="BE408" s="34"/>
      <c r="BF408" s="34"/>
      <c r="BG408" s="34"/>
      <c r="BH408" s="34"/>
      <c r="BI408" s="34"/>
      <c r="BJ408" s="34"/>
      <c r="BK408" s="34"/>
      <c r="BL408" s="34"/>
      <c r="BM408" s="34"/>
      <c r="BN408" s="34"/>
      <c r="BO408" s="34"/>
      <c r="BP408" s="34"/>
      <c r="BQ408" s="34"/>
      <c r="BR408" s="34"/>
      <c r="BS408" s="34"/>
      <c r="BT408" s="34"/>
      <c r="BU408" s="34"/>
      <c r="BV408" s="34"/>
      <c r="BW408" s="34"/>
      <c r="BX408" s="34"/>
      <c r="BY408" s="34"/>
    </row>
    <row r="409" spans="1:77" x14ac:dyDescent="0.3">
      <c r="A409" s="39"/>
      <c r="B409" s="42"/>
      <c r="C409" s="42"/>
      <c r="D409" s="75"/>
      <c r="E409" s="75"/>
      <c r="F409" s="76"/>
      <c r="G409" s="47"/>
      <c r="H409" s="47"/>
      <c r="I409" s="75"/>
      <c r="J409" s="76"/>
      <c r="K409" s="76"/>
      <c r="L409" s="75"/>
      <c r="M409" s="49"/>
      <c r="N409" s="76"/>
      <c r="O409" s="49"/>
      <c r="P409" s="77"/>
      <c r="Q409" s="53"/>
      <c r="R409" s="54"/>
      <c r="S409" s="55"/>
      <c r="T409" s="56"/>
      <c r="U409" s="56"/>
      <c r="V409" s="42"/>
      <c r="W409" s="57"/>
      <c r="X409" s="58"/>
      <c r="Y409" s="75"/>
      <c r="Z409" s="59"/>
      <c r="AA409" s="61"/>
      <c r="AB409" s="61"/>
      <c r="AC409" s="61"/>
      <c r="AD409" s="62"/>
      <c r="AE409" s="62"/>
      <c r="AF409" s="34"/>
      <c r="AG409" s="34"/>
      <c r="AH409" s="34"/>
      <c r="AI409" s="34"/>
      <c r="AJ409" s="34"/>
      <c r="AK409" s="34"/>
      <c r="AL409" s="34"/>
      <c r="AM409" s="34"/>
      <c r="AN409" s="34"/>
      <c r="AO409" s="34"/>
      <c r="AP409" s="34"/>
      <c r="AQ409" s="34"/>
      <c r="AR409" s="34"/>
      <c r="AS409" s="34"/>
      <c r="AT409" s="34"/>
      <c r="AU409" s="34"/>
      <c r="AV409" s="34"/>
      <c r="AW409" s="34"/>
      <c r="AX409" s="34"/>
      <c r="AY409" s="34"/>
      <c r="AZ409" s="34"/>
      <c r="BA409" s="34"/>
      <c r="BB409" s="34"/>
      <c r="BD409" s="34"/>
      <c r="BE409" s="34"/>
      <c r="BF409" s="34"/>
      <c r="BG409" s="34"/>
      <c r="BH409" s="34"/>
      <c r="BI409" s="34"/>
      <c r="BJ409" s="34"/>
      <c r="BK409" s="34"/>
      <c r="BL409" s="34"/>
      <c r="BM409" s="34"/>
      <c r="BN409" s="34"/>
      <c r="BO409" s="34"/>
      <c r="BP409" s="34"/>
      <c r="BQ409" s="34"/>
      <c r="BR409" s="34"/>
      <c r="BS409" s="34"/>
      <c r="BT409" s="34"/>
      <c r="BU409" s="34"/>
      <c r="BV409" s="34"/>
      <c r="BW409" s="34"/>
      <c r="BX409" s="34"/>
      <c r="BY409" s="34"/>
    </row>
    <row r="410" spans="1:77" x14ac:dyDescent="0.3">
      <c r="A410" s="39"/>
      <c r="B410" s="42"/>
      <c r="C410" s="42"/>
      <c r="D410" s="75"/>
      <c r="E410" s="75"/>
      <c r="F410" s="76"/>
      <c r="G410" s="47"/>
      <c r="H410" s="47"/>
      <c r="I410" s="75"/>
      <c r="J410" s="76"/>
      <c r="K410" s="76"/>
      <c r="L410" s="75"/>
      <c r="M410" s="49"/>
      <c r="N410" s="76"/>
      <c r="O410" s="49"/>
      <c r="P410" s="77"/>
      <c r="Q410" s="53"/>
      <c r="R410" s="54"/>
      <c r="S410" s="55"/>
      <c r="T410" s="56"/>
      <c r="U410" s="56"/>
      <c r="V410" s="42"/>
      <c r="W410" s="57"/>
      <c r="X410" s="58"/>
      <c r="Y410" s="75"/>
      <c r="Z410" s="59"/>
      <c r="AA410" s="61"/>
      <c r="AB410" s="61"/>
      <c r="AC410" s="61"/>
      <c r="AD410" s="62"/>
      <c r="AE410" s="62"/>
      <c r="AF410" s="34"/>
      <c r="AG410" s="34"/>
      <c r="AH410" s="34"/>
      <c r="AI410" s="34"/>
      <c r="AJ410" s="34"/>
      <c r="AK410" s="34"/>
      <c r="AL410" s="34"/>
      <c r="AM410" s="34"/>
      <c r="AN410" s="34"/>
      <c r="AO410" s="34"/>
      <c r="AP410" s="34"/>
      <c r="AQ410" s="34"/>
      <c r="AR410" s="34"/>
      <c r="AS410" s="34"/>
      <c r="AT410" s="34"/>
      <c r="AU410" s="34"/>
      <c r="AV410" s="34"/>
      <c r="AW410" s="34"/>
      <c r="AX410" s="34"/>
      <c r="AY410" s="34"/>
      <c r="AZ410" s="34"/>
      <c r="BA410" s="34"/>
      <c r="BB410" s="34"/>
      <c r="BD410" s="34"/>
      <c r="BE410" s="34"/>
      <c r="BF410" s="34"/>
      <c r="BG410" s="34"/>
      <c r="BH410" s="34"/>
      <c r="BI410" s="34"/>
      <c r="BJ410" s="34"/>
      <c r="BK410" s="34"/>
      <c r="BL410" s="34"/>
      <c r="BM410" s="34"/>
      <c r="BN410" s="34"/>
      <c r="BO410" s="34"/>
      <c r="BP410" s="34"/>
      <c r="BQ410" s="34"/>
      <c r="BR410" s="34"/>
      <c r="BS410" s="34"/>
      <c r="BT410" s="34"/>
      <c r="BU410" s="34"/>
      <c r="BV410" s="34"/>
      <c r="BW410" s="34"/>
      <c r="BX410" s="34"/>
      <c r="BY410" s="34"/>
    </row>
    <row r="411" spans="1:77" x14ac:dyDescent="0.3">
      <c r="A411" s="39"/>
      <c r="B411" s="42"/>
      <c r="C411" s="42"/>
      <c r="D411" s="75"/>
      <c r="E411" s="75"/>
      <c r="F411" s="76"/>
      <c r="G411" s="47"/>
      <c r="H411" s="47"/>
      <c r="I411" s="75"/>
      <c r="J411" s="76"/>
      <c r="K411" s="76"/>
      <c r="L411" s="75"/>
      <c r="M411" s="49"/>
      <c r="N411" s="76"/>
      <c r="O411" s="49"/>
      <c r="P411" s="77"/>
      <c r="Q411" s="53"/>
      <c r="R411" s="54"/>
      <c r="S411" s="55"/>
      <c r="T411" s="56"/>
      <c r="U411" s="56"/>
      <c r="V411" s="42"/>
      <c r="W411" s="57"/>
      <c r="X411" s="58"/>
      <c r="Y411" s="75"/>
      <c r="Z411" s="59"/>
      <c r="AA411" s="61"/>
      <c r="AB411" s="61"/>
      <c r="AC411" s="61"/>
      <c r="AD411" s="62"/>
      <c r="AE411" s="62"/>
      <c r="AF411" s="34"/>
      <c r="AG411" s="34"/>
      <c r="AH411" s="34"/>
      <c r="AI411" s="34"/>
      <c r="AJ411" s="34"/>
      <c r="AK411" s="34"/>
      <c r="AL411" s="34"/>
      <c r="AM411" s="34"/>
      <c r="AN411" s="34"/>
      <c r="AO411" s="34"/>
      <c r="AP411" s="34"/>
      <c r="AQ411" s="34"/>
      <c r="AR411" s="34"/>
      <c r="AS411" s="34"/>
      <c r="AT411" s="34"/>
      <c r="AU411" s="34"/>
      <c r="AV411" s="34"/>
      <c r="AW411" s="34"/>
      <c r="AX411" s="34"/>
      <c r="AY411" s="34"/>
      <c r="AZ411" s="34"/>
      <c r="BA411" s="34"/>
      <c r="BB411" s="34"/>
      <c r="BD411" s="34"/>
      <c r="BE411" s="34"/>
      <c r="BF411" s="34"/>
      <c r="BG411" s="34"/>
      <c r="BH411" s="34"/>
      <c r="BI411" s="34"/>
      <c r="BJ411" s="34"/>
      <c r="BK411" s="34"/>
      <c r="BL411" s="34"/>
      <c r="BM411" s="34"/>
      <c r="BN411" s="34"/>
      <c r="BO411" s="34"/>
      <c r="BP411" s="34"/>
      <c r="BQ411" s="34"/>
      <c r="BR411" s="34"/>
      <c r="BS411" s="34"/>
      <c r="BT411" s="34"/>
      <c r="BU411" s="34"/>
      <c r="BV411" s="34"/>
      <c r="BW411" s="34"/>
      <c r="BX411" s="34"/>
      <c r="BY411" s="34"/>
    </row>
    <row r="412" spans="1:77" x14ac:dyDescent="0.3">
      <c r="A412" s="39"/>
      <c r="B412" s="42"/>
      <c r="C412" s="42"/>
      <c r="D412" s="75"/>
      <c r="E412" s="75"/>
      <c r="F412" s="76"/>
      <c r="G412" s="47"/>
      <c r="H412" s="47"/>
      <c r="I412" s="75"/>
      <c r="J412" s="76"/>
      <c r="K412" s="76"/>
      <c r="L412" s="75"/>
      <c r="M412" s="49"/>
      <c r="N412" s="76"/>
      <c r="O412" s="49"/>
      <c r="P412" s="77"/>
      <c r="Q412" s="53"/>
      <c r="R412" s="54"/>
      <c r="S412" s="55"/>
      <c r="T412" s="56"/>
      <c r="U412" s="56"/>
      <c r="V412" s="42"/>
      <c r="W412" s="57"/>
      <c r="X412" s="58"/>
      <c r="Y412" s="75"/>
      <c r="Z412" s="59"/>
      <c r="AA412" s="61"/>
      <c r="AB412" s="61"/>
      <c r="AC412" s="61"/>
      <c r="AD412" s="62"/>
      <c r="AE412" s="62"/>
      <c r="AF412" s="34"/>
      <c r="AG412" s="34"/>
      <c r="AH412" s="34"/>
      <c r="AI412" s="34"/>
      <c r="AJ412" s="34"/>
      <c r="AK412" s="34"/>
      <c r="AL412" s="34"/>
      <c r="AM412" s="34"/>
      <c r="AN412" s="34"/>
      <c r="AO412" s="34"/>
      <c r="AP412" s="34"/>
      <c r="AQ412" s="34"/>
      <c r="AR412" s="34"/>
      <c r="AS412" s="34"/>
      <c r="AT412" s="34"/>
      <c r="AU412" s="34"/>
      <c r="AV412" s="34"/>
      <c r="AW412" s="34"/>
      <c r="AX412" s="34"/>
      <c r="AY412" s="34"/>
      <c r="AZ412" s="34"/>
      <c r="BA412" s="34"/>
      <c r="BB412" s="34"/>
      <c r="BD412" s="34"/>
      <c r="BE412" s="34"/>
      <c r="BF412" s="34"/>
      <c r="BG412" s="34"/>
      <c r="BH412" s="34"/>
      <c r="BI412" s="34"/>
      <c r="BJ412" s="34"/>
      <c r="BK412" s="34"/>
      <c r="BL412" s="34"/>
      <c r="BM412" s="34"/>
      <c r="BN412" s="34"/>
      <c r="BO412" s="34"/>
      <c r="BP412" s="34"/>
      <c r="BQ412" s="34"/>
      <c r="BR412" s="34"/>
      <c r="BS412" s="34"/>
      <c r="BT412" s="34"/>
      <c r="BU412" s="34"/>
      <c r="BV412" s="34"/>
      <c r="BW412" s="34"/>
      <c r="BX412" s="34"/>
      <c r="BY412" s="34"/>
    </row>
    <row r="413" spans="1:77" x14ac:dyDescent="0.3">
      <c r="A413" s="39"/>
      <c r="B413" s="42"/>
      <c r="C413" s="42"/>
      <c r="D413" s="75"/>
      <c r="E413" s="75"/>
      <c r="F413" s="76"/>
      <c r="G413" s="47"/>
      <c r="H413" s="47"/>
      <c r="I413" s="75"/>
      <c r="J413" s="76"/>
      <c r="K413" s="76"/>
      <c r="L413" s="75"/>
      <c r="M413" s="49"/>
      <c r="N413" s="76"/>
      <c r="O413" s="49"/>
      <c r="P413" s="77"/>
      <c r="Q413" s="53"/>
      <c r="R413" s="54"/>
      <c r="S413" s="55"/>
      <c r="T413" s="56"/>
      <c r="U413" s="56"/>
      <c r="V413" s="42"/>
      <c r="W413" s="57"/>
      <c r="X413" s="58"/>
      <c r="Y413" s="75"/>
      <c r="Z413" s="59"/>
      <c r="AA413" s="61"/>
      <c r="AB413" s="61"/>
      <c r="AC413" s="61"/>
      <c r="AD413" s="62"/>
      <c r="AE413" s="62"/>
      <c r="AF413" s="34"/>
      <c r="AG413" s="34"/>
      <c r="AH413" s="34"/>
      <c r="AI413" s="34"/>
      <c r="AJ413" s="34"/>
      <c r="AK413" s="34"/>
      <c r="AL413" s="34"/>
      <c r="AM413" s="34"/>
      <c r="AN413" s="34"/>
      <c r="AO413" s="34"/>
      <c r="AP413" s="34"/>
      <c r="AQ413" s="34"/>
      <c r="AR413" s="34"/>
      <c r="AS413" s="34"/>
      <c r="AT413" s="34"/>
      <c r="AU413" s="34"/>
      <c r="AV413" s="34"/>
      <c r="AW413" s="34"/>
      <c r="AX413" s="34"/>
      <c r="AY413" s="34"/>
      <c r="AZ413" s="34"/>
      <c r="BA413" s="34"/>
      <c r="BB413" s="34"/>
      <c r="BD413" s="34"/>
      <c r="BE413" s="34"/>
      <c r="BF413" s="34"/>
      <c r="BG413" s="34"/>
      <c r="BH413" s="34"/>
      <c r="BI413" s="34"/>
      <c r="BJ413" s="34"/>
      <c r="BK413" s="34"/>
      <c r="BL413" s="34"/>
      <c r="BM413" s="34"/>
      <c r="BN413" s="34"/>
      <c r="BO413" s="34"/>
      <c r="BP413" s="34"/>
      <c r="BQ413" s="34"/>
      <c r="BR413" s="34"/>
      <c r="BS413" s="34"/>
      <c r="BT413" s="34"/>
      <c r="BU413" s="34"/>
      <c r="BV413" s="34"/>
      <c r="BW413" s="34"/>
      <c r="BX413" s="34"/>
      <c r="BY413" s="34"/>
    </row>
    <row r="414" spans="1:77" x14ac:dyDescent="0.3">
      <c r="A414" s="39"/>
      <c r="B414" s="42"/>
      <c r="C414" s="42"/>
      <c r="D414" s="75"/>
      <c r="E414" s="75"/>
      <c r="F414" s="76"/>
      <c r="G414" s="47"/>
      <c r="H414" s="47"/>
      <c r="I414" s="75"/>
      <c r="J414" s="76"/>
      <c r="K414" s="76"/>
      <c r="L414" s="75"/>
      <c r="M414" s="49"/>
      <c r="N414" s="76"/>
      <c r="O414" s="49"/>
      <c r="P414" s="77"/>
      <c r="Q414" s="53"/>
      <c r="R414" s="54"/>
      <c r="S414" s="55"/>
      <c r="T414" s="56"/>
      <c r="U414" s="56"/>
      <c r="V414" s="42"/>
      <c r="W414" s="57"/>
      <c r="X414" s="58"/>
      <c r="Y414" s="75"/>
      <c r="Z414" s="59"/>
      <c r="AA414" s="61"/>
      <c r="AB414" s="61"/>
      <c r="AC414" s="61"/>
      <c r="AD414" s="62"/>
      <c r="AE414" s="62"/>
      <c r="AF414" s="34"/>
      <c r="AG414" s="34"/>
      <c r="AH414" s="34"/>
      <c r="AI414" s="34"/>
      <c r="AJ414" s="34"/>
      <c r="AK414" s="34"/>
      <c r="AL414" s="34"/>
      <c r="AM414" s="34"/>
      <c r="AN414" s="34"/>
      <c r="AO414" s="34"/>
      <c r="AP414" s="34"/>
      <c r="AQ414" s="34"/>
      <c r="AR414" s="34"/>
      <c r="AS414" s="34"/>
      <c r="AT414" s="34"/>
      <c r="AU414" s="34"/>
      <c r="AV414" s="34"/>
      <c r="AW414" s="34"/>
      <c r="AX414" s="34"/>
      <c r="AY414" s="34"/>
      <c r="AZ414" s="34"/>
      <c r="BA414" s="34"/>
      <c r="BB414" s="34"/>
      <c r="BD414" s="34"/>
      <c r="BE414" s="34"/>
      <c r="BF414" s="34"/>
      <c r="BG414" s="34"/>
      <c r="BH414" s="34"/>
      <c r="BI414" s="34"/>
      <c r="BJ414" s="34"/>
      <c r="BK414" s="34"/>
      <c r="BL414" s="34"/>
      <c r="BM414" s="34"/>
      <c r="BN414" s="34"/>
      <c r="BO414" s="34"/>
      <c r="BP414" s="34"/>
      <c r="BQ414" s="34"/>
      <c r="BR414" s="34"/>
      <c r="BS414" s="34"/>
      <c r="BT414" s="34"/>
      <c r="BU414" s="34"/>
      <c r="BV414" s="34"/>
      <c r="BW414" s="34"/>
      <c r="BX414" s="34"/>
      <c r="BY414" s="34"/>
    </row>
    <row r="415" spans="1:77" x14ac:dyDescent="0.3">
      <c r="A415" s="39"/>
      <c r="B415" s="42"/>
      <c r="C415" s="42"/>
      <c r="D415" s="75"/>
      <c r="E415" s="75"/>
      <c r="F415" s="76"/>
      <c r="G415" s="47"/>
      <c r="H415" s="47"/>
      <c r="I415" s="75"/>
      <c r="J415" s="76"/>
      <c r="K415" s="76"/>
      <c r="L415" s="75"/>
      <c r="M415" s="49"/>
      <c r="N415" s="76"/>
      <c r="O415" s="49"/>
      <c r="P415" s="77"/>
      <c r="Q415" s="53"/>
      <c r="R415" s="54"/>
      <c r="S415" s="55"/>
      <c r="T415" s="56"/>
      <c r="U415" s="56"/>
      <c r="V415" s="42"/>
      <c r="W415" s="57"/>
      <c r="X415" s="58"/>
      <c r="Y415" s="75"/>
      <c r="Z415" s="59"/>
      <c r="AA415" s="61"/>
      <c r="AB415" s="61"/>
      <c r="AC415" s="61"/>
      <c r="AD415" s="62"/>
      <c r="AE415" s="62"/>
      <c r="AF415" s="34"/>
      <c r="AG415" s="34"/>
      <c r="AH415" s="34"/>
      <c r="AI415" s="34"/>
      <c r="AJ415" s="34"/>
      <c r="AK415" s="34"/>
      <c r="AL415" s="34"/>
      <c r="AM415" s="34"/>
      <c r="AN415" s="34"/>
      <c r="AO415" s="34"/>
      <c r="AP415" s="34"/>
      <c r="AQ415" s="34"/>
      <c r="AR415" s="34"/>
      <c r="AS415" s="34"/>
      <c r="AT415" s="34"/>
      <c r="AU415" s="34"/>
      <c r="AV415" s="34"/>
      <c r="AW415" s="34"/>
      <c r="AX415" s="34"/>
      <c r="AY415" s="34"/>
      <c r="AZ415" s="34"/>
      <c r="BA415" s="34"/>
      <c r="BB415" s="34"/>
      <c r="BD415" s="34"/>
      <c r="BE415" s="34"/>
      <c r="BF415" s="34"/>
      <c r="BG415" s="34"/>
      <c r="BH415" s="34"/>
      <c r="BI415" s="34"/>
      <c r="BJ415" s="34"/>
      <c r="BK415" s="34"/>
      <c r="BL415" s="34"/>
      <c r="BM415" s="34"/>
      <c r="BN415" s="34"/>
      <c r="BO415" s="34"/>
      <c r="BP415" s="34"/>
      <c r="BQ415" s="34"/>
      <c r="BR415" s="34"/>
      <c r="BS415" s="34"/>
      <c r="BT415" s="34"/>
      <c r="BU415" s="34"/>
      <c r="BV415" s="34"/>
      <c r="BW415" s="34"/>
      <c r="BX415" s="34"/>
      <c r="BY415" s="34"/>
    </row>
    <row r="416" spans="1:77" x14ac:dyDescent="0.3">
      <c r="A416" s="39"/>
      <c r="B416" s="42"/>
      <c r="C416" s="42"/>
      <c r="D416" s="75"/>
      <c r="E416" s="75"/>
      <c r="F416" s="76"/>
      <c r="G416" s="47"/>
      <c r="H416" s="47"/>
      <c r="I416" s="75"/>
      <c r="J416" s="76"/>
      <c r="K416" s="76"/>
      <c r="L416" s="75"/>
      <c r="M416" s="49"/>
      <c r="N416" s="76"/>
      <c r="O416" s="49"/>
      <c r="P416" s="77"/>
      <c r="Q416" s="53"/>
      <c r="R416" s="54"/>
      <c r="S416" s="55"/>
      <c r="T416" s="56"/>
      <c r="U416" s="56"/>
      <c r="V416" s="42"/>
      <c r="W416" s="57"/>
      <c r="X416" s="58"/>
      <c r="Y416" s="75"/>
      <c r="Z416" s="59"/>
      <c r="AA416" s="61"/>
      <c r="AB416" s="61"/>
      <c r="AC416" s="61"/>
      <c r="AD416" s="62"/>
      <c r="AE416" s="62"/>
      <c r="AF416" s="34"/>
      <c r="AG416" s="34"/>
      <c r="AH416" s="34"/>
      <c r="AI416" s="34"/>
      <c r="AJ416" s="34"/>
      <c r="AK416" s="34"/>
      <c r="AL416" s="34"/>
      <c r="AM416" s="34"/>
      <c r="AN416" s="34"/>
      <c r="AO416" s="34"/>
      <c r="AP416" s="34"/>
      <c r="AQ416" s="34"/>
      <c r="AR416" s="34"/>
      <c r="AS416" s="34"/>
      <c r="AT416" s="34"/>
      <c r="AU416" s="34"/>
      <c r="AV416" s="34"/>
      <c r="AW416" s="34"/>
      <c r="AX416" s="34"/>
      <c r="AY416" s="34"/>
      <c r="AZ416" s="34"/>
      <c r="BA416" s="34"/>
      <c r="BB416" s="34"/>
      <c r="BD416" s="34"/>
      <c r="BE416" s="34"/>
      <c r="BF416" s="34"/>
      <c r="BG416" s="34"/>
      <c r="BH416" s="34"/>
      <c r="BI416" s="34"/>
      <c r="BJ416" s="34"/>
      <c r="BK416" s="34"/>
      <c r="BL416" s="34"/>
      <c r="BM416" s="34"/>
      <c r="BN416" s="34"/>
      <c r="BO416" s="34"/>
      <c r="BP416" s="34"/>
      <c r="BQ416" s="34"/>
      <c r="BR416" s="34"/>
      <c r="BS416" s="34"/>
      <c r="BT416" s="34"/>
      <c r="BU416" s="34"/>
      <c r="BV416" s="34"/>
      <c r="BW416" s="34"/>
      <c r="BX416" s="34"/>
      <c r="BY416" s="34"/>
    </row>
    <row r="417" spans="1:77" x14ac:dyDescent="0.3">
      <c r="A417" s="39"/>
      <c r="B417" s="42"/>
      <c r="C417" s="42"/>
      <c r="D417" s="75"/>
      <c r="E417" s="75"/>
      <c r="F417" s="76"/>
      <c r="G417" s="47"/>
      <c r="H417" s="47"/>
      <c r="I417" s="75"/>
      <c r="J417" s="76"/>
      <c r="K417" s="76"/>
      <c r="L417" s="75"/>
      <c r="M417" s="49"/>
      <c r="N417" s="76"/>
      <c r="O417" s="49"/>
      <c r="P417" s="77"/>
      <c r="Q417" s="53"/>
      <c r="R417" s="54"/>
      <c r="S417" s="55"/>
      <c r="T417" s="56"/>
      <c r="U417" s="56"/>
      <c r="V417" s="42"/>
      <c r="W417" s="57"/>
      <c r="X417" s="58"/>
      <c r="Y417" s="75"/>
      <c r="Z417" s="59"/>
      <c r="AA417" s="61"/>
      <c r="AB417" s="61"/>
      <c r="AC417" s="61"/>
      <c r="AD417" s="62"/>
      <c r="AE417" s="62"/>
      <c r="AF417" s="34"/>
      <c r="AG417" s="34"/>
      <c r="AH417" s="34"/>
      <c r="AI417" s="34"/>
      <c r="AJ417" s="34"/>
      <c r="AK417" s="34"/>
      <c r="AL417" s="34"/>
      <c r="AM417" s="34"/>
      <c r="AN417" s="34"/>
      <c r="AO417" s="34"/>
      <c r="AP417" s="34"/>
      <c r="AQ417" s="34"/>
      <c r="AR417" s="34"/>
      <c r="AS417" s="34"/>
      <c r="AT417" s="34"/>
      <c r="AU417" s="34"/>
      <c r="AV417" s="34"/>
      <c r="AW417" s="34"/>
      <c r="AX417" s="34"/>
      <c r="AY417" s="34"/>
      <c r="AZ417" s="34"/>
      <c r="BA417" s="34"/>
      <c r="BB417" s="34"/>
      <c r="BD417" s="34"/>
      <c r="BE417" s="34"/>
      <c r="BF417" s="34"/>
      <c r="BG417" s="34"/>
      <c r="BH417" s="34"/>
      <c r="BI417" s="34"/>
      <c r="BJ417" s="34"/>
      <c r="BK417" s="34"/>
      <c r="BL417" s="34"/>
      <c r="BM417" s="34"/>
      <c r="BN417" s="34"/>
      <c r="BO417" s="34"/>
      <c r="BP417" s="34"/>
      <c r="BQ417" s="34"/>
      <c r="BR417" s="34"/>
      <c r="BS417" s="34"/>
      <c r="BT417" s="34"/>
      <c r="BU417" s="34"/>
      <c r="BV417" s="34"/>
      <c r="BW417" s="34"/>
      <c r="BX417" s="34"/>
      <c r="BY417" s="34"/>
    </row>
    <row r="418" spans="1:77" x14ac:dyDescent="0.3">
      <c r="A418" s="39"/>
      <c r="B418" s="42"/>
      <c r="C418" s="42"/>
      <c r="D418" s="75"/>
      <c r="E418" s="75"/>
      <c r="F418" s="76"/>
      <c r="G418" s="47"/>
      <c r="H418" s="47"/>
      <c r="I418" s="75"/>
      <c r="J418" s="76"/>
      <c r="K418" s="76"/>
      <c r="L418" s="75"/>
      <c r="M418" s="49"/>
      <c r="N418" s="76"/>
      <c r="O418" s="49"/>
      <c r="P418" s="77"/>
      <c r="Q418" s="53"/>
      <c r="R418" s="54"/>
      <c r="S418" s="55"/>
      <c r="T418" s="56"/>
      <c r="U418" s="56"/>
      <c r="V418" s="42"/>
      <c r="W418" s="57"/>
      <c r="X418" s="58"/>
      <c r="Y418" s="75"/>
      <c r="Z418" s="59"/>
      <c r="AA418" s="61"/>
      <c r="AB418" s="61"/>
      <c r="AC418" s="61"/>
      <c r="AD418" s="62"/>
      <c r="AE418" s="62"/>
      <c r="AF418" s="34"/>
      <c r="AG418" s="34"/>
      <c r="AH418" s="34"/>
      <c r="AI418" s="34"/>
      <c r="AJ418" s="34"/>
      <c r="AK418" s="34"/>
      <c r="AL418" s="34"/>
      <c r="AM418" s="34"/>
      <c r="AN418" s="34"/>
      <c r="AO418" s="34"/>
      <c r="AP418" s="34"/>
      <c r="AQ418" s="34"/>
      <c r="AR418" s="34"/>
      <c r="AS418" s="34"/>
      <c r="AT418" s="34"/>
      <c r="AU418" s="34"/>
      <c r="AV418" s="34"/>
      <c r="AW418" s="34"/>
      <c r="AX418" s="34"/>
      <c r="AY418" s="34"/>
      <c r="AZ418" s="34"/>
      <c r="BA418" s="34"/>
      <c r="BB418" s="34"/>
      <c r="BD418" s="34"/>
      <c r="BE418" s="34"/>
      <c r="BF418" s="34"/>
      <c r="BG418" s="34"/>
      <c r="BH418" s="34"/>
      <c r="BI418" s="34"/>
      <c r="BJ418" s="34"/>
      <c r="BK418" s="34"/>
      <c r="BL418" s="34"/>
      <c r="BM418" s="34"/>
      <c r="BN418" s="34"/>
      <c r="BO418" s="34"/>
      <c r="BP418" s="34"/>
      <c r="BQ418" s="34"/>
      <c r="BR418" s="34"/>
      <c r="BS418" s="34"/>
      <c r="BT418" s="34"/>
      <c r="BU418" s="34"/>
      <c r="BV418" s="34"/>
      <c r="BW418" s="34"/>
      <c r="BX418" s="34"/>
      <c r="BY418" s="34"/>
    </row>
    <row r="419" spans="1:77" x14ac:dyDescent="0.3">
      <c r="A419" s="39"/>
      <c r="B419" s="42"/>
      <c r="C419" s="42"/>
      <c r="D419" s="75"/>
      <c r="E419" s="75"/>
      <c r="F419" s="76"/>
      <c r="G419" s="47"/>
      <c r="H419" s="47"/>
      <c r="I419" s="75"/>
      <c r="J419" s="76"/>
      <c r="K419" s="76"/>
      <c r="L419" s="75"/>
      <c r="M419" s="49"/>
      <c r="N419" s="76"/>
      <c r="O419" s="49"/>
      <c r="P419" s="77"/>
      <c r="Q419" s="53"/>
      <c r="R419" s="54"/>
      <c r="S419" s="55"/>
      <c r="T419" s="56"/>
      <c r="U419" s="56"/>
      <c r="V419" s="42"/>
      <c r="W419" s="57"/>
      <c r="X419" s="58"/>
      <c r="Y419" s="75"/>
      <c r="Z419" s="59"/>
      <c r="AA419" s="61"/>
      <c r="AB419" s="61"/>
      <c r="AC419" s="61"/>
      <c r="AD419" s="62"/>
      <c r="AE419" s="62"/>
      <c r="AF419" s="34"/>
      <c r="AG419" s="34"/>
      <c r="AH419" s="34"/>
      <c r="AI419" s="34"/>
      <c r="AJ419" s="34"/>
      <c r="AK419" s="34"/>
      <c r="AL419" s="34"/>
      <c r="AM419" s="34"/>
      <c r="AN419" s="34"/>
      <c r="AO419" s="34"/>
      <c r="AP419" s="34"/>
      <c r="AQ419" s="34"/>
      <c r="AR419" s="34"/>
      <c r="AS419" s="34"/>
      <c r="AT419" s="34"/>
      <c r="AU419" s="34"/>
      <c r="AV419" s="34"/>
      <c r="AW419" s="34"/>
      <c r="AX419" s="34"/>
      <c r="AY419" s="34"/>
      <c r="AZ419" s="34"/>
      <c r="BA419" s="34"/>
      <c r="BB419" s="34"/>
      <c r="BD419" s="34"/>
      <c r="BE419" s="34"/>
      <c r="BF419" s="34"/>
      <c r="BG419" s="34"/>
      <c r="BH419" s="34"/>
      <c r="BI419" s="34"/>
      <c r="BJ419" s="34"/>
      <c r="BK419" s="34"/>
      <c r="BL419" s="34"/>
      <c r="BM419" s="34"/>
      <c r="BN419" s="34"/>
      <c r="BO419" s="34"/>
      <c r="BP419" s="34"/>
      <c r="BQ419" s="34"/>
      <c r="BR419" s="34"/>
      <c r="BS419" s="34"/>
      <c r="BT419" s="34"/>
      <c r="BU419" s="34"/>
      <c r="BV419" s="34"/>
      <c r="BW419" s="34"/>
      <c r="BX419" s="34"/>
      <c r="BY419" s="34"/>
    </row>
    <row r="420" spans="1:77" x14ac:dyDescent="0.3">
      <c r="A420" s="39"/>
      <c r="B420" s="42"/>
      <c r="C420" s="42"/>
      <c r="D420" s="75"/>
      <c r="E420" s="75"/>
      <c r="F420" s="76"/>
      <c r="G420" s="47"/>
      <c r="H420" s="47"/>
      <c r="I420" s="75"/>
      <c r="J420" s="76"/>
      <c r="K420" s="76"/>
      <c r="L420" s="75"/>
      <c r="M420" s="49"/>
      <c r="N420" s="76"/>
      <c r="O420" s="49"/>
      <c r="P420" s="77"/>
      <c r="Q420" s="53"/>
      <c r="R420" s="54"/>
      <c r="S420" s="55"/>
      <c r="T420" s="56"/>
      <c r="U420" s="56"/>
      <c r="V420" s="42"/>
      <c r="W420" s="57"/>
      <c r="X420" s="58"/>
      <c r="Y420" s="75"/>
      <c r="Z420" s="59"/>
      <c r="AA420" s="61"/>
      <c r="AB420" s="61"/>
      <c r="AC420" s="61"/>
      <c r="AD420" s="62"/>
      <c r="AE420" s="62"/>
      <c r="AF420" s="34"/>
      <c r="AG420" s="34"/>
      <c r="AH420" s="34"/>
      <c r="AI420" s="34"/>
      <c r="AJ420" s="34"/>
      <c r="AK420" s="34"/>
      <c r="AL420" s="34"/>
      <c r="AM420" s="34"/>
      <c r="AN420" s="34"/>
      <c r="AO420" s="34"/>
      <c r="AP420" s="34"/>
      <c r="AQ420" s="34"/>
      <c r="AR420" s="34"/>
      <c r="AS420" s="34"/>
      <c r="AT420" s="34"/>
      <c r="AU420" s="34"/>
      <c r="AV420" s="34"/>
      <c r="AW420" s="34"/>
      <c r="AX420" s="34"/>
      <c r="AY420" s="34"/>
      <c r="AZ420" s="34"/>
      <c r="BA420" s="34"/>
      <c r="BB420" s="34"/>
      <c r="BD420" s="34"/>
      <c r="BE420" s="34"/>
      <c r="BF420" s="34"/>
      <c r="BG420" s="34"/>
      <c r="BH420" s="34"/>
      <c r="BI420" s="34"/>
      <c r="BJ420" s="34"/>
      <c r="BK420" s="34"/>
      <c r="BL420" s="34"/>
      <c r="BM420" s="34"/>
      <c r="BN420" s="34"/>
      <c r="BO420" s="34"/>
      <c r="BP420" s="34"/>
      <c r="BQ420" s="34"/>
      <c r="BR420" s="34"/>
      <c r="BS420" s="34"/>
      <c r="BT420" s="34"/>
      <c r="BU420" s="34"/>
      <c r="BV420" s="34"/>
      <c r="BW420" s="34"/>
      <c r="BX420" s="34"/>
      <c r="BY420" s="34"/>
    </row>
    <row r="421" spans="1:77" x14ac:dyDescent="0.3">
      <c r="A421" s="39"/>
      <c r="B421" s="42"/>
      <c r="C421" s="42"/>
      <c r="D421" s="75"/>
      <c r="E421" s="75"/>
      <c r="F421" s="76"/>
      <c r="G421" s="47"/>
      <c r="H421" s="47"/>
      <c r="I421" s="75"/>
      <c r="J421" s="76"/>
      <c r="K421" s="76"/>
      <c r="L421" s="75"/>
      <c r="M421" s="49"/>
      <c r="N421" s="76"/>
      <c r="O421" s="49"/>
      <c r="P421" s="77"/>
      <c r="Q421" s="53"/>
      <c r="R421" s="54"/>
      <c r="S421" s="55"/>
      <c r="T421" s="56"/>
      <c r="U421" s="56"/>
      <c r="V421" s="42"/>
      <c r="W421" s="57"/>
      <c r="X421" s="58"/>
      <c r="Y421" s="75"/>
      <c r="Z421" s="59"/>
      <c r="AA421" s="61"/>
      <c r="AB421" s="61"/>
      <c r="AC421" s="61"/>
      <c r="AD421" s="62"/>
      <c r="AE421" s="62"/>
      <c r="AF421" s="34"/>
      <c r="AG421" s="34"/>
      <c r="AH421" s="34"/>
      <c r="AI421" s="34"/>
      <c r="AJ421" s="34"/>
      <c r="AK421" s="34"/>
      <c r="AL421" s="34"/>
      <c r="AM421" s="34"/>
      <c r="AN421" s="34"/>
      <c r="AO421" s="34"/>
      <c r="AP421" s="34"/>
      <c r="AQ421" s="34"/>
      <c r="AR421" s="34"/>
      <c r="AS421" s="34"/>
      <c r="AT421" s="34"/>
      <c r="AU421" s="34"/>
      <c r="AV421" s="34"/>
      <c r="AW421" s="34"/>
      <c r="AX421" s="34"/>
      <c r="AY421" s="34"/>
      <c r="AZ421" s="34"/>
      <c r="BA421" s="34"/>
      <c r="BB421" s="34"/>
      <c r="BD421" s="34"/>
      <c r="BE421" s="34"/>
      <c r="BF421" s="34"/>
      <c r="BG421" s="34"/>
      <c r="BH421" s="34"/>
      <c r="BI421" s="34"/>
      <c r="BJ421" s="34"/>
      <c r="BK421" s="34"/>
      <c r="BL421" s="34"/>
      <c r="BM421" s="34"/>
      <c r="BN421" s="34"/>
      <c r="BO421" s="34"/>
      <c r="BP421" s="34"/>
      <c r="BQ421" s="34"/>
      <c r="BR421" s="34"/>
      <c r="BS421" s="34"/>
      <c r="BT421" s="34"/>
      <c r="BU421" s="34"/>
      <c r="BV421" s="34"/>
      <c r="BW421" s="34"/>
      <c r="BX421" s="34"/>
      <c r="BY421" s="34"/>
    </row>
    <row r="422" spans="1:77" x14ac:dyDescent="0.3">
      <c r="A422" s="39"/>
      <c r="B422" s="42"/>
      <c r="C422" s="42"/>
      <c r="D422" s="75"/>
      <c r="E422" s="75"/>
      <c r="F422" s="76"/>
      <c r="G422" s="47"/>
      <c r="H422" s="47"/>
      <c r="I422" s="75"/>
      <c r="J422" s="76"/>
      <c r="K422" s="76"/>
      <c r="L422" s="75"/>
      <c r="M422" s="49"/>
      <c r="N422" s="76"/>
      <c r="O422" s="49"/>
      <c r="P422" s="77"/>
      <c r="Q422" s="53"/>
      <c r="R422" s="54"/>
      <c r="S422" s="55"/>
      <c r="T422" s="56"/>
      <c r="U422" s="56"/>
      <c r="V422" s="42"/>
      <c r="W422" s="57"/>
      <c r="X422" s="58"/>
      <c r="Y422" s="75"/>
      <c r="Z422" s="59"/>
      <c r="AA422" s="61"/>
      <c r="AB422" s="61"/>
      <c r="AC422" s="61"/>
      <c r="AD422" s="62"/>
      <c r="AE422" s="62"/>
      <c r="AF422" s="34"/>
      <c r="AG422" s="34"/>
      <c r="AH422" s="34"/>
      <c r="AI422" s="34"/>
      <c r="AJ422" s="34"/>
      <c r="AK422" s="34"/>
      <c r="AL422" s="34"/>
      <c r="AM422" s="34"/>
      <c r="AN422" s="34"/>
      <c r="AO422" s="34"/>
      <c r="AP422" s="34"/>
      <c r="AQ422" s="34"/>
      <c r="AR422" s="34"/>
      <c r="AS422" s="34"/>
      <c r="AT422" s="34"/>
      <c r="AU422" s="34"/>
      <c r="AV422" s="34"/>
      <c r="AW422" s="34"/>
      <c r="AX422" s="34"/>
      <c r="AY422" s="34"/>
      <c r="AZ422" s="34"/>
      <c r="BA422" s="34"/>
      <c r="BB422" s="34"/>
      <c r="BD422" s="34"/>
      <c r="BE422" s="34"/>
      <c r="BF422" s="34"/>
      <c r="BG422" s="34"/>
      <c r="BH422" s="34"/>
      <c r="BI422" s="34"/>
      <c r="BJ422" s="34"/>
      <c r="BK422" s="34"/>
      <c r="BL422" s="34"/>
      <c r="BM422" s="34"/>
      <c r="BN422" s="34"/>
      <c r="BO422" s="34"/>
      <c r="BP422" s="34"/>
      <c r="BQ422" s="34"/>
      <c r="BR422" s="34"/>
      <c r="BS422" s="34"/>
      <c r="BT422" s="34"/>
      <c r="BU422" s="34"/>
      <c r="BV422" s="34"/>
      <c r="BW422" s="34"/>
      <c r="BX422" s="34"/>
      <c r="BY422" s="34"/>
    </row>
    <row r="423" spans="1:77" x14ac:dyDescent="0.3">
      <c r="A423" s="39"/>
      <c r="B423" s="42"/>
      <c r="C423" s="42"/>
      <c r="D423" s="75"/>
      <c r="E423" s="75"/>
      <c r="F423" s="76"/>
      <c r="G423" s="47"/>
      <c r="H423" s="47"/>
      <c r="I423" s="75"/>
      <c r="J423" s="76"/>
      <c r="K423" s="76"/>
      <c r="L423" s="75"/>
      <c r="M423" s="49"/>
      <c r="N423" s="76"/>
      <c r="O423" s="49"/>
      <c r="P423" s="77"/>
      <c r="Q423" s="53"/>
      <c r="R423" s="54"/>
      <c r="S423" s="55"/>
      <c r="T423" s="56"/>
      <c r="U423" s="56"/>
      <c r="V423" s="42"/>
      <c r="W423" s="57"/>
      <c r="X423" s="58"/>
      <c r="Y423" s="75"/>
      <c r="Z423" s="59"/>
      <c r="AA423" s="61"/>
      <c r="AB423" s="61"/>
      <c r="AC423" s="61"/>
      <c r="AD423" s="62"/>
      <c r="AE423" s="62"/>
      <c r="AF423" s="34"/>
      <c r="AG423" s="34"/>
      <c r="AH423" s="34"/>
      <c r="AI423" s="34"/>
      <c r="AJ423" s="34"/>
      <c r="AK423" s="34"/>
      <c r="AL423" s="34"/>
      <c r="AM423" s="34"/>
      <c r="AN423" s="34"/>
      <c r="AO423" s="34"/>
      <c r="AP423" s="34"/>
      <c r="AQ423" s="34"/>
      <c r="AR423" s="34"/>
      <c r="AS423" s="34"/>
      <c r="AT423" s="34"/>
      <c r="AU423" s="34"/>
      <c r="AV423" s="34"/>
      <c r="AW423" s="34"/>
      <c r="AX423" s="34"/>
      <c r="AY423" s="34"/>
      <c r="AZ423" s="34"/>
      <c r="BA423" s="34"/>
      <c r="BB423" s="34"/>
      <c r="BD423" s="34"/>
      <c r="BE423" s="34"/>
      <c r="BF423" s="34"/>
      <c r="BG423" s="34"/>
      <c r="BH423" s="34"/>
      <c r="BI423" s="34"/>
      <c r="BJ423" s="34"/>
      <c r="BK423" s="34"/>
      <c r="BL423" s="34"/>
      <c r="BM423" s="34"/>
      <c r="BN423" s="34"/>
      <c r="BO423" s="34"/>
      <c r="BP423" s="34"/>
      <c r="BQ423" s="34"/>
      <c r="BR423" s="34"/>
      <c r="BS423" s="34"/>
      <c r="BT423" s="34"/>
      <c r="BU423" s="34"/>
      <c r="BV423" s="34"/>
      <c r="BW423" s="34"/>
      <c r="BX423" s="34"/>
      <c r="BY423" s="34"/>
    </row>
    <row r="424" spans="1:77" x14ac:dyDescent="0.3">
      <c r="A424" s="39"/>
      <c r="B424" s="42"/>
      <c r="C424" s="42"/>
      <c r="D424" s="75"/>
      <c r="E424" s="75"/>
      <c r="F424" s="76"/>
      <c r="G424" s="47"/>
      <c r="H424" s="47"/>
      <c r="I424" s="75"/>
      <c r="J424" s="76"/>
      <c r="K424" s="76"/>
      <c r="L424" s="75"/>
      <c r="M424" s="49"/>
      <c r="N424" s="76"/>
      <c r="O424" s="49"/>
      <c r="P424" s="77"/>
      <c r="Q424" s="53"/>
      <c r="R424" s="54"/>
      <c r="S424" s="55"/>
      <c r="T424" s="56"/>
      <c r="U424" s="56"/>
      <c r="V424" s="42"/>
      <c r="W424" s="57"/>
      <c r="X424" s="58"/>
      <c r="Y424" s="75"/>
      <c r="Z424" s="59"/>
      <c r="AA424" s="61"/>
      <c r="AB424" s="61"/>
      <c r="AC424" s="61"/>
      <c r="AD424" s="62"/>
      <c r="AE424" s="62"/>
      <c r="AF424" s="34"/>
      <c r="AG424" s="34"/>
      <c r="AH424" s="34"/>
      <c r="AI424" s="34"/>
      <c r="AJ424" s="34"/>
      <c r="AK424" s="34"/>
      <c r="AL424" s="34"/>
      <c r="AM424" s="34"/>
      <c r="AN424" s="34"/>
      <c r="AO424" s="34"/>
      <c r="AP424" s="34"/>
      <c r="AQ424" s="34"/>
      <c r="AR424" s="34"/>
      <c r="AS424" s="34"/>
      <c r="AT424" s="34"/>
      <c r="AU424" s="34"/>
      <c r="AV424" s="34"/>
      <c r="AW424" s="34"/>
      <c r="AX424" s="34"/>
      <c r="AY424" s="34"/>
      <c r="AZ424" s="34"/>
      <c r="BA424" s="34"/>
      <c r="BB424" s="34"/>
      <c r="BD424" s="34"/>
      <c r="BE424" s="34"/>
      <c r="BF424" s="34"/>
      <c r="BG424" s="34"/>
      <c r="BH424" s="34"/>
      <c r="BI424" s="34"/>
      <c r="BJ424" s="34"/>
      <c r="BK424" s="34"/>
      <c r="BL424" s="34"/>
      <c r="BM424" s="34"/>
      <c r="BN424" s="34"/>
      <c r="BO424" s="34"/>
      <c r="BP424" s="34"/>
      <c r="BQ424" s="34"/>
      <c r="BR424" s="34"/>
      <c r="BS424" s="34"/>
      <c r="BT424" s="34"/>
      <c r="BU424" s="34"/>
      <c r="BV424" s="34"/>
      <c r="BW424" s="34"/>
      <c r="BX424" s="34"/>
      <c r="BY424" s="34"/>
    </row>
    <row r="425" spans="1:77" x14ac:dyDescent="0.3">
      <c r="A425" s="39"/>
      <c r="B425" s="42"/>
      <c r="C425" s="42"/>
      <c r="D425" s="75"/>
      <c r="E425" s="75"/>
      <c r="F425" s="76"/>
      <c r="G425" s="47"/>
      <c r="H425" s="47"/>
      <c r="I425" s="75"/>
      <c r="J425" s="76"/>
      <c r="K425" s="76"/>
      <c r="L425" s="75"/>
      <c r="M425" s="49"/>
      <c r="N425" s="76"/>
      <c r="O425" s="49"/>
      <c r="P425" s="77"/>
      <c r="Q425" s="53"/>
      <c r="R425" s="54"/>
      <c r="S425" s="55"/>
      <c r="T425" s="56"/>
      <c r="U425" s="56"/>
      <c r="V425" s="42"/>
      <c r="W425" s="57"/>
      <c r="X425" s="58"/>
      <c r="Y425" s="75"/>
      <c r="Z425" s="59"/>
      <c r="AA425" s="61"/>
      <c r="AB425" s="61"/>
      <c r="AC425" s="61"/>
      <c r="AD425" s="62"/>
      <c r="AE425" s="62"/>
      <c r="AF425" s="34"/>
      <c r="AG425" s="34"/>
      <c r="AH425" s="34"/>
      <c r="AI425" s="34"/>
      <c r="AJ425" s="34"/>
      <c r="AK425" s="34"/>
      <c r="AL425" s="34"/>
      <c r="AM425" s="34"/>
      <c r="AN425" s="34"/>
      <c r="AO425" s="34"/>
      <c r="AP425" s="34"/>
      <c r="AQ425" s="34"/>
      <c r="AR425" s="34"/>
      <c r="AS425" s="34"/>
      <c r="AT425" s="34"/>
      <c r="AU425" s="34"/>
      <c r="AV425" s="34"/>
      <c r="AW425" s="34"/>
      <c r="AX425" s="34"/>
      <c r="AY425" s="34"/>
      <c r="AZ425" s="34"/>
      <c r="BA425" s="34"/>
      <c r="BB425" s="34"/>
      <c r="BD425" s="34"/>
      <c r="BE425" s="34"/>
      <c r="BF425" s="34"/>
      <c r="BG425" s="34"/>
      <c r="BH425" s="34"/>
      <c r="BI425" s="34"/>
      <c r="BJ425" s="34"/>
      <c r="BK425" s="34"/>
      <c r="BL425" s="34"/>
      <c r="BM425" s="34"/>
      <c r="BN425" s="34"/>
      <c r="BO425" s="34"/>
      <c r="BP425" s="34"/>
      <c r="BQ425" s="34"/>
      <c r="BR425" s="34"/>
      <c r="BS425" s="34"/>
      <c r="BT425" s="34"/>
      <c r="BU425" s="34"/>
      <c r="BV425" s="34"/>
      <c r="BW425" s="34"/>
      <c r="BX425" s="34"/>
      <c r="BY425" s="34"/>
    </row>
    <row r="426" spans="1:77" x14ac:dyDescent="0.3">
      <c r="A426" s="39"/>
      <c r="B426" s="42"/>
      <c r="C426" s="42"/>
      <c r="D426" s="75"/>
      <c r="E426" s="75"/>
      <c r="F426" s="76"/>
      <c r="G426" s="47"/>
      <c r="H426" s="47"/>
      <c r="I426" s="75"/>
      <c r="J426" s="76"/>
      <c r="K426" s="76"/>
      <c r="L426" s="75"/>
      <c r="M426" s="49"/>
      <c r="N426" s="76"/>
      <c r="O426" s="49"/>
      <c r="P426" s="77"/>
      <c r="Q426" s="53"/>
      <c r="R426" s="54"/>
      <c r="S426" s="55"/>
      <c r="T426" s="56"/>
      <c r="U426" s="56"/>
      <c r="V426" s="42"/>
      <c r="W426" s="57"/>
      <c r="X426" s="58"/>
      <c r="Y426" s="75"/>
      <c r="Z426" s="59"/>
      <c r="AA426" s="61"/>
      <c r="AB426" s="61"/>
      <c r="AC426" s="61"/>
      <c r="AD426" s="62"/>
      <c r="AE426" s="62"/>
      <c r="AF426" s="34"/>
      <c r="AG426" s="34"/>
      <c r="AH426" s="34"/>
      <c r="AI426" s="34"/>
      <c r="AJ426" s="34"/>
      <c r="AK426" s="34"/>
      <c r="AL426" s="34"/>
      <c r="AM426" s="34"/>
      <c r="AN426" s="34"/>
      <c r="AO426" s="34"/>
      <c r="AP426" s="34"/>
      <c r="AQ426" s="34"/>
      <c r="AR426" s="34"/>
      <c r="AS426" s="34"/>
      <c r="AT426" s="34"/>
      <c r="AU426" s="34"/>
      <c r="AV426" s="34"/>
      <c r="AW426" s="34"/>
      <c r="AX426" s="34"/>
      <c r="AY426" s="34"/>
      <c r="AZ426" s="34"/>
      <c r="BA426" s="34"/>
      <c r="BB426" s="34"/>
      <c r="BD426" s="34"/>
      <c r="BE426" s="34"/>
      <c r="BF426" s="34"/>
      <c r="BG426" s="34"/>
      <c r="BH426" s="34"/>
      <c r="BI426" s="34"/>
      <c r="BJ426" s="34"/>
      <c r="BK426" s="34"/>
      <c r="BL426" s="34"/>
      <c r="BM426" s="34"/>
      <c r="BN426" s="34"/>
      <c r="BO426" s="34"/>
      <c r="BP426" s="34"/>
      <c r="BQ426" s="34"/>
      <c r="BR426" s="34"/>
      <c r="BS426" s="34"/>
      <c r="BT426" s="34"/>
      <c r="BU426" s="34"/>
      <c r="BV426" s="34"/>
      <c r="BW426" s="34"/>
      <c r="BX426" s="34"/>
      <c r="BY426" s="34"/>
    </row>
    <row r="427" spans="1:77" x14ac:dyDescent="0.3">
      <c r="A427" s="39"/>
      <c r="B427" s="42"/>
      <c r="C427" s="42"/>
      <c r="D427" s="75"/>
      <c r="E427" s="75"/>
      <c r="F427" s="76"/>
      <c r="G427" s="47"/>
      <c r="H427" s="47"/>
      <c r="I427" s="75"/>
      <c r="J427" s="76"/>
      <c r="K427" s="76"/>
      <c r="L427" s="75"/>
      <c r="M427" s="49"/>
      <c r="N427" s="76"/>
      <c r="O427" s="49"/>
      <c r="P427" s="77"/>
      <c r="Q427" s="53"/>
      <c r="R427" s="54"/>
      <c r="S427" s="55"/>
      <c r="T427" s="56"/>
      <c r="U427" s="56"/>
      <c r="V427" s="42"/>
      <c r="W427" s="57"/>
      <c r="X427" s="58"/>
      <c r="Y427" s="75"/>
      <c r="Z427" s="59"/>
      <c r="AA427" s="61"/>
      <c r="AB427" s="61"/>
      <c r="AC427" s="61"/>
      <c r="AD427" s="62"/>
      <c r="AE427" s="62"/>
      <c r="AF427" s="34"/>
      <c r="AG427" s="34"/>
      <c r="AH427" s="34"/>
      <c r="AI427" s="34"/>
      <c r="AJ427" s="34"/>
      <c r="AK427" s="34"/>
      <c r="AL427" s="34"/>
      <c r="AM427" s="34"/>
      <c r="AN427" s="34"/>
      <c r="AO427" s="34"/>
      <c r="AP427" s="34"/>
      <c r="AQ427" s="34"/>
      <c r="AR427" s="34"/>
      <c r="AS427" s="34"/>
      <c r="AT427" s="34"/>
      <c r="AU427" s="34"/>
      <c r="AV427" s="34"/>
      <c r="AW427" s="34"/>
      <c r="AX427" s="34"/>
      <c r="AY427" s="34"/>
      <c r="AZ427" s="34"/>
      <c r="BA427" s="34"/>
      <c r="BB427" s="34"/>
      <c r="BD427" s="34"/>
      <c r="BE427" s="34"/>
      <c r="BF427" s="34"/>
      <c r="BG427" s="34"/>
      <c r="BH427" s="34"/>
      <c r="BI427" s="34"/>
      <c r="BJ427" s="34"/>
      <c r="BK427" s="34"/>
      <c r="BL427" s="34"/>
      <c r="BM427" s="34"/>
      <c r="BN427" s="34"/>
      <c r="BO427" s="34"/>
      <c r="BP427" s="34"/>
      <c r="BQ427" s="34"/>
      <c r="BR427" s="34"/>
      <c r="BS427" s="34"/>
      <c r="BT427" s="34"/>
      <c r="BU427" s="34"/>
      <c r="BV427" s="34"/>
      <c r="BW427" s="34"/>
      <c r="BX427" s="34"/>
      <c r="BY427" s="34"/>
    </row>
    <row r="428" spans="1:77" x14ac:dyDescent="0.3">
      <c r="A428" s="39"/>
      <c r="B428" s="42"/>
      <c r="C428" s="42"/>
      <c r="D428" s="75"/>
      <c r="E428" s="75"/>
      <c r="F428" s="76"/>
      <c r="G428" s="47"/>
      <c r="H428" s="47"/>
      <c r="I428" s="75"/>
      <c r="J428" s="76"/>
      <c r="K428" s="76"/>
      <c r="L428" s="75"/>
      <c r="M428" s="49"/>
      <c r="N428" s="76"/>
      <c r="O428" s="49"/>
      <c r="P428" s="77"/>
      <c r="Q428" s="53"/>
      <c r="R428" s="54"/>
      <c r="S428" s="55"/>
      <c r="T428" s="56"/>
      <c r="U428" s="56"/>
      <c r="V428" s="42"/>
      <c r="W428" s="57"/>
      <c r="X428" s="58"/>
      <c r="Y428" s="75"/>
      <c r="Z428" s="59"/>
      <c r="AA428" s="61"/>
      <c r="AB428" s="61"/>
      <c r="AC428" s="61"/>
      <c r="AD428" s="62"/>
      <c r="AE428" s="62"/>
      <c r="AF428" s="34"/>
      <c r="AG428" s="34"/>
      <c r="AH428" s="34"/>
      <c r="AI428" s="34"/>
      <c r="AJ428" s="34"/>
      <c r="AK428" s="34"/>
      <c r="AL428" s="34"/>
      <c r="AM428" s="34"/>
      <c r="AN428" s="34"/>
      <c r="AO428" s="34"/>
      <c r="AP428" s="34"/>
      <c r="AQ428" s="34"/>
      <c r="AR428" s="34"/>
      <c r="AS428" s="34"/>
      <c r="AT428" s="34"/>
      <c r="AU428" s="34"/>
      <c r="AV428" s="34"/>
      <c r="AW428" s="34"/>
      <c r="AX428" s="34"/>
      <c r="AY428" s="34"/>
      <c r="AZ428" s="34"/>
      <c r="BA428" s="34"/>
      <c r="BB428" s="34"/>
      <c r="BD428" s="34"/>
      <c r="BE428" s="34"/>
      <c r="BF428" s="34"/>
      <c r="BG428" s="34"/>
      <c r="BH428" s="34"/>
      <c r="BI428" s="34"/>
      <c r="BJ428" s="34"/>
      <c r="BK428" s="34"/>
      <c r="BL428" s="34"/>
      <c r="BM428" s="34"/>
      <c r="BN428" s="34"/>
      <c r="BO428" s="34"/>
      <c r="BP428" s="34"/>
      <c r="BQ428" s="34"/>
      <c r="BR428" s="34"/>
      <c r="BS428" s="34"/>
      <c r="BT428" s="34"/>
      <c r="BU428" s="34"/>
      <c r="BV428" s="34"/>
      <c r="BW428" s="34"/>
      <c r="BX428" s="34"/>
      <c r="BY428" s="34"/>
    </row>
    <row r="429" spans="1:77" x14ac:dyDescent="0.3">
      <c r="A429" s="39"/>
      <c r="B429" s="42"/>
      <c r="C429" s="42"/>
      <c r="D429" s="75"/>
      <c r="E429" s="75"/>
      <c r="F429" s="76"/>
      <c r="G429" s="47"/>
      <c r="H429" s="47"/>
      <c r="I429" s="75"/>
      <c r="J429" s="76"/>
      <c r="K429" s="76"/>
      <c r="L429" s="75"/>
      <c r="M429" s="49"/>
      <c r="N429" s="76"/>
      <c r="O429" s="49"/>
      <c r="P429" s="77"/>
      <c r="Q429" s="53"/>
      <c r="R429" s="54"/>
      <c r="S429" s="55"/>
      <c r="T429" s="56"/>
      <c r="U429" s="56"/>
      <c r="V429" s="42"/>
      <c r="W429" s="57"/>
      <c r="X429" s="58"/>
      <c r="Y429" s="75"/>
      <c r="Z429" s="59"/>
      <c r="AA429" s="61"/>
      <c r="AB429" s="61"/>
      <c r="AC429" s="61"/>
      <c r="AD429" s="62"/>
      <c r="AE429" s="62"/>
      <c r="AF429" s="34"/>
      <c r="AG429" s="34"/>
      <c r="AH429" s="34"/>
      <c r="AI429" s="34"/>
      <c r="AJ429" s="34"/>
      <c r="AK429" s="34"/>
      <c r="AL429" s="34"/>
      <c r="AM429" s="34"/>
      <c r="AN429" s="34"/>
      <c r="AO429" s="34"/>
      <c r="AP429" s="34"/>
      <c r="AQ429" s="34"/>
      <c r="AR429" s="34"/>
      <c r="AS429" s="34"/>
      <c r="AT429" s="34"/>
      <c r="AU429" s="34"/>
      <c r="AV429" s="34"/>
      <c r="AW429" s="34"/>
      <c r="AX429" s="34"/>
      <c r="AY429" s="34"/>
      <c r="AZ429" s="34"/>
      <c r="BA429" s="34"/>
      <c r="BB429" s="34"/>
      <c r="BD429" s="34"/>
      <c r="BE429" s="34"/>
      <c r="BF429" s="34"/>
      <c r="BG429" s="34"/>
      <c r="BH429" s="34"/>
      <c r="BI429" s="34"/>
      <c r="BJ429" s="34"/>
      <c r="BK429" s="34"/>
      <c r="BL429" s="34"/>
      <c r="BM429" s="34"/>
      <c r="BN429" s="34"/>
      <c r="BO429" s="34"/>
      <c r="BP429" s="34"/>
      <c r="BQ429" s="34"/>
      <c r="BR429" s="34"/>
      <c r="BS429" s="34"/>
      <c r="BT429" s="34"/>
      <c r="BU429" s="34"/>
      <c r="BV429" s="34"/>
      <c r="BW429" s="34"/>
      <c r="BX429" s="34"/>
      <c r="BY429" s="34"/>
    </row>
    <row r="430" spans="1:77" x14ac:dyDescent="0.3">
      <c r="A430" s="39"/>
      <c r="B430" s="42"/>
      <c r="C430" s="42"/>
      <c r="D430" s="75"/>
      <c r="E430" s="75"/>
      <c r="F430" s="76"/>
      <c r="G430" s="47"/>
      <c r="H430" s="47"/>
      <c r="I430" s="75"/>
      <c r="J430" s="76"/>
      <c r="K430" s="76"/>
      <c r="L430" s="75"/>
      <c r="M430" s="49"/>
      <c r="N430" s="76"/>
      <c r="O430" s="49"/>
      <c r="P430" s="77"/>
      <c r="Q430" s="53"/>
      <c r="R430" s="54"/>
      <c r="S430" s="55"/>
      <c r="T430" s="56"/>
      <c r="U430" s="56"/>
      <c r="V430" s="42"/>
      <c r="W430" s="57"/>
      <c r="X430" s="58"/>
      <c r="Y430" s="75"/>
      <c r="Z430" s="59"/>
      <c r="AA430" s="61"/>
      <c r="AB430" s="61"/>
      <c r="AC430" s="61"/>
      <c r="AD430" s="62"/>
      <c r="AE430" s="62"/>
      <c r="AF430" s="34"/>
      <c r="AG430" s="34"/>
      <c r="AH430" s="34"/>
      <c r="AI430" s="34"/>
      <c r="AJ430" s="34"/>
      <c r="AK430" s="34"/>
      <c r="AL430" s="34"/>
      <c r="AM430" s="34"/>
      <c r="AN430" s="34"/>
      <c r="AO430" s="34"/>
      <c r="AP430" s="34"/>
      <c r="AQ430" s="34"/>
      <c r="AR430" s="34"/>
      <c r="AS430" s="34"/>
      <c r="AT430" s="34"/>
      <c r="AU430" s="34"/>
      <c r="AV430" s="34"/>
      <c r="AW430" s="34"/>
      <c r="AX430" s="34"/>
      <c r="AY430" s="34"/>
      <c r="AZ430" s="34"/>
      <c r="BA430" s="34"/>
      <c r="BB430" s="34"/>
      <c r="BD430" s="34"/>
      <c r="BE430" s="34"/>
      <c r="BF430" s="34"/>
      <c r="BG430" s="34"/>
      <c r="BH430" s="34"/>
      <c r="BI430" s="34"/>
      <c r="BJ430" s="34"/>
      <c r="BK430" s="34"/>
      <c r="BL430" s="34"/>
      <c r="BM430" s="34"/>
      <c r="BN430" s="34"/>
      <c r="BO430" s="34"/>
      <c r="BP430" s="34"/>
      <c r="BQ430" s="34"/>
      <c r="BR430" s="34"/>
      <c r="BS430" s="34"/>
      <c r="BT430" s="34"/>
      <c r="BU430" s="34"/>
      <c r="BV430" s="34"/>
      <c r="BW430" s="34"/>
      <c r="BX430" s="34"/>
      <c r="BY430" s="34"/>
    </row>
    <row r="431" spans="1:77" x14ac:dyDescent="0.3">
      <c r="A431" s="39"/>
      <c r="B431" s="42"/>
      <c r="C431" s="42"/>
      <c r="D431" s="75"/>
      <c r="E431" s="75"/>
      <c r="F431" s="76"/>
      <c r="G431" s="47"/>
      <c r="H431" s="47"/>
      <c r="I431" s="75"/>
      <c r="J431" s="76"/>
      <c r="K431" s="76"/>
      <c r="L431" s="75"/>
      <c r="M431" s="49"/>
      <c r="N431" s="76"/>
      <c r="O431" s="49"/>
      <c r="P431" s="77"/>
      <c r="Q431" s="53"/>
      <c r="R431" s="54"/>
      <c r="S431" s="55"/>
      <c r="T431" s="56"/>
      <c r="U431" s="56"/>
      <c r="V431" s="42"/>
      <c r="W431" s="57"/>
      <c r="X431" s="58"/>
      <c r="Y431" s="75"/>
      <c r="Z431" s="59"/>
      <c r="AA431" s="61"/>
      <c r="AB431" s="61"/>
      <c r="AC431" s="61"/>
      <c r="AD431" s="62"/>
      <c r="AE431" s="62"/>
      <c r="AF431" s="34"/>
      <c r="AG431" s="34"/>
      <c r="AH431" s="34"/>
      <c r="AI431" s="34"/>
      <c r="AJ431" s="34"/>
      <c r="AK431" s="34"/>
      <c r="AL431" s="34"/>
      <c r="AM431" s="34"/>
      <c r="AN431" s="34"/>
      <c r="AO431" s="34"/>
      <c r="AP431" s="34"/>
      <c r="AQ431" s="34"/>
      <c r="AR431" s="34"/>
      <c r="AS431" s="34"/>
      <c r="AT431" s="34"/>
      <c r="AU431" s="34"/>
      <c r="AV431" s="34"/>
      <c r="AW431" s="34"/>
      <c r="AX431" s="34"/>
      <c r="AY431" s="34"/>
      <c r="AZ431" s="34"/>
      <c r="BA431" s="34"/>
      <c r="BB431" s="34"/>
      <c r="BD431" s="34"/>
      <c r="BE431" s="34"/>
      <c r="BF431" s="34"/>
      <c r="BG431" s="34"/>
      <c r="BH431" s="34"/>
      <c r="BI431" s="34"/>
      <c r="BJ431" s="34"/>
      <c r="BK431" s="34"/>
      <c r="BL431" s="34"/>
      <c r="BM431" s="34"/>
      <c r="BN431" s="34"/>
      <c r="BO431" s="34"/>
      <c r="BP431" s="34"/>
      <c r="BQ431" s="34"/>
      <c r="BR431" s="34"/>
      <c r="BS431" s="34"/>
      <c r="BT431" s="34"/>
      <c r="BU431" s="34"/>
      <c r="BV431" s="34"/>
      <c r="BW431" s="34"/>
      <c r="BX431" s="34"/>
      <c r="BY431" s="34"/>
    </row>
    <row r="432" spans="1:77" x14ac:dyDescent="0.3">
      <c r="A432" s="39"/>
      <c r="B432" s="42"/>
      <c r="C432" s="42"/>
      <c r="D432" s="75"/>
      <c r="E432" s="75"/>
      <c r="F432" s="76"/>
      <c r="G432" s="47"/>
      <c r="H432" s="47"/>
      <c r="I432" s="75"/>
      <c r="J432" s="76"/>
      <c r="K432" s="76"/>
      <c r="L432" s="75"/>
      <c r="M432" s="49"/>
      <c r="N432" s="76"/>
      <c r="O432" s="49"/>
      <c r="P432" s="77"/>
      <c r="Q432" s="53"/>
      <c r="R432" s="54"/>
      <c r="S432" s="55"/>
      <c r="T432" s="56"/>
      <c r="U432" s="56"/>
      <c r="V432" s="42"/>
      <c r="W432" s="57"/>
      <c r="X432" s="58"/>
      <c r="Y432" s="75"/>
      <c r="Z432" s="59"/>
      <c r="AA432" s="61"/>
      <c r="AB432" s="61"/>
      <c r="AC432" s="61"/>
      <c r="AD432" s="62"/>
      <c r="AE432" s="62"/>
      <c r="AF432" s="34"/>
      <c r="AG432" s="34"/>
      <c r="AH432" s="34"/>
      <c r="AI432" s="34"/>
      <c r="AJ432" s="34"/>
      <c r="AK432" s="34"/>
      <c r="AL432" s="34"/>
      <c r="AM432" s="34"/>
      <c r="AN432" s="34"/>
      <c r="AO432" s="34"/>
      <c r="AP432" s="34"/>
      <c r="AQ432" s="34"/>
      <c r="AR432" s="34"/>
      <c r="AS432" s="34"/>
      <c r="AT432" s="34"/>
      <c r="AU432" s="34"/>
      <c r="AV432" s="34"/>
      <c r="AW432" s="34"/>
      <c r="AX432" s="34"/>
      <c r="AY432" s="34"/>
      <c r="AZ432" s="34"/>
      <c r="BA432" s="34"/>
      <c r="BB432" s="34"/>
      <c r="BD432" s="34"/>
      <c r="BE432" s="34"/>
      <c r="BF432" s="34"/>
      <c r="BG432" s="34"/>
      <c r="BH432" s="34"/>
      <c r="BI432" s="34"/>
      <c r="BJ432" s="34"/>
      <c r="BK432" s="34"/>
      <c r="BL432" s="34"/>
      <c r="BM432" s="34"/>
      <c r="BN432" s="34"/>
      <c r="BO432" s="34"/>
      <c r="BP432" s="34"/>
      <c r="BQ432" s="34"/>
      <c r="BR432" s="34"/>
      <c r="BS432" s="34"/>
      <c r="BT432" s="34"/>
      <c r="BU432" s="34"/>
      <c r="BV432" s="34"/>
      <c r="BW432" s="34"/>
      <c r="BX432" s="34"/>
      <c r="BY432" s="34"/>
    </row>
    <row r="433" spans="1:77" x14ac:dyDescent="0.3">
      <c r="A433" s="39"/>
      <c r="B433" s="42"/>
      <c r="C433" s="42"/>
      <c r="D433" s="75"/>
      <c r="E433" s="75"/>
      <c r="F433" s="76"/>
      <c r="G433" s="47"/>
      <c r="H433" s="47"/>
      <c r="I433" s="75"/>
      <c r="J433" s="76"/>
      <c r="K433" s="76"/>
      <c r="L433" s="75"/>
      <c r="M433" s="49"/>
      <c r="N433" s="76"/>
      <c r="O433" s="49"/>
      <c r="P433" s="77"/>
      <c r="Q433" s="53"/>
      <c r="R433" s="54"/>
      <c r="S433" s="55"/>
      <c r="T433" s="56"/>
      <c r="U433" s="56"/>
      <c r="V433" s="42"/>
      <c r="W433" s="57"/>
      <c r="X433" s="58"/>
      <c r="Y433" s="75"/>
      <c r="Z433" s="59"/>
      <c r="AA433" s="61"/>
      <c r="AB433" s="61"/>
      <c r="AC433" s="61"/>
      <c r="AD433" s="62"/>
      <c r="AE433" s="62"/>
      <c r="AF433" s="34"/>
      <c r="AG433" s="34"/>
      <c r="AH433" s="34"/>
      <c r="AI433" s="34"/>
      <c r="AJ433" s="34"/>
      <c r="AK433" s="34"/>
      <c r="AL433" s="34"/>
      <c r="AM433" s="34"/>
      <c r="AN433" s="34"/>
      <c r="AO433" s="34"/>
      <c r="AP433" s="34"/>
      <c r="AQ433" s="34"/>
      <c r="AR433" s="34"/>
      <c r="AS433" s="34"/>
      <c r="AT433" s="34"/>
      <c r="AU433" s="34"/>
      <c r="AV433" s="34"/>
      <c r="AW433" s="34"/>
      <c r="AX433" s="34"/>
      <c r="AY433" s="34"/>
      <c r="AZ433" s="34"/>
      <c r="BA433" s="34"/>
      <c r="BB433" s="34"/>
      <c r="BD433" s="34"/>
      <c r="BE433" s="34"/>
      <c r="BF433" s="34"/>
      <c r="BG433" s="34"/>
      <c r="BH433" s="34"/>
      <c r="BI433" s="34"/>
      <c r="BJ433" s="34"/>
      <c r="BK433" s="34"/>
      <c r="BL433" s="34"/>
      <c r="BM433" s="34"/>
      <c r="BN433" s="34"/>
      <c r="BO433" s="34"/>
      <c r="BP433" s="34"/>
      <c r="BQ433" s="34"/>
      <c r="BR433" s="34"/>
      <c r="BS433" s="34"/>
      <c r="BT433" s="34"/>
      <c r="BU433" s="34"/>
      <c r="BV433" s="34"/>
      <c r="BW433" s="34"/>
      <c r="BX433" s="34"/>
      <c r="BY433" s="34"/>
    </row>
    <row r="434" spans="1:77" x14ac:dyDescent="0.3">
      <c r="A434" s="39"/>
      <c r="B434" s="42"/>
      <c r="C434" s="42"/>
      <c r="D434" s="75"/>
      <c r="E434" s="75"/>
      <c r="F434" s="76"/>
      <c r="G434" s="47"/>
      <c r="H434" s="47"/>
      <c r="I434" s="75"/>
      <c r="J434" s="76"/>
      <c r="K434" s="76"/>
      <c r="L434" s="75"/>
      <c r="M434" s="49"/>
      <c r="N434" s="76"/>
      <c r="O434" s="49"/>
      <c r="P434" s="77"/>
      <c r="Q434" s="53"/>
      <c r="R434" s="54"/>
      <c r="S434" s="55"/>
      <c r="T434" s="56"/>
      <c r="U434" s="56"/>
      <c r="V434" s="42"/>
      <c r="W434" s="57"/>
      <c r="X434" s="58"/>
      <c r="Y434" s="75"/>
      <c r="Z434" s="59"/>
      <c r="AA434" s="61"/>
      <c r="AB434" s="61"/>
      <c r="AC434" s="61"/>
      <c r="AD434" s="62"/>
      <c r="AE434" s="62"/>
      <c r="AF434" s="34"/>
      <c r="AG434" s="34"/>
      <c r="AH434" s="34"/>
      <c r="AI434" s="34"/>
      <c r="AJ434" s="34"/>
      <c r="AK434" s="34"/>
      <c r="AL434" s="34"/>
      <c r="AM434" s="34"/>
      <c r="AN434" s="34"/>
      <c r="AO434" s="34"/>
      <c r="AP434" s="34"/>
      <c r="AQ434" s="34"/>
      <c r="AR434" s="34"/>
      <c r="AS434" s="34"/>
      <c r="AT434" s="34"/>
      <c r="AU434" s="34"/>
      <c r="AV434" s="34"/>
      <c r="AW434" s="34"/>
      <c r="AX434" s="34"/>
      <c r="AY434" s="34"/>
      <c r="AZ434" s="34"/>
      <c r="BA434" s="34"/>
      <c r="BB434" s="34"/>
      <c r="BD434" s="34"/>
      <c r="BE434" s="34"/>
      <c r="BF434" s="34"/>
      <c r="BG434" s="34"/>
      <c r="BH434" s="34"/>
      <c r="BI434" s="34"/>
      <c r="BJ434" s="34"/>
      <c r="BK434" s="34"/>
      <c r="BL434" s="34"/>
      <c r="BM434" s="34"/>
      <c r="BN434" s="34"/>
      <c r="BO434" s="34"/>
      <c r="BP434" s="34"/>
      <c r="BQ434" s="34"/>
      <c r="BR434" s="34"/>
      <c r="BS434" s="34"/>
      <c r="BT434" s="34"/>
      <c r="BU434" s="34"/>
      <c r="BV434" s="34"/>
      <c r="BW434" s="34"/>
      <c r="BX434" s="34"/>
      <c r="BY434" s="34"/>
    </row>
    <row r="435" spans="1:77" x14ac:dyDescent="0.3">
      <c r="A435" s="39"/>
      <c r="B435" s="42"/>
      <c r="C435" s="42"/>
      <c r="D435" s="75"/>
      <c r="E435" s="75"/>
      <c r="F435" s="76"/>
      <c r="G435" s="47"/>
      <c r="H435" s="47"/>
      <c r="I435" s="75"/>
      <c r="J435" s="76"/>
      <c r="K435" s="76"/>
      <c r="L435" s="75"/>
      <c r="M435" s="49"/>
      <c r="N435" s="76"/>
      <c r="O435" s="49"/>
      <c r="P435" s="77"/>
      <c r="Q435" s="53"/>
      <c r="R435" s="54"/>
      <c r="S435" s="55"/>
      <c r="T435" s="56"/>
      <c r="U435" s="56"/>
      <c r="V435" s="42"/>
      <c r="W435" s="57"/>
      <c r="X435" s="58"/>
      <c r="Y435" s="75"/>
      <c r="Z435" s="59"/>
      <c r="AA435" s="61"/>
      <c r="AB435" s="61"/>
      <c r="AC435" s="61"/>
      <c r="AD435" s="62"/>
      <c r="AE435" s="62"/>
      <c r="AF435" s="34"/>
      <c r="AG435" s="34"/>
      <c r="AH435" s="34"/>
      <c r="AI435" s="34"/>
      <c r="AJ435" s="34"/>
      <c r="AK435" s="34"/>
      <c r="AL435" s="34"/>
      <c r="AM435" s="34"/>
      <c r="AN435" s="34"/>
      <c r="AO435" s="34"/>
      <c r="AP435" s="34"/>
      <c r="AQ435" s="34"/>
      <c r="AR435" s="34"/>
      <c r="AS435" s="34"/>
      <c r="AT435" s="34"/>
      <c r="AU435" s="34"/>
      <c r="AV435" s="34"/>
      <c r="AW435" s="34"/>
      <c r="AX435" s="34"/>
      <c r="AY435" s="34"/>
      <c r="AZ435" s="34"/>
      <c r="BA435" s="34"/>
      <c r="BB435" s="34"/>
      <c r="BD435" s="34"/>
      <c r="BE435" s="34"/>
      <c r="BF435" s="34"/>
      <c r="BG435" s="34"/>
      <c r="BH435" s="34"/>
      <c r="BI435" s="34"/>
      <c r="BJ435" s="34"/>
      <c r="BK435" s="34"/>
      <c r="BL435" s="34"/>
      <c r="BM435" s="34"/>
      <c r="BN435" s="34"/>
      <c r="BO435" s="34"/>
      <c r="BP435" s="34"/>
      <c r="BQ435" s="34"/>
      <c r="BR435" s="34"/>
      <c r="BS435" s="34"/>
      <c r="BT435" s="34"/>
      <c r="BU435" s="34"/>
      <c r="BV435" s="34"/>
      <c r="BW435" s="34"/>
      <c r="BX435" s="34"/>
      <c r="BY435" s="34"/>
    </row>
    <row r="436" spans="1:77" x14ac:dyDescent="0.3">
      <c r="A436" s="39"/>
      <c r="B436" s="42"/>
      <c r="C436" s="42"/>
      <c r="D436" s="75"/>
      <c r="E436" s="75"/>
      <c r="F436" s="76"/>
      <c r="G436" s="47"/>
      <c r="H436" s="47"/>
      <c r="I436" s="75"/>
      <c r="J436" s="76"/>
      <c r="K436" s="76"/>
      <c r="L436" s="75"/>
      <c r="M436" s="49"/>
      <c r="N436" s="76"/>
      <c r="O436" s="49"/>
      <c r="P436" s="77"/>
      <c r="Q436" s="53"/>
      <c r="R436" s="54"/>
      <c r="S436" s="55"/>
      <c r="T436" s="56"/>
      <c r="U436" s="56"/>
      <c r="V436" s="42"/>
      <c r="W436" s="57"/>
      <c r="X436" s="58"/>
      <c r="Y436" s="75"/>
      <c r="Z436" s="59"/>
      <c r="AA436" s="61"/>
      <c r="AB436" s="61"/>
      <c r="AC436" s="61"/>
      <c r="AD436" s="62"/>
      <c r="AE436" s="62"/>
      <c r="AF436" s="34"/>
      <c r="AG436" s="34"/>
      <c r="AH436" s="34"/>
      <c r="AI436" s="34"/>
      <c r="AJ436" s="34"/>
      <c r="AK436" s="34"/>
      <c r="AL436" s="34"/>
      <c r="AM436" s="34"/>
      <c r="AN436" s="34"/>
      <c r="AO436" s="34"/>
      <c r="AP436" s="34"/>
      <c r="AQ436" s="34"/>
      <c r="AR436" s="34"/>
      <c r="AS436" s="34"/>
      <c r="AT436" s="34"/>
      <c r="AU436" s="34"/>
      <c r="AV436" s="34"/>
      <c r="AW436" s="34"/>
      <c r="AX436" s="34"/>
      <c r="AY436" s="34"/>
      <c r="AZ436" s="34"/>
      <c r="BA436" s="34"/>
      <c r="BB436" s="34"/>
      <c r="BD436" s="34"/>
      <c r="BE436" s="34"/>
      <c r="BF436" s="34"/>
      <c r="BG436" s="34"/>
      <c r="BH436" s="34"/>
      <c r="BI436" s="34"/>
      <c r="BJ436" s="34"/>
      <c r="BK436" s="34"/>
      <c r="BL436" s="34"/>
      <c r="BM436" s="34"/>
      <c r="BN436" s="34"/>
      <c r="BO436" s="34"/>
      <c r="BP436" s="34"/>
      <c r="BQ436" s="34"/>
      <c r="BR436" s="34"/>
      <c r="BS436" s="34"/>
      <c r="BT436" s="34"/>
      <c r="BU436" s="34"/>
      <c r="BV436" s="34"/>
      <c r="BW436" s="34"/>
      <c r="BX436" s="34"/>
      <c r="BY436" s="34"/>
    </row>
    <row r="437" spans="1:77" x14ac:dyDescent="0.3">
      <c r="A437" s="39"/>
      <c r="B437" s="42"/>
      <c r="C437" s="42"/>
      <c r="D437" s="75"/>
      <c r="E437" s="75"/>
      <c r="F437" s="76"/>
      <c r="G437" s="47"/>
      <c r="H437" s="47"/>
      <c r="I437" s="75"/>
      <c r="J437" s="76"/>
      <c r="K437" s="76"/>
      <c r="L437" s="75"/>
      <c r="M437" s="49"/>
      <c r="N437" s="76"/>
      <c r="O437" s="49"/>
      <c r="P437" s="77"/>
      <c r="Q437" s="53"/>
      <c r="R437" s="54"/>
      <c r="S437" s="55"/>
      <c r="T437" s="56"/>
      <c r="U437" s="56"/>
      <c r="V437" s="42"/>
      <c r="W437" s="57"/>
      <c r="X437" s="58"/>
      <c r="Y437" s="75"/>
      <c r="Z437" s="59"/>
      <c r="AA437" s="61"/>
      <c r="AB437" s="61"/>
      <c r="AC437" s="61"/>
      <c r="AD437" s="62"/>
      <c r="AE437" s="62"/>
      <c r="AF437" s="34"/>
      <c r="AG437" s="34"/>
      <c r="AH437" s="34"/>
      <c r="AI437" s="34"/>
      <c r="AJ437" s="34"/>
      <c r="AK437" s="34"/>
      <c r="AL437" s="34"/>
      <c r="AM437" s="34"/>
      <c r="AN437" s="34"/>
      <c r="AO437" s="34"/>
      <c r="AP437" s="34"/>
      <c r="AQ437" s="34"/>
      <c r="AR437" s="34"/>
      <c r="AS437" s="34"/>
      <c r="AT437" s="34"/>
      <c r="AU437" s="34"/>
      <c r="AV437" s="34"/>
      <c r="AW437" s="34"/>
      <c r="AX437" s="34"/>
      <c r="AY437" s="34"/>
      <c r="AZ437" s="34"/>
      <c r="BA437" s="34"/>
      <c r="BB437" s="34"/>
      <c r="BD437" s="34"/>
      <c r="BE437" s="34"/>
      <c r="BF437" s="34"/>
      <c r="BG437" s="34"/>
      <c r="BH437" s="34"/>
      <c r="BI437" s="34"/>
      <c r="BJ437" s="34"/>
      <c r="BK437" s="34"/>
      <c r="BL437" s="34"/>
      <c r="BM437" s="34"/>
      <c r="BN437" s="34"/>
      <c r="BO437" s="34"/>
      <c r="BP437" s="34"/>
      <c r="BQ437" s="34"/>
      <c r="BR437" s="34"/>
      <c r="BS437" s="34"/>
      <c r="BT437" s="34"/>
      <c r="BU437" s="34"/>
      <c r="BV437" s="34"/>
      <c r="BW437" s="34"/>
      <c r="BX437" s="34"/>
      <c r="BY437" s="34"/>
    </row>
    <row r="438" spans="1:77" x14ac:dyDescent="0.3">
      <c r="A438" s="39"/>
      <c r="B438" s="42"/>
      <c r="C438" s="42"/>
      <c r="D438" s="75"/>
      <c r="E438" s="75"/>
      <c r="F438" s="76"/>
      <c r="G438" s="47"/>
      <c r="H438" s="47"/>
      <c r="I438" s="75"/>
      <c r="J438" s="76"/>
      <c r="K438" s="76"/>
      <c r="L438" s="75"/>
      <c r="M438" s="49"/>
      <c r="N438" s="76"/>
      <c r="O438" s="49"/>
      <c r="P438" s="77"/>
      <c r="Q438" s="53"/>
      <c r="R438" s="54"/>
      <c r="S438" s="55"/>
      <c r="T438" s="56"/>
      <c r="U438" s="56"/>
      <c r="V438" s="42"/>
      <c r="W438" s="57"/>
      <c r="X438" s="58"/>
      <c r="Y438" s="75"/>
      <c r="Z438" s="59"/>
      <c r="AA438" s="61"/>
      <c r="AB438" s="61"/>
      <c r="AC438" s="61"/>
      <c r="AD438" s="62"/>
      <c r="AE438" s="62"/>
      <c r="AF438" s="34"/>
      <c r="AG438" s="34"/>
      <c r="AH438" s="34"/>
      <c r="AI438" s="34"/>
      <c r="AJ438" s="34"/>
      <c r="AK438" s="34"/>
      <c r="AL438" s="34"/>
      <c r="AM438" s="34"/>
      <c r="AN438" s="34"/>
      <c r="AO438" s="34"/>
      <c r="AP438" s="34"/>
      <c r="AQ438" s="34"/>
      <c r="AR438" s="34"/>
      <c r="AS438" s="34"/>
      <c r="AT438" s="34"/>
      <c r="AU438" s="34"/>
      <c r="AV438" s="34"/>
      <c r="AW438" s="34"/>
      <c r="AX438" s="34"/>
      <c r="AY438" s="34"/>
      <c r="AZ438" s="34"/>
      <c r="BA438" s="34"/>
      <c r="BB438" s="34"/>
      <c r="BD438" s="34"/>
      <c r="BE438" s="34"/>
      <c r="BF438" s="34"/>
      <c r="BG438" s="34"/>
      <c r="BH438" s="34"/>
      <c r="BI438" s="34"/>
      <c r="BJ438" s="34"/>
      <c r="BK438" s="34"/>
      <c r="BL438" s="34"/>
      <c r="BM438" s="34"/>
      <c r="BN438" s="34"/>
      <c r="BO438" s="34"/>
      <c r="BP438" s="34"/>
      <c r="BQ438" s="34"/>
      <c r="BR438" s="34"/>
      <c r="BS438" s="34"/>
      <c r="BT438" s="34"/>
      <c r="BU438" s="34"/>
      <c r="BV438" s="34"/>
      <c r="BW438" s="34"/>
      <c r="BX438" s="34"/>
      <c r="BY438" s="34"/>
    </row>
    <row r="439" spans="1:77" x14ac:dyDescent="0.3">
      <c r="A439" s="39"/>
      <c r="B439" s="42"/>
      <c r="C439" s="42"/>
      <c r="D439" s="75"/>
      <c r="E439" s="75"/>
      <c r="F439" s="76"/>
      <c r="G439" s="47"/>
      <c r="H439" s="47"/>
      <c r="I439" s="75"/>
      <c r="J439" s="76"/>
      <c r="K439" s="76"/>
      <c r="L439" s="75"/>
      <c r="M439" s="49"/>
      <c r="N439" s="76"/>
      <c r="O439" s="49"/>
      <c r="P439" s="77"/>
      <c r="Q439" s="53"/>
      <c r="R439" s="54"/>
      <c r="S439" s="55"/>
      <c r="T439" s="56"/>
      <c r="U439" s="56"/>
      <c r="V439" s="42"/>
      <c r="W439" s="57"/>
      <c r="X439" s="58"/>
      <c r="Y439" s="75"/>
      <c r="Z439" s="59"/>
      <c r="AA439" s="61"/>
      <c r="AB439" s="61"/>
      <c r="AC439" s="61"/>
      <c r="AD439" s="62"/>
      <c r="AE439" s="62"/>
      <c r="AF439" s="34"/>
      <c r="AG439" s="34"/>
      <c r="AH439" s="34"/>
      <c r="AI439" s="34"/>
      <c r="AJ439" s="34"/>
      <c r="AK439" s="34"/>
      <c r="AL439" s="34"/>
      <c r="AM439" s="34"/>
      <c r="AN439" s="34"/>
      <c r="AO439" s="34"/>
      <c r="AP439" s="34"/>
      <c r="AQ439" s="34"/>
      <c r="AR439" s="34"/>
      <c r="AS439" s="34"/>
      <c r="AT439" s="34"/>
      <c r="AU439" s="34"/>
      <c r="AV439" s="34"/>
      <c r="AW439" s="34"/>
      <c r="AX439" s="34"/>
      <c r="AY439" s="34"/>
      <c r="AZ439" s="34"/>
      <c r="BA439" s="34"/>
      <c r="BB439" s="34"/>
      <c r="BD439" s="34"/>
      <c r="BE439" s="34"/>
      <c r="BF439" s="34"/>
      <c r="BG439" s="34"/>
      <c r="BH439" s="34"/>
      <c r="BI439" s="34"/>
      <c r="BJ439" s="34"/>
      <c r="BK439" s="34"/>
      <c r="BL439" s="34"/>
      <c r="BM439" s="34"/>
      <c r="BN439" s="34"/>
      <c r="BO439" s="34"/>
      <c r="BP439" s="34"/>
      <c r="BQ439" s="34"/>
      <c r="BR439" s="34"/>
      <c r="BS439" s="34"/>
      <c r="BT439" s="34"/>
      <c r="BU439" s="34"/>
      <c r="BV439" s="34"/>
      <c r="BW439" s="34"/>
      <c r="BX439" s="34"/>
      <c r="BY439" s="34"/>
    </row>
    <row r="440" spans="1:77" x14ac:dyDescent="0.3">
      <c r="A440" s="39"/>
      <c r="B440" s="42"/>
      <c r="C440" s="42"/>
      <c r="D440" s="75"/>
      <c r="E440" s="75"/>
      <c r="F440" s="76"/>
      <c r="G440" s="47"/>
      <c r="H440" s="47"/>
      <c r="I440" s="75"/>
      <c r="J440" s="76"/>
      <c r="K440" s="76"/>
      <c r="L440" s="75"/>
      <c r="M440" s="49"/>
      <c r="N440" s="76"/>
      <c r="O440" s="49"/>
      <c r="P440" s="77"/>
      <c r="Q440" s="53"/>
      <c r="R440" s="54"/>
      <c r="S440" s="55"/>
      <c r="T440" s="56"/>
      <c r="U440" s="56"/>
      <c r="V440" s="42"/>
      <c r="W440" s="57"/>
      <c r="X440" s="58"/>
      <c r="Y440" s="75"/>
      <c r="Z440" s="59"/>
      <c r="AA440" s="61"/>
      <c r="AB440" s="61"/>
      <c r="AC440" s="61"/>
      <c r="AD440" s="62"/>
      <c r="AE440" s="62"/>
      <c r="AF440" s="34"/>
      <c r="AG440" s="34"/>
      <c r="AH440" s="34"/>
      <c r="AI440" s="34"/>
      <c r="AJ440" s="34"/>
      <c r="AK440" s="34"/>
      <c r="AL440" s="34"/>
      <c r="AM440" s="34"/>
      <c r="AN440" s="34"/>
      <c r="AO440" s="34"/>
      <c r="AP440" s="34"/>
      <c r="AQ440" s="34"/>
      <c r="AR440" s="34"/>
      <c r="AS440" s="34"/>
      <c r="AT440" s="34"/>
      <c r="AU440" s="34"/>
      <c r="AV440" s="34"/>
      <c r="AW440" s="34"/>
      <c r="AX440" s="34"/>
      <c r="AY440" s="34"/>
      <c r="AZ440" s="34"/>
      <c r="BA440" s="34"/>
      <c r="BB440" s="34"/>
      <c r="BD440" s="34"/>
      <c r="BE440" s="34"/>
      <c r="BF440" s="34"/>
      <c r="BG440" s="34"/>
      <c r="BH440" s="34"/>
      <c r="BI440" s="34"/>
      <c r="BJ440" s="34"/>
      <c r="BK440" s="34"/>
      <c r="BL440" s="34"/>
      <c r="BM440" s="34"/>
      <c r="BN440" s="34"/>
      <c r="BO440" s="34"/>
      <c r="BP440" s="34"/>
      <c r="BQ440" s="34"/>
      <c r="BR440" s="34"/>
      <c r="BS440" s="34"/>
      <c r="BT440" s="34"/>
      <c r="BU440" s="34"/>
      <c r="BV440" s="34"/>
      <c r="BW440" s="34"/>
      <c r="BX440" s="34"/>
      <c r="BY440" s="34"/>
    </row>
    <row r="441" spans="1:77" x14ac:dyDescent="0.3">
      <c r="A441" s="39"/>
      <c r="B441" s="42"/>
      <c r="C441" s="42"/>
      <c r="D441" s="75"/>
      <c r="E441" s="75"/>
      <c r="F441" s="76"/>
      <c r="G441" s="47"/>
      <c r="H441" s="47"/>
      <c r="I441" s="75"/>
      <c r="J441" s="76"/>
      <c r="K441" s="76"/>
      <c r="L441" s="75"/>
      <c r="M441" s="49"/>
      <c r="N441" s="76"/>
      <c r="O441" s="49"/>
      <c r="P441" s="77"/>
      <c r="Q441" s="53"/>
      <c r="R441" s="54"/>
      <c r="S441" s="55"/>
      <c r="T441" s="56"/>
      <c r="U441" s="56"/>
      <c r="V441" s="42"/>
      <c r="W441" s="57"/>
      <c r="X441" s="58"/>
      <c r="Y441" s="75"/>
      <c r="Z441" s="59"/>
      <c r="AA441" s="61"/>
      <c r="AB441" s="61"/>
      <c r="AC441" s="61"/>
      <c r="AD441" s="62"/>
      <c r="AE441" s="62"/>
      <c r="AF441" s="34"/>
      <c r="AG441" s="34"/>
      <c r="AH441" s="34"/>
      <c r="AI441" s="34"/>
      <c r="AJ441" s="34"/>
      <c r="AK441" s="34"/>
      <c r="AL441" s="34"/>
      <c r="AM441" s="34"/>
      <c r="AN441" s="34"/>
      <c r="AO441" s="34"/>
      <c r="AP441" s="34"/>
      <c r="AQ441" s="34"/>
      <c r="AR441" s="34"/>
      <c r="AS441" s="34"/>
      <c r="AT441" s="34"/>
      <c r="AU441" s="34"/>
      <c r="AV441" s="34"/>
      <c r="AW441" s="34"/>
      <c r="AX441" s="34"/>
      <c r="AY441" s="34"/>
      <c r="AZ441" s="34"/>
      <c r="BA441" s="34"/>
      <c r="BB441" s="34"/>
      <c r="BD441" s="34"/>
      <c r="BE441" s="34"/>
      <c r="BF441" s="34"/>
      <c r="BG441" s="34"/>
      <c r="BH441" s="34"/>
      <c r="BI441" s="34"/>
      <c r="BJ441" s="34"/>
      <c r="BK441" s="34"/>
      <c r="BL441" s="34"/>
      <c r="BM441" s="34"/>
      <c r="BN441" s="34"/>
      <c r="BO441" s="34"/>
      <c r="BP441" s="34"/>
      <c r="BQ441" s="34"/>
      <c r="BR441" s="34"/>
      <c r="BS441" s="34"/>
      <c r="BT441" s="34"/>
      <c r="BU441" s="34"/>
      <c r="BV441" s="34"/>
      <c r="BW441" s="34"/>
      <c r="BX441" s="34"/>
      <c r="BY441" s="34"/>
    </row>
    <row r="442" spans="1:77" x14ac:dyDescent="0.3">
      <c r="A442" s="39"/>
      <c r="B442" s="42"/>
      <c r="C442" s="42"/>
      <c r="D442" s="75"/>
      <c r="E442" s="75"/>
      <c r="F442" s="76"/>
      <c r="G442" s="47"/>
      <c r="H442" s="47"/>
      <c r="I442" s="75"/>
      <c r="J442" s="76"/>
      <c r="K442" s="76"/>
      <c r="L442" s="75"/>
      <c r="M442" s="49"/>
      <c r="N442" s="76"/>
      <c r="O442" s="49"/>
      <c r="P442" s="77"/>
      <c r="Q442" s="53"/>
      <c r="R442" s="54"/>
      <c r="S442" s="55"/>
      <c r="T442" s="56"/>
      <c r="U442" s="56"/>
      <c r="V442" s="42"/>
      <c r="W442" s="57"/>
      <c r="X442" s="58"/>
      <c r="Y442" s="75"/>
      <c r="Z442" s="59"/>
      <c r="AA442" s="61"/>
      <c r="AB442" s="61"/>
      <c r="AC442" s="61"/>
      <c r="AD442" s="62"/>
      <c r="AE442" s="62"/>
      <c r="AF442" s="34"/>
      <c r="AG442" s="34"/>
      <c r="AH442" s="34"/>
      <c r="AI442" s="34"/>
      <c r="AJ442" s="34"/>
      <c r="AK442" s="34"/>
      <c r="AL442" s="34"/>
      <c r="AM442" s="34"/>
      <c r="AN442" s="34"/>
      <c r="AO442" s="34"/>
      <c r="AP442" s="34"/>
      <c r="AQ442" s="34"/>
      <c r="AR442" s="34"/>
      <c r="AS442" s="34"/>
      <c r="AT442" s="34"/>
      <c r="AU442" s="34"/>
      <c r="AV442" s="34"/>
      <c r="AW442" s="34"/>
      <c r="AX442" s="34"/>
      <c r="AY442" s="34"/>
      <c r="AZ442" s="34"/>
      <c r="BA442" s="34"/>
      <c r="BB442" s="34"/>
      <c r="BD442" s="34"/>
      <c r="BE442" s="34"/>
      <c r="BF442" s="34"/>
      <c r="BG442" s="34"/>
      <c r="BH442" s="34"/>
      <c r="BI442" s="34"/>
      <c r="BJ442" s="34"/>
      <c r="BK442" s="34"/>
      <c r="BL442" s="34"/>
      <c r="BM442" s="34"/>
      <c r="BN442" s="34"/>
      <c r="BO442" s="34"/>
      <c r="BP442" s="34"/>
      <c r="BQ442" s="34"/>
      <c r="BR442" s="34"/>
      <c r="BS442" s="34"/>
      <c r="BT442" s="34"/>
      <c r="BU442" s="34"/>
      <c r="BV442" s="34"/>
      <c r="BW442" s="34"/>
      <c r="BX442" s="34"/>
      <c r="BY442" s="34"/>
    </row>
    <row r="443" spans="1:77" x14ac:dyDescent="0.3">
      <c r="A443" s="39"/>
      <c r="B443" s="42"/>
      <c r="C443" s="42"/>
      <c r="D443" s="75"/>
      <c r="E443" s="75"/>
      <c r="F443" s="76"/>
      <c r="G443" s="47"/>
      <c r="H443" s="47"/>
      <c r="I443" s="75"/>
      <c r="J443" s="76"/>
      <c r="K443" s="76"/>
      <c r="L443" s="75"/>
      <c r="M443" s="49"/>
      <c r="N443" s="76"/>
      <c r="O443" s="49"/>
      <c r="P443" s="77"/>
      <c r="Q443" s="53"/>
      <c r="R443" s="54"/>
      <c r="S443" s="55"/>
      <c r="T443" s="56"/>
      <c r="U443" s="56"/>
      <c r="V443" s="42"/>
      <c r="W443" s="57"/>
      <c r="X443" s="58"/>
      <c r="Y443" s="75"/>
      <c r="Z443" s="59"/>
      <c r="AA443" s="61"/>
      <c r="AB443" s="61"/>
      <c r="AC443" s="61"/>
      <c r="AD443" s="62"/>
      <c r="AE443" s="62"/>
      <c r="AF443" s="34"/>
      <c r="AG443" s="34"/>
      <c r="AH443" s="34"/>
      <c r="AI443" s="34"/>
      <c r="AJ443" s="34"/>
      <c r="AK443" s="34"/>
      <c r="AL443" s="34"/>
      <c r="AM443" s="34"/>
      <c r="AN443" s="34"/>
      <c r="AO443" s="34"/>
      <c r="AP443" s="34"/>
      <c r="AQ443" s="34"/>
      <c r="AR443" s="34"/>
      <c r="AS443" s="34"/>
      <c r="AT443" s="34"/>
      <c r="AU443" s="34"/>
      <c r="AV443" s="34"/>
      <c r="AW443" s="34"/>
      <c r="AX443" s="34"/>
      <c r="AY443" s="34"/>
      <c r="AZ443" s="34"/>
      <c r="BA443" s="34"/>
      <c r="BB443" s="34"/>
      <c r="BD443" s="34"/>
      <c r="BE443" s="34"/>
      <c r="BF443" s="34"/>
      <c r="BG443" s="34"/>
      <c r="BH443" s="34"/>
      <c r="BI443" s="34"/>
      <c r="BJ443" s="34"/>
      <c r="BK443" s="34"/>
      <c r="BL443" s="34"/>
      <c r="BM443" s="34"/>
      <c r="BN443" s="34"/>
      <c r="BO443" s="34"/>
      <c r="BP443" s="34"/>
      <c r="BQ443" s="34"/>
      <c r="BR443" s="34"/>
      <c r="BS443" s="34"/>
      <c r="BT443" s="34"/>
      <c r="BU443" s="34"/>
      <c r="BV443" s="34"/>
      <c r="BW443" s="34"/>
      <c r="BX443" s="34"/>
      <c r="BY443" s="34"/>
    </row>
    <row r="444" spans="1:77" x14ac:dyDescent="0.3">
      <c r="A444" s="39"/>
      <c r="B444" s="42"/>
      <c r="C444" s="42"/>
      <c r="D444" s="75"/>
      <c r="E444" s="75"/>
      <c r="F444" s="76"/>
      <c r="G444" s="47"/>
      <c r="H444" s="47"/>
      <c r="I444" s="75"/>
      <c r="J444" s="76"/>
      <c r="K444" s="76"/>
      <c r="L444" s="75"/>
      <c r="M444" s="49"/>
      <c r="N444" s="76"/>
      <c r="O444" s="49"/>
      <c r="P444" s="77"/>
      <c r="Q444" s="53"/>
      <c r="R444" s="54"/>
      <c r="S444" s="55"/>
      <c r="T444" s="56"/>
      <c r="U444" s="56"/>
      <c r="V444" s="42"/>
      <c r="W444" s="57"/>
      <c r="X444" s="58"/>
      <c r="Y444" s="75"/>
      <c r="Z444" s="59"/>
      <c r="AA444" s="61"/>
      <c r="AB444" s="61"/>
      <c r="AC444" s="61"/>
      <c r="AD444" s="62"/>
      <c r="AE444" s="62"/>
      <c r="AF444" s="34"/>
      <c r="AG444" s="34"/>
      <c r="AH444" s="34"/>
      <c r="AI444" s="34"/>
      <c r="AJ444" s="34"/>
      <c r="AK444" s="34"/>
      <c r="AL444" s="34"/>
      <c r="AM444" s="34"/>
      <c r="AN444" s="34"/>
      <c r="AO444" s="34"/>
      <c r="AP444" s="34"/>
      <c r="AQ444" s="34"/>
      <c r="AR444" s="34"/>
      <c r="AS444" s="34"/>
      <c r="AT444" s="34"/>
      <c r="AU444" s="34"/>
      <c r="AV444" s="34"/>
      <c r="AW444" s="34"/>
      <c r="AX444" s="34"/>
      <c r="AY444" s="34"/>
      <c r="AZ444" s="34"/>
      <c r="BA444" s="34"/>
      <c r="BB444" s="34"/>
      <c r="BD444" s="34"/>
      <c r="BE444" s="34"/>
      <c r="BF444" s="34"/>
      <c r="BG444" s="34"/>
      <c r="BH444" s="34"/>
      <c r="BI444" s="34"/>
      <c r="BJ444" s="34"/>
      <c r="BK444" s="34"/>
      <c r="BL444" s="34"/>
      <c r="BM444" s="34"/>
      <c r="BN444" s="34"/>
      <c r="BO444" s="34"/>
      <c r="BP444" s="34"/>
      <c r="BQ444" s="34"/>
      <c r="BR444" s="34"/>
      <c r="BS444" s="34"/>
      <c r="BT444" s="34"/>
      <c r="BU444" s="34"/>
      <c r="BV444" s="34"/>
      <c r="BW444" s="34"/>
      <c r="BX444" s="34"/>
      <c r="BY444" s="34"/>
    </row>
    <row r="445" spans="1:77" x14ac:dyDescent="0.3">
      <c r="A445" s="39"/>
      <c r="B445" s="42"/>
      <c r="C445" s="42"/>
      <c r="D445" s="75"/>
      <c r="E445" s="75"/>
      <c r="F445" s="76"/>
      <c r="G445" s="47"/>
      <c r="H445" s="47"/>
      <c r="I445" s="75"/>
      <c r="J445" s="76"/>
      <c r="K445" s="76"/>
      <c r="L445" s="75"/>
      <c r="M445" s="49"/>
      <c r="N445" s="76"/>
      <c r="O445" s="49"/>
      <c r="P445" s="77"/>
      <c r="Q445" s="53"/>
      <c r="R445" s="54"/>
      <c r="S445" s="55"/>
      <c r="T445" s="56"/>
      <c r="U445" s="56"/>
      <c r="V445" s="42"/>
      <c r="W445" s="57"/>
      <c r="X445" s="58"/>
      <c r="Y445" s="75"/>
      <c r="Z445" s="59"/>
      <c r="AA445" s="61"/>
      <c r="AB445" s="61"/>
      <c r="AC445" s="61"/>
      <c r="AD445" s="62"/>
      <c r="AE445" s="62"/>
      <c r="AF445" s="34"/>
      <c r="AG445" s="34"/>
      <c r="AH445" s="34"/>
      <c r="AI445" s="34"/>
      <c r="AJ445" s="34"/>
      <c r="AK445" s="34"/>
      <c r="AL445" s="34"/>
      <c r="AM445" s="34"/>
      <c r="AN445" s="34"/>
      <c r="AO445" s="34"/>
      <c r="AP445" s="34"/>
      <c r="AQ445" s="34"/>
      <c r="AR445" s="34"/>
      <c r="AS445" s="34"/>
      <c r="AT445" s="34"/>
      <c r="AU445" s="34"/>
      <c r="AV445" s="34"/>
      <c r="AW445" s="34"/>
      <c r="AX445" s="34"/>
      <c r="AY445" s="34"/>
      <c r="AZ445" s="34"/>
      <c r="BA445" s="34"/>
      <c r="BB445" s="34"/>
      <c r="BD445" s="34"/>
      <c r="BE445" s="34"/>
      <c r="BF445" s="34"/>
      <c r="BG445" s="34"/>
      <c r="BH445" s="34"/>
      <c r="BI445" s="34"/>
      <c r="BJ445" s="34"/>
      <c r="BK445" s="34"/>
      <c r="BL445" s="34"/>
      <c r="BM445" s="34"/>
      <c r="BN445" s="34"/>
      <c r="BO445" s="34"/>
      <c r="BP445" s="34"/>
      <c r="BQ445" s="34"/>
      <c r="BR445" s="34"/>
      <c r="BS445" s="34"/>
      <c r="BT445" s="34"/>
      <c r="BU445" s="34"/>
      <c r="BV445" s="34"/>
      <c r="BW445" s="34"/>
      <c r="BX445" s="34"/>
      <c r="BY445" s="34"/>
    </row>
    <row r="446" spans="1:77" x14ac:dyDescent="0.3">
      <c r="A446" s="39"/>
      <c r="B446" s="42"/>
      <c r="C446" s="42"/>
      <c r="D446" s="75"/>
      <c r="E446" s="75"/>
      <c r="F446" s="76"/>
      <c r="G446" s="47"/>
      <c r="H446" s="47"/>
      <c r="I446" s="75"/>
      <c r="J446" s="76"/>
      <c r="K446" s="76"/>
      <c r="L446" s="75"/>
      <c r="M446" s="49"/>
      <c r="N446" s="76"/>
      <c r="O446" s="49"/>
      <c r="P446" s="77"/>
      <c r="Q446" s="53"/>
      <c r="R446" s="54"/>
      <c r="S446" s="55"/>
      <c r="T446" s="56"/>
      <c r="U446" s="56"/>
      <c r="V446" s="42"/>
      <c r="W446" s="57"/>
      <c r="X446" s="58"/>
      <c r="Y446" s="75"/>
      <c r="Z446" s="59"/>
      <c r="AA446" s="61"/>
      <c r="AB446" s="61"/>
      <c r="AC446" s="61"/>
      <c r="AD446" s="62"/>
      <c r="AE446" s="62"/>
      <c r="AF446" s="34"/>
      <c r="AG446" s="34"/>
      <c r="AH446" s="34"/>
      <c r="AI446" s="34"/>
      <c r="AJ446" s="34"/>
      <c r="AK446" s="34"/>
      <c r="AL446" s="34"/>
      <c r="AM446" s="34"/>
      <c r="AN446" s="34"/>
      <c r="AO446" s="34"/>
      <c r="AP446" s="34"/>
      <c r="AQ446" s="34"/>
      <c r="AR446" s="34"/>
      <c r="AS446" s="34"/>
      <c r="AT446" s="34"/>
      <c r="AU446" s="34"/>
      <c r="AV446" s="34"/>
      <c r="AW446" s="34"/>
      <c r="AX446" s="34"/>
      <c r="AY446" s="34"/>
      <c r="AZ446" s="34"/>
      <c r="BA446" s="34"/>
      <c r="BB446" s="34"/>
      <c r="BD446" s="34"/>
      <c r="BE446" s="34"/>
      <c r="BF446" s="34"/>
      <c r="BG446" s="34"/>
      <c r="BH446" s="34"/>
      <c r="BI446" s="34"/>
      <c r="BJ446" s="34"/>
      <c r="BK446" s="34"/>
      <c r="BL446" s="34"/>
      <c r="BM446" s="34"/>
      <c r="BN446" s="34"/>
      <c r="BO446" s="34"/>
      <c r="BP446" s="34"/>
      <c r="BQ446" s="34"/>
      <c r="BR446" s="34"/>
      <c r="BS446" s="34"/>
      <c r="BT446" s="34"/>
      <c r="BU446" s="34"/>
      <c r="BV446" s="34"/>
      <c r="BW446" s="34"/>
      <c r="BX446" s="34"/>
      <c r="BY446" s="34"/>
    </row>
    <row r="447" spans="1:77" x14ac:dyDescent="0.3">
      <c r="A447" s="39"/>
      <c r="B447" s="42"/>
      <c r="C447" s="42"/>
      <c r="D447" s="75"/>
      <c r="E447" s="75"/>
      <c r="F447" s="76"/>
      <c r="G447" s="47"/>
      <c r="H447" s="47"/>
      <c r="I447" s="75"/>
      <c r="J447" s="76"/>
      <c r="K447" s="76"/>
      <c r="L447" s="75"/>
      <c r="M447" s="49"/>
      <c r="N447" s="76"/>
      <c r="O447" s="49"/>
      <c r="P447" s="77"/>
      <c r="Q447" s="53"/>
      <c r="R447" s="54"/>
      <c r="S447" s="55"/>
      <c r="T447" s="56"/>
      <c r="U447" s="56"/>
      <c r="V447" s="42"/>
      <c r="W447" s="57"/>
      <c r="X447" s="58"/>
      <c r="Y447" s="75"/>
      <c r="Z447" s="59"/>
      <c r="AA447" s="61"/>
      <c r="AB447" s="61"/>
      <c r="AC447" s="61"/>
      <c r="AD447" s="62"/>
      <c r="AE447" s="62"/>
      <c r="AF447" s="34"/>
      <c r="AG447" s="34"/>
      <c r="AH447" s="34"/>
      <c r="AI447" s="34"/>
      <c r="AJ447" s="34"/>
      <c r="AK447" s="34"/>
      <c r="AL447" s="34"/>
      <c r="AM447" s="34"/>
      <c r="AN447" s="34"/>
      <c r="AO447" s="34"/>
      <c r="AP447" s="34"/>
      <c r="AQ447" s="34"/>
      <c r="AR447" s="34"/>
      <c r="AS447" s="34"/>
      <c r="AT447" s="34"/>
      <c r="AU447" s="34"/>
      <c r="AV447" s="34"/>
      <c r="AW447" s="34"/>
      <c r="AX447" s="34"/>
      <c r="AY447" s="34"/>
      <c r="AZ447" s="34"/>
      <c r="BA447" s="34"/>
      <c r="BB447" s="34"/>
      <c r="BD447" s="34"/>
      <c r="BE447" s="34"/>
      <c r="BF447" s="34"/>
      <c r="BG447" s="34"/>
      <c r="BH447" s="34"/>
      <c r="BI447" s="34"/>
      <c r="BJ447" s="34"/>
      <c r="BK447" s="34"/>
      <c r="BL447" s="34"/>
      <c r="BM447" s="34"/>
      <c r="BN447" s="34"/>
      <c r="BO447" s="34"/>
      <c r="BP447" s="34"/>
      <c r="BQ447" s="34"/>
      <c r="BR447" s="34"/>
      <c r="BS447" s="34"/>
      <c r="BT447" s="34"/>
      <c r="BU447" s="34"/>
      <c r="BV447" s="34"/>
      <c r="BW447" s="34"/>
      <c r="BX447" s="34"/>
      <c r="BY447" s="34"/>
    </row>
    <row r="448" spans="1:77" x14ac:dyDescent="0.3">
      <c r="A448" s="39"/>
      <c r="B448" s="42"/>
      <c r="C448" s="42"/>
      <c r="D448" s="75"/>
      <c r="E448" s="75"/>
      <c r="F448" s="76"/>
      <c r="G448" s="47"/>
      <c r="H448" s="47"/>
      <c r="I448" s="75"/>
      <c r="J448" s="76"/>
      <c r="K448" s="76"/>
      <c r="L448" s="75"/>
      <c r="M448" s="49"/>
      <c r="N448" s="76"/>
      <c r="O448" s="49"/>
      <c r="P448" s="77"/>
      <c r="Q448" s="53"/>
      <c r="R448" s="54"/>
      <c r="S448" s="55"/>
      <c r="T448" s="56"/>
      <c r="U448" s="56"/>
      <c r="V448" s="42"/>
      <c r="W448" s="57"/>
      <c r="X448" s="58"/>
      <c r="Y448" s="75"/>
      <c r="Z448" s="59"/>
      <c r="AA448" s="61"/>
      <c r="AB448" s="61"/>
      <c r="AC448" s="61"/>
      <c r="AD448" s="62"/>
      <c r="AE448" s="62"/>
      <c r="AF448" s="34"/>
      <c r="AG448" s="34"/>
      <c r="AH448" s="34"/>
      <c r="AI448" s="34"/>
      <c r="AJ448" s="34"/>
      <c r="AK448" s="34"/>
      <c r="AL448" s="34"/>
      <c r="AM448" s="34"/>
      <c r="AN448" s="34"/>
      <c r="AO448" s="34"/>
      <c r="AP448" s="34"/>
      <c r="AQ448" s="34"/>
      <c r="AR448" s="34"/>
      <c r="AS448" s="34"/>
      <c r="AT448" s="34"/>
      <c r="AU448" s="34"/>
      <c r="AV448" s="34"/>
      <c r="AW448" s="34"/>
      <c r="AX448" s="34"/>
      <c r="AY448" s="34"/>
      <c r="AZ448" s="34"/>
      <c r="BA448" s="34"/>
      <c r="BB448" s="34"/>
      <c r="BD448" s="34"/>
      <c r="BE448" s="34"/>
      <c r="BF448" s="34"/>
      <c r="BG448" s="34"/>
      <c r="BH448" s="34"/>
      <c r="BI448" s="34"/>
      <c r="BJ448" s="34"/>
      <c r="BK448" s="34"/>
      <c r="BL448" s="34"/>
      <c r="BM448" s="34"/>
      <c r="BN448" s="34"/>
      <c r="BO448" s="34"/>
      <c r="BP448" s="34"/>
      <c r="BQ448" s="34"/>
      <c r="BR448" s="34"/>
      <c r="BS448" s="34"/>
      <c r="BT448" s="34"/>
      <c r="BU448" s="34"/>
      <c r="BV448" s="34"/>
      <c r="BW448" s="34"/>
      <c r="BX448" s="34"/>
      <c r="BY448" s="34"/>
    </row>
    <row r="449" spans="1:77" x14ac:dyDescent="0.3">
      <c r="A449" s="39"/>
      <c r="B449" s="42"/>
      <c r="C449" s="42"/>
      <c r="D449" s="75"/>
      <c r="E449" s="75"/>
      <c r="F449" s="76"/>
      <c r="G449" s="47"/>
      <c r="H449" s="47"/>
      <c r="I449" s="75"/>
      <c r="J449" s="76"/>
      <c r="K449" s="76"/>
      <c r="L449" s="75"/>
      <c r="M449" s="49"/>
      <c r="N449" s="76"/>
      <c r="O449" s="49"/>
      <c r="P449" s="77"/>
      <c r="Q449" s="53"/>
      <c r="R449" s="54"/>
      <c r="S449" s="55"/>
      <c r="T449" s="56"/>
      <c r="U449" s="56"/>
      <c r="V449" s="42"/>
      <c r="W449" s="57"/>
      <c r="X449" s="58"/>
      <c r="Y449" s="75"/>
      <c r="Z449" s="59"/>
      <c r="AA449" s="61"/>
      <c r="AB449" s="61"/>
      <c r="AC449" s="61"/>
      <c r="AD449" s="62"/>
      <c r="AE449" s="62"/>
      <c r="AF449" s="34"/>
      <c r="AG449" s="34"/>
      <c r="AH449" s="34"/>
      <c r="AI449" s="34"/>
      <c r="AJ449" s="34"/>
      <c r="AK449" s="34"/>
      <c r="AL449" s="34"/>
      <c r="AM449" s="34"/>
      <c r="AN449" s="34"/>
      <c r="AO449" s="34"/>
      <c r="AP449" s="34"/>
      <c r="AQ449" s="34"/>
      <c r="AR449" s="34"/>
      <c r="AS449" s="34"/>
      <c r="AT449" s="34"/>
      <c r="AU449" s="34"/>
      <c r="AV449" s="34"/>
      <c r="AW449" s="34"/>
      <c r="AX449" s="34"/>
      <c r="AY449" s="34"/>
      <c r="AZ449" s="34"/>
      <c r="BA449" s="34"/>
      <c r="BB449" s="34"/>
      <c r="BD449" s="34"/>
      <c r="BE449" s="34"/>
      <c r="BF449" s="34"/>
      <c r="BG449" s="34"/>
      <c r="BH449" s="34"/>
      <c r="BI449" s="34"/>
      <c r="BJ449" s="34"/>
      <c r="BK449" s="34"/>
      <c r="BL449" s="34"/>
      <c r="BM449" s="34"/>
      <c r="BN449" s="34"/>
      <c r="BO449" s="34"/>
      <c r="BP449" s="34"/>
      <c r="BQ449" s="34"/>
      <c r="BR449" s="34"/>
      <c r="BS449" s="34"/>
      <c r="BT449" s="34"/>
      <c r="BU449" s="34"/>
      <c r="BV449" s="34"/>
      <c r="BW449" s="34"/>
      <c r="BX449" s="34"/>
      <c r="BY449" s="34"/>
    </row>
    <row r="450" spans="1:77" x14ac:dyDescent="0.3">
      <c r="A450" s="39"/>
      <c r="B450" s="42"/>
      <c r="C450" s="42"/>
      <c r="D450" s="75"/>
      <c r="E450" s="75"/>
      <c r="F450" s="76"/>
      <c r="G450" s="47"/>
      <c r="H450" s="47"/>
      <c r="I450" s="75"/>
      <c r="J450" s="76"/>
      <c r="K450" s="76"/>
      <c r="L450" s="75"/>
      <c r="M450" s="49"/>
      <c r="N450" s="76"/>
      <c r="O450" s="49"/>
      <c r="P450" s="77"/>
      <c r="Q450" s="53"/>
      <c r="R450" s="54"/>
      <c r="S450" s="55"/>
      <c r="T450" s="56"/>
      <c r="U450" s="56"/>
      <c r="V450" s="42"/>
      <c r="W450" s="57"/>
      <c r="X450" s="58"/>
      <c r="Y450" s="75"/>
      <c r="Z450" s="59"/>
      <c r="AA450" s="61"/>
      <c r="AB450" s="61"/>
      <c r="AC450" s="61"/>
      <c r="AD450" s="62"/>
      <c r="AE450" s="62"/>
      <c r="AF450" s="34"/>
      <c r="AG450" s="34"/>
      <c r="AH450" s="34"/>
      <c r="AI450" s="34"/>
      <c r="AJ450" s="34"/>
      <c r="AK450" s="34"/>
      <c r="AL450" s="34"/>
      <c r="AM450" s="34"/>
      <c r="AN450" s="34"/>
      <c r="AO450" s="34"/>
      <c r="AP450" s="34"/>
      <c r="AQ450" s="34"/>
      <c r="AR450" s="34"/>
      <c r="AS450" s="34"/>
      <c r="AT450" s="34"/>
      <c r="AU450" s="34"/>
      <c r="AV450" s="34"/>
      <c r="AW450" s="34"/>
      <c r="AX450" s="34"/>
      <c r="AY450" s="34"/>
      <c r="AZ450" s="34"/>
      <c r="BA450" s="34"/>
      <c r="BB450" s="34"/>
      <c r="BD450" s="34"/>
      <c r="BE450" s="34"/>
      <c r="BF450" s="34"/>
      <c r="BG450" s="34"/>
      <c r="BH450" s="34"/>
      <c r="BI450" s="34"/>
      <c r="BJ450" s="34"/>
      <c r="BK450" s="34"/>
      <c r="BL450" s="34"/>
      <c r="BM450" s="34"/>
      <c r="BN450" s="34"/>
      <c r="BO450" s="34"/>
      <c r="BP450" s="34"/>
      <c r="BQ450" s="34"/>
      <c r="BR450" s="34"/>
      <c r="BS450" s="34"/>
      <c r="BT450" s="34"/>
      <c r="BU450" s="34"/>
      <c r="BV450" s="34"/>
      <c r="BW450" s="34"/>
      <c r="BX450" s="34"/>
      <c r="BY450" s="34"/>
    </row>
    <row r="451" spans="1:77" x14ac:dyDescent="0.3">
      <c r="A451" s="39"/>
      <c r="B451" s="42"/>
      <c r="C451" s="42"/>
      <c r="D451" s="75"/>
      <c r="E451" s="75"/>
      <c r="F451" s="76"/>
      <c r="G451" s="47"/>
      <c r="H451" s="47"/>
      <c r="I451" s="75"/>
      <c r="J451" s="76"/>
      <c r="K451" s="76"/>
      <c r="L451" s="75"/>
      <c r="M451" s="49"/>
      <c r="N451" s="76"/>
      <c r="O451" s="49"/>
      <c r="P451" s="77"/>
      <c r="Q451" s="53"/>
      <c r="R451" s="54"/>
      <c r="S451" s="55"/>
      <c r="T451" s="56"/>
      <c r="U451" s="56"/>
      <c r="V451" s="42"/>
      <c r="W451" s="57"/>
      <c r="X451" s="58"/>
      <c r="Y451" s="75"/>
      <c r="Z451" s="59"/>
      <c r="AA451" s="61"/>
      <c r="AB451" s="61"/>
      <c r="AC451" s="61"/>
      <c r="AD451" s="62"/>
      <c r="AE451" s="62"/>
      <c r="AF451" s="34"/>
      <c r="AG451" s="34"/>
      <c r="AH451" s="34"/>
      <c r="AI451" s="34"/>
      <c r="AJ451" s="34"/>
      <c r="AK451" s="34"/>
      <c r="AL451" s="34"/>
      <c r="AM451" s="34"/>
      <c r="AN451" s="34"/>
      <c r="AO451" s="34"/>
      <c r="AP451" s="34"/>
      <c r="AQ451" s="34"/>
      <c r="AR451" s="34"/>
      <c r="AS451" s="34"/>
      <c r="AT451" s="34"/>
      <c r="AU451" s="34"/>
      <c r="AV451" s="34"/>
      <c r="AW451" s="34"/>
      <c r="AX451" s="34"/>
      <c r="AY451" s="34"/>
      <c r="AZ451" s="34"/>
      <c r="BA451" s="34"/>
      <c r="BB451" s="34"/>
      <c r="BD451" s="34"/>
      <c r="BE451" s="34"/>
      <c r="BF451" s="34"/>
      <c r="BG451" s="34"/>
      <c r="BH451" s="34"/>
      <c r="BI451" s="34"/>
      <c r="BJ451" s="34"/>
      <c r="BK451" s="34"/>
      <c r="BL451" s="34"/>
      <c r="BM451" s="34"/>
      <c r="BN451" s="34"/>
      <c r="BO451" s="34"/>
      <c r="BP451" s="34"/>
      <c r="BQ451" s="34"/>
      <c r="BR451" s="34"/>
      <c r="BS451" s="34"/>
      <c r="BT451" s="34"/>
      <c r="BU451" s="34"/>
      <c r="BV451" s="34"/>
      <c r="BW451" s="34"/>
      <c r="BX451" s="34"/>
      <c r="BY451" s="34"/>
    </row>
    <row r="452" spans="1:77" x14ac:dyDescent="0.3">
      <c r="A452" s="39"/>
      <c r="B452" s="42"/>
      <c r="C452" s="42"/>
      <c r="D452" s="75"/>
      <c r="E452" s="75"/>
      <c r="F452" s="76"/>
      <c r="G452" s="47"/>
      <c r="H452" s="47"/>
      <c r="I452" s="75"/>
      <c r="J452" s="76"/>
      <c r="K452" s="76"/>
      <c r="L452" s="75"/>
      <c r="M452" s="49"/>
      <c r="N452" s="76"/>
      <c r="O452" s="49"/>
      <c r="P452" s="77"/>
      <c r="Q452" s="53"/>
      <c r="R452" s="54"/>
      <c r="S452" s="55"/>
      <c r="T452" s="56"/>
      <c r="U452" s="56"/>
      <c r="V452" s="42"/>
      <c r="W452" s="57"/>
      <c r="X452" s="58"/>
      <c r="Y452" s="75"/>
      <c r="Z452" s="59"/>
      <c r="AA452" s="61"/>
      <c r="AB452" s="61"/>
      <c r="AC452" s="61"/>
      <c r="AD452" s="62"/>
      <c r="AE452" s="62"/>
      <c r="AF452" s="34"/>
      <c r="AG452" s="34"/>
      <c r="AH452" s="34"/>
      <c r="AI452" s="34"/>
      <c r="AJ452" s="34"/>
      <c r="AK452" s="34"/>
      <c r="AL452" s="34"/>
      <c r="AM452" s="34"/>
      <c r="AN452" s="34"/>
      <c r="AO452" s="34"/>
      <c r="AP452" s="34"/>
      <c r="AQ452" s="34"/>
      <c r="AR452" s="34"/>
      <c r="AS452" s="34"/>
      <c r="AT452" s="34"/>
      <c r="AU452" s="34"/>
      <c r="AV452" s="34"/>
      <c r="AW452" s="34"/>
      <c r="AX452" s="34"/>
      <c r="AY452" s="34"/>
      <c r="AZ452" s="34"/>
      <c r="BA452" s="34"/>
      <c r="BB452" s="34"/>
      <c r="BD452" s="34"/>
      <c r="BE452" s="34"/>
      <c r="BF452" s="34"/>
      <c r="BG452" s="34"/>
      <c r="BH452" s="34"/>
      <c r="BI452" s="34"/>
      <c r="BJ452" s="34"/>
      <c r="BK452" s="34"/>
      <c r="BL452" s="34"/>
      <c r="BM452" s="34"/>
      <c r="BN452" s="34"/>
      <c r="BO452" s="34"/>
      <c r="BP452" s="34"/>
      <c r="BQ452" s="34"/>
      <c r="BR452" s="34"/>
      <c r="BS452" s="34"/>
      <c r="BT452" s="34"/>
      <c r="BU452" s="34"/>
      <c r="BV452" s="34"/>
      <c r="BW452" s="34"/>
      <c r="BX452" s="34"/>
      <c r="BY452" s="34"/>
    </row>
    <row r="453" spans="1:77" x14ac:dyDescent="0.3">
      <c r="A453" s="39"/>
      <c r="B453" s="42"/>
      <c r="C453" s="42"/>
      <c r="D453" s="75"/>
      <c r="E453" s="75"/>
      <c r="F453" s="76"/>
      <c r="G453" s="47"/>
      <c r="H453" s="47"/>
      <c r="I453" s="75"/>
      <c r="J453" s="76"/>
      <c r="K453" s="76"/>
      <c r="L453" s="75"/>
      <c r="M453" s="49"/>
      <c r="N453" s="76"/>
      <c r="O453" s="49"/>
      <c r="P453" s="77"/>
      <c r="Q453" s="53"/>
      <c r="R453" s="54"/>
      <c r="S453" s="55"/>
      <c r="T453" s="56"/>
      <c r="U453" s="56"/>
      <c r="V453" s="42"/>
      <c r="W453" s="57"/>
      <c r="X453" s="58"/>
      <c r="Y453" s="75"/>
      <c r="Z453" s="59"/>
      <c r="AA453" s="61"/>
      <c r="AB453" s="61"/>
      <c r="AC453" s="61"/>
      <c r="AD453" s="62"/>
      <c r="AE453" s="62"/>
      <c r="AF453" s="34"/>
      <c r="AG453" s="34"/>
      <c r="AH453" s="34"/>
      <c r="AI453" s="34"/>
      <c r="AJ453" s="34"/>
      <c r="AK453" s="34"/>
      <c r="AL453" s="34"/>
      <c r="AM453" s="34"/>
      <c r="AN453" s="34"/>
      <c r="AO453" s="34"/>
      <c r="AP453" s="34"/>
      <c r="AQ453" s="34"/>
      <c r="AR453" s="34"/>
      <c r="AS453" s="34"/>
      <c r="AT453" s="34"/>
      <c r="AU453" s="34"/>
      <c r="AV453" s="34"/>
      <c r="AW453" s="34"/>
      <c r="AX453" s="34"/>
      <c r="AY453" s="34"/>
      <c r="AZ453" s="34"/>
      <c r="BA453" s="34"/>
      <c r="BB453" s="34"/>
      <c r="BD453" s="34"/>
      <c r="BE453" s="34"/>
      <c r="BF453" s="34"/>
      <c r="BG453" s="34"/>
      <c r="BH453" s="34"/>
      <c r="BI453" s="34"/>
      <c r="BJ453" s="34"/>
      <c r="BK453" s="34"/>
      <c r="BL453" s="34"/>
      <c r="BM453" s="34"/>
      <c r="BN453" s="34"/>
      <c r="BO453" s="34"/>
      <c r="BP453" s="34"/>
      <c r="BQ453" s="34"/>
      <c r="BR453" s="34"/>
      <c r="BS453" s="34"/>
      <c r="BT453" s="34"/>
      <c r="BU453" s="34"/>
      <c r="BV453" s="34"/>
      <c r="BW453" s="34"/>
      <c r="BX453" s="34"/>
      <c r="BY453" s="34"/>
    </row>
    <row r="454" spans="1:77" x14ac:dyDescent="0.3">
      <c r="A454" s="39"/>
      <c r="B454" s="42"/>
      <c r="C454" s="42"/>
      <c r="D454" s="75"/>
      <c r="E454" s="75"/>
      <c r="F454" s="76"/>
      <c r="G454" s="47"/>
      <c r="H454" s="47"/>
      <c r="I454" s="75"/>
      <c r="J454" s="76"/>
      <c r="K454" s="76"/>
      <c r="L454" s="75"/>
      <c r="M454" s="49"/>
      <c r="N454" s="76"/>
      <c r="O454" s="49"/>
      <c r="P454" s="77"/>
      <c r="Q454" s="53"/>
      <c r="R454" s="54"/>
      <c r="S454" s="55"/>
      <c r="T454" s="56"/>
      <c r="U454" s="56"/>
      <c r="V454" s="42"/>
      <c r="W454" s="57"/>
      <c r="X454" s="58"/>
      <c r="Y454" s="75"/>
      <c r="Z454" s="59"/>
      <c r="AA454" s="61"/>
      <c r="AB454" s="61"/>
      <c r="AC454" s="61"/>
      <c r="AD454" s="62"/>
      <c r="AE454" s="62"/>
      <c r="AF454" s="34"/>
      <c r="AG454" s="34"/>
      <c r="AH454" s="34"/>
      <c r="AI454" s="34"/>
      <c r="AJ454" s="34"/>
      <c r="AK454" s="34"/>
      <c r="AL454" s="34"/>
      <c r="AM454" s="34"/>
      <c r="AN454" s="34"/>
      <c r="AO454" s="34"/>
      <c r="AP454" s="34"/>
      <c r="AQ454" s="34"/>
      <c r="AR454" s="34"/>
      <c r="AS454" s="34"/>
      <c r="AT454" s="34"/>
      <c r="AU454" s="34"/>
      <c r="AV454" s="34"/>
      <c r="AW454" s="34"/>
      <c r="AX454" s="34"/>
      <c r="AY454" s="34"/>
      <c r="AZ454" s="34"/>
      <c r="BA454" s="34"/>
      <c r="BB454" s="34"/>
      <c r="BD454" s="34"/>
      <c r="BE454" s="34"/>
      <c r="BF454" s="34"/>
      <c r="BG454" s="34"/>
      <c r="BH454" s="34"/>
      <c r="BI454" s="34"/>
      <c r="BJ454" s="34"/>
      <c r="BK454" s="34"/>
      <c r="BL454" s="34"/>
      <c r="BM454" s="34"/>
      <c r="BN454" s="34"/>
      <c r="BO454" s="34"/>
      <c r="BP454" s="34"/>
      <c r="BQ454" s="34"/>
      <c r="BR454" s="34"/>
      <c r="BS454" s="34"/>
      <c r="BT454" s="34"/>
      <c r="BU454" s="34"/>
      <c r="BV454" s="34"/>
      <c r="BW454" s="34"/>
      <c r="BX454" s="34"/>
      <c r="BY454" s="34"/>
    </row>
    <row r="455" spans="1:77" x14ac:dyDescent="0.3">
      <c r="A455" s="39"/>
      <c r="B455" s="42"/>
      <c r="C455" s="42"/>
      <c r="D455" s="75"/>
      <c r="E455" s="75"/>
      <c r="F455" s="76"/>
      <c r="G455" s="47"/>
      <c r="H455" s="47"/>
      <c r="I455" s="75"/>
      <c r="J455" s="76"/>
      <c r="K455" s="76"/>
      <c r="L455" s="75"/>
      <c r="M455" s="49"/>
      <c r="N455" s="76"/>
      <c r="O455" s="49"/>
      <c r="P455" s="77"/>
      <c r="Q455" s="53"/>
      <c r="R455" s="54"/>
      <c r="S455" s="55"/>
      <c r="T455" s="56"/>
      <c r="U455" s="56"/>
      <c r="V455" s="42"/>
      <c r="W455" s="57"/>
      <c r="X455" s="58"/>
      <c r="Y455" s="75"/>
      <c r="Z455" s="59"/>
      <c r="AA455" s="61"/>
      <c r="AB455" s="61"/>
      <c r="AC455" s="61"/>
      <c r="AD455" s="62"/>
      <c r="AE455" s="62"/>
      <c r="AF455" s="34"/>
      <c r="AG455" s="34"/>
      <c r="AH455" s="34"/>
      <c r="AI455" s="34"/>
      <c r="AJ455" s="34"/>
      <c r="AK455" s="34"/>
      <c r="AL455" s="34"/>
      <c r="AM455" s="34"/>
      <c r="AN455" s="34"/>
      <c r="AO455" s="34"/>
      <c r="AP455" s="34"/>
      <c r="AQ455" s="34"/>
      <c r="AR455" s="34"/>
      <c r="AS455" s="34"/>
      <c r="AT455" s="34"/>
      <c r="AU455" s="34"/>
      <c r="AV455" s="34"/>
      <c r="AW455" s="34"/>
      <c r="AX455" s="34"/>
      <c r="AY455" s="34"/>
      <c r="AZ455" s="34"/>
      <c r="BA455" s="34"/>
      <c r="BB455" s="34"/>
      <c r="BD455" s="34"/>
      <c r="BE455" s="34"/>
      <c r="BF455" s="34"/>
      <c r="BG455" s="34"/>
      <c r="BH455" s="34"/>
      <c r="BI455" s="34"/>
      <c r="BJ455" s="34"/>
      <c r="BK455" s="34"/>
      <c r="BL455" s="34"/>
      <c r="BM455" s="34"/>
      <c r="BN455" s="34"/>
      <c r="BO455" s="34"/>
      <c r="BP455" s="34"/>
      <c r="BQ455" s="34"/>
      <c r="BR455" s="34"/>
      <c r="BS455" s="34"/>
      <c r="BT455" s="34"/>
      <c r="BU455" s="34"/>
      <c r="BV455" s="34"/>
      <c r="BW455" s="34"/>
      <c r="BX455" s="34"/>
      <c r="BY455" s="34"/>
    </row>
    <row r="456" spans="1:77" x14ac:dyDescent="0.3">
      <c r="A456" s="39"/>
      <c r="B456" s="42"/>
      <c r="C456" s="42"/>
      <c r="D456" s="75"/>
      <c r="E456" s="75"/>
      <c r="F456" s="76"/>
      <c r="G456" s="47"/>
      <c r="H456" s="47"/>
      <c r="I456" s="75"/>
      <c r="J456" s="76"/>
      <c r="K456" s="76"/>
      <c r="L456" s="75"/>
      <c r="M456" s="49"/>
      <c r="N456" s="76"/>
      <c r="O456" s="49"/>
      <c r="P456" s="77"/>
      <c r="Q456" s="53"/>
      <c r="R456" s="54"/>
      <c r="S456" s="55"/>
      <c r="T456" s="56"/>
      <c r="U456" s="56"/>
      <c r="V456" s="42"/>
      <c r="W456" s="57"/>
      <c r="X456" s="58"/>
      <c r="Y456" s="75"/>
      <c r="Z456" s="59"/>
      <c r="AA456" s="61"/>
      <c r="AB456" s="61"/>
      <c r="AC456" s="61"/>
      <c r="AD456" s="62"/>
      <c r="AE456" s="62"/>
      <c r="AF456" s="34"/>
      <c r="AG456" s="34"/>
      <c r="AH456" s="34"/>
      <c r="AI456" s="34"/>
      <c r="AJ456" s="34"/>
      <c r="AK456" s="34"/>
      <c r="AL456" s="34"/>
      <c r="AM456" s="34"/>
      <c r="AN456" s="34"/>
      <c r="AO456" s="34"/>
      <c r="AP456" s="34"/>
      <c r="AQ456" s="34"/>
      <c r="AR456" s="34"/>
      <c r="AS456" s="34"/>
      <c r="AT456" s="34"/>
      <c r="AU456" s="34"/>
      <c r="AV456" s="34"/>
      <c r="AW456" s="34"/>
      <c r="AX456" s="34"/>
      <c r="AY456" s="34"/>
      <c r="AZ456" s="34"/>
      <c r="BA456" s="34"/>
      <c r="BB456" s="34"/>
      <c r="BD456" s="34"/>
      <c r="BE456" s="34"/>
      <c r="BF456" s="34"/>
      <c r="BG456" s="34"/>
      <c r="BH456" s="34"/>
      <c r="BI456" s="34"/>
      <c r="BJ456" s="34"/>
      <c r="BK456" s="34"/>
      <c r="BL456" s="34"/>
      <c r="BM456" s="34"/>
      <c r="BN456" s="34"/>
      <c r="BO456" s="34"/>
      <c r="BP456" s="34"/>
      <c r="BQ456" s="34"/>
      <c r="BR456" s="34"/>
      <c r="BS456" s="34"/>
      <c r="BT456" s="34"/>
      <c r="BU456" s="34"/>
      <c r="BV456" s="34"/>
      <c r="BW456" s="34"/>
      <c r="BX456" s="34"/>
      <c r="BY456" s="34"/>
    </row>
    <row r="457" spans="1:77" x14ac:dyDescent="0.3">
      <c r="A457" s="39"/>
      <c r="B457" s="42"/>
      <c r="C457" s="42"/>
      <c r="D457" s="75"/>
      <c r="E457" s="75"/>
      <c r="F457" s="76"/>
      <c r="G457" s="47"/>
      <c r="H457" s="47"/>
      <c r="I457" s="75"/>
      <c r="J457" s="76"/>
      <c r="K457" s="76"/>
      <c r="L457" s="75"/>
      <c r="M457" s="49"/>
      <c r="N457" s="76"/>
      <c r="O457" s="49"/>
      <c r="P457" s="77"/>
      <c r="Q457" s="53"/>
      <c r="R457" s="54"/>
      <c r="S457" s="55"/>
      <c r="T457" s="56"/>
      <c r="U457" s="56"/>
      <c r="V457" s="42"/>
      <c r="W457" s="57"/>
      <c r="X457" s="58"/>
      <c r="Y457" s="75"/>
      <c r="Z457" s="59"/>
      <c r="AA457" s="61"/>
      <c r="AB457" s="61"/>
      <c r="AC457" s="61"/>
      <c r="AD457" s="62"/>
      <c r="AE457" s="62"/>
      <c r="AF457" s="34"/>
      <c r="AG457" s="34"/>
      <c r="AH457" s="34"/>
      <c r="AI457" s="34"/>
      <c r="AJ457" s="34"/>
      <c r="AK457" s="34"/>
      <c r="AL457" s="34"/>
      <c r="AM457" s="34"/>
      <c r="AN457" s="34"/>
      <c r="AO457" s="34"/>
      <c r="AP457" s="34"/>
      <c r="AQ457" s="34"/>
      <c r="AR457" s="34"/>
      <c r="AS457" s="34"/>
      <c r="AT457" s="34"/>
      <c r="AU457" s="34"/>
      <c r="AV457" s="34"/>
      <c r="AW457" s="34"/>
      <c r="AX457" s="34"/>
      <c r="AY457" s="34"/>
      <c r="AZ457" s="34"/>
      <c r="BA457" s="34"/>
      <c r="BB457" s="34"/>
      <c r="BD457" s="34"/>
      <c r="BE457" s="34"/>
      <c r="BF457" s="34"/>
      <c r="BG457" s="34"/>
      <c r="BH457" s="34"/>
      <c r="BI457" s="34"/>
      <c r="BJ457" s="34"/>
      <c r="BK457" s="34"/>
      <c r="BL457" s="34"/>
      <c r="BM457" s="34"/>
      <c r="BN457" s="34"/>
      <c r="BO457" s="34"/>
      <c r="BP457" s="34"/>
      <c r="BQ457" s="34"/>
      <c r="BR457" s="34"/>
      <c r="BS457" s="34"/>
      <c r="BT457" s="34"/>
      <c r="BU457" s="34"/>
      <c r="BV457" s="34"/>
      <c r="BW457" s="34"/>
      <c r="BX457" s="34"/>
      <c r="BY457" s="34"/>
    </row>
    <row r="458" spans="1:77" x14ac:dyDescent="0.3">
      <c r="A458" s="39"/>
      <c r="B458" s="42"/>
      <c r="C458" s="42"/>
      <c r="D458" s="75"/>
      <c r="E458" s="75"/>
      <c r="F458" s="76"/>
      <c r="G458" s="47"/>
      <c r="H458" s="47"/>
      <c r="I458" s="75"/>
      <c r="J458" s="76"/>
      <c r="K458" s="76"/>
      <c r="L458" s="75"/>
      <c r="M458" s="49"/>
      <c r="N458" s="76"/>
      <c r="O458" s="49"/>
      <c r="P458" s="77"/>
      <c r="Q458" s="53"/>
      <c r="R458" s="54"/>
      <c r="S458" s="55"/>
      <c r="T458" s="56"/>
      <c r="U458" s="56"/>
      <c r="V458" s="42"/>
      <c r="W458" s="57"/>
      <c r="X458" s="58"/>
      <c r="Y458" s="75"/>
      <c r="Z458" s="59"/>
      <c r="AA458" s="61"/>
      <c r="AB458" s="61"/>
      <c r="AC458" s="61"/>
      <c r="AD458" s="62"/>
      <c r="AE458" s="62"/>
      <c r="AF458" s="34"/>
      <c r="AG458" s="34"/>
      <c r="AH458" s="34"/>
      <c r="AI458" s="34"/>
      <c r="AJ458" s="34"/>
      <c r="AK458" s="34"/>
      <c r="AL458" s="34"/>
      <c r="AM458" s="34"/>
      <c r="AN458" s="34"/>
      <c r="AO458" s="34"/>
      <c r="AP458" s="34"/>
      <c r="AQ458" s="34"/>
      <c r="AR458" s="34"/>
      <c r="AS458" s="34"/>
      <c r="AT458" s="34"/>
      <c r="AU458" s="34"/>
      <c r="AV458" s="34"/>
      <c r="AW458" s="34"/>
      <c r="AX458" s="34"/>
      <c r="AY458" s="34"/>
      <c r="AZ458" s="34"/>
      <c r="BA458" s="34"/>
      <c r="BB458" s="34"/>
      <c r="BD458" s="34"/>
      <c r="BE458" s="34"/>
      <c r="BF458" s="34"/>
      <c r="BG458" s="34"/>
      <c r="BH458" s="34"/>
      <c r="BI458" s="34"/>
      <c r="BJ458" s="34"/>
      <c r="BK458" s="34"/>
      <c r="BL458" s="34"/>
      <c r="BM458" s="34"/>
      <c r="BN458" s="34"/>
      <c r="BO458" s="34"/>
      <c r="BP458" s="34"/>
      <c r="BQ458" s="34"/>
      <c r="BR458" s="34"/>
      <c r="BS458" s="34"/>
      <c r="BT458" s="34"/>
      <c r="BU458" s="34"/>
      <c r="BV458" s="34"/>
      <c r="BW458" s="34"/>
      <c r="BX458" s="34"/>
      <c r="BY458" s="34"/>
    </row>
    <row r="459" spans="1:77" x14ac:dyDescent="0.3">
      <c r="A459" s="39"/>
      <c r="B459" s="42"/>
      <c r="C459" s="42"/>
      <c r="D459" s="75"/>
      <c r="E459" s="75"/>
      <c r="F459" s="76"/>
      <c r="G459" s="47"/>
      <c r="H459" s="47"/>
      <c r="I459" s="75"/>
      <c r="J459" s="76"/>
      <c r="K459" s="76"/>
      <c r="L459" s="75"/>
      <c r="M459" s="49"/>
      <c r="N459" s="76"/>
      <c r="O459" s="49"/>
      <c r="P459" s="77"/>
      <c r="Q459" s="53"/>
      <c r="R459" s="54"/>
      <c r="S459" s="55"/>
      <c r="T459" s="56"/>
      <c r="U459" s="56"/>
      <c r="V459" s="42"/>
      <c r="W459" s="57"/>
      <c r="X459" s="58"/>
      <c r="Y459" s="75"/>
      <c r="Z459" s="59"/>
      <c r="AA459" s="61"/>
      <c r="AB459" s="61"/>
      <c r="AC459" s="61"/>
      <c r="AD459" s="62"/>
      <c r="AE459" s="62"/>
      <c r="AF459" s="34"/>
      <c r="AG459" s="34"/>
      <c r="AH459" s="34"/>
      <c r="AI459" s="34"/>
      <c r="AJ459" s="34"/>
      <c r="AK459" s="34"/>
      <c r="AL459" s="34"/>
      <c r="AM459" s="34"/>
      <c r="AN459" s="34"/>
      <c r="AO459" s="34"/>
      <c r="AP459" s="34"/>
      <c r="AQ459" s="34"/>
      <c r="AR459" s="34"/>
      <c r="AS459" s="34"/>
      <c r="AT459" s="34"/>
      <c r="AU459" s="34"/>
      <c r="AV459" s="34"/>
      <c r="AW459" s="34"/>
      <c r="AX459" s="34"/>
      <c r="AY459" s="34"/>
      <c r="AZ459" s="34"/>
      <c r="BA459" s="34"/>
      <c r="BB459" s="34"/>
      <c r="BD459" s="34"/>
      <c r="BE459" s="34"/>
      <c r="BF459" s="34"/>
      <c r="BG459" s="34"/>
      <c r="BH459" s="34"/>
      <c r="BI459" s="34"/>
      <c r="BJ459" s="34"/>
      <c r="BK459" s="34"/>
      <c r="BL459" s="34"/>
      <c r="BM459" s="34"/>
      <c r="BN459" s="34"/>
      <c r="BO459" s="34"/>
      <c r="BP459" s="34"/>
      <c r="BQ459" s="34"/>
      <c r="BR459" s="34"/>
      <c r="BS459" s="34"/>
      <c r="BT459" s="34"/>
      <c r="BU459" s="34"/>
      <c r="BV459" s="34"/>
      <c r="BW459" s="34"/>
      <c r="BX459" s="34"/>
      <c r="BY459" s="34"/>
    </row>
    <row r="460" spans="1:77" x14ac:dyDescent="0.3">
      <c r="A460" s="39"/>
      <c r="B460" s="42"/>
      <c r="C460" s="42"/>
      <c r="D460" s="75"/>
      <c r="E460" s="75"/>
      <c r="F460" s="76"/>
      <c r="G460" s="47"/>
      <c r="H460" s="47"/>
      <c r="I460" s="75"/>
      <c r="J460" s="76"/>
      <c r="K460" s="76"/>
      <c r="L460" s="75"/>
      <c r="M460" s="49"/>
      <c r="N460" s="76"/>
      <c r="O460" s="49"/>
      <c r="P460" s="77"/>
      <c r="Q460" s="53"/>
      <c r="R460" s="54"/>
      <c r="S460" s="55"/>
      <c r="T460" s="56"/>
      <c r="U460" s="56"/>
      <c r="V460" s="42"/>
      <c r="W460" s="57"/>
      <c r="X460" s="58"/>
      <c r="Y460" s="75"/>
      <c r="Z460" s="59"/>
      <c r="AA460" s="61"/>
      <c r="AB460" s="61"/>
      <c r="AC460" s="61"/>
      <c r="AD460" s="62"/>
      <c r="AE460" s="62"/>
      <c r="AF460" s="34"/>
      <c r="AG460" s="34"/>
      <c r="AH460" s="34"/>
      <c r="AI460" s="34"/>
      <c r="AJ460" s="34"/>
      <c r="AK460" s="34"/>
      <c r="AL460" s="34"/>
      <c r="AM460" s="34"/>
      <c r="AN460" s="34"/>
      <c r="AO460" s="34"/>
      <c r="AP460" s="34"/>
      <c r="AQ460" s="34"/>
      <c r="AR460" s="34"/>
      <c r="AS460" s="34"/>
      <c r="AT460" s="34"/>
      <c r="AU460" s="34"/>
      <c r="AV460" s="34"/>
      <c r="AW460" s="34"/>
      <c r="AX460" s="34"/>
      <c r="AY460" s="34"/>
      <c r="AZ460" s="34"/>
      <c r="BA460" s="34"/>
      <c r="BB460" s="34"/>
      <c r="BD460" s="34"/>
      <c r="BE460" s="34"/>
      <c r="BF460" s="34"/>
      <c r="BG460" s="34"/>
      <c r="BH460" s="34"/>
      <c r="BI460" s="34"/>
      <c r="BJ460" s="34"/>
      <c r="BK460" s="34"/>
      <c r="BL460" s="34"/>
      <c r="BM460" s="34"/>
      <c r="BN460" s="34"/>
      <c r="BO460" s="34"/>
      <c r="BP460" s="34"/>
      <c r="BQ460" s="34"/>
      <c r="BR460" s="34"/>
      <c r="BS460" s="34"/>
      <c r="BT460" s="34"/>
      <c r="BU460" s="34"/>
      <c r="BV460" s="34"/>
      <c r="BW460" s="34"/>
      <c r="BX460" s="34"/>
      <c r="BY460" s="34"/>
    </row>
    <row r="461" spans="1:77" x14ac:dyDescent="0.3">
      <c r="A461" s="39"/>
      <c r="B461" s="42"/>
      <c r="C461" s="42"/>
      <c r="D461" s="75"/>
      <c r="E461" s="75"/>
      <c r="F461" s="76"/>
      <c r="G461" s="47"/>
      <c r="H461" s="47"/>
      <c r="I461" s="75"/>
      <c r="J461" s="76"/>
      <c r="K461" s="76"/>
      <c r="L461" s="75"/>
      <c r="M461" s="49"/>
      <c r="N461" s="76"/>
      <c r="O461" s="49"/>
      <c r="P461" s="77"/>
      <c r="Q461" s="53"/>
      <c r="R461" s="54"/>
      <c r="S461" s="55"/>
      <c r="T461" s="56"/>
      <c r="U461" s="56"/>
      <c r="V461" s="42"/>
      <c r="W461" s="57"/>
      <c r="X461" s="58"/>
      <c r="Y461" s="75"/>
      <c r="Z461" s="59"/>
      <c r="AA461" s="61"/>
      <c r="AB461" s="61"/>
      <c r="AC461" s="61"/>
      <c r="AD461" s="62"/>
      <c r="AE461" s="62"/>
      <c r="AF461" s="34"/>
      <c r="AG461" s="34"/>
      <c r="AH461" s="34"/>
      <c r="AI461" s="34"/>
      <c r="AJ461" s="34"/>
      <c r="AK461" s="34"/>
      <c r="AL461" s="34"/>
      <c r="AM461" s="34"/>
      <c r="AN461" s="34"/>
      <c r="AO461" s="34"/>
      <c r="AP461" s="34"/>
      <c r="AQ461" s="34"/>
      <c r="AR461" s="34"/>
      <c r="AS461" s="34"/>
      <c r="AT461" s="34"/>
      <c r="AU461" s="34"/>
      <c r="AV461" s="34"/>
      <c r="AW461" s="34"/>
      <c r="AX461" s="34"/>
      <c r="AY461" s="34"/>
      <c r="AZ461" s="34"/>
      <c r="BA461" s="34"/>
      <c r="BB461" s="34"/>
      <c r="BD461" s="34"/>
      <c r="BE461" s="34"/>
      <c r="BF461" s="34"/>
      <c r="BG461" s="34"/>
      <c r="BH461" s="34"/>
      <c r="BI461" s="34"/>
      <c r="BJ461" s="34"/>
      <c r="BK461" s="34"/>
      <c r="BL461" s="34"/>
      <c r="BM461" s="34"/>
      <c r="BN461" s="34"/>
      <c r="BO461" s="34"/>
      <c r="BP461" s="34"/>
      <c r="BQ461" s="34"/>
      <c r="BR461" s="34"/>
      <c r="BS461" s="34"/>
      <c r="BT461" s="34"/>
      <c r="BU461" s="34"/>
      <c r="BV461" s="34"/>
      <c r="BW461" s="34"/>
      <c r="BX461" s="34"/>
      <c r="BY461" s="34"/>
    </row>
    <row r="462" spans="1:77" x14ac:dyDescent="0.3">
      <c r="A462" s="39"/>
      <c r="B462" s="42"/>
      <c r="C462" s="42"/>
      <c r="D462" s="75"/>
      <c r="E462" s="75"/>
      <c r="F462" s="76"/>
      <c r="G462" s="47"/>
      <c r="H462" s="47"/>
      <c r="I462" s="75"/>
      <c r="J462" s="76"/>
      <c r="K462" s="76"/>
      <c r="L462" s="75"/>
      <c r="M462" s="49"/>
      <c r="N462" s="76"/>
      <c r="O462" s="49"/>
      <c r="P462" s="77"/>
      <c r="Q462" s="53"/>
      <c r="R462" s="54"/>
      <c r="S462" s="55"/>
      <c r="T462" s="56"/>
      <c r="U462" s="56"/>
      <c r="V462" s="42"/>
      <c r="W462" s="57"/>
      <c r="X462" s="58"/>
      <c r="Y462" s="75"/>
      <c r="Z462" s="59"/>
      <c r="AA462" s="61"/>
      <c r="AB462" s="61"/>
      <c r="AC462" s="61"/>
      <c r="AD462" s="62"/>
      <c r="AE462" s="62"/>
      <c r="AF462" s="34"/>
      <c r="AG462" s="34"/>
      <c r="AH462" s="34"/>
      <c r="AI462" s="34"/>
      <c r="AJ462" s="34"/>
      <c r="AK462" s="34"/>
      <c r="AL462" s="34"/>
      <c r="AM462" s="34"/>
      <c r="AN462" s="34"/>
      <c r="AO462" s="34"/>
      <c r="AP462" s="34"/>
      <c r="AQ462" s="34"/>
      <c r="AR462" s="34"/>
      <c r="AS462" s="34"/>
      <c r="AT462" s="34"/>
      <c r="AU462" s="34"/>
      <c r="AV462" s="34"/>
      <c r="AW462" s="34"/>
      <c r="AX462" s="34"/>
      <c r="AY462" s="34"/>
      <c r="AZ462" s="34"/>
      <c r="BA462" s="34"/>
      <c r="BB462" s="34"/>
      <c r="BD462" s="34"/>
      <c r="BE462" s="34"/>
      <c r="BF462" s="34"/>
      <c r="BG462" s="34"/>
      <c r="BH462" s="34"/>
      <c r="BI462" s="34"/>
      <c r="BJ462" s="34"/>
      <c r="BK462" s="34"/>
      <c r="BL462" s="34"/>
      <c r="BM462" s="34"/>
      <c r="BN462" s="34"/>
      <c r="BO462" s="34"/>
      <c r="BP462" s="34"/>
      <c r="BQ462" s="34"/>
      <c r="BR462" s="34"/>
      <c r="BS462" s="34"/>
      <c r="BT462" s="34"/>
      <c r="BU462" s="34"/>
      <c r="BV462" s="34"/>
      <c r="BW462" s="34"/>
      <c r="BX462" s="34"/>
      <c r="BY462" s="34"/>
    </row>
    <row r="463" spans="1:77" x14ac:dyDescent="0.3">
      <c r="A463" s="39"/>
      <c r="B463" s="42"/>
      <c r="C463" s="42"/>
      <c r="D463" s="75"/>
      <c r="E463" s="75"/>
      <c r="F463" s="76"/>
      <c r="G463" s="47"/>
      <c r="H463" s="47"/>
      <c r="I463" s="75"/>
      <c r="J463" s="76"/>
      <c r="K463" s="76"/>
      <c r="L463" s="75"/>
      <c r="M463" s="49"/>
      <c r="N463" s="76"/>
      <c r="O463" s="49"/>
      <c r="P463" s="77"/>
      <c r="Q463" s="53"/>
      <c r="R463" s="54"/>
      <c r="S463" s="55"/>
      <c r="T463" s="56"/>
      <c r="U463" s="56"/>
      <c r="V463" s="42"/>
      <c r="W463" s="57"/>
      <c r="X463" s="58"/>
      <c r="Y463" s="75"/>
      <c r="Z463" s="59"/>
      <c r="AA463" s="61"/>
      <c r="AB463" s="61"/>
      <c r="AC463" s="61"/>
      <c r="AD463" s="62"/>
      <c r="AE463" s="62"/>
      <c r="AF463" s="34"/>
      <c r="AG463" s="34"/>
      <c r="AH463" s="34"/>
      <c r="AI463" s="34"/>
      <c r="AJ463" s="34"/>
      <c r="AK463" s="34"/>
      <c r="AL463" s="34"/>
      <c r="AM463" s="34"/>
      <c r="AN463" s="34"/>
      <c r="AO463" s="34"/>
      <c r="AP463" s="34"/>
      <c r="AQ463" s="34"/>
      <c r="AR463" s="34"/>
      <c r="AS463" s="34"/>
      <c r="AT463" s="34"/>
      <c r="AU463" s="34"/>
      <c r="AV463" s="34"/>
      <c r="AW463" s="34"/>
      <c r="AX463" s="34"/>
      <c r="AY463" s="34"/>
      <c r="AZ463" s="34"/>
      <c r="BA463" s="34"/>
      <c r="BB463" s="34"/>
      <c r="BD463" s="34"/>
      <c r="BE463" s="34"/>
      <c r="BF463" s="34"/>
      <c r="BG463" s="34"/>
      <c r="BH463" s="34"/>
      <c r="BI463" s="34"/>
      <c r="BJ463" s="34"/>
      <c r="BK463" s="34"/>
      <c r="BL463" s="34"/>
      <c r="BM463" s="34"/>
      <c r="BN463" s="34"/>
      <c r="BO463" s="34"/>
      <c r="BP463" s="34"/>
      <c r="BQ463" s="34"/>
      <c r="BR463" s="34"/>
      <c r="BS463" s="34"/>
      <c r="BT463" s="34"/>
      <c r="BU463" s="34"/>
      <c r="BV463" s="34"/>
      <c r="BW463" s="34"/>
      <c r="BX463" s="34"/>
      <c r="BY463" s="34"/>
    </row>
    <row r="464" spans="1:77" x14ac:dyDescent="0.3">
      <c r="A464" s="39"/>
      <c r="B464" s="42"/>
      <c r="C464" s="42"/>
      <c r="D464" s="75"/>
      <c r="E464" s="75"/>
      <c r="F464" s="76"/>
      <c r="G464" s="47"/>
      <c r="H464" s="47"/>
      <c r="I464" s="75"/>
      <c r="J464" s="76"/>
      <c r="K464" s="76"/>
      <c r="L464" s="75"/>
      <c r="M464" s="49"/>
      <c r="N464" s="76"/>
      <c r="O464" s="49"/>
      <c r="P464" s="77"/>
      <c r="Q464" s="53"/>
      <c r="R464" s="54"/>
      <c r="S464" s="55"/>
      <c r="T464" s="56"/>
      <c r="U464" s="56"/>
      <c r="V464" s="42"/>
      <c r="W464" s="57"/>
      <c r="X464" s="58"/>
      <c r="Y464" s="75"/>
      <c r="Z464" s="59"/>
      <c r="AA464" s="61"/>
      <c r="AB464" s="61"/>
      <c r="AC464" s="61"/>
      <c r="AD464" s="62"/>
      <c r="AE464" s="62"/>
      <c r="AF464" s="34"/>
      <c r="AG464" s="34"/>
      <c r="AH464" s="34"/>
      <c r="AI464" s="34"/>
      <c r="AJ464" s="34"/>
      <c r="AK464" s="34"/>
      <c r="AL464" s="34"/>
      <c r="AM464" s="34"/>
      <c r="AN464" s="34"/>
      <c r="AO464" s="34"/>
      <c r="AP464" s="34"/>
      <c r="AQ464" s="34"/>
      <c r="AR464" s="34"/>
      <c r="AS464" s="34"/>
      <c r="AT464" s="34"/>
      <c r="AU464" s="34"/>
      <c r="AV464" s="34"/>
      <c r="AW464" s="34"/>
      <c r="AX464" s="34"/>
      <c r="AY464" s="34"/>
      <c r="AZ464" s="34"/>
      <c r="BA464" s="34"/>
      <c r="BB464" s="34"/>
      <c r="BD464" s="34"/>
      <c r="BE464" s="34"/>
      <c r="BF464" s="34"/>
      <c r="BG464" s="34"/>
      <c r="BH464" s="34"/>
      <c r="BI464" s="34"/>
      <c r="BJ464" s="34"/>
      <c r="BK464" s="34"/>
      <c r="BL464" s="34"/>
      <c r="BM464" s="34"/>
      <c r="BN464" s="34"/>
      <c r="BO464" s="34"/>
      <c r="BP464" s="34"/>
      <c r="BQ464" s="34"/>
      <c r="BR464" s="34"/>
      <c r="BS464" s="34"/>
      <c r="BT464" s="34"/>
      <c r="BU464" s="34"/>
      <c r="BV464" s="34"/>
      <c r="BW464" s="34"/>
      <c r="BX464" s="34"/>
      <c r="BY464" s="34"/>
    </row>
    <row r="465" spans="1:77" x14ac:dyDescent="0.3">
      <c r="A465" s="39"/>
      <c r="B465" s="42"/>
      <c r="C465" s="42"/>
      <c r="D465" s="75"/>
      <c r="E465" s="75"/>
      <c r="F465" s="76"/>
      <c r="G465" s="47"/>
      <c r="H465" s="47"/>
      <c r="I465" s="75"/>
      <c r="J465" s="76"/>
      <c r="K465" s="76"/>
      <c r="L465" s="75"/>
      <c r="M465" s="49"/>
      <c r="N465" s="76"/>
      <c r="O465" s="49"/>
      <c r="P465" s="77"/>
      <c r="Q465" s="53"/>
      <c r="R465" s="54"/>
      <c r="S465" s="55"/>
      <c r="T465" s="56"/>
      <c r="U465" s="56"/>
      <c r="V465" s="42"/>
      <c r="W465" s="57"/>
      <c r="X465" s="58"/>
      <c r="Y465" s="75"/>
      <c r="Z465" s="59"/>
      <c r="AA465" s="61"/>
      <c r="AB465" s="61"/>
      <c r="AC465" s="61"/>
      <c r="AD465" s="62"/>
      <c r="AE465" s="62"/>
      <c r="AF465" s="34"/>
      <c r="AG465" s="34"/>
      <c r="AH465" s="34"/>
      <c r="AI465" s="34"/>
      <c r="AJ465" s="34"/>
      <c r="AK465" s="34"/>
      <c r="AL465" s="34"/>
      <c r="AM465" s="34"/>
      <c r="AN465" s="34"/>
      <c r="AO465" s="34"/>
      <c r="AP465" s="34"/>
      <c r="AQ465" s="34"/>
      <c r="AR465" s="34"/>
      <c r="AS465" s="34"/>
      <c r="AT465" s="34"/>
      <c r="AU465" s="34"/>
      <c r="AV465" s="34"/>
      <c r="AW465" s="34"/>
      <c r="AX465" s="34"/>
      <c r="AY465" s="34"/>
      <c r="AZ465" s="34"/>
      <c r="BA465" s="34"/>
      <c r="BB465" s="34"/>
      <c r="BD465" s="34"/>
      <c r="BE465" s="34"/>
      <c r="BF465" s="34"/>
      <c r="BG465" s="34"/>
      <c r="BH465" s="34"/>
      <c r="BI465" s="34"/>
      <c r="BJ465" s="34"/>
      <c r="BK465" s="34"/>
      <c r="BL465" s="34"/>
      <c r="BM465" s="34"/>
      <c r="BN465" s="34"/>
      <c r="BO465" s="34"/>
      <c r="BP465" s="34"/>
      <c r="BQ465" s="34"/>
      <c r="BR465" s="34"/>
      <c r="BS465" s="34"/>
      <c r="BT465" s="34"/>
      <c r="BU465" s="34"/>
      <c r="BV465" s="34"/>
      <c r="BW465" s="34"/>
      <c r="BX465" s="34"/>
      <c r="BY465" s="34"/>
    </row>
    <row r="466" spans="1:77" x14ac:dyDescent="0.3">
      <c r="A466" s="39"/>
      <c r="B466" s="42"/>
      <c r="C466" s="42"/>
      <c r="D466" s="75"/>
      <c r="E466" s="75"/>
      <c r="F466" s="76"/>
      <c r="G466" s="47"/>
      <c r="H466" s="47"/>
      <c r="I466" s="75"/>
      <c r="J466" s="76"/>
      <c r="K466" s="76"/>
      <c r="L466" s="75"/>
      <c r="M466" s="49"/>
      <c r="N466" s="76"/>
      <c r="O466" s="49"/>
      <c r="P466" s="77"/>
      <c r="Q466" s="53"/>
      <c r="R466" s="54"/>
      <c r="S466" s="55"/>
      <c r="T466" s="56"/>
      <c r="U466" s="56"/>
      <c r="V466" s="42"/>
      <c r="W466" s="57"/>
      <c r="X466" s="58"/>
      <c r="Y466" s="75"/>
      <c r="Z466" s="59"/>
      <c r="AA466" s="61"/>
      <c r="AB466" s="61"/>
      <c r="AC466" s="61"/>
      <c r="AD466" s="62"/>
      <c r="AE466" s="62"/>
      <c r="AF466" s="34"/>
      <c r="AG466" s="34"/>
      <c r="AH466" s="34"/>
      <c r="AI466" s="34"/>
      <c r="AJ466" s="34"/>
      <c r="AK466" s="34"/>
      <c r="AL466" s="34"/>
      <c r="AM466" s="34"/>
      <c r="AN466" s="34"/>
      <c r="AO466" s="34"/>
      <c r="AP466" s="34"/>
      <c r="AQ466" s="34"/>
      <c r="AR466" s="34"/>
      <c r="AS466" s="34"/>
      <c r="AT466" s="34"/>
      <c r="AU466" s="34"/>
      <c r="AV466" s="34"/>
      <c r="AW466" s="34"/>
      <c r="AX466" s="34"/>
      <c r="AY466" s="34"/>
      <c r="AZ466" s="34"/>
      <c r="BA466" s="34"/>
      <c r="BB466" s="34"/>
      <c r="BD466" s="34"/>
      <c r="BE466" s="34"/>
      <c r="BF466" s="34"/>
      <c r="BG466" s="34"/>
      <c r="BH466" s="34"/>
      <c r="BI466" s="34"/>
      <c r="BJ466" s="34"/>
      <c r="BK466" s="34"/>
      <c r="BL466" s="34"/>
      <c r="BM466" s="34"/>
      <c r="BN466" s="34"/>
      <c r="BO466" s="34"/>
      <c r="BP466" s="34"/>
      <c r="BQ466" s="34"/>
      <c r="BR466" s="34"/>
      <c r="BS466" s="34"/>
      <c r="BT466" s="34"/>
      <c r="BU466" s="34"/>
      <c r="BV466" s="34"/>
      <c r="BW466" s="34"/>
      <c r="BX466" s="34"/>
      <c r="BY466" s="34"/>
    </row>
    <row r="467" spans="1:77" x14ac:dyDescent="0.3">
      <c r="A467" s="39"/>
      <c r="B467" s="42"/>
      <c r="C467" s="42"/>
      <c r="D467" s="75"/>
      <c r="E467" s="75"/>
      <c r="F467" s="76"/>
      <c r="G467" s="47"/>
      <c r="H467" s="47"/>
      <c r="I467" s="75"/>
      <c r="J467" s="76"/>
      <c r="K467" s="76"/>
      <c r="L467" s="75"/>
      <c r="M467" s="49"/>
      <c r="N467" s="76"/>
      <c r="O467" s="49"/>
      <c r="P467" s="77"/>
      <c r="Q467" s="53"/>
      <c r="R467" s="54"/>
      <c r="S467" s="55"/>
      <c r="T467" s="56"/>
      <c r="U467" s="56"/>
      <c r="V467" s="42"/>
      <c r="W467" s="57"/>
      <c r="X467" s="58"/>
      <c r="Y467" s="75"/>
      <c r="Z467" s="59"/>
      <c r="AA467" s="61"/>
      <c r="AB467" s="61"/>
      <c r="AC467" s="61"/>
      <c r="AD467" s="62"/>
      <c r="AE467" s="62"/>
      <c r="AF467" s="34"/>
      <c r="AG467" s="34"/>
      <c r="AH467" s="34"/>
      <c r="AI467" s="34"/>
      <c r="AJ467" s="34"/>
      <c r="AK467" s="34"/>
      <c r="AL467" s="34"/>
      <c r="AM467" s="34"/>
      <c r="AN467" s="34"/>
      <c r="AO467" s="34"/>
      <c r="AP467" s="34"/>
      <c r="AQ467" s="34"/>
      <c r="AR467" s="34"/>
      <c r="AS467" s="34"/>
      <c r="AT467" s="34"/>
      <c r="AU467" s="34"/>
      <c r="AV467" s="34"/>
      <c r="AW467" s="34"/>
      <c r="AX467" s="34"/>
      <c r="AY467" s="34"/>
      <c r="AZ467" s="34"/>
      <c r="BA467" s="34"/>
      <c r="BB467" s="34"/>
      <c r="BD467" s="34"/>
      <c r="BE467" s="34"/>
      <c r="BF467" s="34"/>
      <c r="BG467" s="34"/>
      <c r="BH467" s="34"/>
      <c r="BI467" s="34"/>
      <c r="BJ467" s="34"/>
      <c r="BK467" s="34"/>
      <c r="BL467" s="34"/>
      <c r="BM467" s="34"/>
      <c r="BN467" s="34"/>
      <c r="BO467" s="34"/>
      <c r="BP467" s="34"/>
      <c r="BQ467" s="34"/>
      <c r="BR467" s="34"/>
      <c r="BS467" s="34"/>
      <c r="BT467" s="34"/>
      <c r="BU467" s="34"/>
      <c r="BV467" s="34"/>
      <c r="BW467" s="34"/>
      <c r="BX467" s="34"/>
      <c r="BY467" s="34"/>
    </row>
    <row r="468" spans="1:77" x14ac:dyDescent="0.3">
      <c r="A468" s="39"/>
      <c r="B468" s="42"/>
      <c r="C468" s="42"/>
      <c r="D468" s="75"/>
      <c r="E468" s="75"/>
      <c r="F468" s="76"/>
      <c r="G468" s="47"/>
      <c r="H468" s="47"/>
      <c r="I468" s="75"/>
      <c r="J468" s="76"/>
      <c r="K468" s="76"/>
      <c r="L468" s="75"/>
      <c r="M468" s="49"/>
      <c r="N468" s="76"/>
      <c r="O468" s="49"/>
      <c r="P468" s="77"/>
      <c r="Q468" s="53"/>
      <c r="R468" s="54"/>
      <c r="S468" s="55"/>
      <c r="T468" s="56"/>
      <c r="U468" s="56"/>
      <c r="V468" s="42"/>
      <c r="W468" s="57"/>
      <c r="X468" s="58"/>
      <c r="Y468" s="75"/>
      <c r="Z468" s="59"/>
      <c r="AA468" s="61"/>
      <c r="AB468" s="61"/>
      <c r="AC468" s="61"/>
      <c r="AD468" s="62"/>
      <c r="AE468" s="62"/>
      <c r="AF468" s="34"/>
      <c r="AG468" s="34"/>
      <c r="AH468" s="34"/>
      <c r="AI468" s="34"/>
      <c r="AJ468" s="34"/>
      <c r="AK468" s="34"/>
      <c r="AL468" s="34"/>
      <c r="AM468" s="34"/>
      <c r="AN468" s="34"/>
      <c r="AO468" s="34"/>
      <c r="AP468" s="34"/>
      <c r="AQ468" s="34"/>
      <c r="AR468" s="34"/>
      <c r="AS468" s="34"/>
      <c r="AT468" s="34"/>
      <c r="AU468" s="34"/>
      <c r="AV468" s="34"/>
      <c r="AW468" s="34"/>
      <c r="AX468" s="34"/>
      <c r="AY468" s="34"/>
      <c r="AZ468" s="34"/>
      <c r="BA468" s="34"/>
      <c r="BB468" s="34"/>
      <c r="BD468" s="34"/>
      <c r="BE468" s="34"/>
      <c r="BF468" s="34"/>
      <c r="BG468" s="34"/>
      <c r="BH468" s="34"/>
      <c r="BI468" s="34"/>
      <c r="BJ468" s="34"/>
      <c r="BK468" s="34"/>
      <c r="BL468" s="34"/>
      <c r="BM468" s="34"/>
      <c r="BN468" s="34"/>
      <c r="BO468" s="34"/>
      <c r="BP468" s="34"/>
      <c r="BQ468" s="34"/>
      <c r="BR468" s="34"/>
      <c r="BS468" s="34"/>
      <c r="BT468" s="34"/>
      <c r="BU468" s="34"/>
      <c r="BV468" s="34"/>
      <c r="BW468" s="34"/>
      <c r="BX468" s="34"/>
      <c r="BY468" s="34"/>
    </row>
    <row r="469" spans="1:77" x14ac:dyDescent="0.3">
      <c r="A469" s="39"/>
      <c r="B469" s="42"/>
      <c r="C469" s="42"/>
      <c r="D469" s="75"/>
      <c r="E469" s="75"/>
      <c r="F469" s="76"/>
      <c r="G469" s="47"/>
      <c r="H469" s="47"/>
      <c r="I469" s="75"/>
      <c r="J469" s="76"/>
      <c r="K469" s="76"/>
      <c r="L469" s="75"/>
      <c r="M469" s="49"/>
      <c r="N469" s="76"/>
      <c r="O469" s="49"/>
      <c r="P469" s="77"/>
      <c r="Q469" s="53"/>
      <c r="R469" s="54"/>
      <c r="S469" s="55"/>
      <c r="T469" s="56"/>
      <c r="U469" s="56"/>
      <c r="V469" s="42"/>
      <c r="W469" s="57"/>
      <c r="X469" s="58"/>
      <c r="Y469" s="75"/>
      <c r="Z469" s="59"/>
      <c r="AA469" s="61"/>
      <c r="AB469" s="61"/>
      <c r="AC469" s="61"/>
      <c r="AD469" s="62"/>
      <c r="AE469" s="62"/>
      <c r="AF469" s="34"/>
      <c r="AG469" s="34"/>
      <c r="AH469" s="34"/>
      <c r="AI469" s="34"/>
      <c r="AJ469" s="34"/>
      <c r="AK469" s="34"/>
      <c r="AL469" s="34"/>
      <c r="AM469" s="34"/>
      <c r="AN469" s="34"/>
      <c r="AO469" s="34"/>
      <c r="AP469" s="34"/>
      <c r="AQ469" s="34"/>
      <c r="AR469" s="34"/>
      <c r="AS469" s="34"/>
      <c r="AT469" s="34"/>
      <c r="AU469" s="34"/>
      <c r="AV469" s="34"/>
      <c r="AW469" s="34"/>
      <c r="AX469" s="34"/>
      <c r="AY469" s="34"/>
      <c r="AZ469" s="34"/>
      <c r="BA469" s="34"/>
      <c r="BB469" s="34"/>
      <c r="BD469" s="34"/>
      <c r="BE469" s="34"/>
      <c r="BF469" s="34"/>
      <c r="BG469" s="34"/>
      <c r="BH469" s="34"/>
      <c r="BI469" s="34"/>
      <c r="BJ469" s="34"/>
      <c r="BK469" s="34"/>
      <c r="BL469" s="34"/>
      <c r="BM469" s="34"/>
      <c r="BN469" s="34"/>
      <c r="BO469" s="34"/>
      <c r="BP469" s="34"/>
      <c r="BQ469" s="34"/>
      <c r="BR469" s="34"/>
      <c r="BS469" s="34"/>
      <c r="BT469" s="34"/>
      <c r="BU469" s="34"/>
      <c r="BV469" s="34"/>
      <c r="BW469" s="34"/>
      <c r="BX469" s="34"/>
      <c r="BY469" s="34"/>
    </row>
    <row r="470" spans="1:77" x14ac:dyDescent="0.3">
      <c r="A470" s="39"/>
      <c r="B470" s="42"/>
      <c r="C470" s="42"/>
      <c r="D470" s="75"/>
      <c r="E470" s="75"/>
      <c r="F470" s="76"/>
      <c r="G470" s="47"/>
      <c r="H470" s="47"/>
      <c r="I470" s="75"/>
      <c r="J470" s="76"/>
      <c r="K470" s="76"/>
      <c r="L470" s="75"/>
      <c r="M470" s="49"/>
      <c r="N470" s="76"/>
      <c r="O470" s="49"/>
      <c r="P470" s="77"/>
      <c r="Q470" s="53"/>
      <c r="R470" s="54"/>
      <c r="S470" s="55"/>
      <c r="T470" s="56"/>
      <c r="U470" s="56"/>
      <c r="V470" s="42"/>
      <c r="W470" s="57"/>
      <c r="X470" s="58"/>
      <c r="Y470" s="75"/>
      <c r="Z470" s="59"/>
      <c r="AA470" s="61"/>
      <c r="AB470" s="61"/>
      <c r="AC470" s="61"/>
      <c r="AD470" s="62"/>
      <c r="AE470" s="62"/>
      <c r="AF470" s="34"/>
      <c r="AG470" s="34"/>
      <c r="AH470" s="34"/>
      <c r="AI470" s="34"/>
      <c r="AJ470" s="34"/>
      <c r="AK470" s="34"/>
      <c r="AL470" s="34"/>
      <c r="AM470" s="34"/>
      <c r="AN470" s="34"/>
      <c r="AO470" s="34"/>
      <c r="AP470" s="34"/>
      <c r="AQ470" s="34"/>
      <c r="AR470" s="34"/>
      <c r="AS470" s="34"/>
      <c r="AT470" s="34"/>
      <c r="AU470" s="34"/>
      <c r="AV470" s="34"/>
      <c r="AW470" s="34"/>
      <c r="AX470" s="34"/>
      <c r="AY470" s="34"/>
      <c r="AZ470" s="34"/>
      <c r="BA470" s="34"/>
      <c r="BB470" s="34"/>
      <c r="BD470" s="34"/>
      <c r="BE470" s="34"/>
      <c r="BF470" s="34"/>
      <c r="BG470" s="34"/>
      <c r="BH470" s="34"/>
      <c r="BI470" s="34"/>
      <c r="BJ470" s="34"/>
      <c r="BK470" s="34"/>
      <c r="BL470" s="34"/>
      <c r="BM470" s="34"/>
      <c r="BN470" s="34"/>
      <c r="BO470" s="34"/>
      <c r="BP470" s="34"/>
      <c r="BQ470" s="34"/>
      <c r="BR470" s="34"/>
      <c r="BS470" s="34"/>
      <c r="BT470" s="34"/>
      <c r="BU470" s="34"/>
      <c r="BV470" s="34"/>
      <c r="BW470" s="34"/>
      <c r="BX470" s="34"/>
      <c r="BY470" s="34"/>
    </row>
    <row r="471" spans="1:77" x14ac:dyDescent="0.3">
      <c r="A471" s="39"/>
      <c r="B471" s="42"/>
      <c r="C471" s="42"/>
      <c r="D471" s="75"/>
      <c r="E471" s="75"/>
      <c r="F471" s="76"/>
      <c r="G471" s="47"/>
      <c r="H471" s="47"/>
      <c r="I471" s="75"/>
      <c r="J471" s="76"/>
      <c r="K471" s="76"/>
      <c r="L471" s="75"/>
      <c r="M471" s="49"/>
      <c r="N471" s="76"/>
      <c r="O471" s="49"/>
      <c r="P471" s="77"/>
      <c r="Q471" s="53"/>
      <c r="R471" s="54"/>
      <c r="S471" s="55"/>
      <c r="T471" s="56"/>
      <c r="U471" s="56"/>
      <c r="V471" s="42"/>
      <c r="W471" s="57"/>
      <c r="X471" s="58"/>
      <c r="Y471" s="75"/>
      <c r="Z471" s="59"/>
      <c r="AA471" s="61"/>
      <c r="AB471" s="61"/>
      <c r="AC471" s="61"/>
      <c r="AD471" s="62"/>
      <c r="AE471" s="62"/>
      <c r="AF471" s="34"/>
      <c r="AG471" s="34"/>
      <c r="AH471" s="34"/>
      <c r="AI471" s="34"/>
      <c r="AJ471" s="34"/>
      <c r="AK471" s="34"/>
      <c r="AL471" s="34"/>
      <c r="AM471" s="34"/>
      <c r="AN471" s="34"/>
      <c r="AO471" s="34"/>
      <c r="AP471" s="34"/>
      <c r="AQ471" s="34"/>
      <c r="AR471" s="34"/>
      <c r="AS471" s="34"/>
      <c r="AT471" s="34"/>
      <c r="AU471" s="34"/>
      <c r="AV471" s="34"/>
      <c r="AW471" s="34"/>
      <c r="AX471" s="34"/>
      <c r="AY471" s="34"/>
      <c r="AZ471" s="34"/>
      <c r="BA471" s="34"/>
      <c r="BB471" s="34"/>
      <c r="BD471" s="34"/>
      <c r="BE471" s="34"/>
      <c r="BF471" s="34"/>
      <c r="BG471" s="34"/>
      <c r="BH471" s="34"/>
      <c r="BI471" s="34"/>
      <c r="BJ471" s="34"/>
      <c r="BK471" s="34"/>
      <c r="BL471" s="34"/>
      <c r="BM471" s="34"/>
      <c r="BN471" s="34"/>
      <c r="BO471" s="34"/>
      <c r="BP471" s="34"/>
      <c r="BQ471" s="34"/>
      <c r="BR471" s="34"/>
      <c r="BS471" s="34"/>
      <c r="BT471" s="34"/>
      <c r="BU471" s="34"/>
      <c r="BV471" s="34"/>
      <c r="BW471" s="34"/>
      <c r="BX471" s="34"/>
      <c r="BY471" s="34"/>
    </row>
    <row r="472" spans="1:77" x14ac:dyDescent="0.3">
      <c r="A472" s="39"/>
      <c r="B472" s="42"/>
      <c r="C472" s="42"/>
      <c r="D472" s="75"/>
      <c r="E472" s="75"/>
      <c r="F472" s="76"/>
      <c r="G472" s="47"/>
      <c r="H472" s="47"/>
      <c r="I472" s="75"/>
      <c r="J472" s="76"/>
      <c r="K472" s="76"/>
      <c r="L472" s="75"/>
      <c r="M472" s="49"/>
      <c r="N472" s="76"/>
      <c r="O472" s="49"/>
      <c r="P472" s="77"/>
      <c r="Q472" s="53"/>
      <c r="R472" s="54"/>
      <c r="S472" s="55"/>
      <c r="T472" s="56"/>
      <c r="U472" s="56"/>
      <c r="V472" s="42"/>
      <c r="W472" s="57"/>
      <c r="X472" s="58"/>
      <c r="Y472" s="75"/>
      <c r="Z472" s="59"/>
      <c r="AA472" s="61"/>
      <c r="AB472" s="61"/>
      <c r="AC472" s="61"/>
      <c r="AD472" s="62"/>
      <c r="AE472" s="62"/>
      <c r="AF472" s="34"/>
      <c r="AG472" s="34"/>
      <c r="AH472" s="34"/>
      <c r="AI472" s="34"/>
      <c r="AJ472" s="34"/>
      <c r="AK472" s="34"/>
      <c r="AL472" s="34"/>
      <c r="AM472" s="34"/>
      <c r="AN472" s="34"/>
      <c r="AO472" s="34"/>
      <c r="AP472" s="34"/>
      <c r="AQ472" s="34"/>
      <c r="AR472" s="34"/>
      <c r="AS472" s="34"/>
      <c r="AT472" s="34"/>
      <c r="AU472" s="34"/>
      <c r="AV472" s="34"/>
      <c r="AW472" s="34"/>
      <c r="AX472" s="34"/>
      <c r="AY472" s="34"/>
      <c r="AZ472" s="34"/>
      <c r="BA472" s="34"/>
      <c r="BB472" s="34"/>
      <c r="BD472" s="34"/>
      <c r="BE472" s="34"/>
      <c r="BF472" s="34"/>
      <c r="BG472" s="34"/>
      <c r="BH472" s="34"/>
      <c r="BI472" s="34"/>
      <c r="BJ472" s="34"/>
      <c r="BK472" s="34"/>
      <c r="BL472" s="34"/>
      <c r="BM472" s="34"/>
      <c r="BN472" s="34"/>
      <c r="BO472" s="34"/>
      <c r="BP472" s="34"/>
      <c r="BQ472" s="34"/>
      <c r="BR472" s="34"/>
      <c r="BS472" s="34"/>
      <c r="BT472" s="34"/>
      <c r="BU472" s="34"/>
      <c r="BV472" s="34"/>
      <c r="BW472" s="34"/>
      <c r="BX472" s="34"/>
      <c r="BY472" s="34"/>
    </row>
    <row r="473" spans="1:77" x14ac:dyDescent="0.3">
      <c r="A473" s="39"/>
      <c r="B473" s="42"/>
      <c r="C473" s="42"/>
      <c r="D473" s="75"/>
      <c r="E473" s="75"/>
      <c r="F473" s="76"/>
      <c r="G473" s="47"/>
      <c r="H473" s="47"/>
      <c r="I473" s="75"/>
      <c r="J473" s="76"/>
      <c r="K473" s="76"/>
      <c r="L473" s="75"/>
      <c r="M473" s="49"/>
      <c r="N473" s="76"/>
      <c r="O473" s="49"/>
      <c r="P473" s="77"/>
      <c r="Q473" s="53"/>
      <c r="R473" s="54"/>
      <c r="S473" s="55"/>
      <c r="T473" s="56"/>
      <c r="U473" s="56"/>
      <c r="V473" s="42"/>
      <c r="W473" s="57"/>
      <c r="X473" s="58"/>
      <c r="Y473" s="75"/>
      <c r="Z473" s="59"/>
      <c r="AA473" s="61"/>
      <c r="AB473" s="61"/>
      <c r="AC473" s="61"/>
      <c r="AD473" s="62"/>
      <c r="AE473" s="62"/>
      <c r="AF473" s="34"/>
      <c r="AG473" s="34"/>
      <c r="AH473" s="34"/>
      <c r="AI473" s="34"/>
      <c r="AJ473" s="34"/>
      <c r="AK473" s="34"/>
      <c r="AL473" s="34"/>
      <c r="AM473" s="34"/>
      <c r="AN473" s="34"/>
      <c r="AO473" s="34"/>
      <c r="AP473" s="34"/>
      <c r="AQ473" s="34"/>
      <c r="AR473" s="34"/>
      <c r="AS473" s="34"/>
      <c r="AT473" s="34"/>
      <c r="AU473" s="34"/>
      <c r="AV473" s="34"/>
      <c r="AW473" s="34"/>
      <c r="AX473" s="34"/>
      <c r="AY473" s="34"/>
      <c r="AZ473" s="34"/>
      <c r="BA473" s="34"/>
      <c r="BB473" s="34"/>
      <c r="BD473" s="34"/>
      <c r="BE473" s="34"/>
      <c r="BF473" s="34"/>
      <c r="BG473" s="34"/>
      <c r="BH473" s="34"/>
      <c r="BI473" s="34"/>
      <c r="BJ473" s="34"/>
      <c r="BK473" s="34"/>
      <c r="BL473" s="34"/>
      <c r="BM473" s="34"/>
      <c r="BN473" s="34"/>
      <c r="BO473" s="34"/>
      <c r="BP473" s="34"/>
      <c r="BQ473" s="34"/>
      <c r="BR473" s="34"/>
      <c r="BS473" s="34"/>
      <c r="BT473" s="34"/>
      <c r="BU473" s="34"/>
      <c r="BV473" s="34"/>
      <c r="BW473" s="34"/>
      <c r="BX473" s="34"/>
      <c r="BY473" s="34"/>
    </row>
    <row r="474" spans="1:77" x14ac:dyDescent="0.3">
      <c r="A474" s="39"/>
      <c r="B474" s="42"/>
      <c r="C474" s="42"/>
      <c r="D474" s="75"/>
      <c r="E474" s="75"/>
      <c r="F474" s="76"/>
      <c r="G474" s="47"/>
      <c r="H474" s="47"/>
      <c r="I474" s="75"/>
      <c r="J474" s="76"/>
      <c r="K474" s="76"/>
      <c r="L474" s="75"/>
      <c r="M474" s="49"/>
      <c r="N474" s="76"/>
      <c r="O474" s="49"/>
      <c r="P474" s="77"/>
      <c r="Q474" s="53"/>
      <c r="R474" s="54"/>
      <c r="S474" s="55"/>
      <c r="T474" s="56"/>
      <c r="U474" s="56"/>
      <c r="V474" s="42"/>
      <c r="W474" s="57"/>
      <c r="X474" s="58"/>
      <c r="Y474" s="75"/>
      <c r="Z474" s="59"/>
      <c r="AA474" s="61"/>
      <c r="AB474" s="61"/>
      <c r="AC474" s="61"/>
      <c r="AD474" s="62"/>
      <c r="AE474" s="62"/>
      <c r="AF474" s="34"/>
      <c r="AG474" s="34"/>
      <c r="AH474" s="34"/>
      <c r="AI474" s="34"/>
      <c r="AJ474" s="34"/>
      <c r="AK474" s="34"/>
      <c r="AL474" s="34"/>
      <c r="AM474" s="34"/>
      <c r="AN474" s="34"/>
      <c r="AO474" s="34"/>
      <c r="AP474" s="34"/>
      <c r="AQ474" s="34"/>
      <c r="AR474" s="34"/>
      <c r="AS474" s="34"/>
      <c r="AT474" s="34"/>
      <c r="AU474" s="34"/>
      <c r="AV474" s="34"/>
      <c r="AW474" s="34"/>
      <c r="AX474" s="34"/>
      <c r="AY474" s="34"/>
      <c r="AZ474" s="34"/>
      <c r="BA474" s="34"/>
      <c r="BB474" s="34"/>
      <c r="BD474" s="34"/>
      <c r="BE474" s="34"/>
      <c r="BF474" s="34"/>
      <c r="BG474" s="34"/>
      <c r="BH474" s="34"/>
      <c r="BI474" s="34"/>
      <c r="BJ474" s="34"/>
      <c r="BK474" s="34"/>
      <c r="BL474" s="34"/>
      <c r="BM474" s="34"/>
      <c r="BN474" s="34"/>
      <c r="BO474" s="34"/>
      <c r="BP474" s="34"/>
      <c r="BQ474" s="34"/>
      <c r="BR474" s="34"/>
      <c r="BS474" s="34"/>
      <c r="BT474" s="34"/>
      <c r="BU474" s="34"/>
      <c r="BV474" s="34"/>
      <c r="BW474" s="34"/>
      <c r="BX474" s="34"/>
      <c r="BY474" s="34"/>
    </row>
    <row r="475" spans="1:77" x14ac:dyDescent="0.3">
      <c r="A475" s="39"/>
      <c r="B475" s="42"/>
      <c r="C475" s="42"/>
      <c r="D475" s="75"/>
      <c r="E475" s="75"/>
      <c r="F475" s="76"/>
      <c r="G475" s="47"/>
      <c r="H475" s="47"/>
      <c r="I475" s="75"/>
      <c r="J475" s="76"/>
      <c r="K475" s="76"/>
      <c r="L475" s="75"/>
      <c r="M475" s="49"/>
      <c r="N475" s="76"/>
      <c r="O475" s="49"/>
      <c r="P475" s="77"/>
      <c r="Q475" s="53"/>
      <c r="R475" s="54"/>
      <c r="S475" s="55"/>
      <c r="T475" s="56"/>
      <c r="U475" s="56"/>
      <c r="V475" s="42"/>
      <c r="W475" s="57"/>
      <c r="X475" s="58"/>
      <c r="Y475" s="75"/>
      <c r="Z475" s="59"/>
      <c r="AA475" s="61"/>
      <c r="AB475" s="61"/>
      <c r="AC475" s="61"/>
      <c r="AD475" s="62"/>
      <c r="AE475" s="62"/>
      <c r="AF475" s="34"/>
      <c r="AG475" s="34"/>
      <c r="AH475" s="34"/>
      <c r="AI475" s="34"/>
      <c r="AJ475" s="34"/>
      <c r="AK475" s="34"/>
      <c r="AL475" s="34"/>
      <c r="AM475" s="34"/>
      <c r="AN475" s="34"/>
      <c r="AO475" s="34"/>
      <c r="AP475" s="34"/>
      <c r="AQ475" s="34"/>
      <c r="AR475" s="34"/>
      <c r="AS475" s="34"/>
      <c r="AT475" s="34"/>
      <c r="AU475" s="34"/>
      <c r="AV475" s="34"/>
      <c r="AW475" s="34"/>
      <c r="AX475" s="34"/>
      <c r="AY475" s="34"/>
      <c r="AZ475" s="34"/>
      <c r="BA475" s="34"/>
      <c r="BB475" s="34"/>
      <c r="BD475" s="34"/>
      <c r="BE475" s="34"/>
      <c r="BF475" s="34"/>
      <c r="BG475" s="34"/>
      <c r="BH475" s="34"/>
      <c r="BI475" s="34"/>
      <c r="BJ475" s="34"/>
      <c r="BK475" s="34"/>
      <c r="BL475" s="34"/>
      <c r="BM475" s="34"/>
      <c r="BN475" s="34"/>
      <c r="BO475" s="34"/>
      <c r="BP475" s="34"/>
      <c r="BQ475" s="34"/>
      <c r="BR475" s="34"/>
      <c r="BS475" s="34"/>
      <c r="BT475" s="34"/>
      <c r="BU475" s="34"/>
      <c r="BV475" s="34"/>
      <c r="BW475" s="34"/>
      <c r="BX475" s="34"/>
      <c r="BY475" s="34"/>
    </row>
    <row r="476" spans="1:77" x14ac:dyDescent="0.3">
      <c r="A476" s="39"/>
      <c r="B476" s="42"/>
      <c r="C476" s="42"/>
      <c r="D476" s="75"/>
      <c r="E476" s="75"/>
      <c r="F476" s="76"/>
      <c r="G476" s="47"/>
      <c r="H476" s="47"/>
      <c r="I476" s="75"/>
      <c r="J476" s="76"/>
      <c r="K476" s="76"/>
      <c r="L476" s="75"/>
      <c r="M476" s="49"/>
      <c r="N476" s="76"/>
      <c r="O476" s="49"/>
      <c r="P476" s="77"/>
      <c r="Q476" s="53"/>
      <c r="R476" s="54"/>
      <c r="S476" s="55"/>
      <c r="T476" s="56"/>
      <c r="U476" s="56"/>
      <c r="V476" s="42"/>
      <c r="W476" s="57"/>
      <c r="X476" s="58"/>
      <c r="Y476" s="75"/>
      <c r="Z476" s="59"/>
      <c r="AA476" s="61"/>
      <c r="AB476" s="61"/>
      <c r="AC476" s="61"/>
      <c r="AD476" s="62"/>
      <c r="AE476" s="62"/>
      <c r="AF476" s="34"/>
      <c r="AG476" s="34"/>
      <c r="AH476" s="34"/>
      <c r="AI476" s="34"/>
      <c r="AJ476" s="34"/>
      <c r="AK476" s="34"/>
      <c r="AL476" s="34"/>
      <c r="AM476" s="34"/>
      <c r="AN476" s="34"/>
      <c r="AO476" s="34"/>
      <c r="AP476" s="34"/>
      <c r="AQ476" s="34"/>
      <c r="AR476" s="34"/>
      <c r="AS476" s="34"/>
      <c r="AT476" s="34"/>
      <c r="AU476" s="34"/>
      <c r="AV476" s="34"/>
      <c r="AW476" s="34"/>
      <c r="AX476" s="34"/>
      <c r="AY476" s="34"/>
      <c r="AZ476" s="34"/>
      <c r="BA476" s="34"/>
      <c r="BB476" s="34"/>
      <c r="BD476" s="34"/>
      <c r="BE476" s="34"/>
      <c r="BF476" s="34"/>
      <c r="BG476" s="34"/>
      <c r="BH476" s="34"/>
      <c r="BI476" s="34"/>
      <c r="BJ476" s="34"/>
      <c r="BK476" s="34"/>
      <c r="BL476" s="34"/>
      <c r="BM476" s="34"/>
      <c r="BN476" s="34"/>
      <c r="BO476" s="34"/>
      <c r="BP476" s="34"/>
      <c r="BQ476" s="34"/>
      <c r="BR476" s="34"/>
      <c r="BS476" s="34"/>
      <c r="BT476" s="34"/>
      <c r="BU476" s="34"/>
      <c r="BV476" s="34"/>
      <c r="BW476" s="34"/>
      <c r="BX476" s="34"/>
      <c r="BY476" s="34"/>
    </row>
    <row r="477" spans="1:77" x14ac:dyDescent="0.3">
      <c r="A477" s="39"/>
      <c r="B477" s="42"/>
      <c r="C477" s="42"/>
      <c r="D477" s="75"/>
      <c r="E477" s="75"/>
      <c r="F477" s="76"/>
      <c r="G477" s="47"/>
      <c r="H477" s="47"/>
      <c r="I477" s="75"/>
      <c r="J477" s="76"/>
      <c r="K477" s="76"/>
      <c r="L477" s="75"/>
      <c r="M477" s="49"/>
      <c r="N477" s="76"/>
      <c r="O477" s="49"/>
      <c r="P477" s="77"/>
      <c r="Q477" s="53"/>
      <c r="R477" s="54"/>
      <c r="S477" s="55"/>
      <c r="T477" s="56"/>
      <c r="U477" s="56"/>
      <c r="V477" s="42"/>
      <c r="W477" s="57"/>
      <c r="X477" s="58"/>
      <c r="Y477" s="75"/>
      <c r="Z477" s="59"/>
      <c r="AA477" s="61"/>
      <c r="AB477" s="61"/>
      <c r="AC477" s="61"/>
      <c r="AD477" s="62"/>
      <c r="AE477" s="62"/>
      <c r="AF477" s="34"/>
      <c r="AG477" s="34"/>
      <c r="AH477" s="34"/>
      <c r="AI477" s="34"/>
      <c r="AJ477" s="34"/>
      <c r="AK477" s="34"/>
      <c r="AL477" s="34"/>
      <c r="AM477" s="34"/>
      <c r="AN477" s="34"/>
      <c r="AO477" s="34"/>
      <c r="AP477" s="34"/>
      <c r="AQ477" s="34"/>
      <c r="AR477" s="34"/>
      <c r="AS477" s="34"/>
      <c r="AT477" s="34"/>
      <c r="AU477" s="34"/>
      <c r="AV477" s="34"/>
      <c r="AW477" s="34"/>
      <c r="AX477" s="34"/>
      <c r="AY477" s="34"/>
      <c r="AZ477" s="34"/>
      <c r="BA477" s="34"/>
      <c r="BB477" s="34"/>
      <c r="BD477" s="34"/>
      <c r="BE477" s="34"/>
      <c r="BF477" s="34"/>
      <c r="BG477" s="34"/>
      <c r="BH477" s="34"/>
      <c r="BI477" s="34"/>
      <c r="BJ477" s="34"/>
      <c r="BK477" s="34"/>
      <c r="BL477" s="34"/>
      <c r="BM477" s="34"/>
      <c r="BN477" s="34"/>
      <c r="BO477" s="34"/>
      <c r="BP477" s="34"/>
      <c r="BQ477" s="34"/>
      <c r="BR477" s="34"/>
      <c r="BS477" s="34"/>
      <c r="BT477" s="34"/>
      <c r="BU477" s="34"/>
      <c r="BV477" s="34"/>
      <c r="BW477" s="34"/>
      <c r="BX477" s="34"/>
      <c r="BY477" s="34"/>
    </row>
    <row r="478" spans="1:77" x14ac:dyDescent="0.3">
      <c r="A478" s="39"/>
      <c r="B478" s="42"/>
      <c r="C478" s="42"/>
      <c r="D478" s="75"/>
      <c r="E478" s="75"/>
      <c r="F478" s="76"/>
      <c r="G478" s="47"/>
      <c r="H478" s="47"/>
      <c r="I478" s="75"/>
      <c r="J478" s="76"/>
      <c r="K478" s="76"/>
      <c r="L478" s="75"/>
      <c r="M478" s="49"/>
      <c r="N478" s="76"/>
      <c r="O478" s="49"/>
      <c r="P478" s="77"/>
      <c r="Q478" s="53"/>
      <c r="R478" s="54"/>
      <c r="S478" s="55"/>
      <c r="T478" s="56"/>
      <c r="U478" s="56"/>
      <c r="V478" s="42"/>
      <c r="W478" s="57"/>
      <c r="X478" s="58"/>
      <c r="Y478" s="75"/>
      <c r="Z478" s="59"/>
      <c r="AA478" s="61"/>
      <c r="AB478" s="61"/>
      <c r="AC478" s="61"/>
      <c r="AD478" s="62"/>
      <c r="AE478" s="62"/>
      <c r="AF478" s="34"/>
      <c r="AG478" s="34"/>
      <c r="AH478" s="34"/>
      <c r="AI478" s="34"/>
      <c r="AJ478" s="34"/>
      <c r="AK478" s="34"/>
      <c r="AL478" s="34"/>
      <c r="AM478" s="34"/>
      <c r="AN478" s="34"/>
      <c r="AO478" s="34"/>
      <c r="AP478" s="34"/>
      <c r="AQ478" s="34"/>
      <c r="AR478" s="34"/>
      <c r="AS478" s="34"/>
      <c r="AT478" s="34"/>
      <c r="AU478" s="34"/>
      <c r="AV478" s="34"/>
      <c r="AW478" s="34"/>
      <c r="AX478" s="34"/>
      <c r="AY478" s="34"/>
      <c r="AZ478" s="34"/>
      <c r="BA478" s="34"/>
      <c r="BB478" s="34"/>
      <c r="BD478" s="34"/>
      <c r="BE478" s="34"/>
      <c r="BF478" s="34"/>
      <c r="BG478" s="34"/>
      <c r="BH478" s="34"/>
      <c r="BI478" s="34"/>
      <c r="BJ478" s="34"/>
      <c r="BK478" s="34"/>
      <c r="BL478" s="34"/>
      <c r="BM478" s="34"/>
      <c r="BN478" s="34"/>
      <c r="BO478" s="34"/>
      <c r="BP478" s="34"/>
      <c r="BQ478" s="34"/>
      <c r="BR478" s="34"/>
      <c r="BS478" s="34"/>
      <c r="BT478" s="34"/>
      <c r="BU478" s="34"/>
      <c r="BV478" s="34"/>
      <c r="BW478" s="34"/>
      <c r="BX478" s="34"/>
      <c r="BY478" s="34"/>
    </row>
    <row r="479" spans="1:77" x14ac:dyDescent="0.3">
      <c r="A479" s="39"/>
      <c r="B479" s="42"/>
      <c r="C479" s="42"/>
      <c r="D479" s="75"/>
      <c r="E479" s="75"/>
      <c r="F479" s="76"/>
      <c r="G479" s="47"/>
      <c r="H479" s="47"/>
      <c r="I479" s="75"/>
      <c r="J479" s="76"/>
      <c r="K479" s="76"/>
      <c r="L479" s="75"/>
      <c r="M479" s="49"/>
      <c r="N479" s="76"/>
      <c r="O479" s="49"/>
      <c r="P479" s="77"/>
      <c r="Q479" s="53"/>
      <c r="R479" s="54"/>
      <c r="S479" s="55"/>
      <c r="T479" s="56"/>
      <c r="U479" s="56"/>
      <c r="V479" s="42"/>
      <c r="W479" s="57"/>
      <c r="X479" s="58"/>
      <c r="Y479" s="75"/>
      <c r="Z479" s="59"/>
      <c r="AA479" s="61"/>
      <c r="AB479" s="61"/>
      <c r="AC479" s="61"/>
      <c r="AD479" s="62"/>
      <c r="AE479" s="62"/>
      <c r="AF479" s="34"/>
      <c r="AG479" s="34"/>
      <c r="AH479" s="34"/>
      <c r="AI479" s="34"/>
      <c r="AJ479" s="34"/>
      <c r="AK479" s="34"/>
      <c r="AL479" s="34"/>
      <c r="AM479" s="34"/>
      <c r="AN479" s="34"/>
      <c r="AO479" s="34"/>
      <c r="AP479" s="34"/>
      <c r="AQ479" s="34"/>
      <c r="AR479" s="34"/>
      <c r="AS479" s="34"/>
      <c r="AT479" s="34"/>
      <c r="AU479" s="34"/>
      <c r="AV479" s="34"/>
      <c r="AW479" s="34"/>
      <c r="AX479" s="34"/>
      <c r="AY479" s="34"/>
      <c r="AZ479" s="34"/>
      <c r="BA479" s="34"/>
      <c r="BB479" s="34"/>
      <c r="BD479" s="34"/>
      <c r="BE479" s="34"/>
      <c r="BF479" s="34"/>
      <c r="BG479" s="34"/>
      <c r="BH479" s="34"/>
      <c r="BI479" s="34"/>
      <c r="BJ479" s="34"/>
      <c r="BK479" s="34"/>
      <c r="BL479" s="34"/>
      <c r="BM479" s="34"/>
      <c r="BN479" s="34"/>
      <c r="BO479" s="34"/>
      <c r="BP479" s="34"/>
      <c r="BQ479" s="34"/>
      <c r="BR479" s="34"/>
      <c r="BS479" s="34"/>
      <c r="BT479" s="34"/>
      <c r="BU479" s="34"/>
      <c r="BV479" s="34"/>
      <c r="BW479" s="34"/>
      <c r="BX479" s="34"/>
      <c r="BY479" s="34"/>
    </row>
    <row r="480" spans="1:77" x14ac:dyDescent="0.3">
      <c r="A480" s="39"/>
      <c r="B480" s="42"/>
      <c r="C480" s="42"/>
      <c r="D480" s="75"/>
      <c r="E480" s="75"/>
      <c r="F480" s="76"/>
      <c r="G480" s="47"/>
      <c r="H480" s="47"/>
      <c r="I480" s="75"/>
      <c r="J480" s="76"/>
      <c r="K480" s="76"/>
      <c r="L480" s="75"/>
      <c r="M480" s="49"/>
      <c r="N480" s="76"/>
      <c r="O480" s="49"/>
      <c r="P480" s="77"/>
      <c r="Q480" s="53"/>
      <c r="R480" s="54"/>
      <c r="S480" s="55"/>
      <c r="T480" s="56"/>
      <c r="U480" s="56"/>
      <c r="V480" s="42"/>
      <c r="W480" s="57"/>
      <c r="X480" s="58"/>
      <c r="Y480" s="75"/>
      <c r="Z480" s="59"/>
      <c r="AA480" s="61"/>
      <c r="AB480" s="61"/>
      <c r="AC480" s="61"/>
      <c r="AD480" s="62"/>
      <c r="AE480" s="62"/>
      <c r="AF480" s="34"/>
      <c r="AG480" s="34"/>
      <c r="AH480" s="34"/>
      <c r="AI480" s="34"/>
      <c r="AJ480" s="34"/>
      <c r="AK480" s="34"/>
      <c r="AL480" s="34"/>
      <c r="AM480" s="34"/>
      <c r="AN480" s="34"/>
      <c r="AO480" s="34"/>
      <c r="AP480" s="34"/>
      <c r="AQ480" s="34"/>
      <c r="AR480" s="34"/>
      <c r="AS480" s="34"/>
      <c r="AT480" s="34"/>
      <c r="AU480" s="34"/>
      <c r="AV480" s="34"/>
      <c r="AW480" s="34"/>
      <c r="AX480" s="34"/>
      <c r="AY480" s="34"/>
      <c r="AZ480" s="34"/>
      <c r="BA480" s="34"/>
      <c r="BB480" s="34"/>
      <c r="BD480" s="34"/>
      <c r="BE480" s="34"/>
      <c r="BF480" s="34"/>
      <c r="BG480" s="34"/>
      <c r="BH480" s="34"/>
      <c r="BI480" s="34"/>
      <c r="BJ480" s="34"/>
      <c r="BK480" s="34"/>
      <c r="BL480" s="34"/>
      <c r="BM480" s="34"/>
      <c r="BN480" s="34"/>
      <c r="BO480" s="34"/>
      <c r="BP480" s="34"/>
      <c r="BQ480" s="34"/>
      <c r="BR480" s="34"/>
      <c r="BS480" s="34"/>
      <c r="BT480" s="34"/>
      <c r="BU480" s="34"/>
      <c r="BV480" s="34"/>
      <c r="BW480" s="34"/>
      <c r="BX480" s="34"/>
      <c r="BY480" s="34"/>
    </row>
    <row r="481" spans="1:77" x14ac:dyDescent="0.3">
      <c r="A481" s="39"/>
      <c r="B481" s="42"/>
      <c r="C481" s="42"/>
      <c r="D481" s="75"/>
      <c r="E481" s="75"/>
      <c r="F481" s="76"/>
      <c r="G481" s="47"/>
      <c r="H481" s="47"/>
      <c r="I481" s="75"/>
      <c r="J481" s="76"/>
      <c r="K481" s="76"/>
      <c r="L481" s="75"/>
      <c r="M481" s="49"/>
      <c r="N481" s="76"/>
      <c r="O481" s="49"/>
      <c r="P481" s="77"/>
      <c r="Q481" s="53"/>
      <c r="R481" s="54"/>
      <c r="S481" s="55"/>
      <c r="T481" s="56"/>
      <c r="U481" s="56"/>
      <c r="V481" s="42"/>
      <c r="W481" s="57"/>
      <c r="X481" s="58"/>
      <c r="Y481" s="75"/>
      <c r="Z481" s="59"/>
      <c r="AA481" s="61"/>
      <c r="AB481" s="61"/>
      <c r="AC481" s="61"/>
      <c r="AD481" s="62"/>
      <c r="AE481" s="62"/>
      <c r="AF481" s="34"/>
      <c r="AG481" s="34"/>
      <c r="AH481" s="34"/>
      <c r="AI481" s="34"/>
      <c r="AJ481" s="34"/>
      <c r="AK481" s="34"/>
      <c r="AL481" s="34"/>
      <c r="AM481" s="34"/>
      <c r="AN481" s="34"/>
      <c r="AO481" s="34"/>
      <c r="AP481" s="34"/>
      <c r="AQ481" s="34"/>
      <c r="AR481" s="34"/>
      <c r="AS481" s="34"/>
      <c r="AT481" s="34"/>
      <c r="AU481" s="34"/>
      <c r="AV481" s="34"/>
      <c r="AW481" s="34"/>
      <c r="AX481" s="34"/>
      <c r="AY481" s="34"/>
      <c r="AZ481" s="34"/>
      <c r="BA481" s="34"/>
      <c r="BB481" s="34"/>
      <c r="BD481" s="34"/>
      <c r="BE481" s="34"/>
      <c r="BF481" s="34"/>
      <c r="BG481" s="34"/>
      <c r="BH481" s="34"/>
      <c r="BI481" s="34"/>
      <c r="BJ481" s="34"/>
      <c r="BK481" s="34"/>
      <c r="BL481" s="34"/>
      <c r="BM481" s="34"/>
      <c r="BN481" s="34"/>
      <c r="BO481" s="34"/>
      <c r="BP481" s="34"/>
      <c r="BQ481" s="34"/>
      <c r="BR481" s="34"/>
      <c r="BS481" s="34"/>
      <c r="BT481" s="34"/>
      <c r="BU481" s="34"/>
      <c r="BV481" s="34"/>
      <c r="BW481" s="34"/>
      <c r="BX481" s="34"/>
      <c r="BY481" s="34"/>
    </row>
    <row r="482" spans="1:77" x14ac:dyDescent="0.3">
      <c r="A482" s="39"/>
      <c r="B482" s="42"/>
      <c r="C482" s="42"/>
      <c r="D482" s="75"/>
      <c r="E482" s="75"/>
      <c r="F482" s="76"/>
      <c r="G482" s="47"/>
      <c r="H482" s="47"/>
      <c r="I482" s="75"/>
      <c r="J482" s="76"/>
      <c r="K482" s="76"/>
      <c r="L482" s="75"/>
      <c r="M482" s="49"/>
      <c r="N482" s="76"/>
      <c r="O482" s="49"/>
      <c r="P482" s="77"/>
      <c r="Q482" s="53"/>
      <c r="R482" s="54"/>
      <c r="S482" s="55"/>
      <c r="T482" s="56"/>
      <c r="U482" s="56"/>
      <c r="V482" s="42"/>
      <c r="W482" s="57"/>
      <c r="X482" s="58"/>
      <c r="Y482" s="75"/>
      <c r="Z482" s="59"/>
      <c r="AA482" s="61"/>
      <c r="AB482" s="61"/>
      <c r="AC482" s="61"/>
      <c r="AD482" s="62"/>
      <c r="AE482" s="62"/>
      <c r="AF482" s="34"/>
      <c r="AG482" s="34"/>
      <c r="AH482" s="34"/>
      <c r="AI482" s="34"/>
      <c r="AJ482" s="34"/>
      <c r="AK482" s="34"/>
      <c r="AL482" s="34"/>
      <c r="AM482" s="34"/>
      <c r="AN482" s="34"/>
      <c r="AO482" s="34"/>
      <c r="AP482" s="34"/>
      <c r="AQ482" s="34"/>
      <c r="AR482" s="34"/>
      <c r="AS482" s="34"/>
      <c r="AT482" s="34"/>
      <c r="AU482" s="34"/>
      <c r="AV482" s="34"/>
      <c r="AW482" s="34"/>
      <c r="AX482" s="34"/>
      <c r="AY482" s="34"/>
      <c r="AZ482" s="34"/>
      <c r="BA482" s="34"/>
      <c r="BB482" s="34"/>
      <c r="BD482" s="34"/>
      <c r="BE482" s="34"/>
      <c r="BF482" s="34"/>
      <c r="BG482" s="34"/>
      <c r="BH482" s="34"/>
      <c r="BI482" s="34"/>
      <c r="BJ482" s="34"/>
      <c r="BK482" s="34"/>
      <c r="BL482" s="34"/>
      <c r="BM482" s="34"/>
      <c r="BN482" s="34"/>
      <c r="BO482" s="34"/>
      <c r="BP482" s="34"/>
      <c r="BQ482" s="34"/>
      <c r="BR482" s="34"/>
      <c r="BS482" s="34"/>
      <c r="BT482" s="34"/>
      <c r="BU482" s="34"/>
      <c r="BV482" s="34"/>
      <c r="BW482" s="34"/>
      <c r="BX482" s="34"/>
      <c r="BY482" s="34"/>
    </row>
    <row r="483" spans="1:77" x14ac:dyDescent="0.3">
      <c r="A483" s="39"/>
      <c r="B483" s="42"/>
      <c r="C483" s="42"/>
      <c r="D483" s="75"/>
      <c r="E483" s="75"/>
      <c r="F483" s="76"/>
      <c r="G483" s="47"/>
      <c r="H483" s="47"/>
      <c r="I483" s="75"/>
      <c r="J483" s="76"/>
      <c r="K483" s="76"/>
      <c r="L483" s="75"/>
      <c r="M483" s="49"/>
      <c r="N483" s="76"/>
      <c r="O483" s="49"/>
      <c r="P483" s="77"/>
      <c r="Q483" s="53"/>
      <c r="R483" s="54"/>
      <c r="S483" s="55"/>
      <c r="T483" s="56"/>
      <c r="U483" s="56"/>
      <c r="V483" s="42"/>
      <c r="W483" s="57"/>
      <c r="X483" s="58"/>
      <c r="Y483" s="75"/>
      <c r="Z483" s="59"/>
      <c r="AA483" s="61"/>
      <c r="AB483" s="61"/>
      <c r="AC483" s="61"/>
      <c r="AD483" s="62"/>
      <c r="AE483" s="62"/>
      <c r="AF483" s="34"/>
      <c r="AG483" s="34"/>
      <c r="AH483" s="34"/>
      <c r="AI483" s="34"/>
      <c r="AJ483" s="34"/>
      <c r="AK483" s="34"/>
      <c r="AL483" s="34"/>
      <c r="AM483" s="34"/>
      <c r="AN483" s="34"/>
      <c r="AO483" s="34"/>
      <c r="AP483" s="34"/>
      <c r="AQ483" s="34"/>
      <c r="AR483" s="34"/>
      <c r="AS483" s="34"/>
      <c r="AT483" s="34"/>
      <c r="AU483" s="34"/>
      <c r="AV483" s="34"/>
      <c r="AW483" s="34"/>
      <c r="AX483" s="34"/>
      <c r="AY483" s="34"/>
      <c r="AZ483" s="34"/>
      <c r="BA483" s="34"/>
      <c r="BB483" s="34"/>
      <c r="BD483" s="34"/>
      <c r="BE483" s="34"/>
      <c r="BF483" s="34"/>
      <c r="BG483" s="34"/>
      <c r="BH483" s="34"/>
      <c r="BI483" s="34"/>
      <c r="BJ483" s="34"/>
      <c r="BK483" s="34"/>
      <c r="BL483" s="34"/>
      <c r="BM483" s="34"/>
      <c r="BN483" s="34"/>
      <c r="BO483" s="34"/>
      <c r="BP483" s="34"/>
      <c r="BQ483" s="34"/>
      <c r="BR483" s="34"/>
      <c r="BS483" s="34"/>
      <c r="BT483" s="34"/>
      <c r="BU483" s="34"/>
      <c r="BV483" s="34"/>
      <c r="BW483" s="34"/>
      <c r="BX483" s="34"/>
      <c r="BY483" s="34"/>
    </row>
    <row r="484" spans="1:77" x14ac:dyDescent="0.3">
      <c r="A484" s="39"/>
      <c r="B484" s="42"/>
      <c r="C484" s="42"/>
      <c r="D484" s="75"/>
      <c r="E484" s="75"/>
      <c r="F484" s="76"/>
      <c r="G484" s="47"/>
      <c r="H484" s="47"/>
      <c r="I484" s="75"/>
      <c r="J484" s="76"/>
      <c r="K484" s="76"/>
      <c r="L484" s="75"/>
      <c r="M484" s="49"/>
      <c r="N484" s="76"/>
      <c r="O484" s="49"/>
      <c r="P484" s="77"/>
      <c r="Q484" s="53"/>
      <c r="R484" s="54"/>
      <c r="S484" s="55"/>
      <c r="T484" s="56"/>
      <c r="U484" s="56"/>
      <c r="V484" s="42"/>
      <c r="W484" s="57"/>
      <c r="X484" s="58"/>
      <c r="Y484" s="75"/>
      <c r="Z484" s="59"/>
      <c r="AA484" s="61"/>
      <c r="AB484" s="61"/>
      <c r="AC484" s="61"/>
      <c r="AD484" s="62"/>
      <c r="AE484" s="62"/>
      <c r="AF484" s="34"/>
      <c r="AG484" s="34"/>
      <c r="AH484" s="34"/>
      <c r="AI484" s="34"/>
      <c r="AJ484" s="34"/>
      <c r="AK484" s="34"/>
      <c r="AL484" s="34"/>
      <c r="AM484" s="34"/>
      <c r="AN484" s="34"/>
      <c r="AO484" s="34"/>
      <c r="AP484" s="34"/>
      <c r="AQ484" s="34"/>
      <c r="AR484" s="34"/>
      <c r="AS484" s="34"/>
      <c r="AT484" s="34"/>
      <c r="AU484" s="34"/>
      <c r="AV484" s="34"/>
      <c r="AW484" s="34"/>
      <c r="AX484" s="34"/>
      <c r="AY484" s="34"/>
      <c r="AZ484" s="34"/>
      <c r="BA484" s="34"/>
      <c r="BB484" s="34"/>
      <c r="BD484" s="34"/>
      <c r="BE484" s="34"/>
      <c r="BF484" s="34"/>
      <c r="BG484" s="34"/>
      <c r="BH484" s="34"/>
      <c r="BI484" s="34"/>
      <c r="BJ484" s="34"/>
      <c r="BK484" s="34"/>
      <c r="BL484" s="34"/>
      <c r="BM484" s="34"/>
      <c r="BN484" s="34"/>
      <c r="BO484" s="34"/>
      <c r="BP484" s="34"/>
      <c r="BQ484" s="34"/>
      <c r="BR484" s="34"/>
      <c r="BS484" s="34"/>
      <c r="BT484" s="34"/>
      <c r="BU484" s="34"/>
      <c r="BV484" s="34"/>
      <c r="BW484" s="34"/>
      <c r="BX484" s="34"/>
      <c r="BY484" s="34"/>
    </row>
    <row r="485" spans="1:77" x14ac:dyDescent="0.3">
      <c r="A485" s="39"/>
      <c r="B485" s="42"/>
      <c r="C485" s="42"/>
      <c r="D485" s="75"/>
      <c r="E485" s="75"/>
      <c r="F485" s="76"/>
      <c r="G485" s="47"/>
      <c r="H485" s="47"/>
      <c r="I485" s="75"/>
      <c r="J485" s="76"/>
      <c r="K485" s="76"/>
      <c r="L485" s="75"/>
      <c r="M485" s="49"/>
      <c r="N485" s="76"/>
      <c r="O485" s="49"/>
      <c r="P485" s="77"/>
      <c r="Q485" s="53"/>
      <c r="R485" s="54"/>
      <c r="S485" s="55"/>
      <c r="T485" s="56"/>
      <c r="U485" s="56"/>
      <c r="V485" s="42"/>
      <c r="W485" s="57"/>
      <c r="X485" s="58"/>
      <c r="Y485" s="75"/>
      <c r="Z485" s="59"/>
      <c r="AA485" s="61"/>
      <c r="AB485" s="61"/>
      <c r="AC485" s="61"/>
      <c r="AD485" s="62"/>
      <c r="AE485" s="62"/>
      <c r="AF485" s="34"/>
      <c r="AG485" s="34"/>
      <c r="AH485" s="34"/>
      <c r="AI485" s="34"/>
      <c r="AJ485" s="34"/>
      <c r="AK485" s="34"/>
      <c r="AL485" s="34"/>
      <c r="AM485" s="34"/>
      <c r="AN485" s="34"/>
      <c r="AO485" s="34"/>
      <c r="AP485" s="34"/>
      <c r="AQ485" s="34"/>
      <c r="AR485" s="34"/>
      <c r="AS485" s="34"/>
      <c r="AT485" s="34"/>
      <c r="AU485" s="34"/>
      <c r="AV485" s="34"/>
      <c r="AW485" s="34"/>
      <c r="AX485" s="34"/>
      <c r="AY485" s="34"/>
      <c r="AZ485" s="34"/>
      <c r="BA485" s="34"/>
      <c r="BB485" s="34"/>
      <c r="BD485" s="34"/>
      <c r="BE485" s="34"/>
      <c r="BF485" s="34"/>
      <c r="BG485" s="34"/>
      <c r="BH485" s="34"/>
      <c r="BI485" s="34"/>
      <c r="BJ485" s="34"/>
      <c r="BK485" s="34"/>
      <c r="BL485" s="34"/>
      <c r="BM485" s="34"/>
      <c r="BN485" s="34"/>
      <c r="BO485" s="34"/>
      <c r="BP485" s="34"/>
      <c r="BQ485" s="34"/>
      <c r="BR485" s="34"/>
      <c r="BS485" s="34"/>
      <c r="BT485" s="34"/>
      <c r="BU485" s="34"/>
      <c r="BV485" s="34"/>
      <c r="BW485" s="34"/>
      <c r="BX485" s="34"/>
      <c r="BY485" s="34"/>
    </row>
    <row r="486" spans="1:77" x14ac:dyDescent="0.3">
      <c r="A486" s="39"/>
      <c r="B486" s="42"/>
      <c r="C486" s="42"/>
      <c r="D486" s="75"/>
      <c r="E486" s="75"/>
      <c r="F486" s="76"/>
      <c r="G486" s="47"/>
      <c r="H486" s="47"/>
      <c r="I486" s="75"/>
      <c r="J486" s="76"/>
      <c r="K486" s="76"/>
      <c r="L486" s="75"/>
      <c r="M486" s="49"/>
      <c r="N486" s="76"/>
      <c r="O486" s="49"/>
      <c r="P486" s="77"/>
      <c r="Q486" s="53"/>
      <c r="R486" s="54"/>
      <c r="S486" s="55"/>
      <c r="T486" s="56"/>
      <c r="U486" s="56"/>
      <c r="V486" s="42"/>
      <c r="W486" s="57"/>
      <c r="X486" s="58"/>
      <c r="Y486" s="75"/>
      <c r="Z486" s="59"/>
      <c r="AA486" s="61"/>
      <c r="AB486" s="61"/>
      <c r="AC486" s="61"/>
      <c r="AD486" s="62"/>
      <c r="AE486" s="62"/>
      <c r="AF486" s="34"/>
      <c r="AG486" s="34"/>
      <c r="AH486" s="34"/>
      <c r="AI486" s="34"/>
      <c r="AJ486" s="34"/>
      <c r="AK486" s="34"/>
      <c r="AL486" s="34"/>
      <c r="AM486" s="34"/>
      <c r="AN486" s="34"/>
      <c r="AO486" s="34"/>
      <c r="AP486" s="34"/>
      <c r="AQ486" s="34"/>
      <c r="AR486" s="34"/>
      <c r="AS486" s="34"/>
      <c r="AT486" s="34"/>
      <c r="AU486" s="34"/>
      <c r="AV486" s="34"/>
      <c r="AW486" s="34"/>
      <c r="AX486" s="34"/>
      <c r="AY486" s="34"/>
      <c r="AZ486" s="34"/>
      <c r="BA486" s="34"/>
      <c r="BB486" s="34"/>
      <c r="BD486" s="34"/>
      <c r="BE486" s="34"/>
      <c r="BF486" s="34"/>
      <c r="BG486" s="34"/>
      <c r="BH486" s="34"/>
      <c r="BI486" s="34"/>
      <c r="BJ486" s="34"/>
      <c r="BK486" s="34"/>
      <c r="BL486" s="34"/>
      <c r="BM486" s="34"/>
      <c r="BN486" s="34"/>
      <c r="BO486" s="34"/>
      <c r="BP486" s="34"/>
      <c r="BQ486" s="34"/>
      <c r="BR486" s="34"/>
      <c r="BS486" s="34"/>
      <c r="BT486" s="34"/>
      <c r="BU486" s="34"/>
      <c r="BV486" s="34"/>
      <c r="BW486" s="34"/>
      <c r="BX486" s="34"/>
      <c r="BY486" s="34"/>
    </row>
    <row r="487" spans="1:77" x14ac:dyDescent="0.3">
      <c r="A487" s="39"/>
      <c r="B487" s="42"/>
      <c r="C487" s="42"/>
      <c r="D487" s="75"/>
      <c r="E487" s="75"/>
      <c r="F487" s="76"/>
      <c r="G487" s="47"/>
      <c r="H487" s="47"/>
      <c r="I487" s="75"/>
      <c r="J487" s="76"/>
      <c r="K487" s="76"/>
      <c r="L487" s="75"/>
      <c r="M487" s="49"/>
      <c r="N487" s="76"/>
      <c r="O487" s="49"/>
      <c r="P487" s="77"/>
      <c r="Q487" s="53"/>
      <c r="R487" s="54"/>
      <c r="S487" s="55"/>
      <c r="T487" s="56"/>
      <c r="U487" s="56"/>
      <c r="V487" s="42"/>
      <c r="W487" s="57"/>
      <c r="X487" s="58"/>
      <c r="Y487" s="75"/>
      <c r="Z487" s="59"/>
      <c r="AA487" s="61"/>
      <c r="AB487" s="61"/>
      <c r="AC487" s="61"/>
      <c r="AD487" s="62"/>
      <c r="AE487" s="62"/>
      <c r="AF487" s="34"/>
      <c r="AG487" s="34"/>
      <c r="AH487" s="34"/>
      <c r="AI487" s="34"/>
      <c r="AJ487" s="34"/>
      <c r="AK487" s="34"/>
      <c r="AL487" s="34"/>
      <c r="AM487" s="34"/>
      <c r="AN487" s="34"/>
      <c r="AO487" s="34"/>
      <c r="AP487" s="34"/>
      <c r="AQ487" s="34"/>
      <c r="AR487" s="34"/>
      <c r="AS487" s="34"/>
      <c r="AT487" s="34"/>
      <c r="AU487" s="34"/>
      <c r="AV487" s="34"/>
      <c r="AW487" s="34"/>
      <c r="AX487" s="34"/>
      <c r="AY487" s="34"/>
      <c r="AZ487" s="34"/>
      <c r="BA487" s="34"/>
      <c r="BB487" s="34"/>
      <c r="BD487" s="34"/>
      <c r="BE487" s="34"/>
      <c r="BF487" s="34"/>
      <c r="BG487" s="34"/>
      <c r="BH487" s="34"/>
      <c r="BI487" s="34"/>
      <c r="BJ487" s="34"/>
      <c r="BK487" s="34"/>
      <c r="BL487" s="34"/>
      <c r="BM487" s="34"/>
      <c r="BN487" s="34"/>
      <c r="BO487" s="34"/>
      <c r="BP487" s="34"/>
      <c r="BQ487" s="34"/>
      <c r="BR487" s="34"/>
      <c r="BS487" s="34"/>
      <c r="BT487" s="34"/>
      <c r="BU487" s="34"/>
      <c r="BV487" s="34"/>
      <c r="BW487" s="34"/>
      <c r="BX487" s="34"/>
      <c r="BY487" s="34"/>
    </row>
    <row r="488" spans="1:77" x14ac:dyDescent="0.3">
      <c r="A488" s="39"/>
      <c r="B488" s="42"/>
      <c r="C488" s="42"/>
      <c r="D488" s="75"/>
      <c r="E488" s="75"/>
      <c r="F488" s="76"/>
      <c r="G488" s="47"/>
      <c r="H488" s="47"/>
      <c r="I488" s="75"/>
      <c r="J488" s="76"/>
      <c r="K488" s="76"/>
      <c r="L488" s="75"/>
      <c r="M488" s="49"/>
      <c r="N488" s="76"/>
      <c r="O488" s="49"/>
      <c r="P488" s="77"/>
      <c r="Q488" s="53"/>
      <c r="R488" s="54"/>
      <c r="S488" s="55"/>
      <c r="T488" s="56"/>
      <c r="U488" s="56"/>
      <c r="V488" s="42"/>
      <c r="W488" s="57"/>
      <c r="X488" s="58"/>
      <c r="Y488" s="75"/>
      <c r="Z488" s="59"/>
      <c r="AA488" s="61"/>
      <c r="AB488" s="61"/>
      <c r="AC488" s="61"/>
      <c r="AD488" s="62"/>
      <c r="AE488" s="62"/>
      <c r="AF488" s="34"/>
      <c r="AG488" s="34"/>
      <c r="AH488" s="34"/>
      <c r="AI488" s="34"/>
      <c r="AJ488" s="34"/>
      <c r="AK488" s="34"/>
      <c r="AL488" s="34"/>
      <c r="AM488" s="34"/>
      <c r="AN488" s="34"/>
      <c r="AO488" s="34"/>
      <c r="AP488" s="34"/>
      <c r="AQ488" s="34"/>
      <c r="AR488" s="34"/>
      <c r="AS488" s="34"/>
      <c r="AT488" s="34"/>
      <c r="AU488" s="34"/>
      <c r="AV488" s="34"/>
      <c r="AW488" s="34"/>
      <c r="AX488" s="34"/>
      <c r="AY488" s="34"/>
      <c r="AZ488" s="34"/>
      <c r="BA488" s="34"/>
      <c r="BB488" s="34"/>
      <c r="BD488" s="34"/>
      <c r="BE488" s="34"/>
      <c r="BF488" s="34"/>
      <c r="BG488" s="34"/>
      <c r="BH488" s="34"/>
      <c r="BI488" s="34"/>
      <c r="BJ488" s="34"/>
      <c r="BK488" s="34"/>
      <c r="BL488" s="34"/>
      <c r="BM488" s="34"/>
      <c r="BN488" s="34"/>
      <c r="BO488" s="34"/>
      <c r="BP488" s="34"/>
      <c r="BQ488" s="34"/>
      <c r="BR488" s="34"/>
      <c r="BS488" s="34"/>
      <c r="BT488" s="34"/>
      <c r="BU488" s="34"/>
      <c r="BV488" s="34"/>
      <c r="BW488" s="34"/>
      <c r="BX488" s="34"/>
      <c r="BY488" s="34"/>
    </row>
    <row r="489" spans="1:77" x14ac:dyDescent="0.3">
      <c r="A489" s="39"/>
      <c r="B489" s="42"/>
      <c r="C489" s="42"/>
      <c r="D489" s="75"/>
      <c r="E489" s="75"/>
      <c r="F489" s="76"/>
      <c r="G489" s="47"/>
      <c r="H489" s="47"/>
      <c r="I489" s="75"/>
      <c r="J489" s="76"/>
      <c r="K489" s="76"/>
      <c r="L489" s="75"/>
      <c r="M489" s="49"/>
      <c r="N489" s="76"/>
      <c r="O489" s="49"/>
      <c r="P489" s="77"/>
      <c r="Q489" s="53"/>
      <c r="R489" s="54"/>
      <c r="S489" s="55"/>
      <c r="T489" s="56"/>
      <c r="U489" s="56"/>
      <c r="V489" s="42"/>
      <c r="W489" s="57"/>
      <c r="X489" s="58"/>
      <c r="Y489" s="75"/>
      <c r="Z489" s="59"/>
      <c r="AA489" s="61"/>
      <c r="AB489" s="61"/>
      <c r="AC489" s="61"/>
      <c r="AD489" s="62"/>
      <c r="AE489" s="62"/>
      <c r="AF489" s="34"/>
      <c r="AG489" s="34"/>
      <c r="AH489" s="34"/>
      <c r="AI489" s="34"/>
      <c r="AJ489" s="34"/>
      <c r="AK489" s="34"/>
      <c r="AL489" s="34"/>
      <c r="AM489" s="34"/>
      <c r="AN489" s="34"/>
      <c r="AO489" s="34"/>
      <c r="AP489" s="34"/>
      <c r="AQ489" s="34"/>
      <c r="AR489" s="34"/>
      <c r="AS489" s="34"/>
      <c r="AT489" s="34"/>
      <c r="AU489" s="34"/>
      <c r="AV489" s="34"/>
      <c r="AW489" s="34"/>
      <c r="AX489" s="34"/>
      <c r="AY489" s="34"/>
      <c r="AZ489" s="34"/>
      <c r="BA489" s="34"/>
      <c r="BB489" s="34"/>
      <c r="BD489" s="34"/>
      <c r="BE489" s="34"/>
      <c r="BF489" s="34"/>
      <c r="BG489" s="34"/>
      <c r="BH489" s="34"/>
      <c r="BI489" s="34"/>
      <c r="BJ489" s="34"/>
      <c r="BK489" s="34"/>
      <c r="BL489" s="34"/>
      <c r="BM489" s="34"/>
      <c r="BN489" s="34"/>
      <c r="BO489" s="34"/>
      <c r="BP489" s="34"/>
      <c r="BQ489" s="34"/>
      <c r="BR489" s="34"/>
      <c r="BS489" s="34"/>
      <c r="BT489" s="34"/>
      <c r="BU489" s="34"/>
      <c r="BV489" s="34"/>
      <c r="BW489" s="34"/>
      <c r="BX489" s="34"/>
      <c r="BY489" s="34"/>
    </row>
    <row r="490" spans="1:77" x14ac:dyDescent="0.3">
      <c r="A490" s="39"/>
      <c r="B490" s="42"/>
      <c r="C490" s="42"/>
      <c r="D490" s="75"/>
      <c r="E490" s="75"/>
      <c r="F490" s="76"/>
      <c r="G490" s="47"/>
      <c r="H490" s="47"/>
      <c r="I490" s="75"/>
      <c r="J490" s="76"/>
      <c r="K490" s="76"/>
      <c r="L490" s="75"/>
      <c r="M490" s="49"/>
      <c r="N490" s="76"/>
      <c r="O490" s="49"/>
      <c r="P490" s="77"/>
      <c r="Q490" s="53"/>
      <c r="R490" s="54"/>
      <c r="S490" s="55"/>
      <c r="T490" s="56"/>
      <c r="U490" s="56"/>
      <c r="V490" s="42"/>
      <c r="W490" s="57"/>
      <c r="X490" s="58"/>
      <c r="Y490" s="75"/>
      <c r="Z490" s="59"/>
      <c r="AA490" s="61"/>
      <c r="AB490" s="61"/>
      <c r="AC490" s="61"/>
      <c r="AD490" s="62"/>
      <c r="AE490" s="62"/>
      <c r="AF490" s="34"/>
      <c r="AG490" s="34"/>
      <c r="AH490" s="34"/>
      <c r="AI490" s="34"/>
      <c r="AJ490" s="34"/>
      <c r="AK490" s="34"/>
      <c r="AL490" s="34"/>
      <c r="AM490" s="34"/>
      <c r="AN490" s="34"/>
      <c r="AO490" s="34"/>
      <c r="AP490" s="34"/>
      <c r="AQ490" s="34"/>
      <c r="AR490" s="34"/>
      <c r="AS490" s="34"/>
      <c r="AT490" s="34"/>
      <c r="AU490" s="34"/>
      <c r="AV490" s="34"/>
      <c r="AW490" s="34"/>
      <c r="AX490" s="34"/>
      <c r="AY490" s="34"/>
      <c r="AZ490" s="34"/>
      <c r="BA490" s="34"/>
      <c r="BB490" s="34"/>
      <c r="BD490" s="34"/>
      <c r="BE490" s="34"/>
      <c r="BF490" s="34"/>
      <c r="BG490" s="34"/>
      <c r="BH490" s="34"/>
      <c r="BI490" s="34"/>
      <c r="BJ490" s="34"/>
      <c r="BK490" s="34"/>
      <c r="BL490" s="34"/>
      <c r="BM490" s="34"/>
      <c r="BN490" s="34"/>
      <c r="BO490" s="34"/>
      <c r="BP490" s="34"/>
      <c r="BQ490" s="34"/>
      <c r="BR490" s="34"/>
      <c r="BS490" s="34"/>
      <c r="BT490" s="34"/>
      <c r="BU490" s="34"/>
      <c r="BV490" s="34"/>
      <c r="BW490" s="34"/>
      <c r="BX490" s="34"/>
      <c r="BY490" s="34"/>
    </row>
    <row r="491" spans="1:77" x14ac:dyDescent="0.3">
      <c r="A491" s="39"/>
      <c r="B491" s="42"/>
      <c r="C491" s="42"/>
      <c r="D491" s="75"/>
      <c r="E491" s="75"/>
      <c r="F491" s="76"/>
      <c r="G491" s="47"/>
      <c r="H491" s="47"/>
      <c r="I491" s="75"/>
      <c r="J491" s="76"/>
      <c r="K491" s="76"/>
      <c r="L491" s="75"/>
      <c r="M491" s="49"/>
      <c r="N491" s="76"/>
      <c r="O491" s="49"/>
      <c r="P491" s="77"/>
      <c r="Q491" s="53"/>
      <c r="R491" s="54"/>
      <c r="S491" s="55"/>
      <c r="T491" s="56"/>
      <c r="U491" s="56"/>
      <c r="V491" s="42"/>
      <c r="W491" s="57"/>
      <c r="X491" s="58"/>
      <c r="Y491" s="75"/>
      <c r="Z491" s="59"/>
      <c r="AA491" s="61"/>
      <c r="AB491" s="61"/>
      <c r="AC491" s="61"/>
      <c r="AD491" s="62"/>
      <c r="AE491" s="62"/>
      <c r="AF491" s="34"/>
      <c r="AG491" s="34"/>
      <c r="AH491" s="34"/>
      <c r="AI491" s="34"/>
      <c r="AJ491" s="34"/>
      <c r="AK491" s="34"/>
      <c r="AL491" s="34"/>
      <c r="AM491" s="34"/>
      <c r="AN491" s="34"/>
      <c r="AO491" s="34"/>
      <c r="AP491" s="34"/>
      <c r="AQ491" s="34"/>
      <c r="AR491" s="34"/>
      <c r="AS491" s="34"/>
      <c r="AT491" s="34"/>
      <c r="AU491" s="34"/>
      <c r="AV491" s="34"/>
      <c r="AW491" s="34"/>
      <c r="AX491" s="34"/>
      <c r="AY491" s="34"/>
      <c r="AZ491" s="34"/>
      <c r="BA491" s="34"/>
      <c r="BB491" s="34"/>
      <c r="BD491" s="34"/>
      <c r="BE491" s="34"/>
      <c r="BF491" s="34"/>
      <c r="BG491" s="34"/>
      <c r="BH491" s="34"/>
      <c r="BI491" s="34"/>
      <c r="BJ491" s="34"/>
      <c r="BK491" s="34"/>
      <c r="BL491" s="34"/>
      <c r="BM491" s="34"/>
      <c r="BN491" s="34"/>
      <c r="BO491" s="34"/>
      <c r="BP491" s="34"/>
      <c r="BQ491" s="34"/>
      <c r="BR491" s="34"/>
      <c r="BS491" s="34"/>
      <c r="BT491" s="34"/>
      <c r="BU491" s="34"/>
      <c r="BV491" s="34"/>
      <c r="BW491" s="34"/>
      <c r="BX491" s="34"/>
      <c r="BY491" s="34"/>
    </row>
    <row r="492" spans="1:77" x14ac:dyDescent="0.3">
      <c r="A492" s="39"/>
      <c r="B492" s="42"/>
      <c r="C492" s="42"/>
      <c r="D492" s="75"/>
      <c r="E492" s="75"/>
      <c r="F492" s="76"/>
      <c r="G492" s="47"/>
      <c r="H492" s="47"/>
      <c r="I492" s="75"/>
      <c r="J492" s="76"/>
      <c r="K492" s="76"/>
      <c r="L492" s="75"/>
      <c r="M492" s="49"/>
      <c r="N492" s="76"/>
      <c r="O492" s="49"/>
      <c r="P492" s="77"/>
      <c r="Q492" s="53"/>
      <c r="R492" s="54"/>
      <c r="S492" s="55"/>
      <c r="T492" s="56"/>
      <c r="U492" s="56"/>
      <c r="V492" s="42"/>
      <c r="W492" s="57"/>
      <c r="X492" s="58"/>
      <c r="Y492" s="75"/>
      <c r="Z492" s="59"/>
      <c r="AA492" s="61"/>
      <c r="AB492" s="61"/>
      <c r="AC492" s="61"/>
      <c r="AD492" s="62"/>
      <c r="AE492" s="62"/>
      <c r="AF492" s="34"/>
      <c r="AG492" s="34"/>
      <c r="AH492" s="34"/>
      <c r="AI492" s="34"/>
      <c r="AJ492" s="34"/>
      <c r="AK492" s="34"/>
      <c r="AL492" s="34"/>
      <c r="AM492" s="34"/>
      <c r="AN492" s="34"/>
      <c r="AO492" s="34"/>
      <c r="AP492" s="34"/>
      <c r="AQ492" s="34"/>
      <c r="AR492" s="34"/>
      <c r="AS492" s="34"/>
      <c r="AT492" s="34"/>
      <c r="AU492" s="34"/>
      <c r="AV492" s="34"/>
      <c r="AW492" s="34"/>
      <c r="AX492" s="34"/>
      <c r="AY492" s="34"/>
      <c r="AZ492" s="34"/>
      <c r="BA492" s="34"/>
      <c r="BB492" s="34"/>
      <c r="BD492" s="34"/>
      <c r="BE492" s="34"/>
      <c r="BF492" s="34"/>
      <c r="BG492" s="34"/>
      <c r="BH492" s="34"/>
      <c r="BI492" s="34"/>
      <c r="BJ492" s="34"/>
      <c r="BK492" s="34"/>
      <c r="BL492" s="34"/>
      <c r="BM492" s="34"/>
      <c r="BN492" s="34"/>
      <c r="BO492" s="34"/>
      <c r="BP492" s="34"/>
      <c r="BQ492" s="34"/>
      <c r="BR492" s="34"/>
      <c r="BS492" s="34"/>
      <c r="BT492" s="34"/>
      <c r="BU492" s="34"/>
      <c r="BV492" s="34"/>
      <c r="BW492" s="34"/>
      <c r="BX492" s="34"/>
      <c r="BY492" s="34"/>
    </row>
    <row r="493" spans="1:77" x14ac:dyDescent="0.3">
      <c r="A493" s="39"/>
      <c r="B493" s="42"/>
      <c r="C493" s="42"/>
      <c r="D493" s="75"/>
      <c r="E493" s="75"/>
      <c r="F493" s="76"/>
      <c r="G493" s="47"/>
      <c r="H493" s="47"/>
      <c r="I493" s="75"/>
      <c r="J493" s="76"/>
      <c r="K493" s="76"/>
      <c r="L493" s="75"/>
      <c r="M493" s="49"/>
      <c r="N493" s="76"/>
      <c r="O493" s="49"/>
      <c r="P493" s="77"/>
      <c r="Q493" s="53"/>
      <c r="R493" s="54"/>
      <c r="S493" s="55"/>
      <c r="T493" s="56"/>
      <c r="U493" s="56"/>
      <c r="V493" s="42"/>
      <c r="W493" s="57"/>
      <c r="X493" s="58"/>
      <c r="Y493" s="75"/>
      <c r="Z493" s="59"/>
      <c r="AA493" s="61"/>
      <c r="AB493" s="61"/>
      <c r="AC493" s="61"/>
      <c r="AD493" s="62"/>
      <c r="AE493" s="62"/>
      <c r="AF493" s="34"/>
      <c r="AG493" s="34"/>
      <c r="AH493" s="34"/>
      <c r="AI493" s="34"/>
      <c r="AJ493" s="34"/>
      <c r="AK493" s="34"/>
      <c r="AL493" s="34"/>
      <c r="AM493" s="34"/>
      <c r="AN493" s="34"/>
      <c r="AO493" s="34"/>
      <c r="AP493" s="34"/>
      <c r="AQ493" s="34"/>
      <c r="AR493" s="34"/>
      <c r="AS493" s="34"/>
      <c r="AT493" s="34"/>
      <c r="AU493" s="34"/>
      <c r="AV493" s="34"/>
      <c r="AW493" s="34"/>
      <c r="AX493" s="34"/>
      <c r="AY493" s="34"/>
      <c r="AZ493" s="34"/>
      <c r="BA493" s="34"/>
      <c r="BB493" s="34"/>
      <c r="BD493" s="34"/>
      <c r="BE493" s="34"/>
      <c r="BF493" s="34"/>
      <c r="BG493" s="34"/>
      <c r="BH493" s="34"/>
      <c r="BI493" s="34"/>
      <c r="BJ493" s="34"/>
      <c r="BK493" s="34"/>
      <c r="BL493" s="34"/>
      <c r="BM493" s="34"/>
      <c r="BN493" s="34"/>
      <c r="BO493" s="34"/>
      <c r="BP493" s="34"/>
      <c r="BQ493" s="34"/>
      <c r="BR493" s="34"/>
      <c r="BS493" s="34"/>
      <c r="BT493" s="34"/>
      <c r="BU493" s="34"/>
      <c r="BV493" s="34"/>
      <c r="BW493" s="34"/>
      <c r="BX493" s="34"/>
      <c r="BY493" s="34"/>
    </row>
    <row r="494" spans="1:77" x14ac:dyDescent="0.3">
      <c r="A494" s="39"/>
      <c r="B494" s="42"/>
      <c r="C494" s="42"/>
      <c r="D494" s="75"/>
      <c r="E494" s="75"/>
      <c r="F494" s="76"/>
      <c r="G494" s="47"/>
      <c r="H494" s="47"/>
      <c r="I494" s="75"/>
      <c r="J494" s="76"/>
      <c r="K494" s="76"/>
      <c r="L494" s="75"/>
      <c r="M494" s="49"/>
      <c r="N494" s="76"/>
      <c r="O494" s="49"/>
      <c r="P494" s="77"/>
      <c r="Q494" s="53"/>
      <c r="R494" s="54"/>
      <c r="S494" s="55"/>
      <c r="T494" s="56"/>
      <c r="U494" s="56"/>
      <c r="V494" s="42"/>
      <c r="W494" s="57"/>
      <c r="X494" s="58"/>
      <c r="Y494" s="75"/>
      <c r="Z494" s="59"/>
      <c r="AA494" s="61"/>
      <c r="AB494" s="61"/>
      <c r="AC494" s="61"/>
      <c r="AD494" s="62"/>
      <c r="AE494" s="62"/>
      <c r="AF494" s="34"/>
      <c r="AG494" s="34"/>
      <c r="AH494" s="34"/>
      <c r="AI494" s="34"/>
      <c r="AJ494" s="34"/>
      <c r="AK494" s="34"/>
      <c r="AL494" s="34"/>
      <c r="AM494" s="34"/>
      <c r="AN494" s="34"/>
      <c r="AO494" s="34"/>
      <c r="AP494" s="34"/>
      <c r="AQ494" s="34"/>
      <c r="AR494" s="34"/>
      <c r="AS494" s="34"/>
      <c r="AT494" s="34"/>
      <c r="AU494" s="34"/>
      <c r="AV494" s="34"/>
      <c r="AW494" s="34"/>
      <c r="AX494" s="34"/>
      <c r="AY494" s="34"/>
      <c r="AZ494" s="34"/>
      <c r="BA494" s="34"/>
      <c r="BB494" s="34"/>
      <c r="BD494" s="34"/>
      <c r="BE494" s="34"/>
      <c r="BF494" s="34"/>
      <c r="BG494" s="34"/>
      <c r="BH494" s="34"/>
      <c r="BI494" s="34"/>
      <c r="BJ494" s="34"/>
      <c r="BK494" s="34"/>
      <c r="BL494" s="34"/>
      <c r="BM494" s="34"/>
      <c r="BN494" s="34"/>
      <c r="BO494" s="34"/>
      <c r="BP494" s="34"/>
      <c r="BQ494" s="34"/>
      <c r="BR494" s="34"/>
      <c r="BS494" s="34"/>
      <c r="BT494" s="34"/>
      <c r="BU494" s="34"/>
      <c r="BV494" s="34"/>
      <c r="BW494" s="34"/>
      <c r="BX494" s="34"/>
      <c r="BY494" s="34"/>
    </row>
    <row r="495" spans="1:77" x14ac:dyDescent="0.3">
      <c r="A495" s="39"/>
      <c r="B495" s="42"/>
      <c r="C495" s="42"/>
      <c r="D495" s="75"/>
      <c r="E495" s="75"/>
      <c r="F495" s="76"/>
      <c r="G495" s="47"/>
      <c r="H495" s="47"/>
      <c r="I495" s="75"/>
      <c r="J495" s="76"/>
      <c r="K495" s="76"/>
      <c r="L495" s="75"/>
      <c r="M495" s="49"/>
      <c r="N495" s="76"/>
      <c r="O495" s="49"/>
      <c r="P495" s="77"/>
      <c r="Q495" s="53"/>
      <c r="R495" s="54"/>
      <c r="S495" s="55"/>
      <c r="T495" s="56"/>
      <c r="U495" s="56"/>
      <c r="V495" s="42"/>
      <c r="W495" s="57"/>
      <c r="X495" s="58"/>
      <c r="Y495" s="75"/>
      <c r="Z495" s="59"/>
      <c r="AA495" s="61"/>
      <c r="AB495" s="61"/>
      <c r="AC495" s="61"/>
      <c r="AD495" s="62"/>
      <c r="AE495" s="62"/>
      <c r="AF495" s="34"/>
      <c r="AG495" s="34"/>
      <c r="AH495" s="34"/>
      <c r="AI495" s="34"/>
      <c r="AJ495" s="34"/>
      <c r="AK495" s="34"/>
      <c r="AL495" s="34"/>
      <c r="AM495" s="34"/>
      <c r="AN495" s="34"/>
      <c r="AO495" s="34"/>
      <c r="AP495" s="34"/>
      <c r="AQ495" s="34"/>
      <c r="AR495" s="34"/>
      <c r="AS495" s="34"/>
      <c r="AT495" s="34"/>
      <c r="AU495" s="34"/>
      <c r="AV495" s="34"/>
      <c r="AW495" s="34"/>
      <c r="AX495" s="34"/>
      <c r="AY495" s="34"/>
      <c r="AZ495" s="34"/>
      <c r="BA495" s="34"/>
      <c r="BB495" s="34"/>
      <c r="BD495" s="34"/>
      <c r="BE495" s="34"/>
      <c r="BF495" s="34"/>
      <c r="BG495" s="34"/>
      <c r="BH495" s="34"/>
      <c r="BI495" s="34"/>
      <c r="BJ495" s="34"/>
      <c r="BK495" s="34"/>
      <c r="BL495" s="34"/>
      <c r="BM495" s="34"/>
      <c r="BN495" s="34"/>
      <c r="BO495" s="34"/>
      <c r="BP495" s="34"/>
      <c r="BQ495" s="34"/>
      <c r="BR495" s="34"/>
      <c r="BS495" s="34"/>
      <c r="BT495" s="34"/>
      <c r="BU495" s="34"/>
      <c r="BV495" s="34"/>
      <c r="BW495" s="34"/>
      <c r="BX495" s="34"/>
      <c r="BY495" s="34"/>
    </row>
    <row r="496" spans="1:77" x14ac:dyDescent="0.3">
      <c r="A496" s="39"/>
      <c r="B496" s="42"/>
      <c r="C496" s="42"/>
      <c r="D496" s="75"/>
      <c r="E496" s="75"/>
      <c r="F496" s="76"/>
      <c r="G496" s="47"/>
      <c r="H496" s="47"/>
      <c r="I496" s="75"/>
      <c r="J496" s="76"/>
      <c r="K496" s="76"/>
      <c r="L496" s="75"/>
      <c r="M496" s="49"/>
      <c r="N496" s="76"/>
      <c r="O496" s="49"/>
      <c r="P496" s="77"/>
      <c r="Q496" s="53"/>
      <c r="R496" s="54"/>
      <c r="S496" s="55"/>
      <c r="T496" s="56"/>
      <c r="U496" s="56"/>
      <c r="V496" s="42"/>
      <c r="W496" s="57"/>
      <c r="X496" s="58"/>
      <c r="Y496" s="75"/>
      <c r="Z496" s="59"/>
      <c r="AA496" s="61"/>
      <c r="AB496" s="61"/>
      <c r="AC496" s="61"/>
      <c r="AD496" s="62"/>
      <c r="AE496" s="62"/>
      <c r="AF496" s="34"/>
      <c r="AG496" s="34"/>
      <c r="AH496" s="34"/>
      <c r="AI496" s="34"/>
      <c r="AJ496" s="34"/>
      <c r="AK496" s="34"/>
      <c r="AL496" s="34"/>
      <c r="AM496" s="34"/>
      <c r="AN496" s="34"/>
      <c r="AO496" s="34"/>
      <c r="AP496" s="34"/>
      <c r="AQ496" s="34"/>
      <c r="AR496" s="34"/>
      <c r="AS496" s="34"/>
      <c r="AT496" s="34"/>
      <c r="AU496" s="34"/>
      <c r="AV496" s="34"/>
      <c r="AW496" s="34"/>
      <c r="AX496" s="34"/>
      <c r="AY496" s="34"/>
      <c r="AZ496" s="34"/>
      <c r="BA496" s="34"/>
      <c r="BB496" s="34"/>
      <c r="BD496" s="34"/>
      <c r="BE496" s="34"/>
      <c r="BF496" s="34"/>
      <c r="BG496" s="34"/>
      <c r="BH496" s="34"/>
      <c r="BI496" s="34"/>
      <c r="BJ496" s="34"/>
      <c r="BK496" s="34"/>
      <c r="BL496" s="34"/>
      <c r="BM496" s="34"/>
      <c r="BN496" s="34"/>
      <c r="BO496" s="34"/>
      <c r="BP496" s="34"/>
      <c r="BQ496" s="34"/>
      <c r="BR496" s="34"/>
      <c r="BS496" s="34"/>
      <c r="BT496" s="34"/>
      <c r="BU496" s="34"/>
      <c r="BV496" s="34"/>
      <c r="BW496" s="34"/>
      <c r="BX496" s="34"/>
      <c r="BY496" s="34"/>
    </row>
    <row r="497" spans="1:77" x14ac:dyDescent="0.3">
      <c r="A497" s="39"/>
      <c r="B497" s="42"/>
      <c r="C497" s="42"/>
      <c r="D497" s="75"/>
      <c r="E497" s="75"/>
      <c r="F497" s="76"/>
      <c r="G497" s="47"/>
      <c r="H497" s="47"/>
      <c r="I497" s="75"/>
      <c r="J497" s="76"/>
      <c r="K497" s="76"/>
      <c r="L497" s="75"/>
      <c r="M497" s="49"/>
      <c r="N497" s="76"/>
      <c r="O497" s="49"/>
      <c r="P497" s="77"/>
      <c r="Q497" s="53"/>
      <c r="R497" s="54"/>
      <c r="S497" s="55"/>
      <c r="T497" s="56"/>
      <c r="U497" s="56"/>
      <c r="V497" s="42"/>
      <c r="W497" s="57"/>
      <c r="X497" s="58"/>
      <c r="Y497" s="75"/>
      <c r="Z497" s="59"/>
      <c r="AA497" s="61"/>
      <c r="AB497" s="61"/>
      <c r="AC497" s="61"/>
      <c r="AD497" s="62"/>
      <c r="AE497" s="62"/>
      <c r="AF497" s="34"/>
      <c r="AG497" s="34"/>
      <c r="AH497" s="34"/>
      <c r="AI497" s="34"/>
      <c r="AJ497" s="34"/>
      <c r="AK497" s="34"/>
      <c r="AL497" s="34"/>
      <c r="AM497" s="34"/>
      <c r="AN497" s="34"/>
      <c r="AO497" s="34"/>
      <c r="AP497" s="34"/>
      <c r="AQ497" s="34"/>
      <c r="AR497" s="34"/>
      <c r="AS497" s="34"/>
      <c r="AT497" s="34"/>
      <c r="AU497" s="34"/>
      <c r="AV497" s="34"/>
      <c r="AW497" s="34"/>
      <c r="AX497" s="34"/>
      <c r="AY497" s="34"/>
      <c r="AZ497" s="34"/>
      <c r="BA497" s="34"/>
      <c r="BB497" s="34"/>
      <c r="BD497" s="34"/>
      <c r="BE497" s="34"/>
      <c r="BF497" s="34"/>
      <c r="BG497" s="34"/>
      <c r="BH497" s="34"/>
      <c r="BI497" s="34"/>
      <c r="BJ497" s="34"/>
      <c r="BK497" s="34"/>
      <c r="BL497" s="34"/>
      <c r="BM497" s="34"/>
      <c r="BN497" s="34"/>
      <c r="BO497" s="34"/>
      <c r="BP497" s="34"/>
      <c r="BQ497" s="34"/>
      <c r="BR497" s="34"/>
      <c r="BS497" s="34"/>
      <c r="BT497" s="34"/>
      <c r="BU497" s="34"/>
      <c r="BV497" s="34"/>
      <c r="BW497" s="34"/>
      <c r="BX497" s="34"/>
      <c r="BY497" s="34"/>
    </row>
    <row r="498" spans="1:77" x14ac:dyDescent="0.3">
      <c r="A498" s="39"/>
      <c r="B498" s="42"/>
      <c r="C498" s="42"/>
      <c r="D498" s="75"/>
      <c r="E498" s="75"/>
      <c r="F498" s="76"/>
      <c r="G498" s="47"/>
      <c r="H498" s="47"/>
      <c r="I498" s="75"/>
      <c r="J498" s="76"/>
      <c r="K498" s="76"/>
      <c r="L498" s="75"/>
      <c r="M498" s="49"/>
      <c r="N498" s="76"/>
      <c r="O498" s="49"/>
      <c r="P498" s="77"/>
      <c r="Q498" s="53"/>
      <c r="R498" s="54"/>
      <c r="S498" s="55"/>
      <c r="T498" s="56"/>
      <c r="U498" s="56"/>
      <c r="V498" s="42"/>
      <c r="W498" s="57"/>
      <c r="X498" s="58"/>
      <c r="Y498" s="75"/>
      <c r="Z498" s="59"/>
      <c r="AA498" s="61"/>
      <c r="AB498" s="61"/>
      <c r="AC498" s="61"/>
      <c r="AD498" s="62"/>
      <c r="AE498" s="62"/>
      <c r="AF498" s="34"/>
      <c r="AG498" s="34"/>
      <c r="AH498" s="34"/>
      <c r="AI498" s="34"/>
      <c r="AJ498" s="34"/>
      <c r="AK498" s="34"/>
      <c r="AL498" s="34"/>
      <c r="AM498" s="34"/>
      <c r="AN498" s="34"/>
      <c r="AO498" s="34"/>
      <c r="AP498" s="34"/>
      <c r="AQ498" s="34"/>
      <c r="AR498" s="34"/>
      <c r="AS498" s="34"/>
      <c r="AT498" s="34"/>
      <c r="AU498" s="34"/>
      <c r="AV498" s="34"/>
      <c r="AW498" s="34"/>
      <c r="AX498" s="34"/>
      <c r="AY498" s="34"/>
      <c r="AZ498" s="34"/>
      <c r="BA498" s="34"/>
      <c r="BB498" s="34"/>
      <c r="BD498" s="34"/>
      <c r="BE498" s="34"/>
      <c r="BF498" s="34"/>
      <c r="BG498" s="34"/>
      <c r="BH498" s="34"/>
      <c r="BI498" s="34"/>
      <c r="BJ498" s="34"/>
      <c r="BK498" s="34"/>
      <c r="BL498" s="34"/>
      <c r="BM498" s="34"/>
      <c r="BN498" s="34"/>
      <c r="BO498" s="34"/>
      <c r="BP498" s="34"/>
      <c r="BQ498" s="34"/>
      <c r="BR498" s="34"/>
      <c r="BS498" s="34"/>
      <c r="BT498" s="34"/>
      <c r="BU498" s="34"/>
      <c r="BV498" s="34"/>
      <c r="BW498" s="34"/>
      <c r="BX498" s="34"/>
      <c r="BY498" s="34"/>
    </row>
    <row r="499" spans="1:77" x14ac:dyDescent="0.3">
      <c r="A499" s="39"/>
      <c r="B499" s="42"/>
      <c r="C499" s="42"/>
      <c r="D499" s="75"/>
      <c r="E499" s="75"/>
      <c r="F499" s="76"/>
      <c r="G499" s="47"/>
      <c r="H499" s="47"/>
      <c r="I499" s="75"/>
      <c r="J499" s="76"/>
      <c r="K499" s="76"/>
      <c r="L499" s="75"/>
      <c r="M499" s="49"/>
      <c r="N499" s="76"/>
      <c r="O499" s="49"/>
      <c r="P499" s="77"/>
      <c r="Q499" s="53"/>
      <c r="R499" s="54"/>
      <c r="S499" s="55"/>
      <c r="T499" s="56"/>
      <c r="U499" s="56"/>
      <c r="V499" s="42"/>
      <c r="W499" s="57"/>
      <c r="X499" s="58"/>
      <c r="Y499" s="75"/>
      <c r="Z499" s="59"/>
      <c r="AA499" s="61"/>
      <c r="AB499" s="61"/>
      <c r="AC499" s="61"/>
      <c r="AD499" s="62"/>
      <c r="AE499" s="62"/>
      <c r="AF499" s="34"/>
      <c r="AG499" s="34"/>
      <c r="AH499" s="34"/>
      <c r="AI499" s="34"/>
      <c r="AJ499" s="34"/>
      <c r="AK499" s="34"/>
      <c r="AL499" s="34"/>
      <c r="AM499" s="34"/>
      <c r="AN499" s="34"/>
      <c r="AO499" s="34"/>
      <c r="AP499" s="34"/>
      <c r="AQ499" s="34"/>
      <c r="AR499" s="34"/>
      <c r="AS499" s="34"/>
      <c r="AT499" s="34"/>
      <c r="AU499" s="34"/>
      <c r="AV499" s="34"/>
      <c r="AW499" s="34"/>
      <c r="AX499" s="34"/>
      <c r="AY499" s="34"/>
      <c r="AZ499" s="34"/>
      <c r="BA499" s="34"/>
      <c r="BB499" s="34"/>
      <c r="BD499" s="34"/>
      <c r="BE499" s="34"/>
      <c r="BF499" s="34"/>
      <c r="BG499" s="34"/>
      <c r="BH499" s="34"/>
      <c r="BI499" s="34"/>
      <c r="BJ499" s="34"/>
      <c r="BK499" s="34"/>
      <c r="BL499" s="34"/>
      <c r="BM499" s="34"/>
      <c r="BN499" s="34"/>
      <c r="BO499" s="34"/>
      <c r="BP499" s="34"/>
      <c r="BQ499" s="34"/>
      <c r="BR499" s="34"/>
      <c r="BS499" s="34"/>
      <c r="BT499" s="34"/>
      <c r="BU499" s="34"/>
      <c r="BV499" s="34"/>
      <c r="BW499" s="34"/>
      <c r="BX499" s="34"/>
      <c r="BY499" s="34"/>
    </row>
    <row r="500" spans="1:77" x14ac:dyDescent="0.3">
      <c r="A500" s="39"/>
      <c r="B500" s="42"/>
      <c r="C500" s="42"/>
      <c r="D500" s="75"/>
      <c r="E500" s="75"/>
      <c r="F500" s="76"/>
      <c r="G500" s="47"/>
      <c r="H500" s="47"/>
      <c r="I500" s="75"/>
      <c r="J500" s="76"/>
      <c r="K500" s="76"/>
      <c r="L500" s="75"/>
      <c r="M500" s="49"/>
      <c r="N500" s="76"/>
      <c r="O500" s="49"/>
      <c r="P500" s="77"/>
      <c r="Q500" s="53"/>
      <c r="R500" s="54"/>
      <c r="S500" s="55"/>
      <c r="T500" s="56"/>
      <c r="U500" s="56"/>
      <c r="V500" s="42"/>
      <c r="W500" s="57"/>
      <c r="X500" s="58"/>
      <c r="Y500" s="75"/>
      <c r="Z500" s="59"/>
      <c r="AA500" s="61"/>
      <c r="AB500" s="61"/>
      <c r="AC500" s="61"/>
      <c r="AD500" s="62"/>
      <c r="AE500" s="62"/>
      <c r="AF500" s="34"/>
      <c r="AG500" s="34"/>
      <c r="AH500" s="34"/>
      <c r="AI500" s="34"/>
      <c r="AJ500" s="34"/>
      <c r="AK500" s="34"/>
      <c r="AL500" s="34"/>
      <c r="AM500" s="34"/>
      <c r="AN500" s="34"/>
      <c r="AO500" s="34"/>
      <c r="AP500" s="34"/>
      <c r="AQ500" s="34"/>
      <c r="AR500" s="34"/>
      <c r="AS500" s="34"/>
      <c r="AT500" s="34"/>
      <c r="AU500" s="34"/>
      <c r="AV500" s="34"/>
      <c r="AW500" s="34"/>
      <c r="AX500" s="34"/>
      <c r="AY500" s="34"/>
      <c r="AZ500" s="34"/>
      <c r="BA500" s="34"/>
      <c r="BB500" s="34"/>
      <c r="BD500" s="34"/>
      <c r="BE500" s="34"/>
      <c r="BF500" s="34"/>
      <c r="BG500" s="34"/>
      <c r="BH500" s="34"/>
      <c r="BI500" s="34"/>
      <c r="BJ500" s="34"/>
      <c r="BK500" s="34"/>
      <c r="BL500" s="34"/>
      <c r="BM500" s="34"/>
      <c r="BN500" s="34"/>
      <c r="BO500" s="34"/>
      <c r="BP500" s="34"/>
      <c r="BQ500" s="34"/>
      <c r="BR500" s="34"/>
      <c r="BS500" s="34"/>
      <c r="BT500" s="34"/>
      <c r="BU500" s="34"/>
      <c r="BV500" s="34"/>
      <c r="BW500" s="34"/>
      <c r="BX500" s="34"/>
      <c r="BY500" s="34"/>
    </row>
    <row r="501" spans="1:77" x14ac:dyDescent="0.3">
      <c r="A501" s="39"/>
      <c r="B501" s="42"/>
      <c r="C501" s="42"/>
      <c r="D501" s="75"/>
      <c r="E501" s="75"/>
      <c r="F501" s="76"/>
      <c r="G501" s="47"/>
      <c r="H501" s="47"/>
      <c r="I501" s="75"/>
      <c r="J501" s="76"/>
      <c r="K501" s="76"/>
      <c r="L501" s="75"/>
      <c r="M501" s="49"/>
      <c r="N501" s="76"/>
      <c r="O501" s="49"/>
      <c r="P501" s="77"/>
      <c r="Q501" s="53"/>
      <c r="R501" s="54"/>
      <c r="S501" s="55"/>
      <c r="T501" s="56"/>
      <c r="U501" s="56"/>
      <c r="V501" s="42"/>
      <c r="W501" s="57"/>
      <c r="X501" s="58"/>
      <c r="Y501" s="75"/>
      <c r="Z501" s="59"/>
      <c r="AA501" s="61"/>
      <c r="AB501" s="61"/>
      <c r="AC501" s="61"/>
      <c r="AD501" s="62"/>
      <c r="AE501" s="62"/>
      <c r="AF501" s="34"/>
      <c r="AG501" s="34"/>
      <c r="AH501" s="34"/>
      <c r="AI501" s="34"/>
      <c r="AJ501" s="34"/>
      <c r="AK501" s="34"/>
      <c r="AL501" s="34"/>
      <c r="AM501" s="34"/>
      <c r="AN501" s="34"/>
      <c r="AO501" s="34"/>
      <c r="AP501" s="34"/>
      <c r="AQ501" s="34"/>
      <c r="AR501" s="34"/>
      <c r="AS501" s="34"/>
      <c r="AT501" s="34"/>
      <c r="AU501" s="34"/>
      <c r="AV501" s="34"/>
      <c r="AW501" s="34"/>
      <c r="AX501" s="34"/>
      <c r="AY501" s="34"/>
      <c r="AZ501" s="34"/>
      <c r="BA501" s="34"/>
      <c r="BB501" s="34"/>
      <c r="BD501" s="34"/>
      <c r="BE501" s="34"/>
      <c r="BF501" s="34"/>
      <c r="BG501" s="34"/>
      <c r="BH501" s="34"/>
      <c r="BI501" s="34"/>
      <c r="BJ501" s="34"/>
      <c r="BK501" s="34"/>
      <c r="BL501" s="34"/>
      <c r="BM501" s="34"/>
      <c r="BN501" s="34"/>
      <c r="BO501" s="34"/>
      <c r="BP501" s="34"/>
      <c r="BQ501" s="34"/>
      <c r="BR501" s="34"/>
      <c r="BS501" s="34"/>
      <c r="BT501" s="34"/>
      <c r="BU501" s="34"/>
      <c r="BV501" s="34"/>
      <c r="BW501" s="34"/>
      <c r="BX501" s="34"/>
      <c r="BY501" s="34"/>
    </row>
    <row r="502" spans="1:77" x14ac:dyDescent="0.3">
      <c r="A502" s="39"/>
      <c r="B502" s="42"/>
      <c r="C502" s="42"/>
      <c r="D502" s="75"/>
      <c r="E502" s="75"/>
      <c r="F502" s="76"/>
      <c r="G502" s="47"/>
      <c r="H502" s="47"/>
      <c r="I502" s="75"/>
      <c r="J502" s="76"/>
      <c r="K502" s="76"/>
      <c r="L502" s="75"/>
      <c r="M502" s="49"/>
      <c r="N502" s="76"/>
      <c r="O502" s="49"/>
      <c r="P502" s="77"/>
      <c r="Q502" s="53"/>
      <c r="R502" s="54"/>
      <c r="S502" s="55"/>
      <c r="T502" s="56"/>
      <c r="U502" s="56"/>
      <c r="V502" s="42"/>
      <c r="W502" s="57"/>
      <c r="X502" s="58"/>
      <c r="Y502" s="75"/>
      <c r="Z502" s="59"/>
      <c r="AA502" s="61"/>
      <c r="AB502" s="61"/>
      <c r="AC502" s="61"/>
      <c r="AD502" s="62"/>
      <c r="AE502" s="62"/>
      <c r="AF502" s="34"/>
      <c r="AG502" s="34"/>
      <c r="AH502" s="34"/>
      <c r="AI502" s="34"/>
      <c r="AJ502" s="34"/>
      <c r="AK502" s="34"/>
      <c r="AL502" s="34"/>
      <c r="AM502" s="34"/>
      <c r="AN502" s="34"/>
      <c r="AO502" s="34"/>
      <c r="AP502" s="34"/>
      <c r="AQ502" s="34"/>
      <c r="AR502" s="34"/>
      <c r="AS502" s="34"/>
      <c r="AT502" s="34"/>
      <c r="AU502" s="34"/>
      <c r="AV502" s="34"/>
      <c r="AW502" s="34"/>
      <c r="AX502" s="34"/>
      <c r="AY502" s="34"/>
      <c r="AZ502" s="34"/>
      <c r="BA502" s="34"/>
      <c r="BB502" s="34"/>
      <c r="BD502" s="34"/>
      <c r="BE502" s="34"/>
      <c r="BF502" s="34"/>
      <c r="BG502" s="34"/>
      <c r="BH502" s="34"/>
      <c r="BI502" s="34"/>
      <c r="BJ502" s="34"/>
      <c r="BK502" s="34"/>
      <c r="BL502" s="34"/>
      <c r="BM502" s="34"/>
      <c r="BN502" s="34"/>
      <c r="BO502" s="34"/>
      <c r="BP502" s="34"/>
      <c r="BQ502" s="34"/>
      <c r="BR502" s="34"/>
      <c r="BS502" s="34"/>
      <c r="BT502" s="34"/>
      <c r="BU502" s="34"/>
      <c r="BV502" s="34"/>
      <c r="BW502" s="34"/>
      <c r="BX502" s="34"/>
      <c r="BY502" s="34"/>
    </row>
    <row r="503" spans="1:77" x14ac:dyDescent="0.3">
      <c r="A503" s="39"/>
      <c r="B503" s="42"/>
      <c r="C503" s="42"/>
      <c r="D503" s="75"/>
      <c r="E503" s="75"/>
      <c r="F503" s="76"/>
      <c r="G503" s="47"/>
      <c r="H503" s="47"/>
      <c r="I503" s="75"/>
      <c r="J503" s="76"/>
      <c r="K503" s="76"/>
      <c r="L503" s="75"/>
      <c r="M503" s="49"/>
      <c r="N503" s="76"/>
      <c r="O503" s="49"/>
      <c r="P503" s="77"/>
      <c r="Q503" s="53"/>
      <c r="R503" s="54"/>
      <c r="S503" s="55"/>
      <c r="T503" s="56"/>
      <c r="U503" s="56"/>
      <c r="V503" s="42"/>
      <c r="W503" s="57"/>
      <c r="X503" s="58"/>
      <c r="Y503" s="75"/>
      <c r="Z503" s="59"/>
      <c r="AA503" s="61"/>
      <c r="AB503" s="61"/>
      <c r="AC503" s="61"/>
      <c r="AD503" s="62"/>
      <c r="AE503" s="62"/>
      <c r="AF503" s="34"/>
      <c r="AG503" s="34"/>
      <c r="AH503" s="34"/>
      <c r="AI503" s="34"/>
      <c r="AJ503" s="34"/>
      <c r="AK503" s="34"/>
      <c r="AL503" s="34"/>
      <c r="AM503" s="34"/>
      <c r="AN503" s="34"/>
      <c r="AO503" s="34"/>
      <c r="AP503" s="34"/>
      <c r="AQ503" s="34"/>
      <c r="AR503" s="34"/>
      <c r="AS503" s="34"/>
      <c r="AT503" s="34"/>
      <c r="AU503" s="34"/>
      <c r="AV503" s="34"/>
      <c r="AW503" s="34"/>
      <c r="AX503" s="34"/>
      <c r="AY503" s="34"/>
      <c r="AZ503" s="34"/>
      <c r="BA503" s="34"/>
      <c r="BB503" s="34"/>
      <c r="BD503" s="34"/>
      <c r="BE503" s="34"/>
      <c r="BF503" s="34"/>
      <c r="BG503" s="34"/>
      <c r="BH503" s="34"/>
      <c r="BI503" s="34"/>
      <c r="BJ503" s="34"/>
      <c r="BK503" s="34"/>
      <c r="BL503" s="34"/>
      <c r="BM503" s="34"/>
      <c r="BN503" s="34"/>
      <c r="BO503" s="34"/>
      <c r="BP503" s="34"/>
      <c r="BQ503" s="34"/>
      <c r="BR503" s="34"/>
      <c r="BS503" s="34"/>
      <c r="BT503" s="34"/>
      <c r="BU503" s="34"/>
      <c r="BV503" s="34"/>
      <c r="BW503" s="34"/>
      <c r="BX503" s="34"/>
      <c r="BY503" s="34"/>
    </row>
    <row r="504" spans="1:77" x14ac:dyDescent="0.3">
      <c r="A504" s="39"/>
      <c r="B504" s="42"/>
      <c r="C504" s="42"/>
      <c r="D504" s="75"/>
      <c r="E504" s="75"/>
      <c r="F504" s="76"/>
      <c r="G504" s="47"/>
      <c r="H504" s="47"/>
      <c r="I504" s="75"/>
      <c r="J504" s="76"/>
      <c r="K504" s="76"/>
      <c r="L504" s="75"/>
      <c r="M504" s="49"/>
      <c r="N504" s="76"/>
      <c r="O504" s="49"/>
      <c r="P504" s="77"/>
      <c r="Q504" s="53"/>
      <c r="R504" s="54"/>
      <c r="S504" s="55"/>
      <c r="T504" s="56"/>
      <c r="U504" s="56"/>
      <c r="V504" s="42"/>
      <c r="W504" s="57"/>
      <c r="X504" s="58"/>
      <c r="Y504" s="75"/>
      <c r="Z504" s="59"/>
      <c r="AA504" s="61"/>
      <c r="AB504" s="61"/>
      <c r="AC504" s="61"/>
      <c r="AD504" s="62"/>
      <c r="AE504" s="62"/>
      <c r="AF504" s="34"/>
      <c r="AG504" s="34"/>
      <c r="AH504" s="34"/>
      <c r="AI504" s="34"/>
      <c r="AJ504" s="34"/>
      <c r="AK504" s="34"/>
      <c r="AL504" s="34"/>
      <c r="AM504" s="34"/>
      <c r="AN504" s="34"/>
      <c r="AO504" s="34"/>
      <c r="AP504" s="34"/>
      <c r="AQ504" s="34"/>
      <c r="AR504" s="34"/>
      <c r="AS504" s="34"/>
      <c r="AT504" s="34"/>
      <c r="AU504" s="34"/>
      <c r="AV504" s="34"/>
      <c r="AW504" s="34"/>
      <c r="AX504" s="34"/>
      <c r="AY504" s="34"/>
      <c r="AZ504" s="34"/>
      <c r="BA504" s="34"/>
      <c r="BB504" s="34"/>
      <c r="BD504" s="34"/>
      <c r="BE504" s="34"/>
      <c r="BF504" s="34"/>
      <c r="BG504" s="34"/>
      <c r="BH504" s="34"/>
      <c r="BI504" s="34"/>
      <c r="BJ504" s="34"/>
      <c r="BK504" s="34"/>
      <c r="BL504" s="34"/>
      <c r="BM504" s="34"/>
      <c r="BN504" s="34"/>
      <c r="BO504" s="34"/>
      <c r="BP504" s="34"/>
      <c r="BQ504" s="34"/>
      <c r="BR504" s="34"/>
      <c r="BS504" s="34"/>
      <c r="BT504" s="34"/>
      <c r="BU504" s="34"/>
      <c r="BV504" s="34"/>
      <c r="BW504" s="34"/>
      <c r="BX504" s="34"/>
      <c r="BY504" s="34"/>
    </row>
    <row r="505" spans="1:77" x14ac:dyDescent="0.3">
      <c r="A505" s="39"/>
      <c r="B505" s="42"/>
      <c r="C505" s="42"/>
      <c r="D505" s="75"/>
      <c r="E505" s="75"/>
      <c r="F505" s="76"/>
      <c r="G505" s="47"/>
      <c r="H505" s="47"/>
      <c r="I505" s="75"/>
      <c r="J505" s="76"/>
      <c r="K505" s="76"/>
      <c r="L505" s="75"/>
      <c r="M505" s="49"/>
      <c r="N505" s="76"/>
      <c r="O505" s="49"/>
      <c r="P505" s="77"/>
      <c r="Q505" s="53"/>
      <c r="R505" s="54"/>
      <c r="S505" s="55"/>
      <c r="T505" s="56"/>
      <c r="U505" s="56"/>
      <c r="V505" s="42"/>
      <c r="W505" s="57"/>
      <c r="X505" s="58"/>
      <c r="Y505" s="75"/>
      <c r="Z505" s="59"/>
      <c r="AA505" s="61"/>
      <c r="AB505" s="61"/>
      <c r="AC505" s="61"/>
      <c r="AD505" s="62"/>
      <c r="AE505" s="62"/>
      <c r="AF505" s="34"/>
      <c r="AG505" s="34"/>
      <c r="AH505" s="34"/>
      <c r="AI505" s="34"/>
      <c r="AJ505" s="34"/>
      <c r="AK505" s="34"/>
      <c r="AL505" s="34"/>
      <c r="AM505" s="34"/>
      <c r="AN505" s="34"/>
      <c r="AO505" s="34"/>
      <c r="AP505" s="34"/>
      <c r="AQ505" s="34"/>
      <c r="AR505" s="34"/>
      <c r="AS505" s="34"/>
      <c r="AT505" s="34"/>
      <c r="AU505" s="34"/>
      <c r="AV505" s="34"/>
      <c r="AW505" s="34"/>
      <c r="AX505" s="34"/>
      <c r="AY505" s="34"/>
      <c r="AZ505" s="34"/>
      <c r="BA505" s="34"/>
      <c r="BB505" s="34"/>
      <c r="BD505" s="34"/>
      <c r="BE505" s="34"/>
      <c r="BF505" s="34"/>
      <c r="BG505" s="34"/>
      <c r="BH505" s="34"/>
      <c r="BI505" s="34"/>
      <c r="BJ505" s="34"/>
      <c r="BK505" s="34"/>
      <c r="BL505" s="34"/>
      <c r="BM505" s="34"/>
      <c r="BN505" s="34"/>
      <c r="BO505" s="34"/>
      <c r="BP505" s="34"/>
      <c r="BQ505" s="34"/>
      <c r="BR505" s="34"/>
      <c r="BS505" s="34"/>
      <c r="BT505" s="34"/>
      <c r="BU505" s="34"/>
      <c r="BV505" s="34"/>
      <c r="BW505" s="34"/>
      <c r="BX505" s="34"/>
      <c r="BY505" s="34"/>
    </row>
    <row r="506" spans="1:77" x14ac:dyDescent="0.3">
      <c r="A506" s="39"/>
      <c r="B506" s="42"/>
      <c r="C506" s="42"/>
      <c r="D506" s="75"/>
      <c r="E506" s="75"/>
      <c r="F506" s="76"/>
      <c r="G506" s="47"/>
      <c r="H506" s="47"/>
      <c r="I506" s="75"/>
      <c r="J506" s="76"/>
      <c r="K506" s="76"/>
      <c r="L506" s="75"/>
      <c r="M506" s="49"/>
      <c r="N506" s="76"/>
      <c r="O506" s="49"/>
      <c r="P506" s="77"/>
      <c r="Q506" s="53"/>
      <c r="R506" s="54"/>
      <c r="S506" s="55"/>
      <c r="T506" s="56"/>
      <c r="U506" s="56"/>
      <c r="V506" s="42"/>
      <c r="W506" s="57"/>
      <c r="X506" s="58"/>
      <c r="Y506" s="75"/>
      <c r="Z506" s="59"/>
      <c r="AA506" s="61"/>
      <c r="AB506" s="61"/>
      <c r="AC506" s="61"/>
      <c r="AD506" s="62"/>
      <c r="AE506" s="62"/>
      <c r="AF506" s="34"/>
      <c r="AG506" s="34"/>
      <c r="AH506" s="34"/>
      <c r="AI506" s="34"/>
      <c r="AJ506" s="34"/>
      <c r="AK506" s="34"/>
      <c r="AL506" s="34"/>
      <c r="AM506" s="34"/>
      <c r="AN506" s="34"/>
      <c r="AO506" s="34"/>
      <c r="AP506" s="34"/>
      <c r="AQ506" s="34"/>
      <c r="AR506" s="34"/>
      <c r="AS506" s="34"/>
      <c r="AT506" s="34"/>
      <c r="AU506" s="34"/>
      <c r="AV506" s="34"/>
      <c r="AW506" s="34"/>
      <c r="AX506" s="34"/>
      <c r="AY506" s="34"/>
      <c r="AZ506" s="34"/>
      <c r="BA506" s="34"/>
      <c r="BB506" s="34"/>
      <c r="BD506" s="34"/>
      <c r="BE506" s="34"/>
      <c r="BF506" s="34"/>
      <c r="BG506" s="34"/>
      <c r="BH506" s="34"/>
      <c r="BI506" s="34"/>
      <c r="BJ506" s="34"/>
      <c r="BK506" s="34"/>
      <c r="BL506" s="34"/>
      <c r="BM506" s="34"/>
      <c r="BN506" s="34"/>
      <c r="BO506" s="34"/>
      <c r="BP506" s="34"/>
      <c r="BQ506" s="34"/>
      <c r="BR506" s="34"/>
      <c r="BS506" s="34"/>
      <c r="BT506" s="34"/>
      <c r="BU506" s="34"/>
      <c r="BV506" s="34"/>
      <c r="BW506" s="34"/>
      <c r="BX506" s="34"/>
      <c r="BY506" s="34"/>
    </row>
    <row r="507" spans="1:77" x14ac:dyDescent="0.3">
      <c r="A507" s="39"/>
      <c r="B507" s="42"/>
      <c r="C507" s="42"/>
      <c r="D507" s="75"/>
      <c r="E507" s="75"/>
      <c r="F507" s="76"/>
      <c r="G507" s="47"/>
      <c r="H507" s="47"/>
      <c r="I507" s="75"/>
      <c r="J507" s="76"/>
      <c r="K507" s="76"/>
      <c r="L507" s="75"/>
      <c r="M507" s="49"/>
      <c r="N507" s="76"/>
      <c r="O507" s="49"/>
      <c r="P507" s="77"/>
      <c r="Q507" s="53"/>
      <c r="R507" s="54"/>
      <c r="S507" s="55"/>
      <c r="T507" s="56"/>
      <c r="U507" s="56"/>
      <c r="V507" s="42"/>
      <c r="W507" s="57"/>
      <c r="X507" s="58"/>
      <c r="Y507" s="75"/>
      <c r="Z507" s="59"/>
      <c r="AA507" s="61"/>
      <c r="AB507" s="61"/>
      <c r="AC507" s="61"/>
      <c r="AD507" s="62"/>
      <c r="AE507" s="62"/>
      <c r="AF507" s="34"/>
      <c r="AG507" s="34"/>
      <c r="AH507" s="34"/>
      <c r="AI507" s="34"/>
      <c r="AJ507" s="34"/>
      <c r="AK507" s="34"/>
      <c r="AL507" s="34"/>
      <c r="AM507" s="34"/>
      <c r="AN507" s="34"/>
      <c r="AO507" s="34"/>
      <c r="AP507" s="34"/>
      <c r="AQ507" s="34"/>
      <c r="AR507" s="34"/>
      <c r="AS507" s="34"/>
      <c r="AT507" s="34"/>
      <c r="AU507" s="34"/>
      <c r="AV507" s="34"/>
      <c r="AW507" s="34"/>
      <c r="AX507" s="34"/>
      <c r="AY507" s="34"/>
      <c r="AZ507" s="34"/>
      <c r="BA507" s="34"/>
      <c r="BB507" s="34"/>
      <c r="BD507" s="34"/>
      <c r="BE507" s="34"/>
      <c r="BF507" s="34"/>
      <c r="BG507" s="34"/>
      <c r="BH507" s="34"/>
      <c r="BI507" s="34"/>
      <c r="BJ507" s="34"/>
      <c r="BK507" s="34"/>
      <c r="BL507" s="34"/>
      <c r="BM507" s="34"/>
      <c r="BN507" s="34"/>
      <c r="BO507" s="34"/>
      <c r="BP507" s="34"/>
      <c r="BQ507" s="34"/>
      <c r="BR507" s="34"/>
      <c r="BS507" s="34"/>
      <c r="BT507" s="34"/>
      <c r="BU507" s="34"/>
      <c r="BV507" s="34"/>
      <c r="BW507" s="34"/>
      <c r="BX507" s="34"/>
      <c r="BY507" s="34"/>
    </row>
    <row r="508" spans="1:77" x14ac:dyDescent="0.3">
      <c r="A508" s="39"/>
      <c r="B508" s="42"/>
      <c r="C508" s="42"/>
      <c r="D508" s="75"/>
      <c r="E508" s="75"/>
      <c r="F508" s="76"/>
      <c r="G508" s="47"/>
      <c r="H508" s="47"/>
      <c r="I508" s="75"/>
      <c r="J508" s="76"/>
      <c r="K508" s="76"/>
      <c r="L508" s="75"/>
      <c r="M508" s="49"/>
      <c r="N508" s="76"/>
      <c r="O508" s="49"/>
      <c r="P508" s="77"/>
      <c r="Q508" s="53"/>
      <c r="R508" s="54"/>
      <c r="S508" s="55"/>
      <c r="T508" s="56"/>
      <c r="U508" s="56"/>
      <c r="V508" s="42"/>
      <c r="W508" s="57"/>
      <c r="X508" s="58"/>
      <c r="Y508" s="75"/>
      <c r="Z508" s="59"/>
      <c r="AA508" s="61"/>
      <c r="AB508" s="61"/>
      <c r="AC508" s="61"/>
      <c r="AD508" s="62"/>
      <c r="AE508" s="62"/>
      <c r="AF508" s="34"/>
      <c r="AG508" s="34"/>
      <c r="AH508" s="34"/>
      <c r="AI508" s="34"/>
      <c r="AJ508" s="34"/>
      <c r="AK508" s="34"/>
      <c r="AL508" s="34"/>
      <c r="AM508" s="34"/>
      <c r="AN508" s="34"/>
      <c r="AO508" s="34"/>
      <c r="AP508" s="34"/>
      <c r="AQ508" s="34"/>
      <c r="AR508" s="34"/>
      <c r="AS508" s="34"/>
      <c r="AT508" s="34"/>
      <c r="AU508" s="34"/>
      <c r="AV508" s="34"/>
      <c r="AW508" s="34"/>
      <c r="AX508" s="34"/>
      <c r="AY508" s="34"/>
      <c r="AZ508" s="34"/>
      <c r="BA508" s="34"/>
      <c r="BB508" s="34"/>
      <c r="BD508" s="34"/>
      <c r="BE508" s="34"/>
      <c r="BF508" s="34"/>
      <c r="BG508" s="34"/>
      <c r="BH508" s="34"/>
      <c r="BI508" s="34"/>
      <c r="BJ508" s="34"/>
      <c r="BK508" s="34"/>
      <c r="BL508" s="34"/>
      <c r="BM508" s="34"/>
      <c r="BN508" s="34"/>
      <c r="BO508" s="34"/>
      <c r="BP508" s="34"/>
      <c r="BQ508" s="34"/>
      <c r="BR508" s="34"/>
      <c r="BS508" s="34"/>
      <c r="BT508" s="34"/>
      <c r="BU508" s="34"/>
      <c r="BV508" s="34"/>
      <c r="BW508" s="34"/>
      <c r="BX508" s="34"/>
      <c r="BY508" s="34"/>
    </row>
    <row r="509" spans="1:77" x14ac:dyDescent="0.3">
      <c r="A509" s="39"/>
      <c r="B509" s="42"/>
      <c r="C509" s="42"/>
      <c r="D509" s="75"/>
      <c r="E509" s="75"/>
      <c r="F509" s="76"/>
      <c r="G509" s="47"/>
      <c r="H509" s="47"/>
      <c r="I509" s="75"/>
      <c r="J509" s="76"/>
      <c r="K509" s="76"/>
      <c r="L509" s="75"/>
      <c r="M509" s="49"/>
      <c r="N509" s="76"/>
      <c r="O509" s="49"/>
      <c r="P509" s="77"/>
      <c r="Q509" s="53"/>
      <c r="R509" s="54"/>
      <c r="S509" s="55"/>
      <c r="T509" s="56"/>
      <c r="U509" s="56"/>
      <c r="V509" s="42"/>
      <c r="W509" s="57"/>
      <c r="X509" s="58"/>
      <c r="Y509" s="75"/>
      <c r="Z509" s="59"/>
      <c r="AA509" s="61"/>
      <c r="AB509" s="61"/>
      <c r="AC509" s="61"/>
      <c r="AD509" s="62"/>
      <c r="AE509" s="62"/>
      <c r="AF509" s="34"/>
      <c r="AG509" s="34"/>
      <c r="AH509" s="34"/>
      <c r="AI509" s="34"/>
      <c r="AJ509" s="34"/>
      <c r="AK509" s="34"/>
      <c r="AL509" s="34"/>
      <c r="AM509" s="34"/>
      <c r="AN509" s="34"/>
      <c r="AO509" s="34"/>
      <c r="AP509" s="34"/>
      <c r="AQ509" s="34"/>
      <c r="AR509" s="34"/>
      <c r="AS509" s="34"/>
      <c r="AT509" s="34"/>
      <c r="AU509" s="34"/>
      <c r="AV509" s="34"/>
      <c r="AW509" s="34"/>
      <c r="AX509" s="34"/>
      <c r="AY509" s="34"/>
      <c r="AZ509" s="34"/>
      <c r="BA509" s="34"/>
      <c r="BB509" s="34"/>
      <c r="BD509" s="34"/>
      <c r="BE509" s="34"/>
      <c r="BF509" s="34"/>
      <c r="BG509" s="34"/>
      <c r="BH509" s="34"/>
      <c r="BI509" s="34"/>
      <c r="BJ509" s="34"/>
      <c r="BK509" s="34"/>
      <c r="BL509" s="34"/>
      <c r="BM509" s="34"/>
      <c r="BN509" s="34"/>
      <c r="BO509" s="34"/>
      <c r="BP509" s="34"/>
      <c r="BQ509" s="34"/>
      <c r="BR509" s="34"/>
      <c r="BS509" s="34"/>
      <c r="BT509" s="34"/>
      <c r="BU509" s="34"/>
      <c r="BV509" s="34"/>
      <c r="BW509" s="34"/>
      <c r="BX509" s="34"/>
      <c r="BY509" s="34"/>
    </row>
    <row r="510" spans="1:77" x14ac:dyDescent="0.3">
      <c r="A510" s="39"/>
      <c r="B510" s="42"/>
      <c r="C510" s="42"/>
      <c r="D510" s="75"/>
      <c r="E510" s="75"/>
      <c r="F510" s="76"/>
      <c r="G510" s="47"/>
      <c r="H510" s="47"/>
      <c r="I510" s="75"/>
      <c r="J510" s="76"/>
      <c r="K510" s="76"/>
      <c r="L510" s="75"/>
      <c r="M510" s="49"/>
      <c r="N510" s="76"/>
      <c r="O510" s="49"/>
      <c r="P510" s="77"/>
      <c r="Q510" s="53"/>
      <c r="R510" s="54"/>
      <c r="S510" s="55"/>
      <c r="T510" s="56"/>
      <c r="U510" s="56"/>
      <c r="V510" s="42"/>
      <c r="W510" s="57"/>
      <c r="X510" s="58"/>
      <c r="Y510" s="75"/>
      <c r="Z510" s="59"/>
      <c r="AA510" s="61"/>
      <c r="AB510" s="61"/>
      <c r="AC510" s="61"/>
      <c r="AD510" s="62"/>
      <c r="AE510" s="62"/>
      <c r="AF510" s="34"/>
      <c r="AG510" s="34"/>
      <c r="AH510" s="34"/>
      <c r="AI510" s="34"/>
      <c r="AJ510" s="34"/>
      <c r="AK510" s="34"/>
      <c r="AL510" s="34"/>
      <c r="AM510" s="34"/>
      <c r="AN510" s="34"/>
      <c r="AO510" s="34"/>
      <c r="AP510" s="34"/>
      <c r="AQ510" s="34"/>
      <c r="AR510" s="34"/>
      <c r="AS510" s="34"/>
      <c r="AT510" s="34"/>
      <c r="AU510" s="34"/>
      <c r="AV510" s="34"/>
      <c r="AW510" s="34"/>
      <c r="AX510" s="34"/>
      <c r="AY510" s="34"/>
      <c r="AZ510" s="34"/>
      <c r="BA510" s="34"/>
      <c r="BB510" s="34"/>
      <c r="BD510" s="34"/>
      <c r="BE510" s="34"/>
      <c r="BF510" s="34"/>
      <c r="BG510" s="34"/>
      <c r="BH510" s="34"/>
      <c r="BI510" s="34"/>
      <c r="BJ510" s="34"/>
      <c r="BK510" s="34"/>
      <c r="BL510" s="34"/>
      <c r="BM510" s="34"/>
      <c r="BN510" s="34"/>
      <c r="BO510" s="34"/>
      <c r="BP510" s="34"/>
      <c r="BQ510" s="34"/>
      <c r="BR510" s="34"/>
      <c r="BS510" s="34"/>
      <c r="BT510" s="34"/>
      <c r="BU510" s="34"/>
      <c r="BV510" s="34"/>
      <c r="BW510" s="34"/>
      <c r="BX510" s="34"/>
      <c r="BY510" s="34"/>
    </row>
    <row r="511" spans="1:77" x14ac:dyDescent="0.3">
      <c r="A511" s="39"/>
      <c r="B511" s="42"/>
      <c r="C511" s="42"/>
      <c r="D511" s="75"/>
      <c r="E511" s="75"/>
      <c r="F511" s="76"/>
      <c r="G511" s="47"/>
      <c r="H511" s="47"/>
      <c r="I511" s="75"/>
      <c r="J511" s="76"/>
      <c r="K511" s="76"/>
      <c r="L511" s="75"/>
      <c r="M511" s="49"/>
      <c r="N511" s="76"/>
      <c r="O511" s="49"/>
      <c r="P511" s="77"/>
      <c r="Q511" s="53"/>
      <c r="R511" s="54"/>
      <c r="S511" s="55"/>
      <c r="T511" s="56"/>
      <c r="U511" s="56"/>
      <c r="V511" s="42"/>
      <c r="W511" s="57"/>
      <c r="X511" s="58"/>
      <c r="Y511" s="75"/>
      <c r="Z511" s="59"/>
      <c r="AA511" s="61"/>
      <c r="AB511" s="61"/>
      <c r="AC511" s="61"/>
      <c r="AD511" s="62"/>
      <c r="AE511" s="62"/>
      <c r="AF511" s="34"/>
      <c r="AG511" s="34"/>
      <c r="AH511" s="34"/>
      <c r="AI511" s="34"/>
      <c r="AJ511" s="34"/>
      <c r="AK511" s="34"/>
      <c r="AL511" s="34"/>
      <c r="AM511" s="34"/>
      <c r="AN511" s="34"/>
      <c r="AO511" s="34"/>
      <c r="AP511" s="34"/>
      <c r="AQ511" s="34"/>
      <c r="AR511" s="34"/>
      <c r="AS511" s="34"/>
      <c r="AT511" s="34"/>
      <c r="AU511" s="34"/>
      <c r="AV511" s="34"/>
      <c r="AW511" s="34"/>
      <c r="AX511" s="34"/>
      <c r="AY511" s="34"/>
      <c r="AZ511" s="34"/>
      <c r="BA511" s="34"/>
      <c r="BB511" s="34"/>
      <c r="BD511" s="34"/>
      <c r="BE511" s="34"/>
      <c r="BF511" s="34"/>
      <c r="BG511" s="34"/>
      <c r="BH511" s="34"/>
      <c r="BI511" s="34"/>
      <c r="BJ511" s="34"/>
      <c r="BK511" s="34"/>
      <c r="BL511" s="34"/>
      <c r="BM511" s="34"/>
      <c r="BN511" s="34"/>
      <c r="BO511" s="34"/>
      <c r="BP511" s="34"/>
      <c r="BQ511" s="34"/>
      <c r="BR511" s="34"/>
      <c r="BS511" s="34"/>
      <c r="BT511" s="34"/>
      <c r="BU511" s="34"/>
      <c r="BV511" s="34"/>
      <c r="BW511" s="34"/>
      <c r="BX511" s="34"/>
      <c r="BY511" s="34"/>
    </row>
    <row r="512" spans="1:77" x14ac:dyDescent="0.3">
      <c r="A512" s="39"/>
      <c r="B512" s="42"/>
      <c r="C512" s="42"/>
      <c r="D512" s="75"/>
      <c r="E512" s="75"/>
      <c r="F512" s="76"/>
      <c r="G512" s="47"/>
      <c r="H512" s="47"/>
      <c r="I512" s="75"/>
      <c r="J512" s="76"/>
      <c r="K512" s="76"/>
      <c r="L512" s="75"/>
      <c r="M512" s="49"/>
      <c r="N512" s="76"/>
      <c r="O512" s="49"/>
      <c r="P512" s="77"/>
      <c r="Q512" s="53"/>
      <c r="R512" s="54"/>
      <c r="S512" s="55"/>
      <c r="T512" s="56"/>
      <c r="U512" s="56"/>
      <c r="V512" s="42"/>
      <c r="W512" s="57"/>
      <c r="X512" s="58"/>
      <c r="Y512" s="75"/>
      <c r="Z512" s="59"/>
      <c r="AA512" s="61"/>
      <c r="AB512" s="61"/>
      <c r="AC512" s="61"/>
      <c r="AD512" s="62"/>
      <c r="AE512" s="62"/>
      <c r="AF512" s="34"/>
      <c r="AG512" s="34"/>
      <c r="AH512" s="34"/>
      <c r="AI512" s="34"/>
      <c r="AJ512" s="34"/>
      <c r="AK512" s="34"/>
      <c r="AL512" s="34"/>
      <c r="AM512" s="34"/>
      <c r="AN512" s="34"/>
      <c r="AO512" s="34"/>
      <c r="AP512" s="34"/>
      <c r="AQ512" s="34"/>
      <c r="AR512" s="34"/>
      <c r="AS512" s="34"/>
      <c r="AT512" s="34"/>
      <c r="AU512" s="34"/>
      <c r="AV512" s="34"/>
      <c r="AW512" s="34"/>
      <c r="AX512" s="34"/>
      <c r="AY512" s="34"/>
      <c r="AZ512" s="34"/>
      <c r="BA512" s="34"/>
      <c r="BB512" s="34"/>
      <c r="BD512" s="34"/>
      <c r="BE512" s="34"/>
      <c r="BF512" s="34"/>
      <c r="BG512" s="34"/>
      <c r="BH512" s="34"/>
      <c r="BI512" s="34"/>
      <c r="BJ512" s="34"/>
      <c r="BK512" s="34"/>
      <c r="BL512" s="34"/>
      <c r="BM512" s="34"/>
      <c r="BN512" s="34"/>
      <c r="BO512" s="34"/>
      <c r="BP512" s="34"/>
      <c r="BQ512" s="34"/>
      <c r="BR512" s="34"/>
      <c r="BS512" s="34"/>
      <c r="BT512" s="34"/>
      <c r="BU512" s="34"/>
      <c r="BV512" s="34"/>
      <c r="BW512" s="34"/>
      <c r="BX512" s="34"/>
      <c r="BY512" s="34"/>
    </row>
    <row r="513" spans="1:77" x14ac:dyDescent="0.3">
      <c r="A513" s="39"/>
      <c r="B513" s="42"/>
      <c r="C513" s="42"/>
      <c r="D513" s="75"/>
      <c r="E513" s="75"/>
      <c r="F513" s="76"/>
      <c r="G513" s="47"/>
      <c r="H513" s="47"/>
      <c r="I513" s="75"/>
      <c r="J513" s="76"/>
      <c r="K513" s="76"/>
      <c r="L513" s="75"/>
      <c r="M513" s="49"/>
      <c r="N513" s="76"/>
      <c r="O513" s="49"/>
      <c r="P513" s="77"/>
      <c r="Q513" s="53"/>
      <c r="R513" s="54"/>
      <c r="S513" s="55"/>
      <c r="T513" s="56"/>
      <c r="U513" s="56"/>
      <c r="V513" s="42"/>
      <c r="W513" s="57"/>
      <c r="X513" s="58"/>
      <c r="Y513" s="75"/>
      <c r="Z513" s="59"/>
      <c r="AA513" s="61"/>
      <c r="AB513" s="61"/>
      <c r="AC513" s="61"/>
      <c r="AD513" s="62"/>
      <c r="AE513" s="62"/>
      <c r="AF513" s="34"/>
      <c r="AG513" s="34"/>
      <c r="AH513" s="34"/>
      <c r="AI513" s="34"/>
      <c r="AJ513" s="34"/>
      <c r="AK513" s="34"/>
      <c r="AL513" s="34"/>
      <c r="AM513" s="34"/>
      <c r="AN513" s="34"/>
      <c r="AO513" s="34"/>
      <c r="AP513" s="34"/>
      <c r="AQ513" s="34"/>
      <c r="AR513" s="34"/>
      <c r="AS513" s="34"/>
      <c r="AT513" s="34"/>
      <c r="AU513" s="34"/>
      <c r="AV513" s="34"/>
      <c r="AW513" s="34"/>
      <c r="AX513" s="34"/>
      <c r="AY513" s="34"/>
      <c r="AZ513" s="34"/>
      <c r="BA513" s="34"/>
      <c r="BB513" s="34"/>
      <c r="BD513" s="34"/>
      <c r="BE513" s="34"/>
      <c r="BF513" s="34"/>
      <c r="BG513" s="34"/>
      <c r="BH513" s="34"/>
      <c r="BI513" s="34"/>
      <c r="BJ513" s="34"/>
      <c r="BK513" s="34"/>
      <c r="BL513" s="34"/>
      <c r="BM513" s="34"/>
      <c r="BN513" s="34"/>
      <c r="BO513" s="34"/>
      <c r="BP513" s="34"/>
      <c r="BQ513" s="34"/>
      <c r="BR513" s="34"/>
      <c r="BS513" s="34"/>
      <c r="BT513" s="34"/>
      <c r="BU513" s="34"/>
      <c r="BV513" s="34"/>
      <c r="BW513" s="34"/>
      <c r="BX513" s="34"/>
      <c r="BY513" s="34"/>
    </row>
    <row r="514" spans="1:77" x14ac:dyDescent="0.3">
      <c r="A514" s="39"/>
      <c r="B514" s="42"/>
      <c r="C514" s="42"/>
      <c r="D514" s="75"/>
      <c r="E514" s="75"/>
      <c r="F514" s="76"/>
      <c r="G514" s="47"/>
      <c r="H514" s="47"/>
      <c r="I514" s="75"/>
      <c r="J514" s="76"/>
      <c r="K514" s="76"/>
      <c r="L514" s="75"/>
      <c r="M514" s="49"/>
      <c r="N514" s="76"/>
      <c r="O514" s="49"/>
      <c r="P514" s="77"/>
      <c r="Q514" s="53"/>
      <c r="R514" s="54"/>
      <c r="S514" s="55"/>
      <c r="T514" s="56"/>
      <c r="U514" s="56"/>
      <c r="V514" s="42"/>
      <c r="W514" s="57"/>
      <c r="X514" s="58"/>
      <c r="Y514" s="75"/>
      <c r="Z514" s="59"/>
      <c r="AA514" s="61"/>
      <c r="AB514" s="61"/>
      <c r="AC514" s="61"/>
      <c r="AD514" s="62"/>
      <c r="AE514" s="62"/>
      <c r="AF514" s="34"/>
      <c r="AG514" s="34"/>
      <c r="AH514" s="34"/>
      <c r="AI514" s="34"/>
      <c r="AJ514" s="34"/>
      <c r="AK514" s="34"/>
      <c r="AL514" s="34"/>
      <c r="AM514" s="34"/>
      <c r="AN514" s="34"/>
      <c r="AO514" s="34"/>
      <c r="AP514" s="34"/>
      <c r="AQ514" s="34"/>
      <c r="AR514" s="34"/>
      <c r="AS514" s="34"/>
      <c r="AT514" s="34"/>
      <c r="AU514" s="34"/>
      <c r="AV514" s="34"/>
      <c r="AW514" s="34"/>
      <c r="AX514" s="34"/>
      <c r="AY514" s="34"/>
      <c r="AZ514" s="34"/>
      <c r="BA514" s="34"/>
      <c r="BB514" s="34"/>
      <c r="BD514" s="34"/>
      <c r="BE514" s="34"/>
      <c r="BF514" s="34"/>
      <c r="BG514" s="34"/>
      <c r="BH514" s="34"/>
      <c r="BI514" s="34"/>
      <c r="BJ514" s="34"/>
      <c r="BK514" s="34"/>
      <c r="BL514" s="34"/>
      <c r="BM514" s="34"/>
      <c r="BN514" s="34"/>
      <c r="BO514" s="34"/>
      <c r="BP514" s="34"/>
      <c r="BQ514" s="34"/>
      <c r="BR514" s="34"/>
      <c r="BS514" s="34"/>
      <c r="BT514" s="34"/>
      <c r="BU514" s="34"/>
      <c r="BV514" s="34"/>
      <c r="BW514" s="34"/>
      <c r="BX514" s="34"/>
      <c r="BY514" s="34"/>
    </row>
    <row r="515" spans="1:77" x14ac:dyDescent="0.3">
      <c r="A515" s="39"/>
      <c r="B515" s="42"/>
      <c r="C515" s="42"/>
      <c r="D515" s="75"/>
      <c r="E515" s="75"/>
      <c r="F515" s="76"/>
      <c r="G515" s="47"/>
      <c r="H515" s="47"/>
      <c r="I515" s="75"/>
      <c r="J515" s="76"/>
      <c r="K515" s="76"/>
      <c r="L515" s="75"/>
      <c r="M515" s="49"/>
      <c r="N515" s="76"/>
      <c r="O515" s="49"/>
      <c r="P515" s="77"/>
      <c r="Q515" s="53"/>
      <c r="R515" s="54"/>
      <c r="S515" s="55"/>
      <c r="T515" s="56"/>
      <c r="U515" s="56"/>
      <c r="V515" s="42"/>
      <c r="W515" s="57"/>
      <c r="X515" s="58"/>
      <c r="Y515" s="75"/>
      <c r="Z515" s="59"/>
      <c r="AA515" s="61"/>
      <c r="AB515" s="61"/>
      <c r="AC515" s="61"/>
      <c r="AD515" s="62"/>
      <c r="AE515" s="62"/>
      <c r="AF515" s="34"/>
      <c r="AG515" s="34"/>
      <c r="AH515" s="34"/>
      <c r="AI515" s="34"/>
      <c r="AJ515" s="34"/>
      <c r="AK515" s="34"/>
      <c r="AL515" s="34"/>
      <c r="AM515" s="34"/>
      <c r="AN515" s="34"/>
      <c r="AO515" s="34"/>
      <c r="AP515" s="34"/>
      <c r="AQ515" s="34"/>
      <c r="AR515" s="34"/>
      <c r="AS515" s="34"/>
      <c r="AT515" s="34"/>
      <c r="AU515" s="34"/>
      <c r="AV515" s="34"/>
      <c r="AW515" s="34"/>
      <c r="AX515" s="34"/>
      <c r="AY515" s="34"/>
      <c r="AZ515" s="34"/>
      <c r="BA515" s="34"/>
      <c r="BB515" s="34"/>
      <c r="BD515" s="34"/>
      <c r="BE515" s="34"/>
      <c r="BF515" s="34"/>
      <c r="BG515" s="34"/>
      <c r="BH515" s="34"/>
      <c r="BI515" s="34"/>
      <c r="BJ515" s="34"/>
      <c r="BK515" s="34"/>
      <c r="BL515" s="34"/>
      <c r="BM515" s="34"/>
      <c r="BN515" s="34"/>
      <c r="BO515" s="34"/>
      <c r="BP515" s="34"/>
      <c r="BQ515" s="34"/>
      <c r="BR515" s="34"/>
      <c r="BS515" s="34"/>
      <c r="BT515" s="34"/>
      <c r="BU515" s="34"/>
      <c r="BV515" s="34"/>
      <c r="BW515" s="34"/>
      <c r="BX515" s="34"/>
      <c r="BY515" s="34"/>
    </row>
    <row r="516" spans="1:77" x14ac:dyDescent="0.3">
      <c r="A516" s="39"/>
      <c r="B516" s="42"/>
      <c r="C516" s="42"/>
      <c r="D516" s="75"/>
      <c r="E516" s="75"/>
      <c r="F516" s="76"/>
      <c r="G516" s="47"/>
      <c r="H516" s="47"/>
      <c r="I516" s="75"/>
      <c r="J516" s="76"/>
      <c r="K516" s="76"/>
      <c r="L516" s="75"/>
      <c r="M516" s="49"/>
      <c r="N516" s="76"/>
      <c r="O516" s="49"/>
      <c r="P516" s="77"/>
      <c r="Q516" s="53"/>
      <c r="R516" s="54"/>
      <c r="S516" s="55"/>
      <c r="T516" s="56"/>
      <c r="U516" s="56"/>
      <c r="V516" s="42"/>
      <c r="W516" s="57"/>
      <c r="X516" s="58"/>
      <c r="Y516" s="75"/>
      <c r="Z516" s="59"/>
      <c r="AA516" s="61"/>
      <c r="AB516" s="61"/>
      <c r="AC516" s="61"/>
      <c r="AD516" s="62"/>
      <c r="AE516" s="62"/>
      <c r="AF516" s="34"/>
      <c r="AG516" s="34"/>
      <c r="AH516" s="34"/>
      <c r="AI516" s="34"/>
      <c r="AJ516" s="34"/>
      <c r="AK516" s="34"/>
      <c r="AL516" s="34"/>
      <c r="AM516" s="34"/>
      <c r="AN516" s="34"/>
      <c r="AO516" s="34"/>
      <c r="AP516" s="34"/>
      <c r="AQ516" s="34"/>
      <c r="AR516" s="34"/>
      <c r="AS516" s="34"/>
      <c r="AT516" s="34"/>
      <c r="AU516" s="34"/>
      <c r="AV516" s="34"/>
      <c r="AW516" s="34"/>
      <c r="AX516" s="34"/>
      <c r="AY516" s="34"/>
      <c r="AZ516" s="34"/>
      <c r="BA516" s="34"/>
      <c r="BB516" s="34"/>
      <c r="BD516" s="34"/>
      <c r="BE516" s="34"/>
      <c r="BF516" s="34"/>
      <c r="BG516" s="34"/>
      <c r="BH516" s="34"/>
      <c r="BI516" s="34"/>
      <c r="BJ516" s="34"/>
      <c r="BK516" s="34"/>
      <c r="BL516" s="34"/>
      <c r="BM516" s="34"/>
      <c r="BN516" s="34"/>
      <c r="BO516" s="34"/>
      <c r="BP516" s="34"/>
      <c r="BQ516" s="34"/>
      <c r="BR516" s="34"/>
      <c r="BS516" s="34"/>
      <c r="BT516" s="34"/>
      <c r="BU516" s="34"/>
      <c r="BV516" s="34"/>
      <c r="BW516" s="34"/>
      <c r="BX516" s="34"/>
      <c r="BY516" s="34"/>
    </row>
    <row r="517" spans="1:77" x14ac:dyDescent="0.3">
      <c r="A517" s="39"/>
      <c r="B517" s="42"/>
      <c r="C517" s="42"/>
      <c r="D517" s="75"/>
      <c r="E517" s="75"/>
      <c r="F517" s="76"/>
      <c r="G517" s="47"/>
      <c r="H517" s="47"/>
      <c r="I517" s="75"/>
      <c r="J517" s="76"/>
      <c r="K517" s="76"/>
      <c r="L517" s="75"/>
      <c r="M517" s="49"/>
      <c r="N517" s="76"/>
      <c r="O517" s="49"/>
      <c r="P517" s="77"/>
      <c r="Q517" s="53"/>
      <c r="R517" s="54"/>
      <c r="S517" s="55"/>
      <c r="T517" s="56"/>
      <c r="U517" s="56"/>
      <c r="V517" s="42"/>
      <c r="W517" s="57"/>
      <c r="X517" s="58"/>
      <c r="Y517" s="75"/>
      <c r="Z517" s="59"/>
      <c r="AA517" s="61"/>
      <c r="AB517" s="61"/>
      <c r="AC517" s="61"/>
      <c r="AD517" s="62"/>
      <c r="AE517" s="62"/>
      <c r="AF517" s="34"/>
      <c r="AG517" s="34"/>
      <c r="AH517" s="34"/>
      <c r="AI517" s="34"/>
      <c r="AJ517" s="34"/>
      <c r="AK517" s="34"/>
      <c r="AL517" s="34"/>
      <c r="AM517" s="34"/>
      <c r="AN517" s="34"/>
      <c r="AO517" s="34"/>
      <c r="AP517" s="34"/>
      <c r="AQ517" s="34"/>
      <c r="AR517" s="34"/>
      <c r="AS517" s="34"/>
      <c r="AT517" s="34"/>
      <c r="AU517" s="34"/>
      <c r="AV517" s="34"/>
      <c r="AW517" s="34"/>
      <c r="AX517" s="34"/>
      <c r="AY517" s="34"/>
      <c r="AZ517" s="34"/>
      <c r="BA517" s="34"/>
      <c r="BB517" s="34"/>
      <c r="BD517" s="34"/>
      <c r="BE517" s="34"/>
      <c r="BF517" s="34"/>
      <c r="BG517" s="34"/>
      <c r="BH517" s="34"/>
      <c r="BI517" s="34"/>
      <c r="BJ517" s="34"/>
      <c r="BK517" s="34"/>
      <c r="BL517" s="34"/>
      <c r="BM517" s="34"/>
      <c r="BN517" s="34"/>
      <c r="BO517" s="34"/>
      <c r="BP517" s="34"/>
      <c r="BQ517" s="34"/>
      <c r="BR517" s="34"/>
      <c r="BS517" s="34"/>
      <c r="BT517" s="34"/>
      <c r="BU517" s="34"/>
      <c r="BV517" s="34"/>
      <c r="BW517" s="34"/>
      <c r="BX517" s="34"/>
      <c r="BY517" s="34"/>
    </row>
    <row r="518" spans="1:77" x14ac:dyDescent="0.3">
      <c r="A518" s="39"/>
      <c r="B518" s="42"/>
      <c r="C518" s="42"/>
      <c r="D518" s="75"/>
      <c r="E518" s="75"/>
      <c r="F518" s="76"/>
      <c r="G518" s="47"/>
      <c r="H518" s="47"/>
      <c r="I518" s="75"/>
      <c r="J518" s="76"/>
      <c r="K518" s="76"/>
      <c r="L518" s="75"/>
      <c r="M518" s="49"/>
      <c r="N518" s="76"/>
      <c r="O518" s="49"/>
      <c r="P518" s="77"/>
      <c r="Q518" s="53"/>
      <c r="R518" s="54"/>
      <c r="S518" s="55"/>
      <c r="T518" s="56"/>
      <c r="U518" s="56"/>
      <c r="V518" s="42"/>
      <c r="W518" s="57"/>
      <c r="X518" s="58"/>
      <c r="Y518" s="75"/>
      <c r="Z518" s="59"/>
      <c r="AA518" s="61"/>
      <c r="AB518" s="61"/>
      <c r="AC518" s="61"/>
      <c r="AD518" s="62"/>
      <c r="AE518" s="62"/>
      <c r="AF518" s="34"/>
      <c r="AG518" s="34"/>
      <c r="AH518" s="34"/>
      <c r="AI518" s="34"/>
      <c r="AJ518" s="34"/>
      <c r="AK518" s="34"/>
      <c r="AL518" s="34"/>
      <c r="AM518" s="34"/>
      <c r="AN518" s="34"/>
      <c r="AO518" s="34"/>
      <c r="AP518" s="34"/>
      <c r="AQ518" s="34"/>
      <c r="AR518" s="34"/>
      <c r="AS518" s="34"/>
      <c r="AT518" s="34"/>
      <c r="AU518" s="34"/>
      <c r="AV518" s="34"/>
      <c r="AW518" s="34"/>
      <c r="AX518" s="34"/>
      <c r="AY518" s="34"/>
      <c r="AZ518" s="34"/>
      <c r="BA518" s="34"/>
      <c r="BB518" s="34"/>
      <c r="BD518" s="34"/>
      <c r="BE518" s="34"/>
      <c r="BF518" s="34"/>
      <c r="BG518" s="34"/>
      <c r="BH518" s="34"/>
      <c r="BI518" s="34"/>
      <c r="BJ518" s="34"/>
      <c r="BK518" s="34"/>
      <c r="BL518" s="34"/>
      <c r="BM518" s="34"/>
      <c r="BN518" s="34"/>
      <c r="BO518" s="34"/>
      <c r="BP518" s="34"/>
      <c r="BQ518" s="34"/>
      <c r="BR518" s="34"/>
      <c r="BS518" s="34"/>
      <c r="BT518" s="34"/>
      <c r="BU518" s="34"/>
      <c r="BV518" s="34"/>
      <c r="BW518" s="34"/>
      <c r="BX518" s="34"/>
      <c r="BY518" s="34"/>
    </row>
    <row r="519" spans="1:77" x14ac:dyDescent="0.3">
      <c r="A519" s="39"/>
      <c r="B519" s="42"/>
      <c r="C519" s="42"/>
      <c r="D519" s="75"/>
      <c r="E519" s="75"/>
      <c r="F519" s="76"/>
      <c r="G519" s="47"/>
      <c r="H519" s="47"/>
      <c r="I519" s="75"/>
      <c r="J519" s="76"/>
      <c r="K519" s="76"/>
      <c r="L519" s="75"/>
      <c r="M519" s="49"/>
      <c r="N519" s="76"/>
      <c r="O519" s="49"/>
      <c r="P519" s="77"/>
      <c r="Q519" s="53"/>
      <c r="R519" s="54"/>
      <c r="S519" s="55"/>
      <c r="T519" s="56"/>
      <c r="U519" s="56"/>
      <c r="V519" s="42"/>
      <c r="W519" s="57"/>
      <c r="X519" s="58"/>
      <c r="Y519" s="75"/>
      <c r="Z519" s="59"/>
      <c r="AA519" s="61"/>
      <c r="AB519" s="61"/>
      <c r="AC519" s="61"/>
      <c r="AD519" s="62"/>
      <c r="AE519" s="62"/>
      <c r="AF519" s="34"/>
      <c r="AG519" s="34"/>
      <c r="AH519" s="34"/>
      <c r="AI519" s="34"/>
      <c r="AJ519" s="34"/>
      <c r="AK519" s="34"/>
      <c r="AL519" s="34"/>
      <c r="AM519" s="34"/>
      <c r="AN519" s="34"/>
      <c r="AO519" s="34"/>
      <c r="AP519" s="34"/>
      <c r="AQ519" s="34"/>
      <c r="AR519" s="34"/>
      <c r="AS519" s="34"/>
      <c r="AT519" s="34"/>
      <c r="AU519" s="34"/>
      <c r="AV519" s="34"/>
      <c r="AW519" s="34"/>
      <c r="AX519" s="34"/>
      <c r="AY519" s="34"/>
      <c r="AZ519" s="34"/>
      <c r="BA519" s="34"/>
      <c r="BB519" s="34"/>
      <c r="BD519" s="34"/>
      <c r="BE519" s="34"/>
      <c r="BF519" s="34"/>
      <c r="BG519" s="34"/>
      <c r="BH519" s="34"/>
      <c r="BI519" s="34"/>
      <c r="BJ519" s="34"/>
      <c r="BK519" s="34"/>
      <c r="BL519" s="34"/>
      <c r="BM519" s="34"/>
      <c r="BN519" s="34"/>
      <c r="BO519" s="34"/>
      <c r="BP519" s="34"/>
      <c r="BQ519" s="34"/>
      <c r="BR519" s="34"/>
      <c r="BS519" s="34"/>
      <c r="BT519" s="34"/>
      <c r="BU519" s="34"/>
      <c r="BV519" s="34"/>
      <c r="BW519" s="34"/>
      <c r="BX519" s="34"/>
      <c r="BY519" s="34"/>
    </row>
    <row r="520" spans="1:77" x14ac:dyDescent="0.3">
      <c r="A520" s="39"/>
      <c r="B520" s="42"/>
      <c r="C520" s="42"/>
      <c r="D520" s="75"/>
      <c r="E520" s="75"/>
      <c r="F520" s="76"/>
      <c r="G520" s="47"/>
      <c r="H520" s="47"/>
      <c r="I520" s="75"/>
      <c r="J520" s="76"/>
      <c r="K520" s="76"/>
      <c r="L520" s="75"/>
      <c r="M520" s="49"/>
      <c r="N520" s="76"/>
      <c r="O520" s="49"/>
      <c r="P520" s="77"/>
      <c r="Q520" s="53"/>
      <c r="R520" s="54"/>
      <c r="S520" s="55"/>
      <c r="T520" s="56"/>
      <c r="U520" s="56"/>
      <c r="V520" s="42"/>
      <c r="W520" s="57"/>
      <c r="X520" s="58"/>
      <c r="Y520" s="75"/>
      <c r="Z520" s="59"/>
      <c r="AA520" s="61"/>
      <c r="AB520" s="61"/>
      <c r="AC520" s="61"/>
      <c r="AD520" s="62"/>
      <c r="AE520" s="62"/>
      <c r="AF520" s="34"/>
      <c r="AG520" s="34"/>
      <c r="AH520" s="34"/>
      <c r="AI520" s="34"/>
      <c r="AJ520" s="34"/>
      <c r="AK520" s="34"/>
      <c r="AL520" s="34"/>
      <c r="AM520" s="34"/>
      <c r="AN520" s="34"/>
      <c r="AO520" s="34"/>
      <c r="AP520" s="34"/>
      <c r="AQ520" s="34"/>
      <c r="AR520" s="34"/>
      <c r="AS520" s="34"/>
      <c r="AT520" s="34"/>
      <c r="AU520" s="34"/>
      <c r="AV520" s="34"/>
      <c r="AW520" s="34"/>
      <c r="AX520" s="34"/>
      <c r="AY520" s="34"/>
      <c r="AZ520" s="34"/>
      <c r="BA520" s="34"/>
      <c r="BB520" s="34"/>
      <c r="BD520" s="34"/>
      <c r="BE520" s="34"/>
      <c r="BF520" s="34"/>
      <c r="BG520" s="34"/>
      <c r="BH520" s="34"/>
      <c r="BI520" s="34"/>
      <c r="BJ520" s="34"/>
      <c r="BK520" s="34"/>
      <c r="BL520" s="34"/>
      <c r="BM520" s="34"/>
      <c r="BN520" s="34"/>
      <c r="BO520" s="34"/>
      <c r="BP520" s="34"/>
      <c r="BQ520" s="34"/>
      <c r="BR520" s="34"/>
      <c r="BS520" s="34"/>
      <c r="BT520" s="34"/>
      <c r="BU520" s="34"/>
      <c r="BV520" s="34"/>
      <c r="BW520" s="34"/>
      <c r="BX520" s="34"/>
      <c r="BY520" s="34"/>
    </row>
    <row r="521" spans="1:77" x14ac:dyDescent="0.3">
      <c r="A521" s="39"/>
      <c r="B521" s="42"/>
      <c r="C521" s="42"/>
      <c r="D521" s="75"/>
      <c r="E521" s="75"/>
      <c r="F521" s="76"/>
      <c r="G521" s="47"/>
      <c r="H521" s="47"/>
      <c r="I521" s="75"/>
      <c r="J521" s="76"/>
      <c r="K521" s="76"/>
      <c r="L521" s="75"/>
      <c r="M521" s="49"/>
      <c r="N521" s="76"/>
      <c r="O521" s="49"/>
      <c r="P521" s="77"/>
      <c r="Q521" s="53"/>
      <c r="R521" s="54"/>
      <c r="S521" s="55"/>
      <c r="T521" s="56"/>
      <c r="U521" s="56"/>
      <c r="V521" s="42"/>
      <c r="W521" s="57"/>
      <c r="X521" s="58"/>
      <c r="Y521" s="75"/>
      <c r="Z521" s="59"/>
      <c r="AA521" s="61"/>
      <c r="AB521" s="61"/>
      <c r="AC521" s="61"/>
      <c r="AD521" s="62"/>
      <c r="AE521" s="62"/>
      <c r="AF521" s="34"/>
      <c r="AG521" s="34"/>
      <c r="AH521" s="34"/>
      <c r="AI521" s="34"/>
      <c r="AJ521" s="34"/>
      <c r="AK521" s="34"/>
      <c r="AL521" s="34"/>
      <c r="AM521" s="34"/>
      <c r="AN521" s="34"/>
      <c r="AO521" s="34"/>
      <c r="AP521" s="34"/>
      <c r="AQ521" s="34"/>
      <c r="AR521" s="34"/>
      <c r="AS521" s="34"/>
      <c r="AT521" s="34"/>
      <c r="AU521" s="34"/>
      <c r="AV521" s="34"/>
      <c r="AW521" s="34"/>
      <c r="AX521" s="34"/>
      <c r="AY521" s="34"/>
      <c r="AZ521" s="34"/>
      <c r="BA521" s="34"/>
      <c r="BB521" s="34"/>
      <c r="BD521" s="34"/>
      <c r="BE521" s="34"/>
      <c r="BF521" s="34"/>
      <c r="BG521" s="34"/>
      <c r="BH521" s="34"/>
      <c r="BI521" s="34"/>
      <c r="BJ521" s="34"/>
      <c r="BK521" s="34"/>
      <c r="BL521" s="34"/>
      <c r="BM521" s="34"/>
      <c r="BN521" s="34"/>
      <c r="BO521" s="34"/>
      <c r="BP521" s="34"/>
      <c r="BQ521" s="34"/>
      <c r="BR521" s="34"/>
      <c r="BS521" s="34"/>
      <c r="BT521" s="34"/>
      <c r="BU521" s="34"/>
      <c r="BV521" s="34"/>
      <c r="BW521" s="34"/>
      <c r="BX521" s="34"/>
      <c r="BY521" s="34"/>
    </row>
    <row r="522" spans="1:77" x14ac:dyDescent="0.3">
      <c r="A522" s="39"/>
      <c r="B522" s="42"/>
      <c r="C522" s="42"/>
      <c r="D522" s="75"/>
      <c r="E522" s="75"/>
      <c r="F522" s="76"/>
      <c r="G522" s="47"/>
      <c r="H522" s="47"/>
      <c r="I522" s="75"/>
      <c r="J522" s="76"/>
      <c r="K522" s="76"/>
      <c r="L522" s="75"/>
      <c r="M522" s="49"/>
      <c r="N522" s="76"/>
      <c r="O522" s="49"/>
      <c r="P522" s="77"/>
      <c r="Q522" s="53"/>
      <c r="R522" s="54"/>
      <c r="S522" s="55"/>
      <c r="T522" s="56"/>
      <c r="U522" s="56"/>
      <c r="V522" s="42"/>
      <c r="W522" s="57"/>
      <c r="X522" s="58"/>
      <c r="Y522" s="75"/>
      <c r="Z522" s="59"/>
      <c r="AA522" s="61"/>
      <c r="AB522" s="61"/>
      <c r="AC522" s="61"/>
      <c r="AD522" s="62"/>
      <c r="AE522" s="62"/>
      <c r="AF522" s="34"/>
      <c r="AG522" s="34"/>
      <c r="AH522" s="34"/>
      <c r="AI522" s="34"/>
      <c r="AJ522" s="34"/>
      <c r="AK522" s="34"/>
      <c r="AL522" s="34"/>
      <c r="AM522" s="34"/>
      <c r="AN522" s="34"/>
      <c r="AO522" s="34"/>
      <c r="AP522" s="34"/>
      <c r="AQ522" s="34"/>
      <c r="AR522" s="34"/>
      <c r="AS522" s="34"/>
      <c r="AT522" s="34"/>
      <c r="AU522" s="34"/>
      <c r="AV522" s="34"/>
      <c r="AW522" s="34"/>
      <c r="AX522" s="34"/>
      <c r="AY522" s="34"/>
      <c r="AZ522" s="34"/>
      <c r="BA522" s="34"/>
      <c r="BB522" s="34"/>
      <c r="BD522" s="34"/>
      <c r="BE522" s="34"/>
      <c r="BF522" s="34"/>
      <c r="BG522" s="34"/>
      <c r="BH522" s="34"/>
      <c r="BI522" s="34"/>
      <c r="BJ522" s="34"/>
      <c r="BK522" s="34"/>
      <c r="BL522" s="34"/>
      <c r="BM522" s="34"/>
      <c r="BN522" s="34"/>
      <c r="BO522" s="34"/>
      <c r="BP522" s="34"/>
      <c r="BQ522" s="34"/>
      <c r="BR522" s="34"/>
      <c r="BS522" s="34"/>
      <c r="BT522" s="34"/>
      <c r="BU522" s="34"/>
      <c r="BV522" s="34"/>
      <c r="BW522" s="34"/>
      <c r="BX522" s="34"/>
      <c r="BY522" s="34"/>
    </row>
    <row r="523" spans="1:77" x14ac:dyDescent="0.3">
      <c r="A523" s="39"/>
      <c r="B523" s="42"/>
      <c r="C523" s="42"/>
      <c r="D523" s="75"/>
      <c r="E523" s="75"/>
      <c r="F523" s="76"/>
      <c r="G523" s="47"/>
      <c r="H523" s="47"/>
      <c r="I523" s="75"/>
      <c r="J523" s="76"/>
      <c r="K523" s="76"/>
      <c r="L523" s="75"/>
      <c r="M523" s="49"/>
      <c r="N523" s="76"/>
      <c r="O523" s="49"/>
      <c r="P523" s="77"/>
      <c r="Q523" s="53"/>
      <c r="R523" s="54"/>
      <c r="S523" s="55"/>
      <c r="T523" s="56"/>
      <c r="U523" s="56"/>
      <c r="V523" s="42"/>
      <c r="W523" s="57"/>
      <c r="X523" s="58"/>
      <c r="Y523" s="75"/>
      <c r="Z523" s="59"/>
      <c r="AA523" s="61"/>
      <c r="AB523" s="61"/>
      <c r="AC523" s="61"/>
      <c r="AD523" s="62"/>
      <c r="AE523" s="62"/>
      <c r="AF523" s="34"/>
      <c r="AG523" s="34"/>
      <c r="AH523" s="34"/>
      <c r="AI523" s="34"/>
      <c r="AJ523" s="34"/>
      <c r="AK523" s="34"/>
      <c r="AL523" s="34"/>
      <c r="AM523" s="34"/>
      <c r="AN523" s="34"/>
      <c r="AO523" s="34"/>
      <c r="AP523" s="34"/>
      <c r="AQ523" s="34"/>
      <c r="AR523" s="34"/>
      <c r="AS523" s="34"/>
      <c r="AT523" s="34"/>
      <c r="AU523" s="34"/>
      <c r="AV523" s="34"/>
      <c r="AW523" s="34"/>
      <c r="AX523" s="34"/>
      <c r="AY523" s="34"/>
      <c r="AZ523" s="34"/>
      <c r="BA523" s="34"/>
      <c r="BB523" s="34"/>
      <c r="BD523" s="34"/>
      <c r="BE523" s="34"/>
      <c r="BF523" s="34"/>
      <c r="BG523" s="34"/>
      <c r="BH523" s="34"/>
      <c r="BI523" s="34"/>
      <c r="BJ523" s="34"/>
      <c r="BK523" s="34"/>
      <c r="BL523" s="34"/>
      <c r="BM523" s="34"/>
      <c r="BN523" s="34"/>
      <c r="BO523" s="34"/>
      <c r="BP523" s="34"/>
      <c r="BQ523" s="34"/>
      <c r="BR523" s="34"/>
      <c r="BS523" s="34"/>
      <c r="BT523" s="34"/>
      <c r="BU523" s="34"/>
      <c r="BV523" s="34"/>
      <c r="BW523" s="34"/>
      <c r="BX523" s="34"/>
      <c r="BY523" s="34"/>
    </row>
    <row r="524" spans="1:77" x14ac:dyDescent="0.3">
      <c r="A524" s="39"/>
      <c r="B524" s="42"/>
      <c r="C524" s="42"/>
      <c r="D524" s="75"/>
      <c r="E524" s="75"/>
      <c r="F524" s="76"/>
      <c r="G524" s="47"/>
      <c r="H524" s="47"/>
      <c r="I524" s="75"/>
      <c r="J524" s="76"/>
      <c r="K524" s="76"/>
      <c r="L524" s="75"/>
      <c r="M524" s="49"/>
      <c r="N524" s="76"/>
      <c r="O524" s="49"/>
      <c r="P524" s="77"/>
      <c r="Q524" s="53"/>
      <c r="R524" s="54"/>
      <c r="S524" s="55"/>
      <c r="T524" s="56"/>
      <c r="U524" s="56"/>
      <c r="V524" s="42"/>
      <c r="W524" s="57"/>
      <c r="X524" s="58"/>
      <c r="Y524" s="75"/>
      <c r="Z524" s="59"/>
      <c r="AA524" s="61"/>
      <c r="AB524" s="61"/>
      <c r="AC524" s="61"/>
      <c r="AD524" s="62"/>
      <c r="AE524" s="62"/>
      <c r="AF524" s="34"/>
      <c r="AG524" s="34"/>
      <c r="AH524" s="34"/>
      <c r="AI524" s="34"/>
      <c r="AJ524" s="34"/>
      <c r="AK524" s="34"/>
      <c r="AL524" s="34"/>
      <c r="AM524" s="34"/>
      <c r="AN524" s="34"/>
      <c r="AO524" s="34"/>
      <c r="AP524" s="34"/>
      <c r="AQ524" s="34"/>
      <c r="AR524" s="34"/>
      <c r="AS524" s="34"/>
      <c r="AT524" s="34"/>
      <c r="AU524" s="34"/>
      <c r="AV524" s="34"/>
      <c r="AW524" s="34"/>
      <c r="AX524" s="34"/>
      <c r="AY524" s="34"/>
      <c r="AZ524" s="34"/>
      <c r="BA524" s="34"/>
      <c r="BB524" s="34"/>
      <c r="BD524" s="34"/>
      <c r="BE524" s="34"/>
      <c r="BF524" s="34"/>
      <c r="BG524" s="34"/>
      <c r="BH524" s="34"/>
      <c r="BI524" s="34"/>
      <c r="BJ524" s="34"/>
      <c r="BK524" s="34"/>
      <c r="BL524" s="34"/>
      <c r="BM524" s="34"/>
      <c r="BN524" s="34"/>
      <c r="BO524" s="34"/>
      <c r="BP524" s="34"/>
      <c r="BQ524" s="34"/>
      <c r="BR524" s="34"/>
      <c r="BS524" s="34"/>
      <c r="BT524" s="34"/>
      <c r="BU524" s="34"/>
      <c r="BV524" s="34"/>
      <c r="BW524" s="34"/>
      <c r="BX524" s="34"/>
      <c r="BY524" s="34"/>
    </row>
    <row r="525" spans="1:77" x14ac:dyDescent="0.3">
      <c r="A525" s="39"/>
      <c r="B525" s="42"/>
      <c r="C525" s="42"/>
      <c r="D525" s="75"/>
      <c r="E525" s="75"/>
      <c r="F525" s="76"/>
      <c r="G525" s="47"/>
      <c r="H525" s="47"/>
      <c r="I525" s="75"/>
      <c r="J525" s="76"/>
      <c r="K525" s="76"/>
      <c r="L525" s="75"/>
      <c r="M525" s="49"/>
      <c r="N525" s="76"/>
      <c r="O525" s="49"/>
      <c r="P525" s="77"/>
      <c r="Q525" s="53"/>
      <c r="R525" s="54"/>
      <c r="S525" s="55"/>
      <c r="T525" s="56"/>
      <c r="U525" s="56"/>
      <c r="V525" s="42"/>
      <c r="W525" s="57"/>
      <c r="X525" s="58"/>
      <c r="Y525" s="75"/>
      <c r="Z525" s="59"/>
      <c r="AA525" s="61"/>
      <c r="AB525" s="61"/>
      <c r="AC525" s="61"/>
      <c r="AD525" s="62"/>
      <c r="AE525" s="62"/>
      <c r="AF525" s="34"/>
      <c r="AG525" s="34"/>
      <c r="AH525" s="34"/>
      <c r="AI525" s="34"/>
      <c r="AJ525" s="34"/>
      <c r="AK525" s="34"/>
      <c r="AL525" s="34"/>
      <c r="AM525" s="34"/>
      <c r="AN525" s="34"/>
      <c r="AO525" s="34"/>
      <c r="AP525" s="34"/>
      <c r="AQ525" s="34"/>
      <c r="AR525" s="34"/>
      <c r="AS525" s="34"/>
      <c r="AT525" s="34"/>
      <c r="AU525" s="34"/>
      <c r="AV525" s="34"/>
      <c r="AW525" s="34"/>
      <c r="AX525" s="34"/>
      <c r="AY525" s="34"/>
      <c r="AZ525" s="34"/>
      <c r="BA525" s="34"/>
      <c r="BB525" s="34"/>
      <c r="BD525" s="34"/>
      <c r="BE525" s="34"/>
      <c r="BF525" s="34"/>
      <c r="BG525" s="34"/>
      <c r="BH525" s="34"/>
      <c r="BI525" s="34"/>
      <c r="BJ525" s="34"/>
      <c r="BK525" s="34"/>
      <c r="BL525" s="34"/>
      <c r="BM525" s="34"/>
      <c r="BN525" s="34"/>
      <c r="BO525" s="34"/>
      <c r="BP525" s="34"/>
      <c r="BQ525" s="34"/>
      <c r="BR525" s="34"/>
      <c r="BS525" s="34"/>
      <c r="BT525" s="34"/>
      <c r="BU525" s="34"/>
      <c r="BV525" s="34"/>
      <c r="BW525" s="34"/>
      <c r="BX525" s="34"/>
      <c r="BY525" s="34"/>
    </row>
    <row r="526" spans="1:77" x14ac:dyDescent="0.3">
      <c r="A526" s="39"/>
      <c r="B526" s="42"/>
      <c r="C526" s="42"/>
      <c r="D526" s="75"/>
      <c r="E526" s="75"/>
      <c r="F526" s="76"/>
      <c r="G526" s="47"/>
      <c r="H526" s="47"/>
      <c r="I526" s="75"/>
      <c r="J526" s="76"/>
      <c r="K526" s="76"/>
      <c r="L526" s="75"/>
      <c r="M526" s="49"/>
      <c r="N526" s="76"/>
      <c r="O526" s="49"/>
      <c r="P526" s="77"/>
      <c r="Q526" s="53"/>
      <c r="R526" s="54"/>
      <c r="S526" s="55"/>
      <c r="T526" s="56"/>
      <c r="U526" s="56"/>
      <c r="V526" s="42"/>
      <c r="W526" s="57"/>
      <c r="X526" s="58"/>
      <c r="Y526" s="75"/>
      <c r="Z526" s="59"/>
      <c r="AA526" s="61"/>
      <c r="AB526" s="61"/>
      <c r="AC526" s="61"/>
      <c r="AD526" s="62"/>
      <c r="AE526" s="62"/>
      <c r="AF526" s="34"/>
      <c r="AG526" s="34"/>
      <c r="AH526" s="34"/>
      <c r="AI526" s="34"/>
      <c r="AJ526" s="34"/>
      <c r="AK526" s="34"/>
      <c r="AL526" s="34"/>
      <c r="AM526" s="34"/>
      <c r="AN526" s="34"/>
      <c r="AO526" s="34"/>
      <c r="AP526" s="34"/>
      <c r="AQ526" s="34"/>
      <c r="AR526" s="34"/>
      <c r="AS526" s="34"/>
      <c r="AT526" s="34"/>
      <c r="AU526" s="34"/>
      <c r="AV526" s="34"/>
      <c r="AW526" s="34"/>
      <c r="AX526" s="34"/>
      <c r="AY526" s="34"/>
      <c r="AZ526" s="34"/>
      <c r="BA526" s="34"/>
      <c r="BB526" s="34"/>
      <c r="BD526" s="34"/>
      <c r="BE526" s="34"/>
      <c r="BF526" s="34"/>
      <c r="BG526" s="34"/>
      <c r="BH526" s="34"/>
      <c r="BI526" s="34"/>
      <c r="BJ526" s="34"/>
      <c r="BK526" s="34"/>
      <c r="BL526" s="34"/>
      <c r="BM526" s="34"/>
      <c r="BN526" s="34"/>
      <c r="BO526" s="34"/>
      <c r="BP526" s="34"/>
      <c r="BQ526" s="34"/>
      <c r="BR526" s="34"/>
      <c r="BS526" s="34"/>
      <c r="BT526" s="34"/>
      <c r="BU526" s="34"/>
      <c r="BV526" s="34"/>
      <c r="BW526" s="34"/>
      <c r="BX526" s="34"/>
      <c r="BY526" s="34"/>
    </row>
    <row r="527" spans="1:77" x14ac:dyDescent="0.3">
      <c r="A527" s="39"/>
      <c r="B527" s="42"/>
      <c r="C527" s="42"/>
      <c r="D527" s="75"/>
      <c r="E527" s="75"/>
      <c r="F527" s="76"/>
      <c r="G527" s="47"/>
      <c r="H527" s="47"/>
      <c r="I527" s="75"/>
      <c r="J527" s="76"/>
      <c r="K527" s="76"/>
      <c r="L527" s="75"/>
      <c r="M527" s="49"/>
      <c r="N527" s="76"/>
      <c r="O527" s="49"/>
      <c r="P527" s="77"/>
      <c r="Q527" s="53"/>
      <c r="R527" s="54"/>
      <c r="S527" s="55"/>
      <c r="T527" s="56"/>
      <c r="U527" s="56"/>
      <c r="V527" s="42"/>
      <c r="W527" s="57"/>
      <c r="X527" s="58"/>
      <c r="Y527" s="75"/>
      <c r="Z527" s="59"/>
      <c r="AA527" s="61"/>
      <c r="AB527" s="61"/>
      <c r="AC527" s="61"/>
      <c r="AD527" s="62"/>
      <c r="AE527" s="62"/>
      <c r="AF527" s="34"/>
      <c r="AG527" s="34"/>
      <c r="AH527" s="34"/>
      <c r="AI527" s="34"/>
      <c r="AJ527" s="34"/>
      <c r="AK527" s="34"/>
      <c r="AL527" s="34"/>
      <c r="AM527" s="34"/>
      <c r="AN527" s="34"/>
      <c r="AO527" s="34"/>
      <c r="AP527" s="34"/>
      <c r="AQ527" s="34"/>
      <c r="AR527" s="34"/>
      <c r="AS527" s="34"/>
      <c r="AT527" s="34"/>
      <c r="AU527" s="34"/>
      <c r="AV527" s="34"/>
      <c r="AW527" s="34"/>
      <c r="AX527" s="34"/>
      <c r="AY527" s="34"/>
      <c r="AZ527" s="34"/>
      <c r="BA527" s="34"/>
      <c r="BB527" s="34"/>
      <c r="BD527" s="34"/>
      <c r="BE527" s="34"/>
      <c r="BF527" s="34"/>
      <c r="BG527" s="34"/>
      <c r="BH527" s="34"/>
      <c r="BI527" s="34"/>
      <c r="BJ527" s="34"/>
      <c r="BK527" s="34"/>
      <c r="BL527" s="34"/>
      <c r="BM527" s="34"/>
      <c r="BN527" s="34"/>
      <c r="BO527" s="34"/>
      <c r="BP527" s="34"/>
      <c r="BQ527" s="34"/>
      <c r="BR527" s="34"/>
      <c r="BS527" s="34"/>
      <c r="BT527" s="34"/>
      <c r="BU527" s="34"/>
      <c r="BV527" s="34"/>
      <c r="BW527" s="34"/>
      <c r="BX527" s="34"/>
      <c r="BY527" s="34"/>
    </row>
    <row r="528" spans="1:77" x14ac:dyDescent="0.3">
      <c r="A528" s="39"/>
      <c r="B528" s="42"/>
      <c r="C528" s="42"/>
      <c r="D528" s="75"/>
      <c r="E528" s="75"/>
      <c r="F528" s="76"/>
      <c r="G528" s="47"/>
      <c r="H528" s="47"/>
      <c r="I528" s="75"/>
      <c r="J528" s="76"/>
      <c r="K528" s="76"/>
      <c r="L528" s="75"/>
      <c r="M528" s="49"/>
      <c r="N528" s="76"/>
      <c r="O528" s="49"/>
      <c r="P528" s="77"/>
      <c r="Q528" s="53"/>
      <c r="R528" s="54"/>
      <c r="S528" s="55"/>
      <c r="T528" s="56"/>
      <c r="U528" s="56"/>
      <c r="V528" s="42"/>
      <c r="W528" s="57"/>
      <c r="X528" s="58"/>
      <c r="Y528" s="75"/>
      <c r="Z528" s="59"/>
      <c r="AA528" s="61"/>
      <c r="AB528" s="61"/>
      <c r="AC528" s="61"/>
      <c r="AD528" s="62"/>
      <c r="AE528" s="62"/>
      <c r="AF528" s="34"/>
      <c r="AG528" s="34"/>
      <c r="AH528" s="34"/>
      <c r="AI528" s="34"/>
      <c r="AJ528" s="34"/>
      <c r="AK528" s="34"/>
      <c r="AL528" s="34"/>
      <c r="AM528" s="34"/>
      <c r="AN528" s="34"/>
      <c r="AO528" s="34"/>
      <c r="AP528" s="34"/>
      <c r="AQ528" s="34"/>
      <c r="AR528" s="34"/>
      <c r="AS528" s="34"/>
      <c r="AT528" s="34"/>
      <c r="AU528" s="34"/>
      <c r="AV528" s="34"/>
      <c r="AW528" s="34"/>
      <c r="AX528" s="34"/>
      <c r="AY528" s="34"/>
      <c r="AZ528" s="34"/>
      <c r="BA528" s="34"/>
      <c r="BB528" s="34"/>
      <c r="BD528" s="34"/>
      <c r="BE528" s="34"/>
      <c r="BF528" s="34"/>
      <c r="BG528" s="34"/>
      <c r="BH528" s="34"/>
      <c r="BI528" s="34"/>
      <c r="BJ528" s="34"/>
      <c r="BK528" s="34"/>
      <c r="BL528" s="34"/>
      <c r="BM528" s="34"/>
      <c r="BN528" s="34"/>
      <c r="BO528" s="34"/>
      <c r="BP528" s="34"/>
      <c r="BQ528" s="34"/>
      <c r="BR528" s="34"/>
      <c r="BS528" s="34"/>
      <c r="BT528" s="34"/>
      <c r="BU528" s="34"/>
      <c r="BV528" s="34"/>
      <c r="BW528" s="34"/>
      <c r="BX528" s="34"/>
      <c r="BY528" s="34"/>
    </row>
    <row r="529" spans="1:77" x14ac:dyDescent="0.3">
      <c r="A529" s="39"/>
      <c r="B529" s="42"/>
      <c r="C529" s="42"/>
      <c r="D529" s="75"/>
      <c r="E529" s="75"/>
      <c r="F529" s="76"/>
      <c r="G529" s="47"/>
      <c r="H529" s="47"/>
      <c r="I529" s="75"/>
      <c r="J529" s="76"/>
      <c r="K529" s="76"/>
      <c r="L529" s="75"/>
      <c r="M529" s="49"/>
      <c r="N529" s="76"/>
      <c r="O529" s="49"/>
      <c r="P529" s="77"/>
      <c r="Q529" s="53"/>
      <c r="R529" s="54"/>
      <c r="S529" s="55"/>
      <c r="T529" s="56"/>
      <c r="U529" s="56"/>
      <c r="V529" s="42"/>
      <c r="W529" s="57"/>
      <c r="X529" s="58"/>
      <c r="Y529" s="75"/>
      <c r="Z529" s="59"/>
      <c r="AA529" s="61"/>
      <c r="AB529" s="61"/>
      <c r="AC529" s="61"/>
      <c r="AD529" s="62"/>
      <c r="AE529" s="62"/>
      <c r="AF529" s="34"/>
      <c r="AG529" s="34"/>
      <c r="AH529" s="34"/>
      <c r="AI529" s="34"/>
      <c r="AJ529" s="34"/>
      <c r="AK529" s="34"/>
      <c r="AL529" s="34"/>
      <c r="AM529" s="34"/>
      <c r="AN529" s="34"/>
      <c r="AO529" s="34"/>
      <c r="AP529" s="34"/>
      <c r="AQ529" s="34"/>
      <c r="AR529" s="34"/>
      <c r="AS529" s="34"/>
      <c r="AT529" s="34"/>
      <c r="AU529" s="34"/>
      <c r="AV529" s="34"/>
      <c r="AW529" s="34"/>
      <c r="AX529" s="34"/>
      <c r="AY529" s="34"/>
      <c r="AZ529" s="34"/>
      <c r="BA529" s="34"/>
      <c r="BB529" s="34"/>
      <c r="BD529" s="34"/>
      <c r="BE529" s="34"/>
      <c r="BF529" s="34"/>
      <c r="BG529" s="34"/>
      <c r="BH529" s="34"/>
      <c r="BI529" s="34"/>
      <c r="BJ529" s="34"/>
      <c r="BK529" s="34"/>
      <c r="BL529" s="34"/>
      <c r="BM529" s="34"/>
      <c r="BN529" s="34"/>
      <c r="BO529" s="34"/>
      <c r="BP529" s="34"/>
      <c r="BQ529" s="34"/>
      <c r="BR529" s="34"/>
      <c r="BS529" s="34"/>
      <c r="BT529" s="34"/>
      <c r="BU529" s="34"/>
      <c r="BV529" s="34"/>
      <c r="BW529" s="34"/>
      <c r="BX529" s="34"/>
      <c r="BY529" s="34"/>
    </row>
    <row r="530" spans="1:77" x14ac:dyDescent="0.3">
      <c r="A530" s="39"/>
      <c r="B530" s="42"/>
      <c r="C530" s="42"/>
      <c r="D530" s="75"/>
      <c r="E530" s="75"/>
      <c r="F530" s="76"/>
      <c r="G530" s="47"/>
      <c r="H530" s="47"/>
      <c r="I530" s="75"/>
      <c r="J530" s="76"/>
      <c r="K530" s="76"/>
      <c r="L530" s="75"/>
      <c r="M530" s="49"/>
      <c r="N530" s="76"/>
      <c r="O530" s="49"/>
      <c r="P530" s="77"/>
      <c r="Q530" s="53"/>
      <c r="R530" s="54"/>
      <c r="S530" s="55"/>
      <c r="T530" s="56"/>
      <c r="U530" s="56"/>
      <c r="V530" s="42"/>
      <c r="W530" s="57"/>
      <c r="X530" s="58"/>
      <c r="Y530" s="75"/>
      <c r="Z530" s="59"/>
      <c r="AA530" s="61"/>
      <c r="AB530" s="61"/>
      <c r="AC530" s="61"/>
      <c r="AD530" s="62"/>
      <c r="AE530" s="62"/>
      <c r="AF530" s="34"/>
      <c r="AG530" s="34"/>
      <c r="AH530" s="34"/>
      <c r="AI530" s="34"/>
      <c r="AJ530" s="34"/>
      <c r="AK530" s="34"/>
      <c r="AL530" s="34"/>
      <c r="AM530" s="34"/>
      <c r="AN530" s="34"/>
      <c r="AO530" s="34"/>
      <c r="AP530" s="34"/>
      <c r="AQ530" s="34"/>
      <c r="AR530" s="34"/>
      <c r="AS530" s="34"/>
      <c r="AT530" s="34"/>
      <c r="AU530" s="34"/>
      <c r="AV530" s="34"/>
      <c r="AW530" s="34"/>
      <c r="AX530" s="34"/>
      <c r="AY530" s="34"/>
      <c r="AZ530" s="34"/>
      <c r="BA530" s="34"/>
      <c r="BB530" s="34"/>
      <c r="BD530" s="34"/>
      <c r="BE530" s="34"/>
      <c r="BF530" s="34"/>
      <c r="BG530" s="34"/>
      <c r="BH530" s="34"/>
      <c r="BI530" s="34"/>
      <c r="BJ530" s="34"/>
      <c r="BK530" s="34"/>
      <c r="BL530" s="34"/>
      <c r="BM530" s="34"/>
      <c r="BN530" s="34"/>
      <c r="BO530" s="34"/>
      <c r="BP530" s="34"/>
      <c r="BQ530" s="34"/>
      <c r="BR530" s="34"/>
      <c r="BS530" s="34"/>
      <c r="BT530" s="34"/>
      <c r="BU530" s="34"/>
      <c r="BV530" s="34"/>
      <c r="BW530" s="34"/>
      <c r="BX530" s="34"/>
      <c r="BY530" s="34"/>
    </row>
    <row r="531" spans="1:77" x14ac:dyDescent="0.3">
      <c r="A531" s="39"/>
      <c r="B531" s="42"/>
      <c r="C531" s="42"/>
      <c r="D531" s="75"/>
      <c r="E531" s="75"/>
      <c r="F531" s="76"/>
      <c r="G531" s="47"/>
      <c r="H531" s="47"/>
      <c r="I531" s="75"/>
      <c r="J531" s="76"/>
      <c r="K531" s="76"/>
      <c r="L531" s="75"/>
      <c r="M531" s="49"/>
      <c r="N531" s="76"/>
      <c r="O531" s="49"/>
      <c r="P531" s="77"/>
      <c r="Q531" s="53"/>
      <c r="R531" s="54"/>
      <c r="S531" s="55"/>
      <c r="T531" s="56"/>
      <c r="U531" s="56"/>
      <c r="V531" s="42"/>
      <c r="W531" s="57"/>
      <c r="X531" s="58"/>
      <c r="Y531" s="75"/>
      <c r="Z531" s="59"/>
      <c r="AA531" s="61"/>
      <c r="AB531" s="61"/>
      <c r="AC531" s="61"/>
      <c r="AD531" s="62"/>
      <c r="AE531" s="62"/>
      <c r="AF531" s="34"/>
      <c r="AG531" s="34"/>
      <c r="AH531" s="34"/>
      <c r="AI531" s="34"/>
      <c r="AJ531" s="34"/>
      <c r="AK531" s="34"/>
      <c r="AL531" s="34"/>
      <c r="AM531" s="34"/>
      <c r="AN531" s="34"/>
      <c r="AO531" s="34"/>
      <c r="AP531" s="34"/>
      <c r="AQ531" s="34"/>
      <c r="AR531" s="34"/>
      <c r="AS531" s="34"/>
      <c r="AT531" s="34"/>
      <c r="AU531" s="34"/>
      <c r="AV531" s="34"/>
      <c r="AW531" s="34"/>
      <c r="AX531" s="34"/>
      <c r="AY531" s="34"/>
      <c r="AZ531" s="34"/>
      <c r="BA531" s="34"/>
      <c r="BB531" s="34"/>
      <c r="BD531" s="34"/>
      <c r="BE531" s="34"/>
      <c r="BF531" s="34"/>
      <c r="BG531" s="34"/>
      <c r="BH531" s="34"/>
      <c r="BI531" s="34"/>
      <c r="BJ531" s="34"/>
      <c r="BK531" s="34"/>
      <c r="BL531" s="34"/>
      <c r="BM531" s="34"/>
      <c r="BN531" s="34"/>
      <c r="BO531" s="34"/>
      <c r="BP531" s="34"/>
      <c r="BQ531" s="34"/>
      <c r="BR531" s="34"/>
      <c r="BS531" s="34"/>
      <c r="BT531" s="34"/>
      <c r="BU531" s="34"/>
      <c r="BV531" s="34"/>
      <c r="BW531" s="34"/>
      <c r="BX531" s="34"/>
      <c r="BY531" s="34"/>
    </row>
    <row r="532" spans="1:77" x14ac:dyDescent="0.3">
      <c r="A532" s="39"/>
      <c r="B532" s="42"/>
      <c r="C532" s="42"/>
      <c r="D532" s="75"/>
      <c r="E532" s="75"/>
      <c r="F532" s="76"/>
      <c r="G532" s="47"/>
      <c r="H532" s="47"/>
      <c r="I532" s="75"/>
      <c r="J532" s="76"/>
      <c r="K532" s="76"/>
      <c r="L532" s="75"/>
      <c r="M532" s="49"/>
      <c r="N532" s="76"/>
      <c r="O532" s="49"/>
      <c r="P532" s="77"/>
      <c r="Q532" s="53"/>
      <c r="R532" s="54"/>
      <c r="S532" s="55"/>
      <c r="T532" s="56"/>
      <c r="U532" s="56"/>
      <c r="V532" s="42"/>
      <c r="W532" s="57"/>
      <c r="X532" s="58"/>
      <c r="Y532" s="75"/>
      <c r="Z532" s="59"/>
      <c r="AA532" s="61"/>
      <c r="AB532" s="61"/>
      <c r="AC532" s="61"/>
      <c r="AD532" s="62"/>
      <c r="AE532" s="62"/>
      <c r="AF532" s="34"/>
      <c r="AG532" s="34"/>
      <c r="AH532" s="34"/>
      <c r="AI532" s="34"/>
      <c r="AJ532" s="34"/>
      <c r="AK532" s="34"/>
      <c r="AL532" s="34"/>
      <c r="AM532" s="34"/>
      <c r="AN532" s="34"/>
      <c r="AO532" s="34"/>
      <c r="AP532" s="34"/>
      <c r="AQ532" s="34"/>
      <c r="AR532" s="34"/>
      <c r="AS532" s="34"/>
      <c r="AT532" s="34"/>
      <c r="AU532" s="34"/>
      <c r="AV532" s="34"/>
      <c r="AW532" s="34"/>
      <c r="AX532" s="34"/>
      <c r="AY532" s="34"/>
      <c r="AZ532" s="34"/>
      <c r="BA532" s="34"/>
      <c r="BB532" s="34"/>
      <c r="BD532" s="34"/>
      <c r="BE532" s="34"/>
      <c r="BF532" s="34"/>
      <c r="BG532" s="34"/>
      <c r="BH532" s="34"/>
      <c r="BI532" s="34"/>
      <c r="BJ532" s="34"/>
      <c r="BK532" s="34"/>
      <c r="BL532" s="34"/>
      <c r="BM532" s="34"/>
      <c r="BN532" s="34"/>
      <c r="BO532" s="34"/>
      <c r="BP532" s="34"/>
      <c r="BQ532" s="34"/>
      <c r="BR532" s="34"/>
      <c r="BS532" s="34"/>
      <c r="BT532" s="34"/>
      <c r="BU532" s="34"/>
      <c r="BV532" s="34"/>
      <c r="BW532" s="34"/>
      <c r="BX532" s="34"/>
      <c r="BY532" s="34"/>
    </row>
    <row r="533" spans="1:77" x14ac:dyDescent="0.3">
      <c r="A533" s="39"/>
      <c r="B533" s="42"/>
      <c r="C533" s="42"/>
      <c r="D533" s="75"/>
      <c r="E533" s="75"/>
      <c r="F533" s="76"/>
      <c r="G533" s="47"/>
      <c r="H533" s="47"/>
      <c r="I533" s="75"/>
      <c r="J533" s="76"/>
      <c r="K533" s="76"/>
      <c r="L533" s="75"/>
      <c r="M533" s="49"/>
      <c r="N533" s="76"/>
      <c r="O533" s="49"/>
      <c r="P533" s="77"/>
      <c r="Q533" s="53"/>
      <c r="R533" s="54"/>
      <c r="S533" s="55"/>
      <c r="T533" s="56"/>
      <c r="U533" s="56"/>
      <c r="V533" s="42"/>
      <c r="W533" s="57"/>
      <c r="X533" s="58"/>
      <c r="Y533" s="75"/>
      <c r="Z533" s="59"/>
      <c r="AA533" s="61"/>
      <c r="AB533" s="61"/>
      <c r="AC533" s="61"/>
      <c r="AD533" s="62"/>
      <c r="AE533" s="62"/>
      <c r="AF533" s="34"/>
      <c r="AG533" s="34"/>
      <c r="AH533" s="34"/>
      <c r="AI533" s="34"/>
      <c r="AJ533" s="34"/>
      <c r="AK533" s="34"/>
      <c r="AL533" s="34"/>
      <c r="AM533" s="34"/>
      <c r="AN533" s="34"/>
      <c r="AO533" s="34"/>
      <c r="AP533" s="34"/>
      <c r="AQ533" s="34"/>
      <c r="AR533" s="34"/>
      <c r="AS533" s="34"/>
      <c r="AT533" s="34"/>
      <c r="AU533" s="34"/>
      <c r="AV533" s="34"/>
      <c r="AW533" s="34"/>
      <c r="AX533" s="34"/>
      <c r="AY533" s="34"/>
      <c r="AZ533" s="34"/>
      <c r="BA533" s="34"/>
      <c r="BB533" s="34"/>
      <c r="BD533" s="34"/>
      <c r="BE533" s="34"/>
      <c r="BF533" s="34"/>
      <c r="BG533" s="34"/>
      <c r="BH533" s="34"/>
      <c r="BI533" s="34"/>
      <c r="BJ533" s="34"/>
      <c r="BK533" s="34"/>
      <c r="BL533" s="34"/>
      <c r="BM533" s="34"/>
      <c r="BN533" s="34"/>
      <c r="BO533" s="34"/>
      <c r="BP533" s="34"/>
      <c r="BQ533" s="34"/>
      <c r="BR533" s="34"/>
      <c r="BS533" s="34"/>
      <c r="BT533" s="34"/>
      <c r="BU533" s="34"/>
      <c r="BV533" s="34"/>
      <c r="BW533" s="34"/>
      <c r="BX533" s="34"/>
      <c r="BY533" s="34"/>
    </row>
    <row r="534" spans="1:77" x14ac:dyDescent="0.3">
      <c r="A534" s="39"/>
      <c r="B534" s="42"/>
      <c r="C534" s="42"/>
      <c r="D534" s="75"/>
      <c r="E534" s="75"/>
      <c r="F534" s="76"/>
      <c r="G534" s="47"/>
      <c r="H534" s="47"/>
      <c r="I534" s="75"/>
      <c r="J534" s="76"/>
      <c r="K534" s="76"/>
      <c r="L534" s="75"/>
      <c r="M534" s="49"/>
      <c r="N534" s="76"/>
      <c r="O534" s="49"/>
      <c r="P534" s="77"/>
      <c r="Q534" s="53"/>
      <c r="R534" s="54"/>
      <c r="S534" s="55"/>
      <c r="T534" s="56"/>
      <c r="U534" s="56"/>
      <c r="V534" s="42"/>
      <c r="W534" s="57"/>
      <c r="X534" s="58"/>
      <c r="Y534" s="75"/>
      <c r="Z534" s="59"/>
      <c r="AA534" s="61"/>
      <c r="AB534" s="61"/>
      <c r="AC534" s="61"/>
      <c r="AD534" s="62"/>
      <c r="AE534" s="62"/>
      <c r="AF534" s="34"/>
      <c r="AG534" s="34"/>
      <c r="AH534" s="34"/>
      <c r="AI534" s="34"/>
      <c r="AJ534" s="34"/>
      <c r="AK534" s="34"/>
      <c r="AL534" s="34"/>
      <c r="AM534" s="34"/>
      <c r="AN534" s="34"/>
      <c r="AO534" s="34"/>
      <c r="AP534" s="34"/>
      <c r="AQ534" s="34"/>
      <c r="AR534" s="34"/>
      <c r="AS534" s="34"/>
      <c r="AT534" s="34"/>
      <c r="AU534" s="34"/>
      <c r="AV534" s="34"/>
      <c r="AW534" s="34"/>
      <c r="AX534" s="34"/>
      <c r="AY534" s="34"/>
      <c r="AZ534" s="34"/>
      <c r="BA534" s="34"/>
      <c r="BB534" s="34"/>
      <c r="BD534" s="34"/>
      <c r="BE534" s="34"/>
      <c r="BF534" s="34"/>
      <c r="BG534" s="34"/>
      <c r="BH534" s="34"/>
      <c r="BI534" s="34"/>
      <c r="BJ534" s="34"/>
      <c r="BK534" s="34"/>
      <c r="BL534" s="34"/>
      <c r="BM534" s="34"/>
      <c r="BN534" s="34"/>
      <c r="BO534" s="34"/>
      <c r="BP534" s="34"/>
      <c r="BQ534" s="34"/>
      <c r="BR534" s="34"/>
      <c r="BS534" s="34"/>
      <c r="BT534" s="34"/>
      <c r="BU534" s="34"/>
      <c r="BV534" s="34"/>
      <c r="BW534" s="34"/>
      <c r="BX534" s="34"/>
      <c r="BY534" s="34"/>
    </row>
    <row r="535" spans="1:77" x14ac:dyDescent="0.3">
      <c r="A535" s="39"/>
      <c r="B535" s="42"/>
      <c r="C535" s="42"/>
      <c r="D535" s="75"/>
      <c r="E535" s="75"/>
      <c r="F535" s="76"/>
      <c r="G535" s="47"/>
      <c r="H535" s="47"/>
      <c r="I535" s="75"/>
      <c r="J535" s="76"/>
      <c r="K535" s="76"/>
      <c r="L535" s="75"/>
      <c r="M535" s="49"/>
      <c r="N535" s="76"/>
      <c r="O535" s="49"/>
      <c r="P535" s="77"/>
      <c r="Q535" s="53"/>
      <c r="R535" s="54"/>
      <c r="S535" s="55"/>
      <c r="T535" s="56"/>
      <c r="U535" s="56"/>
      <c r="V535" s="42"/>
      <c r="W535" s="57"/>
      <c r="X535" s="58"/>
      <c r="Y535" s="75"/>
      <c r="Z535" s="59"/>
      <c r="AA535" s="61"/>
      <c r="AB535" s="61"/>
      <c r="AC535" s="61"/>
      <c r="AD535" s="62"/>
      <c r="AE535" s="62"/>
      <c r="AF535" s="34"/>
      <c r="AG535" s="34"/>
      <c r="AH535" s="34"/>
      <c r="AI535" s="34"/>
      <c r="AJ535" s="34"/>
      <c r="AK535" s="34"/>
      <c r="AL535" s="34"/>
      <c r="AM535" s="34"/>
      <c r="AN535" s="34"/>
      <c r="AO535" s="34"/>
      <c r="AP535" s="34"/>
      <c r="AQ535" s="34"/>
      <c r="AR535" s="34"/>
      <c r="AS535" s="34"/>
      <c r="AT535" s="34"/>
      <c r="AU535" s="34"/>
      <c r="AV535" s="34"/>
      <c r="AW535" s="34"/>
      <c r="AX535" s="34"/>
      <c r="AY535" s="34"/>
      <c r="AZ535" s="34"/>
      <c r="BA535" s="34"/>
      <c r="BB535" s="34"/>
      <c r="BD535" s="34"/>
      <c r="BE535" s="34"/>
      <c r="BF535" s="34"/>
      <c r="BG535" s="34"/>
      <c r="BH535" s="34"/>
      <c r="BI535" s="34"/>
      <c r="BJ535" s="34"/>
      <c r="BK535" s="34"/>
      <c r="BL535" s="34"/>
      <c r="BM535" s="34"/>
      <c r="BN535" s="34"/>
      <c r="BO535" s="34"/>
      <c r="BP535" s="34"/>
      <c r="BQ535" s="34"/>
      <c r="BR535" s="34"/>
      <c r="BS535" s="34"/>
      <c r="BT535" s="34"/>
      <c r="BU535" s="34"/>
      <c r="BV535" s="34"/>
      <c r="BW535" s="34"/>
      <c r="BX535" s="34"/>
      <c r="BY535" s="34"/>
    </row>
    <row r="536" spans="1:77" x14ac:dyDescent="0.3">
      <c r="A536" s="39"/>
      <c r="B536" s="42"/>
      <c r="C536" s="42"/>
      <c r="D536" s="75"/>
      <c r="E536" s="75"/>
      <c r="F536" s="76"/>
      <c r="G536" s="47"/>
      <c r="H536" s="47"/>
      <c r="I536" s="75"/>
      <c r="J536" s="76"/>
      <c r="K536" s="76"/>
      <c r="L536" s="75"/>
      <c r="M536" s="49"/>
      <c r="N536" s="76"/>
      <c r="O536" s="49"/>
      <c r="P536" s="77"/>
      <c r="Q536" s="53"/>
      <c r="R536" s="54"/>
      <c r="S536" s="55"/>
      <c r="T536" s="56"/>
      <c r="U536" s="56"/>
      <c r="V536" s="42"/>
      <c r="W536" s="57"/>
      <c r="X536" s="58"/>
      <c r="Y536" s="75"/>
      <c r="Z536" s="59"/>
      <c r="AA536" s="61"/>
      <c r="AB536" s="61"/>
      <c r="AC536" s="61"/>
      <c r="AD536" s="62"/>
      <c r="AE536" s="62"/>
      <c r="AF536" s="34"/>
      <c r="AG536" s="34"/>
      <c r="AH536" s="34"/>
      <c r="AI536" s="34"/>
      <c r="AJ536" s="34"/>
      <c r="AK536" s="34"/>
      <c r="AL536" s="34"/>
      <c r="AM536" s="34"/>
      <c r="AN536" s="34"/>
      <c r="AO536" s="34"/>
      <c r="AP536" s="34"/>
      <c r="AQ536" s="34"/>
      <c r="AR536" s="34"/>
      <c r="AS536" s="34"/>
      <c r="AT536" s="34"/>
      <c r="AU536" s="34"/>
      <c r="AV536" s="34"/>
      <c r="AW536" s="34"/>
      <c r="AX536" s="34"/>
      <c r="AY536" s="34"/>
      <c r="AZ536" s="34"/>
      <c r="BA536" s="34"/>
      <c r="BB536" s="34"/>
      <c r="BD536" s="34"/>
      <c r="BE536" s="34"/>
      <c r="BF536" s="34"/>
      <c r="BG536" s="34"/>
      <c r="BH536" s="34"/>
      <c r="BI536" s="34"/>
      <c r="BJ536" s="34"/>
      <c r="BK536" s="34"/>
      <c r="BL536" s="34"/>
      <c r="BM536" s="34"/>
      <c r="BN536" s="34"/>
      <c r="BO536" s="34"/>
      <c r="BP536" s="34"/>
      <c r="BQ536" s="34"/>
      <c r="BR536" s="34"/>
      <c r="BS536" s="34"/>
      <c r="BT536" s="34"/>
      <c r="BU536" s="34"/>
      <c r="BV536" s="34"/>
      <c r="BW536" s="34"/>
      <c r="BX536" s="34"/>
      <c r="BY536" s="34"/>
    </row>
    <row r="537" spans="1:77" x14ac:dyDescent="0.3">
      <c r="A537" s="39"/>
      <c r="B537" s="42"/>
      <c r="C537" s="42"/>
      <c r="D537" s="75"/>
      <c r="E537" s="75"/>
      <c r="F537" s="76"/>
      <c r="G537" s="47"/>
      <c r="H537" s="47"/>
      <c r="I537" s="75"/>
      <c r="J537" s="76"/>
      <c r="K537" s="76"/>
      <c r="L537" s="75"/>
      <c r="M537" s="49"/>
      <c r="N537" s="76"/>
      <c r="O537" s="49"/>
      <c r="P537" s="77"/>
      <c r="Q537" s="53"/>
      <c r="R537" s="54"/>
      <c r="S537" s="55"/>
      <c r="T537" s="56"/>
      <c r="U537" s="56"/>
      <c r="V537" s="42"/>
      <c r="W537" s="57"/>
      <c r="X537" s="58"/>
      <c r="Y537" s="75"/>
      <c r="Z537" s="59"/>
      <c r="AA537" s="61"/>
      <c r="AB537" s="61"/>
      <c r="AC537" s="61"/>
      <c r="AD537" s="62"/>
      <c r="AE537" s="62"/>
      <c r="AF537" s="34"/>
      <c r="AG537" s="34"/>
      <c r="AH537" s="34"/>
      <c r="AI537" s="34"/>
      <c r="AJ537" s="34"/>
      <c r="AK537" s="34"/>
      <c r="AL537" s="34"/>
      <c r="AM537" s="34"/>
      <c r="AN537" s="34"/>
      <c r="AO537" s="34"/>
      <c r="AP537" s="34"/>
      <c r="AQ537" s="34"/>
      <c r="AR537" s="34"/>
      <c r="AS537" s="34"/>
      <c r="AT537" s="34"/>
      <c r="AU537" s="34"/>
      <c r="AV537" s="34"/>
      <c r="AW537" s="34"/>
      <c r="AX537" s="34"/>
      <c r="AY537" s="34"/>
      <c r="AZ537" s="34"/>
      <c r="BA537" s="34"/>
      <c r="BB537" s="34"/>
      <c r="BD537" s="34"/>
      <c r="BE537" s="34"/>
      <c r="BF537" s="34"/>
      <c r="BG537" s="34"/>
      <c r="BH537" s="34"/>
      <c r="BI537" s="34"/>
      <c r="BJ537" s="34"/>
      <c r="BK537" s="34"/>
      <c r="BL537" s="34"/>
      <c r="BM537" s="34"/>
      <c r="BN537" s="34"/>
      <c r="BO537" s="34"/>
      <c r="BP537" s="34"/>
      <c r="BQ537" s="34"/>
      <c r="BR537" s="34"/>
      <c r="BS537" s="34"/>
      <c r="BT537" s="34"/>
      <c r="BU537" s="34"/>
      <c r="BV537" s="34"/>
      <c r="BW537" s="34"/>
      <c r="BX537" s="34"/>
      <c r="BY537" s="34"/>
    </row>
    <row r="538" spans="1:77" x14ac:dyDescent="0.3">
      <c r="A538" s="39"/>
      <c r="B538" s="42"/>
      <c r="C538" s="42"/>
      <c r="D538" s="75"/>
      <c r="E538" s="75"/>
      <c r="F538" s="76"/>
      <c r="G538" s="47"/>
      <c r="H538" s="47"/>
      <c r="I538" s="75"/>
      <c r="J538" s="76"/>
      <c r="K538" s="76"/>
      <c r="L538" s="75"/>
      <c r="M538" s="49"/>
      <c r="N538" s="76"/>
      <c r="O538" s="49"/>
      <c r="P538" s="77"/>
      <c r="Q538" s="53"/>
      <c r="R538" s="54"/>
      <c r="S538" s="55"/>
      <c r="T538" s="56"/>
      <c r="U538" s="56"/>
      <c r="V538" s="42"/>
      <c r="W538" s="57"/>
      <c r="X538" s="58"/>
      <c r="Y538" s="75"/>
      <c r="Z538" s="59"/>
      <c r="AA538" s="61"/>
      <c r="AB538" s="61"/>
      <c r="AC538" s="61"/>
      <c r="AD538" s="62"/>
      <c r="AE538" s="62"/>
      <c r="AF538" s="34"/>
      <c r="AG538" s="34"/>
      <c r="AH538" s="34"/>
      <c r="AI538" s="34"/>
      <c r="AJ538" s="34"/>
      <c r="AK538" s="34"/>
      <c r="AL538" s="34"/>
      <c r="AM538" s="34"/>
      <c r="AN538" s="34"/>
      <c r="AO538" s="34"/>
      <c r="AP538" s="34"/>
      <c r="AQ538" s="34"/>
      <c r="AR538" s="34"/>
      <c r="AS538" s="34"/>
      <c r="AT538" s="34"/>
      <c r="AU538" s="34"/>
      <c r="AV538" s="34"/>
      <c r="AW538" s="34"/>
      <c r="AX538" s="34"/>
      <c r="AY538" s="34"/>
      <c r="AZ538" s="34"/>
      <c r="BA538" s="34"/>
      <c r="BB538" s="34"/>
      <c r="BD538" s="34"/>
      <c r="BE538" s="34"/>
      <c r="BF538" s="34"/>
      <c r="BG538" s="34"/>
      <c r="BH538" s="34"/>
      <c r="BI538" s="34"/>
      <c r="BJ538" s="34"/>
      <c r="BK538" s="34"/>
      <c r="BL538" s="34"/>
      <c r="BM538" s="34"/>
      <c r="BN538" s="34"/>
      <c r="BO538" s="34"/>
      <c r="BP538" s="34"/>
      <c r="BQ538" s="34"/>
      <c r="BR538" s="34"/>
      <c r="BS538" s="34"/>
      <c r="BT538" s="34"/>
      <c r="BU538" s="34"/>
      <c r="BV538" s="34"/>
      <c r="BW538" s="34"/>
      <c r="BX538" s="34"/>
      <c r="BY538" s="34"/>
    </row>
    <row r="539" spans="1:77" x14ac:dyDescent="0.3">
      <c r="A539" s="39"/>
      <c r="B539" s="42"/>
      <c r="C539" s="42"/>
      <c r="D539" s="75"/>
      <c r="E539" s="75"/>
      <c r="F539" s="76"/>
      <c r="G539" s="47"/>
      <c r="H539" s="47"/>
      <c r="I539" s="75"/>
      <c r="J539" s="76"/>
      <c r="K539" s="76"/>
      <c r="L539" s="75"/>
      <c r="M539" s="49"/>
      <c r="N539" s="76"/>
      <c r="O539" s="49"/>
      <c r="P539" s="77"/>
      <c r="Q539" s="53"/>
      <c r="R539" s="54"/>
      <c r="S539" s="55"/>
      <c r="T539" s="56"/>
      <c r="U539" s="56"/>
      <c r="V539" s="42"/>
      <c r="W539" s="57"/>
      <c r="X539" s="58"/>
      <c r="Y539" s="75"/>
      <c r="Z539" s="59"/>
      <c r="AA539" s="61"/>
      <c r="AB539" s="61"/>
      <c r="AC539" s="61"/>
      <c r="AD539" s="62"/>
      <c r="AE539" s="62"/>
      <c r="AF539" s="34"/>
      <c r="AG539" s="34"/>
      <c r="AH539" s="34"/>
      <c r="AI539" s="34"/>
      <c r="AJ539" s="34"/>
      <c r="AK539" s="34"/>
      <c r="AL539" s="34"/>
      <c r="AM539" s="34"/>
      <c r="AN539" s="34"/>
      <c r="AO539" s="34"/>
      <c r="AP539" s="34"/>
      <c r="AQ539" s="34"/>
      <c r="AR539" s="34"/>
      <c r="AS539" s="34"/>
      <c r="AT539" s="34"/>
      <c r="AU539" s="34"/>
      <c r="AV539" s="34"/>
      <c r="AW539" s="34"/>
      <c r="AX539" s="34"/>
      <c r="AY539" s="34"/>
      <c r="AZ539" s="34"/>
      <c r="BA539" s="34"/>
      <c r="BB539" s="34"/>
      <c r="BD539" s="34"/>
      <c r="BE539" s="34"/>
      <c r="BF539" s="34"/>
      <c r="BG539" s="34"/>
      <c r="BH539" s="34"/>
      <c r="BI539" s="34"/>
      <c r="BJ539" s="34"/>
      <c r="BK539" s="34"/>
      <c r="BL539" s="34"/>
      <c r="BM539" s="34"/>
      <c r="BN539" s="34"/>
      <c r="BO539" s="34"/>
      <c r="BP539" s="34"/>
      <c r="BQ539" s="34"/>
      <c r="BR539" s="34"/>
      <c r="BS539" s="34"/>
      <c r="BT539" s="34"/>
      <c r="BU539" s="34"/>
      <c r="BV539" s="34"/>
      <c r="BW539" s="34"/>
      <c r="BX539" s="34"/>
      <c r="BY539" s="34"/>
    </row>
    <row r="540" spans="1:77" x14ac:dyDescent="0.3">
      <c r="A540" s="39"/>
      <c r="B540" s="42"/>
      <c r="C540" s="42"/>
      <c r="D540" s="75"/>
      <c r="E540" s="75"/>
      <c r="F540" s="76"/>
      <c r="G540" s="47"/>
      <c r="H540" s="47"/>
      <c r="I540" s="75"/>
      <c r="J540" s="76"/>
      <c r="K540" s="76"/>
      <c r="L540" s="75"/>
      <c r="M540" s="49"/>
      <c r="N540" s="76"/>
      <c r="O540" s="49"/>
      <c r="P540" s="77"/>
      <c r="Q540" s="53"/>
      <c r="R540" s="54"/>
      <c r="S540" s="55"/>
      <c r="T540" s="56"/>
      <c r="U540" s="56"/>
      <c r="V540" s="42"/>
      <c r="W540" s="57"/>
      <c r="X540" s="58"/>
      <c r="Y540" s="75"/>
      <c r="Z540" s="59"/>
      <c r="AA540" s="61"/>
      <c r="AB540" s="61"/>
      <c r="AC540" s="61"/>
      <c r="AD540" s="62"/>
      <c r="AE540" s="62"/>
      <c r="AF540" s="34"/>
      <c r="AG540" s="34"/>
      <c r="AH540" s="34"/>
      <c r="AI540" s="34"/>
      <c r="AJ540" s="34"/>
      <c r="AK540" s="34"/>
      <c r="AL540" s="34"/>
      <c r="AM540" s="34"/>
      <c r="AN540" s="34"/>
      <c r="AO540" s="34"/>
      <c r="AP540" s="34"/>
      <c r="AQ540" s="34"/>
      <c r="AR540" s="34"/>
      <c r="AS540" s="34"/>
      <c r="AT540" s="34"/>
      <c r="AU540" s="34"/>
      <c r="AV540" s="34"/>
      <c r="AW540" s="34"/>
      <c r="AX540" s="34"/>
      <c r="AY540" s="34"/>
      <c r="AZ540" s="34"/>
      <c r="BA540" s="34"/>
      <c r="BB540" s="34"/>
      <c r="BD540" s="34"/>
      <c r="BE540" s="34"/>
      <c r="BF540" s="34"/>
      <c r="BG540" s="34"/>
      <c r="BH540" s="34"/>
      <c r="BI540" s="34"/>
      <c r="BJ540" s="34"/>
      <c r="BK540" s="34"/>
      <c r="BL540" s="34"/>
      <c r="BM540" s="34"/>
      <c r="BN540" s="34"/>
      <c r="BO540" s="34"/>
      <c r="BP540" s="34"/>
      <c r="BQ540" s="34"/>
      <c r="BR540" s="34"/>
      <c r="BS540" s="34"/>
      <c r="BT540" s="34"/>
      <c r="BU540" s="34"/>
      <c r="BV540" s="34"/>
      <c r="BW540" s="34"/>
      <c r="BX540" s="34"/>
      <c r="BY540" s="34"/>
    </row>
    <row r="541" spans="1:77" x14ac:dyDescent="0.3">
      <c r="A541" s="39"/>
      <c r="B541" s="42"/>
      <c r="C541" s="42"/>
      <c r="D541" s="75"/>
      <c r="E541" s="75"/>
      <c r="F541" s="76"/>
      <c r="G541" s="47"/>
      <c r="H541" s="47"/>
      <c r="I541" s="75"/>
      <c r="J541" s="76"/>
      <c r="K541" s="76"/>
      <c r="L541" s="75"/>
      <c r="M541" s="49"/>
      <c r="N541" s="76"/>
      <c r="O541" s="49"/>
      <c r="P541" s="77"/>
      <c r="Q541" s="53"/>
      <c r="R541" s="54"/>
      <c r="S541" s="55"/>
      <c r="T541" s="56"/>
      <c r="U541" s="56"/>
      <c r="V541" s="42"/>
      <c r="W541" s="57"/>
      <c r="X541" s="58"/>
      <c r="Y541" s="75"/>
      <c r="Z541" s="59"/>
      <c r="AA541" s="61"/>
      <c r="AB541" s="61"/>
      <c r="AC541" s="61"/>
      <c r="AD541" s="62"/>
      <c r="AE541" s="62"/>
      <c r="AF541" s="34"/>
      <c r="AG541" s="34"/>
      <c r="AH541" s="34"/>
      <c r="AI541" s="34"/>
      <c r="AJ541" s="34"/>
      <c r="AK541" s="34"/>
      <c r="AL541" s="34"/>
      <c r="AM541" s="34"/>
      <c r="AN541" s="34"/>
      <c r="AO541" s="34"/>
      <c r="AP541" s="34"/>
      <c r="AQ541" s="34"/>
      <c r="AR541" s="34"/>
      <c r="AS541" s="34"/>
      <c r="AT541" s="34"/>
      <c r="AU541" s="34"/>
      <c r="AV541" s="34"/>
      <c r="AW541" s="34"/>
      <c r="AX541" s="34"/>
      <c r="AY541" s="34"/>
      <c r="AZ541" s="34"/>
      <c r="BA541" s="34"/>
      <c r="BB541" s="34"/>
      <c r="BD541" s="34"/>
      <c r="BE541" s="34"/>
      <c r="BF541" s="34"/>
      <c r="BG541" s="34"/>
      <c r="BH541" s="34"/>
      <c r="BI541" s="34"/>
      <c r="BJ541" s="34"/>
      <c r="BK541" s="34"/>
      <c r="BL541" s="34"/>
      <c r="BM541" s="34"/>
      <c r="BN541" s="34"/>
      <c r="BO541" s="34"/>
      <c r="BP541" s="34"/>
      <c r="BQ541" s="34"/>
      <c r="BR541" s="34"/>
      <c r="BS541" s="34"/>
      <c r="BT541" s="34"/>
      <c r="BU541" s="34"/>
      <c r="BV541" s="34"/>
      <c r="BW541" s="34"/>
      <c r="BX541" s="34"/>
      <c r="BY541" s="34"/>
    </row>
    <row r="542" spans="1:77" x14ac:dyDescent="0.3">
      <c r="A542" s="39"/>
      <c r="B542" s="42"/>
      <c r="C542" s="42"/>
      <c r="D542" s="75"/>
      <c r="E542" s="75"/>
      <c r="F542" s="76"/>
      <c r="G542" s="47"/>
      <c r="H542" s="47"/>
      <c r="I542" s="75"/>
      <c r="J542" s="76"/>
      <c r="K542" s="76"/>
      <c r="L542" s="75"/>
      <c r="M542" s="49"/>
      <c r="N542" s="76"/>
      <c r="O542" s="49"/>
      <c r="P542" s="77"/>
      <c r="Q542" s="53"/>
      <c r="R542" s="54"/>
      <c r="S542" s="55"/>
      <c r="T542" s="56"/>
      <c r="U542" s="56"/>
      <c r="V542" s="42"/>
      <c r="W542" s="57"/>
      <c r="X542" s="58"/>
      <c r="Y542" s="75"/>
      <c r="Z542" s="59"/>
      <c r="AA542" s="61"/>
      <c r="AB542" s="61"/>
      <c r="AC542" s="61"/>
      <c r="AD542" s="62"/>
      <c r="AE542" s="62"/>
      <c r="AF542" s="34"/>
      <c r="AG542" s="34"/>
      <c r="AH542" s="34"/>
      <c r="AI542" s="34"/>
      <c r="AJ542" s="34"/>
      <c r="AK542" s="34"/>
      <c r="AL542" s="34"/>
      <c r="AM542" s="34"/>
      <c r="AN542" s="34"/>
      <c r="AO542" s="34"/>
      <c r="AP542" s="34"/>
      <c r="AQ542" s="34"/>
      <c r="AR542" s="34"/>
      <c r="AS542" s="34"/>
      <c r="AT542" s="34"/>
      <c r="AU542" s="34"/>
      <c r="AV542" s="34"/>
      <c r="AW542" s="34"/>
      <c r="AX542" s="34"/>
      <c r="AY542" s="34"/>
      <c r="AZ542" s="34"/>
      <c r="BA542" s="34"/>
      <c r="BB542" s="34"/>
      <c r="BD542" s="34"/>
      <c r="BE542" s="34"/>
      <c r="BF542" s="34"/>
      <c r="BG542" s="34"/>
      <c r="BH542" s="34"/>
      <c r="BI542" s="34"/>
      <c r="BJ542" s="34"/>
      <c r="BK542" s="34"/>
      <c r="BL542" s="34"/>
      <c r="BM542" s="34"/>
      <c r="BN542" s="34"/>
      <c r="BO542" s="34"/>
      <c r="BP542" s="34"/>
      <c r="BQ542" s="34"/>
      <c r="BR542" s="34"/>
      <c r="BS542" s="34"/>
      <c r="BT542" s="34"/>
      <c r="BU542" s="34"/>
      <c r="BV542" s="34"/>
      <c r="BW542" s="34"/>
      <c r="BX542" s="34"/>
      <c r="BY542" s="34"/>
    </row>
    <row r="543" spans="1:77" x14ac:dyDescent="0.3">
      <c r="A543" s="39"/>
      <c r="B543" s="42"/>
      <c r="C543" s="42"/>
      <c r="D543" s="75"/>
      <c r="E543" s="75"/>
      <c r="F543" s="76"/>
      <c r="G543" s="47"/>
      <c r="H543" s="47"/>
      <c r="I543" s="75"/>
      <c r="J543" s="76"/>
      <c r="K543" s="76"/>
      <c r="L543" s="75"/>
      <c r="M543" s="49"/>
      <c r="N543" s="76"/>
      <c r="O543" s="49"/>
      <c r="P543" s="77"/>
      <c r="Q543" s="53"/>
      <c r="R543" s="54"/>
      <c r="S543" s="55"/>
      <c r="T543" s="56"/>
      <c r="U543" s="56"/>
      <c r="V543" s="42"/>
      <c r="W543" s="57"/>
      <c r="X543" s="58"/>
      <c r="Y543" s="75"/>
      <c r="Z543" s="59"/>
      <c r="AA543" s="61"/>
      <c r="AB543" s="61"/>
      <c r="AC543" s="61"/>
      <c r="AD543" s="62"/>
      <c r="AE543" s="62"/>
      <c r="AF543" s="34"/>
      <c r="AG543" s="34"/>
      <c r="AH543" s="34"/>
      <c r="AI543" s="34"/>
      <c r="AJ543" s="34"/>
      <c r="AK543" s="34"/>
      <c r="AL543" s="34"/>
      <c r="AM543" s="34"/>
      <c r="AN543" s="34"/>
      <c r="AO543" s="34"/>
      <c r="AP543" s="34"/>
      <c r="AQ543" s="34"/>
      <c r="AR543" s="34"/>
      <c r="AS543" s="34"/>
      <c r="AT543" s="34"/>
      <c r="AU543" s="34"/>
      <c r="AV543" s="34"/>
      <c r="AW543" s="34"/>
      <c r="AX543" s="34"/>
      <c r="AY543" s="34"/>
      <c r="AZ543" s="34"/>
      <c r="BA543" s="34"/>
      <c r="BB543" s="34"/>
      <c r="BD543" s="34"/>
      <c r="BE543" s="34"/>
      <c r="BF543" s="34"/>
      <c r="BG543" s="34"/>
      <c r="BH543" s="34"/>
      <c r="BI543" s="34"/>
      <c r="BJ543" s="34"/>
      <c r="BK543" s="34"/>
      <c r="BL543" s="34"/>
      <c r="BM543" s="34"/>
      <c r="BN543" s="34"/>
      <c r="BO543" s="34"/>
      <c r="BP543" s="34"/>
      <c r="BQ543" s="34"/>
      <c r="BR543" s="34"/>
      <c r="BS543" s="34"/>
      <c r="BT543" s="34"/>
      <c r="BU543" s="34"/>
      <c r="BV543" s="34"/>
      <c r="BW543" s="34"/>
      <c r="BX543" s="34"/>
      <c r="BY543" s="34"/>
    </row>
    <row r="544" spans="1:77" x14ac:dyDescent="0.3">
      <c r="A544" s="39"/>
      <c r="B544" s="42"/>
      <c r="C544" s="42"/>
      <c r="D544" s="75"/>
      <c r="E544" s="75"/>
      <c r="F544" s="76"/>
      <c r="G544" s="47"/>
      <c r="H544" s="47"/>
      <c r="I544" s="75"/>
      <c r="J544" s="76"/>
      <c r="K544" s="76"/>
      <c r="L544" s="75"/>
      <c r="M544" s="49"/>
      <c r="N544" s="76"/>
      <c r="O544" s="49"/>
      <c r="P544" s="77"/>
      <c r="Q544" s="53"/>
      <c r="R544" s="54"/>
      <c r="S544" s="55"/>
      <c r="T544" s="56"/>
      <c r="U544" s="56"/>
      <c r="V544" s="42"/>
      <c r="W544" s="57"/>
      <c r="X544" s="58"/>
      <c r="Y544" s="75"/>
      <c r="Z544" s="59"/>
      <c r="AA544" s="61"/>
      <c r="AB544" s="61"/>
      <c r="AC544" s="61"/>
      <c r="AD544" s="62"/>
      <c r="AE544" s="62"/>
      <c r="AF544" s="34"/>
      <c r="AG544" s="34"/>
      <c r="AH544" s="34"/>
      <c r="AI544" s="34"/>
      <c r="AJ544" s="34"/>
      <c r="AK544" s="34"/>
      <c r="AL544" s="34"/>
      <c r="AM544" s="34"/>
      <c r="AN544" s="34"/>
      <c r="AO544" s="34"/>
      <c r="AP544" s="34"/>
      <c r="AQ544" s="34"/>
      <c r="AR544" s="34"/>
      <c r="AS544" s="34"/>
      <c r="AT544" s="34"/>
      <c r="AU544" s="34"/>
      <c r="AV544" s="34"/>
      <c r="AW544" s="34"/>
      <c r="AX544" s="34"/>
      <c r="AY544" s="34"/>
      <c r="AZ544" s="34"/>
      <c r="BA544" s="34"/>
      <c r="BB544" s="34"/>
      <c r="BD544" s="34"/>
      <c r="BE544" s="34"/>
      <c r="BF544" s="34"/>
      <c r="BG544" s="34"/>
      <c r="BH544" s="34"/>
      <c r="BI544" s="34"/>
      <c r="BJ544" s="34"/>
      <c r="BK544" s="34"/>
      <c r="BL544" s="34"/>
      <c r="BM544" s="34"/>
      <c r="BN544" s="34"/>
      <c r="BO544" s="34"/>
      <c r="BP544" s="34"/>
      <c r="BQ544" s="34"/>
      <c r="BR544" s="34"/>
      <c r="BS544" s="34"/>
      <c r="BT544" s="34"/>
      <c r="BU544" s="34"/>
      <c r="BV544" s="34"/>
      <c r="BW544" s="34"/>
      <c r="BX544" s="34"/>
      <c r="BY544" s="34"/>
    </row>
    <row r="545" spans="1:77" x14ac:dyDescent="0.3">
      <c r="A545" s="39"/>
      <c r="B545" s="42"/>
      <c r="C545" s="42"/>
      <c r="D545" s="75"/>
      <c r="E545" s="75"/>
      <c r="F545" s="76"/>
      <c r="G545" s="47"/>
      <c r="H545" s="47"/>
      <c r="I545" s="75"/>
      <c r="J545" s="76"/>
      <c r="K545" s="76"/>
      <c r="L545" s="75"/>
      <c r="M545" s="49"/>
      <c r="N545" s="76"/>
      <c r="O545" s="49"/>
      <c r="P545" s="77"/>
      <c r="Q545" s="53"/>
      <c r="R545" s="54"/>
      <c r="S545" s="55"/>
      <c r="T545" s="56"/>
      <c r="U545" s="56"/>
      <c r="V545" s="42"/>
      <c r="W545" s="57"/>
      <c r="X545" s="58"/>
      <c r="Y545" s="75"/>
      <c r="Z545" s="59"/>
      <c r="AA545" s="61"/>
      <c r="AB545" s="61"/>
      <c r="AC545" s="61"/>
      <c r="AD545" s="62"/>
      <c r="AE545" s="62"/>
      <c r="AF545" s="34"/>
      <c r="AG545" s="34"/>
      <c r="AH545" s="34"/>
      <c r="AI545" s="34"/>
      <c r="AJ545" s="34"/>
      <c r="AK545" s="34"/>
      <c r="AL545" s="34"/>
      <c r="AM545" s="34"/>
      <c r="AN545" s="34"/>
      <c r="AO545" s="34"/>
      <c r="AP545" s="34"/>
      <c r="AQ545" s="34"/>
      <c r="AR545" s="34"/>
      <c r="AS545" s="34"/>
      <c r="AT545" s="34"/>
      <c r="AU545" s="34"/>
      <c r="AV545" s="34"/>
      <c r="AW545" s="34"/>
      <c r="AX545" s="34"/>
      <c r="AY545" s="34"/>
      <c r="AZ545" s="34"/>
      <c r="BA545" s="34"/>
      <c r="BB545" s="34"/>
      <c r="BD545" s="34"/>
      <c r="BE545" s="34"/>
      <c r="BF545" s="34"/>
      <c r="BG545" s="34"/>
      <c r="BH545" s="34"/>
      <c r="BI545" s="34"/>
      <c r="BJ545" s="34"/>
      <c r="BK545" s="34"/>
      <c r="BL545" s="34"/>
      <c r="BM545" s="34"/>
      <c r="BN545" s="34"/>
      <c r="BO545" s="34"/>
      <c r="BP545" s="34"/>
      <c r="BQ545" s="34"/>
      <c r="BR545" s="34"/>
      <c r="BS545" s="34"/>
      <c r="BT545" s="34"/>
      <c r="BU545" s="34"/>
      <c r="BV545" s="34"/>
      <c r="BW545" s="34"/>
      <c r="BX545" s="34"/>
      <c r="BY545" s="34"/>
    </row>
    <row r="546" spans="1:77" x14ac:dyDescent="0.3">
      <c r="A546" s="39"/>
      <c r="B546" s="42"/>
      <c r="C546" s="42"/>
      <c r="D546" s="75"/>
      <c r="E546" s="75"/>
      <c r="F546" s="76"/>
      <c r="G546" s="47"/>
      <c r="H546" s="47"/>
      <c r="I546" s="75"/>
      <c r="J546" s="76"/>
      <c r="K546" s="76"/>
      <c r="L546" s="75"/>
      <c r="M546" s="49"/>
      <c r="N546" s="76"/>
      <c r="O546" s="49"/>
      <c r="P546" s="77"/>
      <c r="Q546" s="53"/>
      <c r="R546" s="54"/>
      <c r="S546" s="55"/>
      <c r="T546" s="56"/>
      <c r="U546" s="56"/>
      <c r="V546" s="42"/>
      <c r="W546" s="57"/>
      <c r="X546" s="58"/>
      <c r="Y546" s="75"/>
      <c r="Z546" s="59"/>
      <c r="AA546" s="61"/>
      <c r="AB546" s="61"/>
      <c r="AC546" s="61"/>
      <c r="AD546" s="62"/>
      <c r="AE546" s="62"/>
      <c r="AF546" s="34"/>
      <c r="AG546" s="34"/>
      <c r="AH546" s="34"/>
      <c r="AI546" s="34"/>
      <c r="AJ546" s="34"/>
      <c r="AK546" s="34"/>
      <c r="AL546" s="34"/>
      <c r="AM546" s="34"/>
      <c r="AN546" s="34"/>
      <c r="AO546" s="34"/>
      <c r="AP546" s="34"/>
      <c r="AQ546" s="34"/>
      <c r="AR546" s="34"/>
      <c r="AS546" s="34"/>
      <c r="AT546" s="34"/>
      <c r="AU546" s="34"/>
      <c r="AV546" s="34"/>
      <c r="AW546" s="34"/>
      <c r="AX546" s="34"/>
      <c r="AY546" s="34"/>
      <c r="AZ546" s="34"/>
      <c r="BA546" s="34"/>
      <c r="BB546" s="34"/>
      <c r="BD546" s="34"/>
      <c r="BE546" s="34"/>
      <c r="BF546" s="34"/>
      <c r="BG546" s="34"/>
      <c r="BH546" s="34"/>
      <c r="BI546" s="34"/>
      <c r="BJ546" s="34"/>
      <c r="BK546" s="34"/>
      <c r="BL546" s="34"/>
      <c r="BM546" s="34"/>
      <c r="BN546" s="34"/>
      <c r="BO546" s="34"/>
      <c r="BP546" s="34"/>
      <c r="BQ546" s="34"/>
      <c r="BR546" s="34"/>
      <c r="BS546" s="34"/>
      <c r="BT546" s="34"/>
      <c r="BU546" s="34"/>
      <c r="BV546" s="34"/>
      <c r="BW546" s="34"/>
      <c r="BX546" s="34"/>
      <c r="BY546" s="34"/>
    </row>
    <row r="547" spans="1:77" x14ac:dyDescent="0.3">
      <c r="A547" s="39"/>
      <c r="B547" s="42"/>
      <c r="C547" s="42"/>
      <c r="D547" s="75"/>
      <c r="E547" s="75"/>
      <c r="F547" s="76"/>
      <c r="G547" s="47"/>
      <c r="H547" s="47"/>
      <c r="I547" s="75"/>
      <c r="J547" s="76"/>
      <c r="K547" s="76"/>
      <c r="L547" s="75"/>
      <c r="M547" s="49"/>
      <c r="N547" s="76"/>
      <c r="O547" s="49"/>
      <c r="P547" s="77"/>
      <c r="Q547" s="53"/>
      <c r="R547" s="54"/>
      <c r="S547" s="55"/>
      <c r="T547" s="56"/>
      <c r="U547" s="56"/>
      <c r="V547" s="42"/>
      <c r="W547" s="57"/>
      <c r="X547" s="58"/>
      <c r="Y547" s="75"/>
      <c r="Z547" s="59"/>
      <c r="AA547" s="61"/>
      <c r="AB547" s="61"/>
      <c r="AC547" s="61"/>
      <c r="AD547" s="62"/>
      <c r="AE547" s="62"/>
      <c r="AF547" s="34"/>
      <c r="AG547" s="34"/>
      <c r="AH547" s="34"/>
      <c r="AI547" s="34"/>
      <c r="AJ547" s="34"/>
      <c r="AK547" s="34"/>
      <c r="AL547" s="34"/>
      <c r="AM547" s="34"/>
      <c r="AN547" s="34"/>
      <c r="AO547" s="34"/>
      <c r="AP547" s="34"/>
      <c r="AQ547" s="34"/>
      <c r="AR547" s="34"/>
      <c r="AS547" s="34"/>
      <c r="AT547" s="34"/>
      <c r="AU547" s="34"/>
      <c r="AV547" s="34"/>
      <c r="AW547" s="34"/>
      <c r="AX547" s="34"/>
      <c r="AY547" s="34"/>
      <c r="AZ547" s="34"/>
      <c r="BA547" s="34"/>
      <c r="BB547" s="34"/>
      <c r="BD547" s="34"/>
      <c r="BE547" s="34"/>
      <c r="BF547" s="34"/>
      <c r="BG547" s="34"/>
      <c r="BH547" s="34"/>
      <c r="BI547" s="34"/>
      <c r="BJ547" s="34"/>
      <c r="BK547" s="34"/>
      <c r="BL547" s="34"/>
      <c r="BM547" s="34"/>
      <c r="BN547" s="34"/>
      <c r="BO547" s="34"/>
      <c r="BP547" s="34"/>
      <c r="BQ547" s="34"/>
      <c r="BR547" s="34"/>
      <c r="BS547" s="34"/>
      <c r="BT547" s="34"/>
      <c r="BU547" s="34"/>
      <c r="BV547" s="34"/>
      <c r="BW547" s="34"/>
      <c r="BX547" s="34"/>
      <c r="BY547" s="34"/>
    </row>
    <row r="548" spans="1:77" x14ac:dyDescent="0.3">
      <c r="A548" s="39"/>
      <c r="B548" s="42"/>
      <c r="C548" s="42"/>
      <c r="D548" s="75"/>
      <c r="E548" s="75"/>
      <c r="F548" s="76"/>
      <c r="G548" s="47"/>
      <c r="H548" s="47"/>
      <c r="I548" s="75"/>
      <c r="J548" s="76"/>
      <c r="K548" s="76"/>
      <c r="L548" s="75"/>
      <c r="M548" s="49"/>
      <c r="N548" s="76"/>
      <c r="O548" s="49"/>
      <c r="P548" s="77"/>
      <c r="Q548" s="53"/>
      <c r="R548" s="54"/>
      <c r="S548" s="55"/>
      <c r="T548" s="56"/>
      <c r="U548" s="56"/>
      <c r="V548" s="42"/>
      <c r="W548" s="57"/>
      <c r="X548" s="58"/>
      <c r="Y548" s="75"/>
      <c r="Z548" s="59"/>
      <c r="AA548" s="61"/>
      <c r="AB548" s="61"/>
      <c r="AC548" s="61"/>
      <c r="AD548" s="62"/>
      <c r="AE548" s="62"/>
      <c r="AF548" s="34"/>
      <c r="AG548" s="34"/>
      <c r="AH548" s="34"/>
      <c r="AI548" s="34"/>
      <c r="AJ548" s="34"/>
      <c r="AK548" s="34"/>
      <c r="AL548" s="34"/>
      <c r="AM548" s="34"/>
      <c r="AN548" s="34"/>
      <c r="AO548" s="34"/>
      <c r="AP548" s="34"/>
      <c r="AQ548" s="34"/>
      <c r="AR548" s="34"/>
      <c r="AS548" s="34"/>
      <c r="AT548" s="34"/>
      <c r="AU548" s="34"/>
      <c r="AV548" s="34"/>
      <c r="AW548" s="34"/>
      <c r="AX548" s="34"/>
      <c r="AY548" s="34"/>
      <c r="AZ548" s="34"/>
      <c r="BA548" s="34"/>
      <c r="BB548" s="34"/>
      <c r="BD548" s="34"/>
      <c r="BE548" s="34"/>
      <c r="BF548" s="34"/>
      <c r="BG548" s="34"/>
      <c r="BH548" s="34"/>
      <c r="BI548" s="34"/>
      <c r="BJ548" s="34"/>
      <c r="BK548" s="34"/>
      <c r="BL548" s="34"/>
      <c r="BM548" s="34"/>
      <c r="BN548" s="34"/>
      <c r="BO548" s="34"/>
      <c r="BP548" s="34"/>
      <c r="BQ548" s="34"/>
      <c r="BR548" s="34"/>
      <c r="BS548" s="34"/>
      <c r="BT548" s="34"/>
      <c r="BU548" s="34"/>
      <c r="BV548" s="34"/>
      <c r="BW548" s="34"/>
      <c r="BX548" s="34"/>
      <c r="BY548" s="34"/>
    </row>
    <row r="549" spans="1:77" x14ac:dyDescent="0.3">
      <c r="A549" s="39"/>
      <c r="B549" s="42"/>
      <c r="C549" s="42"/>
      <c r="D549" s="75"/>
      <c r="E549" s="75"/>
      <c r="F549" s="76"/>
      <c r="G549" s="47"/>
      <c r="H549" s="47"/>
      <c r="I549" s="75"/>
      <c r="J549" s="76"/>
      <c r="K549" s="76"/>
      <c r="L549" s="75"/>
      <c r="M549" s="49"/>
      <c r="N549" s="76"/>
      <c r="O549" s="49"/>
      <c r="P549" s="77"/>
      <c r="Q549" s="53"/>
      <c r="R549" s="54"/>
      <c r="S549" s="55"/>
      <c r="T549" s="56"/>
      <c r="U549" s="56"/>
      <c r="V549" s="42"/>
      <c r="W549" s="57"/>
      <c r="X549" s="58"/>
      <c r="Y549" s="75"/>
      <c r="Z549" s="59"/>
      <c r="AA549" s="61"/>
      <c r="AB549" s="61"/>
      <c r="AC549" s="61"/>
      <c r="AD549" s="62"/>
      <c r="AE549" s="62"/>
      <c r="AF549" s="34"/>
      <c r="AG549" s="34"/>
      <c r="AH549" s="34"/>
      <c r="AI549" s="34"/>
      <c r="AJ549" s="34"/>
      <c r="AK549" s="34"/>
      <c r="AL549" s="34"/>
      <c r="AM549" s="34"/>
      <c r="AN549" s="34"/>
      <c r="AO549" s="34"/>
      <c r="AP549" s="34"/>
      <c r="AQ549" s="34"/>
      <c r="AR549" s="34"/>
      <c r="AS549" s="34"/>
      <c r="AT549" s="34"/>
      <c r="AU549" s="34"/>
      <c r="AV549" s="34"/>
      <c r="AW549" s="34"/>
      <c r="AX549" s="34"/>
      <c r="AY549" s="34"/>
      <c r="AZ549" s="34"/>
      <c r="BA549" s="34"/>
      <c r="BB549" s="34"/>
      <c r="BD549" s="34"/>
      <c r="BE549" s="34"/>
      <c r="BF549" s="34"/>
      <c r="BG549" s="34"/>
      <c r="BH549" s="34"/>
      <c r="BI549" s="34"/>
      <c r="BJ549" s="34"/>
      <c r="BK549" s="34"/>
      <c r="BL549" s="34"/>
      <c r="BM549" s="34"/>
      <c r="BN549" s="34"/>
      <c r="BO549" s="34"/>
      <c r="BP549" s="34"/>
      <c r="BQ549" s="34"/>
      <c r="BR549" s="34"/>
      <c r="BS549" s="34"/>
      <c r="BT549" s="34"/>
      <c r="BU549" s="34"/>
      <c r="BV549" s="34"/>
      <c r="BW549" s="34"/>
      <c r="BX549" s="34"/>
      <c r="BY549" s="34"/>
    </row>
    <row r="550" spans="1:77" x14ac:dyDescent="0.3">
      <c r="A550" s="39"/>
      <c r="B550" s="42"/>
      <c r="C550" s="42"/>
      <c r="D550" s="75"/>
      <c r="E550" s="75"/>
      <c r="F550" s="76"/>
      <c r="G550" s="47"/>
      <c r="H550" s="47"/>
      <c r="I550" s="75"/>
      <c r="J550" s="76"/>
      <c r="K550" s="76"/>
      <c r="L550" s="75"/>
      <c r="M550" s="49"/>
      <c r="N550" s="76"/>
      <c r="O550" s="49"/>
      <c r="P550" s="77"/>
      <c r="Q550" s="53"/>
      <c r="R550" s="54"/>
      <c r="S550" s="55"/>
      <c r="T550" s="56"/>
      <c r="U550" s="56"/>
      <c r="V550" s="42"/>
      <c r="W550" s="57"/>
      <c r="X550" s="58"/>
      <c r="Y550" s="75"/>
      <c r="Z550" s="59"/>
      <c r="AA550" s="61"/>
      <c r="AB550" s="61"/>
      <c r="AC550" s="61"/>
      <c r="AD550" s="62"/>
      <c r="AE550" s="62"/>
      <c r="AF550" s="34"/>
      <c r="AG550" s="34"/>
      <c r="AH550" s="34"/>
      <c r="AI550" s="34"/>
      <c r="AJ550" s="34"/>
      <c r="AK550" s="34"/>
      <c r="AL550" s="34"/>
      <c r="AM550" s="34"/>
      <c r="AN550" s="34"/>
      <c r="AO550" s="34"/>
      <c r="AP550" s="34"/>
      <c r="AQ550" s="34"/>
      <c r="AR550" s="34"/>
      <c r="AS550" s="34"/>
      <c r="AT550" s="34"/>
      <c r="AU550" s="34"/>
      <c r="AV550" s="34"/>
      <c r="AW550" s="34"/>
      <c r="AX550" s="34"/>
      <c r="AY550" s="34"/>
      <c r="AZ550" s="34"/>
      <c r="BA550" s="34"/>
      <c r="BB550" s="34"/>
      <c r="BD550" s="34"/>
      <c r="BE550" s="34"/>
      <c r="BF550" s="34"/>
      <c r="BG550" s="34"/>
      <c r="BH550" s="34"/>
      <c r="BI550" s="34"/>
      <c r="BJ550" s="34"/>
      <c r="BK550" s="34"/>
      <c r="BL550" s="34"/>
      <c r="BM550" s="34"/>
      <c r="BN550" s="34"/>
      <c r="BO550" s="34"/>
      <c r="BP550" s="34"/>
      <c r="BQ550" s="34"/>
      <c r="BR550" s="34"/>
      <c r="BS550" s="34"/>
      <c r="BT550" s="34"/>
      <c r="BU550" s="34"/>
      <c r="BV550" s="34"/>
      <c r="BW550" s="34"/>
      <c r="BX550" s="34"/>
      <c r="BY550" s="34"/>
    </row>
    <row r="551" spans="1:77" x14ac:dyDescent="0.3">
      <c r="A551" s="39"/>
      <c r="B551" s="42"/>
      <c r="C551" s="42"/>
      <c r="D551" s="75"/>
      <c r="E551" s="75"/>
      <c r="F551" s="76"/>
      <c r="G551" s="47"/>
      <c r="H551" s="47"/>
      <c r="I551" s="75"/>
      <c r="J551" s="76"/>
      <c r="K551" s="76"/>
      <c r="L551" s="75"/>
      <c r="M551" s="49"/>
      <c r="N551" s="76"/>
      <c r="O551" s="49"/>
      <c r="P551" s="77"/>
      <c r="Q551" s="53"/>
      <c r="R551" s="54"/>
      <c r="S551" s="55"/>
      <c r="T551" s="56"/>
      <c r="U551" s="56"/>
      <c r="V551" s="42"/>
      <c r="W551" s="57"/>
      <c r="X551" s="58"/>
      <c r="Y551" s="75"/>
      <c r="Z551" s="59"/>
      <c r="AA551" s="61"/>
      <c r="AB551" s="61"/>
      <c r="AC551" s="61"/>
      <c r="AD551" s="62"/>
      <c r="AE551" s="62"/>
      <c r="AF551" s="34"/>
      <c r="AG551" s="34"/>
      <c r="AH551" s="34"/>
      <c r="AI551" s="34"/>
      <c r="AJ551" s="34"/>
      <c r="AK551" s="34"/>
      <c r="AL551" s="34"/>
      <c r="AM551" s="34"/>
      <c r="AN551" s="34"/>
      <c r="AO551" s="34"/>
      <c r="AP551" s="34"/>
      <c r="AQ551" s="34"/>
      <c r="AR551" s="34"/>
      <c r="AS551" s="34"/>
      <c r="AT551" s="34"/>
      <c r="AU551" s="34"/>
      <c r="AV551" s="34"/>
      <c r="AW551" s="34"/>
      <c r="AX551" s="34"/>
      <c r="AY551" s="34"/>
      <c r="AZ551" s="34"/>
      <c r="BA551" s="34"/>
      <c r="BB551" s="34"/>
      <c r="BD551" s="34"/>
      <c r="BE551" s="34"/>
      <c r="BF551" s="34"/>
      <c r="BG551" s="34"/>
      <c r="BH551" s="34"/>
      <c r="BI551" s="34"/>
      <c r="BJ551" s="34"/>
      <c r="BK551" s="34"/>
      <c r="BL551" s="34"/>
      <c r="BM551" s="34"/>
      <c r="BN551" s="34"/>
      <c r="BO551" s="34"/>
      <c r="BP551" s="34"/>
      <c r="BQ551" s="34"/>
      <c r="BR551" s="34"/>
      <c r="BS551" s="34"/>
      <c r="BT551" s="34"/>
      <c r="BU551" s="34"/>
      <c r="BV551" s="34"/>
      <c r="BW551" s="34"/>
      <c r="BX551" s="34"/>
      <c r="BY551" s="34"/>
    </row>
    <row r="552" spans="1:77" x14ac:dyDescent="0.3">
      <c r="A552" s="39"/>
      <c r="B552" s="42"/>
      <c r="C552" s="42"/>
      <c r="D552" s="75"/>
      <c r="E552" s="75"/>
      <c r="F552" s="76"/>
      <c r="G552" s="47"/>
      <c r="H552" s="47"/>
      <c r="I552" s="75"/>
      <c r="J552" s="76"/>
      <c r="K552" s="76"/>
      <c r="L552" s="75"/>
      <c r="M552" s="49"/>
      <c r="N552" s="76"/>
      <c r="O552" s="49"/>
      <c r="P552" s="77"/>
      <c r="Q552" s="53"/>
      <c r="R552" s="54"/>
      <c r="S552" s="55"/>
      <c r="T552" s="56"/>
      <c r="U552" s="56"/>
      <c r="V552" s="42"/>
      <c r="W552" s="57"/>
      <c r="X552" s="58"/>
      <c r="Y552" s="75"/>
      <c r="Z552" s="59"/>
      <c r="AA552" s="61"/>
      <c r="AB552" s="61"/>
      <c r="AC552" s="61"/>
      <c r="AD552" s="62"/>
      <c r="AE552" s="62"/>
      <c r="AF552" s="34"/>
      <c r="AG552" s="34"/>
      <c r="AH552" s="34"/>
      <c r="AI552" s="34"/>
      <c r="AJ552" s="34"/>
      <c r="AK552" s="34"/>
      <c r="AL552" s="34"/>
      <c r="AM552" s="34"/>
      <c r="AN552" s="34"/>
      <c r="AO552" s="34"/>
      <c r="AP552" s="34"/>
      <c r="AQ552" s="34"/>
      <c r="AR552" s="34"/>
      <c r="AS552" s="34"/>
      <c r="AT552" s="34"/>
      <c r="AU552" s="34"/>
      <c r="AV552" s="34"/>
      <c r="AW552" s="34"/>
      <c r="AX552" s="34"/>
      <c r="AY552" s="34"/>
      <c r="AZ552" s="34"/>
      <c r="BA552" s="34"/>
      <c r="BB552" s="34"/>
      <c r="BD552" s="34"/>
      <c r="BE552" s="34"/>
      <c r="BF552" s="34"/>
      <c r="BG552" s="34"/>
      <c r="BH552" s="34"/>
      <c r="BI552" s="34"/>
      <c r="BJ552" s="34"/>
      <c r="BK552" s="34"/>
      <c r="BL552" s="34"/>
      <c r="BM552" s="34"/>
      <c r="BN552" s="34"/>
      <c r="BO552" s="34"/>
      <c r="BP552" s="34"/>
      <c r="BQ552" s="34"/>
      <c r="BR552" s="34"/>
      <c r="BS552" s="34"/>
      <c r="BT552" s="34"/>
      <c r="BU552" s="34"/>
      <c r="BV552" s="34"/>
      <c r="BW552" s="34"/>
      <c r="BX552" s="34"/>
      <c r="BY552" s="34"/>
    </row>
    <row r="553" spans="1:77" x14ac:dyDescent="0.3">
      <c r="A553" s="39"/>
      <c r="B553" s="42"/>
      <c r="C553" s="42"/>
      <c r="D553" s="75"/>
      <c r="E553" s="75"/>
      <c r="F553" s="76"/>
      <c r="G553" s="47"/>
      <c r="H553" s="47"/>
      <c r="I553" s="75"/>
      <c r="J553" s="76"/>
      <c r="K553" s="76"/>
      <c r="L553" s="75"/>
      <c r="M553" s="49"/>
      <c r="N553" s="76"/>
      <c r="O553" s="49"/>
      <c r="P553" s="77"/>
      <c r="Q553" s="53"/>
      <c r="R553" s="54"/>
      <c r="S553" s="55"/>
      <c r="T553" s="56"/>
      <c r="U553" s="56"/>
      <c r="V553" s="42"/>
      <c r="W553" s="57"/>
      <c r="X553" s="58"/>
      <c r="Y553" s="75"/>
      <c r="Z553" s="59"/>
      <c r="AA553" s="61"/>
      <c r="AB553" s="61"/>
      <c r="AC553" s="61"/>
      <c r="AD553" s="62"/>
      <c r="AE553" s="62"/>
      <c r="AF553" s="34"/>
      <c r="AG553" s="34"/>
      <c r="AH553" s="34"/>
      <c r="AI553" s="34"/>
      <c r="AJ553" s="34"/>
      <c r="AK553" s="34"/>
      <c r="AL553" s="34"/>
      <c r="AM553" s="34"/>
      <c r="AN553" s="34"/>
      <c r="AO553" s="34"/>
      <c r="AP553" s="34"/>
      <c r="AQ553" s="34"/>
      <c r="AR553" s="34"/>
      <c r="AS553" s="34"/>
      <c r="AT553" s="34"/>
      <c r="AU553" s="34"/>
      <c r="AV553" s="34"/>
      <c r="AW553" s="34"/>
      <c r="AX553" s="34"/>
      <c r="AY553" s="34"/>
      <c r="AZ553" s="34"/>
      <c r="BA553" s="34"/>
      <c r="BB553" s="34"/>
      <c r="BD553" s="34"/>
      <c r="BE553" s="34"/>
      <c r="BF553" s="34"/>
      <c r="BG553" s="34"/>
      <c r="BH553" s="34"/>
      <c r="BI553" s="34"/>
      <c r="BJ553" s="34"/>
      <c r="BK553" s="34"/>
      <c r="BL553" s="34"/>
      <c r="BM553" s="34"/>
      <c r="BN553" s="34"/>
      <c r="BO553" s="34"/>
      <c r="BP553" s="34"/>
      <c r="BQ553" s="34"/>
      <c r="BR553" s="34"/>
      <c r="BS553" s="34"/>
      <c r="BT553" s="34"/>
      <c r="BU553" s="34"/>
      <c r="BV553" s="34"/>
      <c r="BW553" s="34"/>
      <c r="BX553" s="34"/>
      <c r="BY553" s="34"/>
    </row>
    <row r="554" spans="1:77" x14ac:dyDescent="0.3">
      <c r="A554" s="39"/>
      <c r="B554" s="42"/>
      <c r="C554" s="42"/>
      <c r="D554" s="75"/>
      <c r="E554" s="75"/>
      <c r="F554" s="76"/>
      <c r="G554" s="47"/>
      <c r="H554" s="47"/>
      <c r="I554" s="75"/>
      <c r="J554" s="76"/>
      <c r="K554" s="76"/>
      <c r="L554" s="75"/>
      <c r="M554" s="49"/>
      <c r="N554" s="76"/>
      <c r="O554" s="49"/>
      <c r="P554" s="77"/>
      <c r="Q554" s="53"/>
      <c r="R554" s="54"/>
      <c r="S554" s="55"/>
      <c r="T554" s="56"/>
      <c r="U554" s="56"/>
      <c r="V554" s="42"/>
      <c r="W554" s="57"/>
      <c r="X554" s="58"/>
      <c r="Y554" s="75"/>
      <c r="Z554" s="59"/>
      <c r="AA554" s="61"/>
      <c r="AB554" s="61"/>
      <c r="AC554" s="61"/>
      <c r="AD554" s="62"/>
      <c r="AE554" s="62"/>
      <c r="AF554" s="34"/>
      <c r="AG554" s="34"/>
      <c r="AH554" s="34"/>
      <c r="AI554" s="34"/>
      <c r="AJ554" s="34"/>
      <c r="AK554" s="34"/>
      <c r="AL554" s="34"/>
      <c r="AM554" s="34"/>
      <c r="AN554" s="34"/>
      <c r="AO554" s="34"/>
      <c r="AP554" s="34"/>
      <c r="AQ554" s="34"/>
      <c r="AR554" s="34"/>
      <c r="AS554" s="34"/>
      <c r="AT554" s="34"/>
      <c r="AU554" s="34"/>
      <c r="AV554" s="34"/>
      <c r="AW554" s="34"/>
      <c r="AX554" s="34"/>
      <c r="AY554" s="34"/>
      <c r="AZ554" s="34"/>
      <c r="BA554" s="34"/>
      <c r="BB554" s="34"/>
      <c r="BD554" s="34"/>
      <c r="BE554" s="34"/>
      <c r="BF554" s="34"/>
      <c r="BG554" s="34"/>
      <c r="BH554" s="34"/>
      <c r="BI554" s="34"/>
      <c r="BJ554" s="34"/>
      <c r="BK554" s="34"/>
      <c r="BL554" s="34"/>
      <c r="BM554" s="34"/>
      <c r="BN554" s="34"/>
      <c r="BO554" s="34"/>
      <c r="BP554" s="34"/>
      <c r="BQ554" s="34"/>
      <c r="BR554" s="34"/>
      <c r="BS554" s="34"/>
      <c r="BT554" s="34"/>
      <c r="BU554" s="34"/>
      <c r="BV554" s="34"/>
      <c r="BW554" s="34"/>
      <c r="BX554" s="34"/>
      <c r="BY554" s="34"/>
    </row>
    <row r="555" spans="1:77" x14ac:dyDescent="0.3">
      <c r="A555" s="39"/>
      <c r="B555" s="42"/>
      <c r="C555" s="42"/>
      <c r="D555" s="75"/>
      <c r="E555" s="75"/>
      <c r="F555" s="76"/>
      <c r="G555" s="47"/>
      <c r="H555" s="47"/>
      <c r="I555" s="75"/>
      <c r="J555" s="76"/>
      <c r="K555" s="76"/>
      <c r="L555" s="75"/>
      <c r="M555" s="49"/>
      <c r="N555" s="76"/>
      <c r="O555" s="49"/>
      <c r="P555" s="77"/>
      <c r="Q555" s="53"/>
      <c r="R555" s="54"/>
      <c r="S555" s="55"/>
      <c r="T555" s="56"/>
      <c r="U555" s="56"/>
      <c r="V555" s="42"/>
      <c r="W555" s="57"/>
      <c r="X555" s="58"/>
      <c r="Y555" s="75"/>
      <c r="Z555" s="59"/>
      <c r="AA555" s="61"/>
      <c r="AB555" s="61"/>
      <c r="AC555" s="61"/>
      <c r="AD555" s="62"/>
      <c r="AE555" s="62"/>
      <c r="AF555" s="34"/>
      <c r="AG555" s="34"/>
      <c r="AH555" s="34"/>
      <c r="AI555" s="34"/>
      <c r="AJ555" s="34"/>
      <c r="AK555" s="34"/>
      <c r="AL555" s="34"/>
      <c r="AM555" s="34"/>
      <c r="AN555" s="34"/>
      <c r="AO555" s="34"/>
      <c r="AP555" s="34"/>
      <c r="AQ555" s="34"/>
      <c r="AR555" s="34"/>
      <c r="AS555" s="34"/>
      <c r="AT555" s="34"/>
      <c r="AU555" s="34"/>
      <c r="AV555" s="34"/>
      <c r="AW555" s="34"/>
      <c r="AX555" s="34"/>
      <c r="AY555" s="34"/>
      <c r="AZ555" s="34"/>
      <c r="BA555" s="34"/>
      <c r="BB555" s="34"/>
      <c r="BD555" s="34"/>
      <c r="BE555" s="34"/>
      <c r="BF555" s="34"/>
      <c r="BG555" s="34"/>
      <c r="BH555" s="34"/>
      <c r="BI555" s="34"/>
      <c r="BJ555" s="34"/>
      <c r="BK555" s="34"/>
      <c r="BL555" s="34"/>
      <c r="BM555" s="34"/>
      <c r="BN555" s="34"/>
      <c r="BO555" s="34"/>
      <c r="BP555" s="34"/>
      <c r="BQ555" s="34"/>
      <c r="BR555" s="34"/>
      <c r="BS555" s="34"/>
      <c r="BT555" s="34"/>
      <c r="BU555" s="34"/>
      <c r="BV555" s="34"/>
      <c r="BW555" s="34"/>
      <c r="BX555" s="34"/>
      <c r="BY555" s="34"/>
    </row>
    <row r="556" spans="1:77" x14ac:dyDescent="0.3">
      <c r="A556" s="39"/>
      <c r="B556" s="42"/>
      <c r="C556" s="42"/>
      <c r="D556" s="75"/>
      <c r="E556" s="75"/>
      <c r="F556" s="76"/>
      <c r="G556" s="47"/>
      <c r="H556" s="47"/>
      <c r="I556" s="75"/>
      <c r="J556" s="76"/>
      <c r="K556" s="76"/>
      <c r="L556" s="75"/>
      <c r="M556" s="49"/>
      <c r="N556" s="76"/>
      <c r="O556" s="49"/>
      <c r="P556" s="77"/>
      <c r="Q556" s="53"/>
      <c r="R556" s="54"/>
      <c r="S556" s="55"/>
      <c r="T556" s="56"/>
      <c r="U556" s="56"/>
      <c r="V556" s="42"/>
      <c r="W556" s="57"/>
      <c r="X556" s="58"/>
      <c r="Y556" s="75"/>
      <c r="Z556" s="59"/>
      <c r="AA556" s="61"/>
      <c r="AB556" s="61"/>
      <c r="AC556" s="61"/>
      <c r="AD556" s="62"/>
      <c r="AE556" s="62"/>
      <c r="AF556" s="34"/>
      <c r="AG556" s="34"/>
      <c r="AH556" s="34"/>
      <c r="AI556" s="34"/>
      <c r="AJ556" s="34"/>
      <c r="AK556" s="34"/>
      <c r="AL556" s="34"/>
      <c r="AM556" s="34"/>
      <c r="AN556" s="34"/>
      <c r="AO556" s="34"/>
      <c r="AP556" s="34"/>
      <c r="AQ556" s="34"/>
      <c r="AR556" s="34"/>
      <c r="AS556" s="34"/>
      <c r="AT556" s="34"/>
      <c r="AU556" s="34"/>
      <c r="AV556" s="34"/>
      <c r="AW556" s="34"/>
      <c r="AX556" s="34"/>
      <c r="AY556" s="34"/>
      <c r="AZ556" s="34"/>
      <c r="BA556" s="34"/>
      <c r="BB556" s="34"/>
      <c r="BD556" s="34"/>
      <c r="BE556" s="34"/>
      <c r="BF556" s="34"/>
      <c r="BG556" s="34"/>
      <c r="BH556" s="34"/>
      <c r="BI556" s="34"/>
      <c r="BJ556" s="34"/>
      <c r="BK556" s="34"/>
      <c r="BL556" s="34"/>
      <c r="BM556" s="34"/>
      <c r="BN556" s="34"/>
      <c r="BO556" s="34"/>
      <c r="BP556" s="34"/>
      <c r="BQ556" s="34"/>
      <c r="BR556" s="34"/>
      <c r="BS556" s="34"/>
      <c r="BT556" s="34"/>
      <c r="BU556" s="34"/>
      <c r="BV556" s="34"/>
      <c r="BW556" s="34"/>
      <c r="BX556" s="34"/>
      <c r="BY556" s="34"/>
    </row>
    <row r="557" spans="1:77" x14ac:dyDescent="0.3">
      <c r="A557" s="39"/>
      <c r="B557" s="42"/>
      <c r="C557" s="42"/>
      <c r="D557" s="75"/>
      <c r="E557" s="75"/>
      <c r="F557" s="76"/>
      <c r="G557" s="47"/>
      <c r="H557" s="47"/>
      <c r="I557" s="75"/>
      <c r="J557" s="76"/>
      <c r="K557" s="76"/>
      <c r="L557" s="75"/>
      <c r="M557" s="49"/>
      <c r="N557" s="76"/>
      <c r="O557" s="49"/>
      <c r="P557" s="77"/>
      <c r="Q557" s="53"/>
      <c r="R557" s="54"/>
      <c r="S557" s="55"/>
      <c r="T557" s="56"/>
      <c r="U557" s="56"/>
      <c r="V557" s="42"/>
      <c r="W557" s="57"/>
      <c r="X557" s="58"/>
      <c r="Y557" s="75"/>
      <c r="Z557" s="59"/>
      <c r="AA557" s="61"/>
      <c r="AB557" s="61"/>
      <c r="AC557" s="61"/>
      <c r="AD557" s="62"/>
      <c r="AE557" s="62"/>
      <c r="AF557" s="34"/>
      <c r="AG557" s="34"/>
      <c r="AH557" s="34"/>
      <c r="AI557" s="34"/>
      <c r="AJ557" s="34"/>
      <c r="AK557" s="34"/>
      <c r="AL557" s="34"/>
      <c r="AM557" s="34"/>
      <c r="AN557" s="34"/>
      <c r="AO557" s="34"/>
      <c r="AP557" s="34"/>
      <c r="AQ557" s="34"/>
      <c r="AR557" s="34"/>
      <c r="AS557" s="34"/>
      <c r="AT557" s="34"/>
      <c r="AU557" s="34"/>
      <c r="AV557" s="34"/>
      <c r="AW557" s="34"/>
      <c r="AX557" s="34"/>
      <c r="AY557" s="34"/>
      <c r="AZ557" s="34"/>
      <c r="BA557" s="34"/>
      <c r="BB557" s="34"/>
      <c r="BD557" s="34"/>
      <c r="BE557" s="34"/>
      <c r="BF557" s="34"/>
      <c r="BG557" s="34"/>
      <c r="BH557" s="34"/>
      <c r="BI557" s="34"/>
      <c r="BJ557" s="34"/>
      <c r="BK557" s="34"/>
      <c r="BL557" s="34"/>
      <c r="BM557" s="34"/>
      <c r="BN557" s="34"/>
      <c r="BO557" s="34"/>
      <c r="BP557" s="34"/>
      <c r="BQ557" s="34"/>
      <c r="BR557" s="34"/>
      <c r="BS557" s="34"/>
      <c r="BT557" s="34"/>
      <c r="BU557" s="34"/>
      <c r="BV557" s="34"/>
      <c r="BW557" s="34"/>
      <c r="BX557" s="34"/>
      <c r="BY557" s="34"/>
    </row>
    <row r="558" spans="1:77" x14ac:dyDescent="0.3">
      <c r="A558" s="39"/>
      <c r="B558" s="42"/>
      <c r="C558" s="42"/>
      <c r="D558" s="75"/>
      <c r="E558" s="75"/>
      <c r="F558" s="76"/>
      <c r="G558" s="47"/>
      <c r="H558" s="47"/>
      <c r="I558" s="75"/>
      <c r="J558" s="76"/>
      <c r="K558" s="76"/>
      <c r="L558" s="75"/>
      <c r="M558" s="49"/>
      <c r="N558" s="76"/>
      <c r="O558" s="49"/>
      <c r="P558" s="77"/>
      <c r="Q558" s="53"/>
      <c r="R558" s="54"/>
      <c r="S558" s="55"/>
      <c r="T558" s="56"/>
      <c r="U558" s="56"/>
      <c r="V558" s="42"/>
      <c r="W558" s="57"/>
      <c r="X558" s="58"/>
      <c r="Y558" s="75"/>
      <c r="Z558" s="59"/>
      <c r="AA558" s="61"/>
      <c r="AB558" s="61"/>
      <c r="AC558" s="61"/>
      <c r="AD558" s="62"/>
      <c r="AE558" s="62"/>
      <c r="AF558" s="34"/>
      <c r="AG558" s="34"/>
      <c r="AH558" s="34"/>
      <c r="AI558" s="34"/>
      <c r="AJ558" s="34"/>
      <c r="AK558" s="34"/>
      <c r="AL558" s="34"/>
      <c r="AM558" s="34"/>
      <c r="AN558" s="34"/>
      <c r="AO558" s="34"/>
      <c r="AP558" s="34"/>
      <c r="AQ558" s="34"/>
      <c r="AR558" s="34"/>
      <c r="AS558" s="34"/>
      <c r="AT558" s="34"/>
      <c r="AU558" s="34"/>
      <c r="AV558" s="34"/>
      <c r="AW558" s="34"/>
      <c r="AX558" s="34"/>
      <c r="AY558" s="34"/>
      <c r="AZ558" s="34"/>
      <c r="BA558" s="34"/>
      <c r="BB558" s="34"/>
      <c r="BD558" s="34"/>
      <c r="BE558" s="34"/>
      <c r="BF558" s="34"/>
      <c r="BG558" s="34"/>
      <c r="BH558" s="34"/>
      <c r="BI558" s="34"/>
      <c r="BJ558" s="34"/>
      <c r="BK558" s="34"/>
      <c r="BL558" s="34"/>
      <c r="BM558" s="34"/>
      <c r="BN558" s="34"/>
      <c r="BO558" s="34"/>
      <c r="BP558" s="34"/>
      <c r="BQ558" s="34"/>
      <c r="BR558" s="34"/>
      <c r="BS558" s="34"/>
      <c r="BT558" s="34"/>
      <c r="BU558" s="34"/>
      <c r="BV558" s="34"/>
      <c r="BW558" s="34"/>
      <c r="BX558" s="34"/>
      <c r="BY558" s="34"/>
    </row>
    <row r="559" spans="1:77" x14ac:dyDescent="0.3">
      <c r="A559" s="39"/>
      <c r="B559" s="42"/>
      <c r="C559" s="42"/>
      <c r="D559" s="75"/>
      <c r="E559" s="75"/>
      <c r="F559" s="76"/>
      <c r="G559" s="47"/>
      <c r="H559" s="47"/>
      <c r="I559" s="75"/>
      <c r="J559" s="76"/>
      <c r="K559" s="76"/>
      <c r="L559" s="75"/>
      <c r="M559" s="49"/>
      <c r="N559" s="76"/>
      <c r="O559" s="49"/>
      <c r="P559" s="77"/>
      <c r="Q559" s="53"/>
      <c r="R559" s="54"/>
      <c r="S559" s="55"/>
      <c r="T559" s="56"/>
      <c r="U559" s="56"/>
      <c r="V559" s="42"/>
      <c r="W559" s="57"/>
      <c r="X559" s="58"/>
      <c r="Y559" s="75"/>
      <c r="Z559" s="59"/>
      <c r="AA559" s="61"/>
      <c r="AB559" s="61"/>
      <c r="AC559" s="61"/>
      <c r="AD559" s="62"/>
      <c r="AE559" s="62"/>
      <c r="AF559" s="34"/>
      <c r="AG559" s="34"/>
      <c r="AH559" s="34"/>
      <c r="AI559" s="34"/>
      <c r="AJ559" s="34"/>
      <c r="AK559" s="34"/>
      <c r="AL559" s="34"/>
      <c r="AM559" s="34"/>
      <c r="AN559" s="34"/>
      <c r="AO559" s="34"/>
      <c r="AP559" s="34"/>
      <c r="AQ559" s="34"/>
      <c r="AR559" s="34"/>
      <c r="AS559" s="34"/>
      <c r="AT559" s="34"/>
      <c r="AU559" s="34"/>
      <c r="AV559" s="34"/>
      <c r="AW559" s="34"/>
      <c r="AX559" s="34"/>
      <c r="AY559" s="34"/>
      <c r="AZ559" s="34"/>
      <c r="BA559" s="34"/>
      <c r="BB559" s="34"/>
      <c r="BD559" s="34"/>
      <c r="BE559" s="34"/>
      <c r="BF559" s="34"/>
      <c r="BG559" s="34"/>
      <c r="BH559" s="34"/>
      <c r="BI559" s="34"/>
      <c r="BJ559" s="34"/>
      <c r="BK559" s="34"/>
      <c r="BL559" s="34"/>
      <c r="BM559" s="34"/>
      <c r="BN559" s="34"/>
      <c r="BO559" s="34"/>
      <c r="BP559" s="34"/>
      <c r="BQ559" s="34"/>
      <c r="BR559" s="34"/>
      <c r="BS559" s="34"/>
      <c r="BT559" s="34"/>
      <c r="BU559" s="34"/>
      <c r="BV559" s="34"/>
      <c r="BW559" s="34"/>
      <c r="BX559" s="34"/>
      <c r="BY559" s="34"/>
    </row>
    <row r="560" spans="1:77" x14ac:dyDescent="0.3">
      <c r="A560" s="39"/>
      <c r="B560" s="42"/>
      <c r="C560" s="42"/>
      <c r="D560" s="75"/>
      <c r="E560" s="75"/>
      <c r="F560" s="76"/>
      <c r="G560" s="47"/>
      <c r="H560" s="47"/>
      <c r="I560" s="75"/>
      <c r="J560" s="76"/>
      <c r="K560" s="76"/>
      <c r="L560" s="75"/>
      <c r="M560" s="49"/>
      <c r="N560" s="76"/>
      <c r="O560" s="49"/>
      <c r="P560" s="77"/>
      <c r="Q560" s="53"/>
      <c r="R560" s="54"/>
      <c r="S560" s="55"/>
      <c r="T560" s="56"/>
      <c r="U560" s="56"/>
      <c r="V560" s="42"/>
      <c r="W560" s="57"/>
      <c r="X560" s="58"/>
      <c r="Y560" s="75"/>
      <c r="Z560" s="59"/>
      <c r="AA560" s="61"/>
      <c r="AB560" s="61"/>
      <c r="AC560" s="61"/>
      <c r="AD560" s="62"/>
      <c r="AE560" s="62"/>
      <c r="AF560" s="34"/>
      <c r="AG560" s="34"/>
      <c r="AH560" s="34"/>
      <c r="AI560" s="34"/>
      <c r="AJ560" s="34"/>
      <c r="AK560" s="34"/>
      <c r="AL560" s="34"/>
      <c r="AM560" s="34"/>
      <c r="AN560" s="34"/>
      <c r="AO560" s="34"/>
      <c r="AP560" s="34"/>
      <c r="AQ560" s="34"/>
      <c r="AR560" s="34"/>
      <c r="AS560" s="34"/>
      <c r="AT560" s="34"/>
      <c r="AU560" s="34"/>
      <c r="AV560" s="34"/>
      <c r="AW560" s="34"/>
      <c r="AX560" s="34"/>
      <c r="AY560" s="34"/>
      <c r="AZ560" s="34"/>
      <c r="BA560" s="34"/>
      <c r="BB560" s="34"/>
      <c r="BD560" s="34"/>
      <c r="BE560" s="34"/>
      <c r="BF560" s="34"/>
      <c r="BG560" s="34"/>
      <c r="BH560" s="34"/>
      <c r="BI560" s="34"/>
      <c r="BJ560" s="34"/>
      <c r="BK560" s="34"/>
      <c r="BL560" s="34"/>
      <c r="BM560" s="34"/>
      <c r="BN560" s="34"/>
      <c r="BO560" s="34"/>
      <c r="BP560" s="34"/>
      <c r="BQ560" s="34"/>
      <c r="BR560" s="34"/>
      <c r="BS560" s="34"/>
      <c r="BT560" s="34"/>
      <c r="BU560" s="34"/>
      <c r="BV560" s="34"/>
      <c r="BW560" s="34"/>
      <c r="BX560" s="34"/>
      <c r="BY560" s="34"/>
    </row>
    <row r="561" spans="1:77" x14ac:dyDescent="0.3">
      <c r="A561" s="39"/>
      <c r="B561" s="42"/>
      <c r="C561" s="42"/>
      <c r="D561" s="75"/>
      <c r="E561" s="75"/>
      <c r="F561" s="76"/>
      <c r="G561" s="47"/>
      <c r="H561" s="47"/>
      <c r="I561" s="75"/>
      <c r="J561" s="76"/>
      <c r="K561" s="76"/>
      <c r="L561" s="75"/>
      <c r="M561" s="49"/>
      <c r="N561" s="76"/>
      <c r="O561" s="49"/>
      <c r="P561" s="77"/>
      <c r="Q561" s="53"/>
      <c r="R561" s="54"/>
      <c r="S561" s="55"/>
      <c r="T561" s="56"/>
      <c r="U561" s="56"/>
      <c r="V561" s="42"/>
      <c r="W561" s="57"/>
      <c r="X561" s="58"/>
      <c r="Y561" s="75"/>
      <c r="Z561" s="59"/>
      <c r="AA561" s="61"/>
      <c r="AB561" s="61"/>
      <c r="AC561" s="61"/>
      <c r="AD561" s="62"/>
      <c r="AE561" s="62"/>
      <c r="AF561" s="34"/>
      <c r="AG561" s="34"/>
      <c r="AH561" s="34"/>
      <c r="AI561" s="34"/>
      <c r="AJ561" s="34"/>
      <c r="AK561" s="34"/>
      <c r="AL561" s="34"/>
      <c r="AM561" s="34"/>
      <c r="AN561" s="34"/>
      <c r="AO561" s="34"/>
      <c r="AP561" s="34"/>
      <c r="AQ561" s="34"/>
      <c r="AR561" s="34"/>
      <c r="AS561" s="34"/>
      <c r="AT561" s="34"/>
      <c r="AU561" s="34"/>
      <c r="AV561" s="34"/>
      <c r="AW561" s="34"/>
      <c r="AX561" s="34"/>
      <c r="AY561" s="34"/>
      <c r="AZ561" s="34"/>
      <c r="BA561" s="34"/>
      <c r="BB561" s="34"/>
      <c r="BD561" s="34"/>
      <c r="BE561" s="34"/>
      <c r="BF561" s="34"/>
      <c r="BG561" s="34"/>
      <c r="BH561" s="34"/>
      <c r="BI561" s="34"/>
      <c r="BJ561" s="34"/>
      <c r="BK561" s="34"/>
      <c r="BL561" s="34"/>
      <c r="BM561" s="34"/>
      <c r="BN561" s="34"/>
      <c r="BO561" s="34"/>
      <c r="BP561" s="34"/>
      <c r="BQ561" s="34"/>
      <c r="BR561" s="34"/>
      <c r="BS561" s="34"/>
      <c r="BT561" s="34"/>
      <c r="BU561" s="34"/>
      <c r="BV561" s="34"/>
      <c r="BW561" s="34"/>
      <c r="BX561" s="34"/>
      <c r="BY561" s="34"/>
    </row>
    <row r="562" spans="1:77" x14ac:dyDescent="0.3">
      <c r="A562" s="39"/>
      <c r="B562" s="42"/>
      <c r="C562" s="42"/>
      <c r="D562" s="75"/>
      <c r="E562" s="75"/>
      <c r="F562" s="76"/>
      <c r="G562" s="47"/>
      <c r="H562" s="47"/>
      <c r="I562" s="75"/>
      <c r="J562" s="76"/>
      <c r="K562" s="76"/>
      <c r="L562" s="75"/>
      <c r="M562" s="49"/>
      <c r="N562" s="76"/>
      <c r="O562" s="49"/>
      <c r="P562" s="77"/>
      <c r="Q562" s="53"/>
      <c r="R562" s="54"/>
      <c r="S562" s="55"/>
      <c r="T562" s="56"/>
      <c r="U562" s="56"/>
      <c r="V562" s="42"/>
      <c r="W562" s="57"/>
      <c r="X562" s="58"/>
      <c r="Y562" s="75"/>
      <c r="Z562" s="59"/>
      <c r="AA562" s="61"/>
      <c r="AB562" s="61"/>
      <c r="AC562" s="61"/>
      <c r="AD562" s="62"/>
      <c r="AE562" s="62"/>
      <c r="AF562" s="34"/>
      <c r="AG562" s="34"/>
      <c r="AH562" s="34"/>
      <c r="AI562" s="34"/>
      <c r="AJ562" s="34"/>
      <c r="AK562" s="34"/>
      <c r="AL562" s="34"/>
      <c r="AM562" s="34"/>
      <c r="AN562" s="34"/>
      <c r="AO562" s="34"/>
      <c r="AP562" s="34"/>
      <c r="AQ562" s="34"/>
      <c r="AR562" s="34"/>
      <c r="AS562" s="34"/>
      <c r="AT562" s="34"/>
      <c r="AU562" s="34"/>
      <c r="AV562" s="34"/>
      <c r="AW562" s="34"/>
      <c r="AX562" s="34"/>
      <c r="AY562" s="34"/>
      <c r="AZ562" s="34"/>
      <c r="BA562" s="34"/>
      <c r="BB562" s="34"/>
      <c r="BD562" s="34"/>
      <c r="BE562" s="34"/>
      <c r="BF562" s="34"/>
      <c r="BG562" s="34"/>
      <c r="BH562" s="34"/>
      <c r="BI562" s="34"/>
      <c r="BJ562" s="34"/>
      <c r="BK562" s="34"/>
      <c r="BL562" s="34"/>
      <c r="BM562" s="34"/>
      <c r="BN562" s="34"/>
      <c r="BO562" s="34"/>
      <c r="BP562" s="34"/>
      <c r="BQ562" s="34"/>
      <c r="BR562" s="34"/>
      <c r="BS562" s="34"/>
      <c r="BT562" s="34"/>
      <c r="BU562" s="34"/>
      <c r="BV562" s="34"/>
      <c r="BW562" s="34"/>
      <c r="BX562" s="34"/>
      <c r="BY562" s="34"/>
    </row>
    <row r="563" spans="1:77" x14ac:dyDescent="0.3">
      <c r="A563" s="39"/>
      <c r="B563" s="42"/>
      <c r="C563" s="42"/>
      <c r="D563" s="75"/>
      <c r="E563" s="75"/>
      <c r="F563" s="76"/>
      <c r="G563" s="47"/>
      <c r="H563" s="47"/>
      <c r="I563" s="75"/>
      <c r="J563" s="76"/>
      <c r="K563" s="76"/>
      <c r="L563" s="75"/>
      <c r="M563" s="49"/>
      <c r="N563" s="76"/>
      <c r="O563" s="49"/>
      <c r="P563" s="77"/>
      <c r="Q563" s="53"/>
      <c r="R563" s="54"/>
      <c r="S563" s="55"/>
      <c r="T563" s="56"/>
      <c r="U563" s="56"/>
      <c r="V563" s="42"/>
      <c r="W563" s="57"/>
      <c r="X563" s="58"/>
      <c r="Y563" s="75"/>
      <c r="Z563" s="59"/>
      <c r="AA563" s="61"/>
      <c r="AB563" s="61"/>
      <c r="AC563" s="61"/>
      <c r="AD563" s="62"/>
      <c r="AE563" s="62"/>
      <c r="AF563" s="34"/>
      <c r="AG563" s="34"/>
      <c r="AH563" s="34"/>
      <c r="AI563" s="34"/>
      <c r="AJ563" s="34"/>
      <c r="AK563" s="34"/>
      <c r="AL563" s="34"/>
      <c r="AM563" s="34"/>
      <c r="AN563" s="34"/>
      <c r="AO563" s="34"/>
      <c r="AP563" s="34"/>
      <c r="AQ563" s="34"/>
      <c r="AR563" s="34"/>
      <c r="AS563" s="34"/>
      <c r="AT563" s="34"/>
      <c r="AU563" s="34"/>
      <c r="AV563" s="34"/>
      <c r="AW563" s="34"/>
      <c r="AX563" s="34"/>
      <c r="AY563" s="34"/>
      <c r="AZ563" s="34"/>
      <c r="BA563" s="34"/>
      <c r="BB563" s="34"/>
      <c r="BD563" s="34"/>
      <c r="BE563" s="34"/>
      <c r="BF563" s="34"/>
      <c r="BG563" s="34"/>
      <c r="BH563" s="34"/>
      <c r="BI563" s="34"/>
      <c r="BJ563" s="34"/>
      <c r="BK563" s="34"/>
      <c r="BL563" s="34"/>
      <c r="BM563" s="34"/>
      <c r="BN563" s="34"/>
      <c r="BO563" s="34"/>
      <c r="BP563" s="34"/>
      <c r="BQ563" s="34"/>
      <c r="BR563" s="34"/>
      <c r="BS563" s="34"/>
      <c r="BT563" s="34"/>
      <c r="BU563" s="34"/>
      <c r="BV563" s="34"/>
      <c r="BW563" s="34"/>
      <c r="BX563" s="34"/>
      <c r="BY563" s="34"/>
    </row>
    <row r="564" spans="1:77" x14ac:dyDescent="0.3">
      <c r="A564" s="39"/>
      <c r="B564" s="42"/>
      <c r="C564" s="42"/>
      <c r="D564" s="75"/>
      <c r="E564" s="75"/>
      <c r="F564" s="76"/>
      <c r="G564" s="47"/>
      <c r="H564" s="47"/>
      <c r="I564" s="75"/>
      <c r="J564" s="76"/>
      <c r="K564" s="76"/>
      <c r="L564" s="75"/>
      <c r="M564" s="49"/>
      <c r="N564" s="76"/>
      <c r="O564" s="49"/>
      <c r="P564" s="77"/>
      <c r="Q564" s="53"/>
      <c r="R564" s="54"/>
      <c r="S564" s="55"/>
      <c r="T564" s="56"/>
      <c r="U564" s="56"/>
      <c r="V564" s="42"/>
      <c r="W564" s="57"/>
      <c r="X564" s="58"/>
      <c r="Y564" s="75"/>
      <c r="Z564" s="59"/>
      <c r="AA564" s="61"/>
      <c r="AB564" s="61"/>
      <c r="AC564" s="61"/>
      <c r="AD564" s="62"/>
      <c r="AE564" s="62"/>
      <c r="AF564" s="34"/>
      <c r="AG564" s="34"/>
      <c r="AH564" s="34"/>
      <c r="AI564" s="34"/>
      <c r="AJ564" s="34"/>
      <c r="AK564" s="34"/>
      <c r="AL564" s="34"/>
      <c r="AM564" s="34"/>
      <c r="AN564" s="34"/>
      <c r="AO564" s="34"/>
      <c r="AP564" s="34"/>
      <c r="AQ564" s="34"/>
      <c r="AR564" s="34"/>
      <c r="AS564" s="34"/>
      <c r="AT564" s="34"/>
      <c r="AU564" s="34"/>
      <c r="AV564" s="34"/>
      <c r="AW564" s="34"/>
      <c r="AX564" s="34"/>
      <c r="AY564" s="34"/>
      <c r="AZ564" s="34"/>
      <c r="BA564" s="34"/>
      <c r="BB564" s="34"/>
      <c r="BD564" s="34"/>
      <c r="BE564" s="34"/>
      <c r="BF564" s="34"/>
      <c r="BG564" s="34"/>
      <c r="BH564" s="34"/>
      <c r="BI564" s="34"/>
      <c r="BJ564" s="34"/>
      <c r="BK564" s="34"/>
      <c r="BL564" s="34"/>
      <c r="BM564" s="34"/>
      <c r="BN564" s="34"/>
      <c r="BO564" s="34"/>
      <c r="BP564" s="34"/>
      <c r="BQ564" s="34"/>
      <c r="BR564" s="34"/>
      <c r="BS564" s="34"/>
      <c r="BT564" s="34"/>
      <c r="BU564" s="34"/>
      <c r="BV564" s="34"/>
      <c r="BW564" s="34"/>
      <c r="BX564" s="34"/>
      <c r="BY564" s="34"/>
    </row>
    <row r="565" spans="1:77" x14ac:dyDescent="0.3">
      <c r="A565" s="39"/>
      <c r="B565" s="42"/>
      <c r="C565" s="42"/>
      <c r="D565" s="75"/>
      <c r="E565" s="75"/>
      <c r="F565" s="76"/>
      <c r="G565" s="47"/>
      <c r="H565" s="47"/>
      <c r="I565" s="75"/>
      <c r="J565" s="76"/>
      <c r="K565" s="76"/>
      <c r="L565" s="75"/>
      <c r="M565" s="49"/>
      <c r="N565" s="76"/>
      <c r="O565" s="49"/>
      <c r="P565" s="77"/>
      <c r="Q565" s="53"/>
      <c r="R565" s="54"/>
      <c r="S565" s="55"/>
      <c r="T565" s="56"/>
      <c r="U565" s="56"/>
      <c r="V565" s="42"/>
      <c r="W565" s="57"/>
      <c r="X565" s="58"/>
      <c r="Y565" s="75"/>
      <c r="Z565" s="59"/>
      <c r="AA565" s="61"/>
      <c r="AB565" s="61"/>
      <c r="AC565" s="61"/>
      <c r="AD565" s="62"/>
      <c r="AE565" s="62"/>
      <c r="AF565" s="34"/>
      <c r="AG565" s="34"/>
      <c r="AH565" s="34"/>
      <c r="AI565" s="34"/>
      <c r="AJ565" s="34"/>
      <c r="AK565" s="34"/>
      <c r="AL565" s="34"/>
      <c r="AM565" s="34"/>
      <c r="AN565" s="34"/>
      <c r="AO565" s="34"/>
      <c r="AP565" s="34"/>
      <c r="AQ565" s="34"/>
      <c r="AR565" s="34"/>
      <c r="AS565" s="34"/>
      <c r="AT565" s="34"/>
      <c r="AU565" s="34"/>
      <c r="AV565" s="34"/>
      <c r="AW565" s="34"/>
      <c r="AX565" s="34"/>
      <c r="AY565" s="34"/>
      <c r="AZ565" s="34"/>
      <c r="BA565" s="34"/>
      <c r="BB565" s="34"/>
      <c r="BD565" s="34"/>
      <c r="BE565" s="34"/>
      <c r="BF565" s="34"/>
      <c r="BG565" s="34"/>
      <c r="BH565" s="34"/>
      <c r="BI565" s="34"/>
      <c r="BJ565" s="34"/>
      <c r="BK565" s="34"/>
      <c r="BL565" s="34"/>
      <c r="BM565" s="34"/>
      <c r="BN565" s="34"/>
      <c r="BO565" s="34"/>
      <c r="BP565" s="34"/>
      <c r="BQ565" s="34"/>
      <c r="BR565" s="34"/>
      <c r="BS565" s="34"/>
      <c r="BT565" s="34"/>
      <c r="BU565" s="34"/>
      <c r="BV565" s="34"/>
      <c r="BW565" s="34"/>
      <c r="BX565" s="34"/>
      <c r="BY565" s="34"/>
    </row>
    <row r="566" spans="1:77" x14ac:dyDescent="0.3">
      <c r="A566" s="39"/>
      <c r="B566" s="42"/>
      <c r="C566" s="42"/>
      <c r="D566" s="75"/>
      <c r="E566" s="75"/>
      <c r="F566" s="76"/>
      <c r="G566" s="47"/>
      <c r="H566" s="47"/>
      <c r="I566" s="75"/>
      <c r="J566" s="76"/>
      <c r="K566" s="76"/>
      <c r="L566" s="75"/>
      <c r="M566" s="49"/>
      <c r="N566" s="76"/>
      <c r="O566" s="49"/>
      <c r="P566" s="77"/>
      <c r="Q566" s="53"/>
      <c r="R566" s="54"/>
      <c r="S566" s="55"/>
      <c r="T566" s="56"/>
      <c r="U566" s="56"/>
      <c r="V566" s="42"/>
      <c r="W566" s="57"/>
      <c r="X566" s="58"/>
      <c r="Y566" s="75"/>
      <c r="Z566" s="59"/>
      <c r="AA566" s="61"/>
      <c r="AB566" s="61"/>
      <c r="AC566" s="61"/>
      <c r="AD566" s="62"/>
      <c r="AE566" s="62"/>
      <c r="AF566" s="34"/>
      <c r="AG566" s="34"/>
      <c r="AH566" s="34"/>
      <c r="AI566" s="34"/>
      <c r="AJ566" s="34"/>
      <c r="AK566" s="34"/>
      <c r="AL566" s="34"/>
      <c r="AM566" s="34"/>
      <c r="AN566" s="34"/>
      <c r="AO566" s="34"/>
      <c r="AP566" s="34"/>
      <c r="AQ566" s="34"/>
      <c r="AR566" s="34"/>
      <c r="AS566" s="34"/>
      <c r="AT566" s="34"/>
      <c r="AU566" s="34"/>
      <c r="AV566" s="34"/>
      <c r="AW566" s="34"/>
      <c r="AX566" s="34"/>
      <c r="AY566" s="34"/>
      <c r="AZ566" s="34"/>
      <c r="BA566" s="34"/>
      <c r="BB566" s="34"/>
      <c r="BD566" s="34"/>
      <c r="BE566" s="34"/>
      <c r="BF566" s="34"/>
      <c r="BG566" s="34"/>
      <c r="BH566" s="34"/>
      <c r="BI566" s="34"/>
      <c r="BJ566" s="34"/>
      <c r="BK566" s="34"/>
      <c r="BL566" s="34"/>
      <c r="BM566" s="34"/>
      <c r="BN566" s="34"/>
      <c r="BO566" s="34"/>
      <c r="BP566" s="34"/>
      <c r="BQ566" s="34"/>
      <c r="BR566" s="34"/>
      <c r="BS566" s="34"/>
      <c r="BT566" s="34"/>
      <c r="BU566" s="34"/>
      <c r="BV566" s="34"/>
      <c r="BW566" s="34"/>
      <c r="BX566" s="34"/>
      <c r="BY566" s="34"/>
    </row>
    <row r="567" spans="1:77" x14ac:dyDescent="0.3">
      <c r="A567" s="39"/>
      <c r="B567" s="42"/>
      <c r="C567" s="42"/>
      <c r="D567" s="75"/>
      <c r="E567" s="75"/>
      <c r="F567" s="76"/>
      <c r="G567" s="47"/>
      <c r="H567" s="47"/>
      <c r="I567" s="75"/>
      <c r="J567" s="76"/>
      <c r="K567" s="76"/>
      <c r="L567" s="75"/>
      <c r="M567" s="49"/>
      <c r="N567" s="76"/>
      <c r="O567" s="49"/>
      <c r="P567" s="77"/>
      <c r="Q567" s="53"/>
      <c r="R567" s="54"/>
      <c r="S567" s="55"/>
      <c r="T567" s="56"/>
      <c r="U567" s="56"/>
      <c r="V567" s="42"/>
      <c r="W567" s="57"/>
      <c r="X567" s="58"/>
      <c r="Y567" s="75"/>
      <c r="Z567" s="59"/>
      <c r="AA567" s="61"/>
      <c r="AB567" s="61"/>
      <c r="AC567" s="61"/>
      <c r="AD567" s="62"/>
      <c r="AE567" s="62"/>
      <c r="AF567" s="34"/>
      <c r="AG567" s="34"/>
      <c r="AH567" s="34"/>
      <c r="AI567" s="34"/>
      <c r="AJ567" s="34"/>
      <c r="AK567" s="34"/>
      <c r="AL567" s="34"/>
      <c r="AM567" s="34"/>
      <c r="AN567" s="34"/>
      <c r="AO567" s="34"/>
      <c r="AP567" s="34"/>
      <c r="AQ567" s="34"/>
      <c r="AR567" s="34"/>
      <c r="AS567" s="34"/>
      <c r="AT567" s="34"/>
      <c r="AU567" s="34"/>
      <c r="AV567" s="34"/>
      <c r="AW567" s="34"/>
      <c r="AX567" s="34"/>
      <c r="AY567" s="34"/>
      <c r="AZ567" s="34"/>
      <c r="BA567" s="34"/>
      <c r="BB567" s="34"/>
      <c r="BD567" s="34"/>
      <c r="BE567" s="34"/>
      <c r="BF567" s="34"/>
      <c r="BG567" s="34"/>
      <c r="BH567" s="34"/>
      <c r="BI567" s="34"/>
      <c r="BJ567" s="34"/>
      <c r="BK567" s="34"/>
      <c r="BL567" s="34"/>
      <c r="BM567" s="34"/>
      <c r="BN567" s="34"/>
      <c r="BO567" s="34"/>
      <c r="BP567" s="34"/>
      <c r="BQ567" s="34"/>
      <c r="BR567" s="34"/>
      <c r="BS567" s="34"/>
      <c r="BT567" s="34"/>
      <c r="BU567" s="34"/>
      <c r="BV567" s="34"/>
      <c r="BW567" s="34"/>
      <c r="BX567" s="34"/>
      <c r="BY567" s="34"/>
    </row>
    <row r="568" spans="1:77" x14ac:dyDescent="0.3">
      <c r="A568" s="39"/>
      <c r="B568" s="42"/>
      <c r="C568" s="42"/>
      <c r="D568" s="75"/>
      <c r="E568" s="75"/>
      <c r="F568" s="76"/>
      <c r="G568" s="47"/>
      <c r="H568" s="47"/>
      <c r="I568" s="75"/>
      <c r="J568" s="76"/>
      <c r="K568" s="76"/>
      <c r="L568" s="75"/>
      <c r="M568" s="49"/>
      <c r="N568" s="76"/>
      <c r="O568" s="49"/>
      <c r="P568" s="77"/>
      <c r="Q568" s="53"/>
      <c r="R568" s="54"/>
      <c r="S568" s="55"/>
      <c r="T568" s="56"/>
      <c r="U568" s="56"/>
      <c r="V568" s="42"/>
      <c r="W568" s="57"/>
      <c r="X568" s="58"/>
      <c r="Y568" s="75"/>
      <c r="Z568" s="59"/>
      <c r="AA568" s="61"/>
      <c r="AB568" s="61"/>
      <c r="AC568" s="61"/>
      <c r="AD568" s="62"/>
      <c r="AE568" s="62"/>
      <c r="AF568" s="34"/>
      <c r="AG568" s="34"/>
      <c r="AH568" s="34"/>
      <c r="AI568" s="34"/>
      <c r="AJ568" s="34"/>
      <c r="AK568" s="34"/>
      <c r="AL568" s="34"/>
      <c r="AM568" s="34"/>
      <c r="AN568" s="34"/>
      <c r="AO568" s="34"/>
      <c r="AP568" s="34"/>
      <c r="AQ568" s="34"/>
      <c r="AR568" s="34"/>
      <c r="AS568" s="34"/>
      <c r="AT568" s="34"/>
      <c r="AU568" s="34"/>
      <c r="AV568" s="34"/>
      <c r="AW568" s="34"/>
      <c r="AX568" s="34"/>
      <c r="AY568" s="34"/>
      <c r="AZ568" s="34"/>
      <c r="BA568" s="34"/>
      <c r="BB568" s="34"/>
      <c r="BD568" s="34"/>
      <c r="BE568" s="34"/>
      <c r="BF568" s="34"/>
      <c r="BG568" s="34"/>
      <c r="BH568" s="34"/>
      <c r="BI568" s="34"/>
      <c r="BJ568" s="34"/>
      <c r="BK568" s="34"/>
      <c r="BL568" s="34"/>
      <c r="BM568" s="34"/>
      <c r="BN568" s="34"/>
      <c r="BO568" s="34"/>
      <c r="BP568" s="34"/>
      <c r="BQ568" s="34"/>
      <c r="BR568" s="34"/>
      <c r="BS568" s="34"/>
      <c r="BT568" s="34"/>
      <c r="BU568" s="34"/>
      <c r="BV568" s="34"/>
      <c r="BW568" s="34"/>
      <c r="BX568" s="34"/>
      <c r="BY568" s="34"/>
    </row>
    <row r="569" spans="1:77" x14ac:dyDescent="0.3">
      <c r="A569" s="39"/>
      <c r="B569" s="42"/>
      <c r="C569" s="42"/>
      <c r="D569" s="75"/>
      <c r="E569" s="75"/>
      <c r="F569" s="76"/>
      <c r="G569" s="47"/>
      <c r="H569" s="47"/>
      <c r="I569" s="75"/>
      <c r="J569" s="76"/>
      <c r="K569" s="76"/>
      <c r="L569" s="75"/>
      <c r="M569" s="49"/>
      <c r="N569" s="76"/>
      <c r="O569" s="49"/>
      <c r="P569" s="77"/>
      <c r="Q569" s="53"/>
      <c r="R569" s="54"/>
      <c r="S569" s="55"/>
      <c r="T569" s="56"/>
      <c r="U569" s="56"/>
      <c r="V569" s="42"/>
      <c r="W569" s="57"/>
      <c r="X569" s="58"/>
      <c r="Y569" s="75"/>
      <c r="Z569" s="59"/>
      <c r="AA569" s="61"/>
      <c r="AB569" s="61"/>
      <c r="AC569" s="61"/>
      <c r="AD569" s="62"/>
      <c r="AE569" s="62"/>
      <c r="AF569" s="34"/>
      <c r="AG569" s="34"/>
      <c r="AH569" s="34"/>
      <c r="AI569" s="34"/>
      <c r="AJ569" s="34"/>
      <c r="AK569" s="34"/>
      <c r="AL569" s="34"/>
      <c r="AM569" s="34"/>
      <c r="AN569" s="34"/>
      <c r="AO569" s="34"/>
      <c r="AP569" s="34"/>
      <c r="AQ569" s="34"/>
      <c r="AR569" s="34"/>
      <c r="AS569" s="34"/>
      <c r="AT569" s="34"/>
      <c r="AU569" s="34"/>
      <c r="AV569" s="34"/>
      <c r="AW569" s="34"/>
      <c r="AX569" s="34"/>
      <c r="AY569" s="34"/>
      <c r="AZ569" s="34"/>
      <c r="BA569" s="34"/>
      <c r="BB569" s="34"/>
      <c r="BD569" s="34"/>
      <c r="BE569" s="34"/>
      <c r="BF569" s="34"/>
      <c r="BG569" s="34"/>
      <c r="BH569" s="34"/>
      <c r="BI569" s="34"/>
      <c r="BJ569" s="34"/>
      <c r="BK569" s="34"/>
      <c r="BL569" s="34"/>
      <c r="BM569" s="34"/>
      <c r="BN569" s="34"/>
      <c r="BO569" s="34"/>
      <c r="BP569" s="34"/>
      <c r="BQ569" s="34"/>
      <c r="BR569" s="34"/>
      <c r="BS569" s="34"/>
      <c r="BT569" s="34"/>
      <c r="BU569" s="34"/>
      <c r="BV569" s="34"/>
      <c r="BW569" s="34"/>
      <c r="BX569" s="34"/>
      <c r="BY569" s="34"/>
    </row>
    <row r="570" spans="1:77" x14ac:dyDescent="0.3">
      <c r="A570" s="39"/>
      <c r="B570" s="42"/>
      <c r="C570" s="42"/>
      <c r="D570" s="75"/>
      <c r="E570" s="75"/>
      <c r="F570" s="76"/>
      <c r="G570" s="47"/>
      <c r="H570" s="47"/>
      <c r="I570" s="75"/>
      <c r="J570" s="76"/>
      <c r="K570" s="76"/>
      <c r="L570" s="75"/>
      <c r="M570" s="49"/>
      <c r="N570" s="76"/>
      <c r="O570" s="49"/>
      <c r="P570" s="77"/>
      <c r="Q570" s="53"/>
      <c r="R570" s="54"/>
      <c r="S570" s="55"/>
      <c r="T570" s="56"/>
      <c r="U570" s="56"/>
      <c r="V570" s="42"/>
      <c r="W570" s="57"/>
      <c r="X570" s="58"/>
      <c r="Y570" s="75"/>
      <c r="Z570" s="59"/>
      <c r="AA570" s="61"/>
      <c r="AB570" s="61"/>
      <c r="AC570" s="61"/>
      <c r="AD570" s="62"/>
      <c r="AE570" s="62"/>
      <c r="AF570" s="34"/>
      <c r="AG570" s="34"/>
      <c r="AH570" s="34"/>
      <c r="AI570" s="34"/>
      <c r="AJ570" s="34"/>
      <c r="AK570" s="34"/>
      <c r="AL570" s="34"/>
      <c r="AM570" s="34"/>
      <c r="AN570" s="34"/>
      <c r="AO570" s="34"/>
      <c r="AP570" s="34"/>
      <c r="AQ570" s="34"/>
      <c r="AR570" s="34"/>
      <c r="AS570" s="34"/>
      <c r="AT570" s="34"/>
      <c r="AU570" s="34"/>
      <c r="AV570" s="34"/>
      <c r="AW570" s="34"/>
      <c r="AX570" s="34"/>
      <c r="AY570" s="34"/>
      <c r="AZ570" s="34"/>
      <c r="BA570" s="34"/>
      <c r="BB570" s="34"/>
      <c r="BD570" s="34"/>
      <c r="BE570" s="34"/>
      <c r="BF570" s="34"/>
      <c r="BG570" s="34"/>
      <c r="BH570" s="34"/>
      <c r="BI570" s="34"/>
      <c r="BJ570" s="34"/>
      <c r="BK570" s="34"/>
      <c r="BL570" s="34"/>
      <c r="BM570" s="34"/>
      <c r="BN570" s="34"/>
      <c r="BO570" s="34"/>
      <c r="BP570" s="34"/>
      <c r="BQ570" s="34"/>
      <c r="BR570" s="34"/>
      <c r="BS570" s="34"/>
      <c r="BT570" s="34"/>
      <c r="BU570" s="34"/>
      <c r="BV570" s="34"/>
      <c r="BW570" s="34"/>
      <c r="BX570" s="34"/>
      <c r="BY570" s="34"/>
    </row>
    <row r="571" spans="1:77" x14ac:dyDescent="0.3">
      <c r="A571" s="39"/>
      <c r="B571" s="42"/>
      <c r="C571" s="42"/>
      <c r="D571" s="75"/>
      <c r="E571" s="75"/>
      <c r="F571" s="76"/>
      <c r="G571" s="47"/>
      <c r="H571" s="47"/>
      <c r="I571" s="75"/>
      <c r="J571" s="76"/>
      <c r="K571" s="76"/>
      <c r="L571" s="75"/>
      <c r="M571" s="49"/>
      <c r="N571" s="76"/>
      <c r="O571" s="49"/>
      <c r="P571" s="77"/>
      <c r="Q571" s="53"/>
      <c r="R571" s="54"/>
      <c r="S571" s="55"/>
      <c r="T571" s="56"/>
      <c r="U571" s="56"/>
      <c r="V571" s="42"/>
      <c r="W571" s="57"/>
      <c r="X571" s="58"/>
      <c r="Y571" s="75"/>
      <c r="Z571" s="59"/>
      <c r="AA571" s="61"/>
      <c r="AB571" s="61"/>
      <c r="AC571" s="61"/>
      <c r="AD571" s="62"/>
      <c r="AE571" s="62"/>
      <c r="AF571" s="34"/>
      <c r="AG571" s="34"/>
      <c r="AH571" s="34"/>
      <c r="AI571" s="34"/>
      <c r="AJ571" s="34"/>
      <c r="AK571" s="34"/>
      <c r="AL571" s="34"/>
      <c r="AM571" s="34"/>
      <c r="AN571" s="34"/>
      <c r="AO571" s="34"/>
      <c r="AP571" s="34"/>
      <c r="AQ571" s="34"/>
      <c r="AR571" s="34"/>
      <c r="AS571" s="34"/>
      <c r="AT571" s="34"/>
      <c r="AU571" s="34"/>
      <c r="AV571" s="34"/>
      <c r="AW571" s="34"/>
      <c r="AX571" s="34"/>
      <c r="AY571" s="34"/>
      <c r="AZ571" s="34"/>
      <c r="BA571" s="34"/>
      <c r="BB571" s="34"/>
      <c r="BD571" s="34"/>
      <c r="BE571" s="34"/>
      <c r="BF571" s="34"/>
      <c r="BG571" s="34"/>
      <c r="BH571" s="34"/>
      <c r="BI571" s="34"/>
      <c r="BJ571" s="34"/>
      <c r="BK571" s="34"/>
      <c r="BL571" s="34"/>
      <c r="BM571" s="34"/>
      <c r="BN571" s="34"/>
      <c r="BO571" s="34"/>
      <c r="BP571" s="34"/>
      <c r="BQ571" s="34"/>
      <c r="BR571" s="34"/>
      <c r="BS571" s="34"/>
      <c r="BT571" s="34"/>
      <c r="BU571" s="34"/>
      <c r="BV571" s="34"/>
      <c r="BW571" s="34"/>
      <c r="BX571" s="34"/>
      <c r="BY571" s="34"/>
    </row>
    <row r="572" spans="1:77" x14ac:dyDescent="0.3">
      <c r="A572" s="39"/>
      <c r="B572" s="42"/>
      <c r="C572" s="42"/>
      <c r="D572" s="75"/>
      <c r="E572" s="75"/>
      <c r="F572" s="76"/>
      <c r="G572" s="47"/>
      <c r="H572" s="47"/>
      <c r="I572" s="75"/>
      <c r="J572" s="76"/>
      <c r="K572" s="76"/>
      <c r="L572" s="75"/>
      <c r="M572" s="49"/>
      <c r="N572" s="76"/>
      <c r="O572" s="49"/>
      <c r="P572" s="77"/>
      <c r="Q572" s="53"/>
      <c r="R572" s="54"/>
      <c r="S572" s="55"/>
      <c r="T572" s="56"/>
      <c r="U572" s="56"/>
      <c r="V572" s="42"/>
      <c r="W572" s="57"/>
      <c r="X572" s="58"/>
      <c r="Y572" s="75"/>
      <c r="Z572" s="59"/>
      <c r="AA572" s="61"/>
      <c r="AB572" s="61"/>
      <c r="AC572" s="61"/>
      <c r="AD572" s="62"/>
      <c r="AE572" s="62"/>
      <c r="AF572" s="34"/>
      <c r="AG572" s="34"/>
      <c r="AH572" s="34"/>
      <c r="AI572" s="34"/>
      <c r="AJ572" s="34"/>
      <c r="AK572" s="34"/>
      <c r="AL572" s="34"/>
      <c r="AM572" s="34"/>
      <c r="AN572" s="34"/>
      <c r="AO572" s="34"/>
      <c r="AP572" s="34"/>
      <c r="AQ572" s="34"/>
      <c r="AR572" s="34"/>
      <c r="AS572" s="34"/>
      <c r="AT572" s="34"/>
      <c r="AU572" s="34"/>
      <c r="AV572" s="34"/>
      <c r="AW572" s="34"/>
      <c r="AX572" s="34"/>
      <c r="AY572" s="34"/>
      <c r="AZ572" s="34"/>
      <c r="BA572" s="34"/>
      <c r="BB572" s="34"/>
      <c r="BD572" s="34"/>
      <c r="BE572" s="34"/>
      <c r="BF572" s="34"/>
      <c r="BG572" s="34"/>
      <c r="BH572" s="34"/>
      <c r="BI572" s="34"/>
      <c r="BJ572" s="34"/>
      <c r="BK572" s="34"/>
      <c r="BL572" s="34"/>
      <c r="BM572" s="34"/>
      <c r="BN572" s="34"/>
      <c r="BO572" s="34"/>
      <c r="BP572" s="34"/>
      <c r="BQ572" s="34"/>
      <c r="BR572" s="34"/>
      <c r="BS572" s="34"/>
      <c r="BT572" s="34"/>
      <c r="BU572" s="34"/>
      <c r="BV572" s="34"/>
      <c r="BW572" s="34"/>
      <c r="BX572" s="34"/>
      <c r="BY572" s="34"/>
    </row>
    <row r="573" spans="1:77" x14ac:dyDescent="0.3">
      <c r="A573" s="39"/>
      <c r="B573" s="42"/>
      <c r="C573" s="42"/>
      <c r="D573" s="75"/>
      <c r="E573" s="75"/>
      <c r="F573" s="76"/>
      <c r="G573" s="47"/>
      <c r="H573" s="47"/>
      <c r="I573" s="75"/>
      <c r="J573" s="76"/>
      <c r="K573" s="76"/>
      <c r="L573" s="75"/>
      <c r="M573" s="49"/>
      <c r="N573" s="76"/>
      <c r="O573" s="49"/>
      <c r="P573" s="77"/>
      <c r="Q573" s="53"/>
      <c r="R573" s="54"/>
      <c r="S573" s="55"/>
      <c r="T573" s="56"/>
      <c r="U573" s="56"/>
      <c r="V573" s="42"/>
      <c r="W573" s="57"/>
      <c r="X573" s="58"/>
      <c r="Y573" s="75"/>
      <c r="Z573" s="59"/>
      <c r="AA573" s="61"/>
      <c r="AB573" s="61"/>
      <c r="AC573" s="61"/>
      <c r="AD573" s="62"/>
      <c r="AE573" s="62"/>
      <c r="AF573" s="34"/>
      <c r="AG573" s="34"/>
      <c r="AH573" s="34"/>
      <c r="AI573" s="34"/>
      <c r="AJ573" s="34"/>
      <c r="AK573" s="34"/>
      <c r="AL573" s="34"/>
      <c r="AM573" s="34"/>
      <c r="AN573" s="34"/>
      <c r="AO573" s="34"/>
      <c r="AP573" s="34"/>
      <c r="AQ573" s="34"/>
      <c r="AR573" s="34"/>
      <c r="AS573" s="34"/>
      <c r="AT573" s="34"/>
      <c r="AU573" s="34"/>
      <c r="AV573" s="34"/>
      <c r="AW573" s="34"/>
      <c r="AX573" s="34"/>
      <c r="AY573" s="34"/>
      <c r="AZ573" s="34"/>
      <c r="BA573" s="34"/>
      <c r="BB573" s="34"/>
      <c r="BD573" s="34"/>
      <c r="BE573" s="34"/>
      <c r="BF573" s="34"/>
      <c r="BG573" s="34"/>
      <c r="BH573" s="34"/>
      <c r="BI573" s="34"/>
      <c r="BJ573" s="34"/>
      <c r="BK573" s="34"/>
      <c r="BL573" s="34"/>
      <c r="BM573" s="34"/>
      <c r="BN573" s="34"/>
      <c r="BO573" s="34"/>
      <c r="BP573" s="34"/>
      <c r="BQ573" s="34"/>
      <c r="BR573" s="34"/>
      <c r="BS573" s="34"/>
      <c r="BT573" s="34"/>
      <c r="BU573" s="34"/>
      <c r="BV573" s="34"/>
      <c r="BW573" s="34"/>
      <c r="BX573" s="34"/>
      <c r="BY573" s="34"/>
    </row>
    <row r="574" spans="1:77" x14ac:dyDescent="0.3">
      <c r="A574" s="39"/>
      <c r="B574" s="42"/>
      <c r="C574" s="42"/>
      <c r="D574" s="75"/>
      <c r="E574" s="75"/>
      <c r="F574" s="76"/>
      <c r="G574" s="47"/>
      <c r="H574" s="47"/>
      <c r="I574" s="75"/>
      <c r="J574" s="76"/>
      <c r="K574" s="76"/>
      <c r="L574" s="75"/>
      <c r="M574" s="49"/>
      <c r="N574" s="76"/>
      <c r="O574" s="49"/>
      <c r="P574" s="77"/>
      <c r="Q574" s="53"/>
      <c r="R574" s="54"/>
      <c r="S574" s="55"/>
      <c r="T574" s="56"/>
      <c r="U574" s="56"/>
      <c r="V574" s="42"/>
      <c r="W574" s="57"/>
      <c r="X574" s="58"/>
      <c r="Y574" s="75"/>
      <c r="Z574" s="59"/>
      <c r="AA574" s="61"/>
      <c r="AB574" s="61"/>
      <c r="AC574" s="61"/>
      <c r="AD574" s="62"/>
      <c r="AE574" s="62"/>
      <c r="AF574" s="34"/>
      <c r="AG574" s="34"/>
      <c r="AH574" s="34"/>
      <c r="AI574" s="34"/>
      <c r="AJ574" s="34"/>
      <c r="AK574" s="34"/>
      <c r="AL574" s="34"/>
      <c r="AM574" s="34"/>
      <c r="AN574" s="34"/>
      <c r="AO574" s="34"/>
      <c r="AP574" s="34"/>
      <c r="AQ574" s="34"/>
      <c r="AR574" s="34"/>
      <c r="AS574" s="34"/>
      <c r="AT574" s="34"/>
      <c r="AU574" s="34"/>
      <c r="AV574" s="34"/>
      <c r="AW574" s="34"/>
      <c r="AX574" s="34"/>
      <c r="AY574" s="34"/>
      <c r="AZ574" s="34"/>
      <c r="BA574" s="34"/>
      <c r="BB574" s="34"/>
      <c r="BD574" s="34"/>
      <c r="BE574" s="34"/>
      <c r="BF574" s="34"/>
      <c r="BG574" s="34"/>
      <c r="BH574" s="34"/>
      <c r="BI574" s="34"/>
      <c r="BJ574" s="34"/>
      <c r="BK574" s="34"/>
      <c r="BL574" s="34"/>
      <c r="BM574" s="34"/>
      <c r="BN574" s="34"/>
      <c r="BO574" s="34"/>
      <c r="BP574" s="34"/>
      <c r="BQ574" s="34"/>
      <c r="BR574" s="34"/>
      <c r="BS574" s="34"/>
      <c r="BT574" s="34"/>
      <c r="BU574" s="34"/>
      <c r="BV574" s="34"/>
      <c r="BW574" s="34"/>
      <c r="BX574" s="34"/>
      <c r="BY574" s="34"/>
    </row>
    <row r="575" spans="1:77" x14ac:dyDescent="0.3">
      <c r="A575" s="39"/>
      <c r="B575" s="42"/>
      <c r="C575" s="42"/>
      <c r="D575" s="75"/>
      <c r="E575" s="75"/>
      <c r="F575" s="76"/>
      <c r="G575" s="47"/>
      <c r="H575" s="47"/>
      <c r="I575" s="75"/>
      <c r="J575" s="76"/>
      <c r="K575" s="76"/>
      <c r="L575" s="75"/>
      <c r="M575" s="49"/>
      <c r="N575" s="76"/>
      <c r="O575" s="49"/>
      <c r="P575" s="77"/>
      <c r="Q575" s="53"/>
      <c r="R575" s="54"/>
      <c r="S575" s="55"/>
      <c r="T575" s="56"/>
      <c r="U575" s="56"/>
      <c r="V575" s="42"/>
      <c r="W575" s="57"/>
      <c r="X575" s="58"/>
      <c r="Y575" s="75"/>
      <c r="Z575" s="59"/>
      <c r="AA575" s="61"/>
      <c r="AB575" s="61"/>
      <c r="AC575" s="61"/>
      <c r="AD575" s="62"/>
      <c r="AE575" s="62"/>
      <c r="AF575" s="34"/>
      <c r="AG575" s="34"/>
      <c r="AH575" s="34"/>
      <c r="AI575" s="34"/>
      <c r="AJ575" s="34"/>
      <c r="AK575" s="34"/>
      <c r="AL575" s="34"/>
      <c r="AM575" s="34"/>
      <c r="AN575" s="34"/>
      <c r="AO575" s="34"/>
      <c r="AP575" s="34"/>
      <c r="AQ575" s="34"/>
      <c r="AR575" s="34"/>
      <c r="AS575" s="34"/>
      <c r="AT575" s="34"/>
      <c r="AU575" s="34"/>
      <c r="AV575" s="34"/>
      <c r="AW575" s="34"/>
      <c r="AX575" s="34"/>
      <c r="AY575" s="34"/>
      <c r="AZ575" s="34"/>
      <c r="BA575" s="34"/>
      <c r="BB575" s="34"/>
      <c r="BD575" s="34"/>
      <c r="BE575" s="34"/>
      <c r="BF575" s="34"/>
      <c r="BG575" s="34"/>
      <c r="BH575" s="34"/>
      <c r="BI575" s="34"/>
      <c r="BJ575" s="34"/>
      <c r="BK575" s="34"/>
      <c r="BL575" s="34"/>
      <c r="BM575" s="34"/>
      <c r="BN575" s="34"/>
      <c r="BO575" s="34"/>
      <c r="BP575" s="34"/>
      <c r="BQ575" s="34"/>
      <c r="BR575" s="34"/>
      <c r="BS575" s="34"/>
      <c r="BT575" s="34"/>
      <c r="BU575" s="34"/>
      <c r="BV575" s="34"/>
      <c r="BW575" s="34"/>
      <c r="BX575" s="34"/>
      <c r="BY575" s="34"/>
    </row>
    <row r="576" spans="1:77" x14ac:dyDescent="0.3">
      <c r="A576" s="39"/>
      <c r="B576" s="42"/>
      <c r="C576" s="42"/>
      <c r="D576" s="75"/>
      <c r="E576" s="75"/>
      <c r="F576" s="76"/>
      <c r="G576" s="47"/>
      <c r="H576" s="47"/>
      <c r="I576" s="75"/>
      <c r="J576" s="76"/>
      <c r="K576" s="76"/>
      <c r="L576" s="75"/>
      <c r="M576" s="49"/>
      <c r="N576" s="76"/>
      <c r="O576" s="49"/>
      <c r="P576" s="77"/>
      <c r="Q576" s="53"/>
      <c r="R576" s="54"/>
      <c r="S576" s="55"/>
      <c r="T576" s="56"/>
      <c r="U576" s="56"/>
      <c r="V576" s="42"/>
      <c r="W576" s="57"/>
      <c r="X576" s="58"/>
      <c r="Y576" s="75"/>
      <c r="Z576" s="59"/>
      <c r="AA576" s="61"/>
      <c r="AB576" s="61"/>
      <c r="AC576" s="61"/>
      <c r="AD576" s="62"/>
      <c r="AE576" s="62"/>
      <c r="AF576" s="34"/>
      <c r="AG576" s="34"/>
      <c r="AH576" s="34"/>
      <c r="AI576" s="34"/>
      <c r="AJ576" s="34"/>
      <c r="AK576" s="34"/>
      <c r="AL576" s="34"/>
      <c r="AM576" s="34"/>
      <c r="AN576" s="34"/>
      <c r="AO576" s="34"/>
      <c r="AP576" s="34"/>
      <c r="AQ576" s="34"/>
      <c r="AR576" s="34"/>
      <c r="AS576" s="34"/>
      <c r="AT576" s="34"/>
      <c r="AU576" s="34"/>
      <c r="AV576" s="34"/>
      <c r="AW576" s="34"/>
      <c r="AX576" s="34"/>
      <c r="AY576" s="34"/>
      <c r="AZ576" s="34"/>
      <c r="BA576" s="34"/>
      <c r="BB576" s="34"/>
      <c r="BD576" s="34"/>
      <c r="BE576" s="34"/>
      <c r="BF576" s="34"/>
      <c r="BG576" s="34"/>
      <c r="BH576" s="34"/>
      <c r="BI576" s="34"/>
      <c r="BJ576" s="34"/>
      <c r="BK576" s="34"/>
      <c r="BL576" s="34"/>
      <c r="BM576" s="34"/>
      <c r="BN576" s="34"/>
      <c r="BO576" s="34"/>
      <c r="BP576" s="34"/>
      <c r="BQ576" s="34"/>
      <c r="BR576" s="34"/>
      <c r="BS576" s="34"/>
      <c r="BT576" s="34"/>
      <c r="BU576" s="34"/>
      <c r="BV576" s="34"/>
      <c r="BW576" s="34"/>
      <c r="BX576" s="34"/>
      <c r="BY576" s="34"/>
    </row>
    <row r="577" spans="1:77" x14ac:dyDescent="0.3">
      <c r="A577" s="39"/>
      <c r="B577" s="42"/>
      <c r="C577" s="42"/>
      <c r="D577" s="75"/>
      <c r="E577" s="75"/>
      <c r="F577" s="76"/>
      <c r="G577" s="47"/>
      <c r="H577" s="47"/>
      <c r="I577" s="75"/>
      <c r="J577" s="76"/>
      <c r="K577" s="76"/>
      <c r="L577" s="75"/>
      <c r="M577" s="49"/>
      <c r="N577" s="76"/>
      <c r="O577" s="49"/>
      <c r="P577" s="77"/>
      <c r="Q577" s="53"/>
      <c r="R577" s="54"/>
      <c r="S577" s="55"/>
      <c r="T577" s="56"/>
      <c r="U577" s="56"/>
      <c r="V577" s="42"/>
      <c r="W577" s="57"/>
      <c r="X577" s="58"/>
      <c r="Y577" s="75"/>
      <c r="Z577" s="59"/>
      <c r="AA577" s="61"/>
      <c r="AB577" s="61"/>
      <c r="AC577" s="61"/>
      <c r="AD577" s="62"/>
      <c r="AE577" s="62"/>
      <c r="AF577" s="34"/>
      <c r="AG577" s="34"/>
      <c r="AH577" s="34"/>
      <c r="AI577" s="34"/>
      <c r="AJ577" s="34"/>
      <c r="AK577" s="34"/>
      <c r="AL577" s="34"/>
      <c r="AM577" s="34"/>
      <c r="AN577" s="34"/>
      <c r="AO577" s="34"/>
      <c r="AP577" s="34"/>
      <c r="AQ577" s="34"/>
      <c r="AR577" s="34"/>
      <c r="AS577" s="34"/>
      <c r="AT577" s="34"/>
      <c r="AU577" s="34"/>
      <c r="AV577" s="34"/>
      <c r="AW577" s="34"/>
      <c r="AX577" s="34"/>
      <c r="AY577" s="34"/>
      <c r="AZ577" s="34"/>
      <c r="BA577" s="34"/>
      <c r="BB577" s="34"/>
      <c r="BD577" s="34"/>
      <c r="BE577" s="34"/>
      <c r="BF577" s="34"/>
      <c r="BG577" s="34"/>
      <c r="BH577" s="34"/>
      <c r="BI577" s="34"/>
      <c r="BJ577" s="34"/>
      <c r="BK577" s="34"/>
      <c r="BL577" s="34"/>
      <c r="BM577" s="34"/>
      <c r="BN577" s="34"/>
      <c r="BO577" s="34"/>
      <c r="BP577" s="34"/>
      <c r="BQ577" s="34"/>
      <c r="BR577" s="34"/>
      <c r="BS577" s="34"/>
      <c r="BT577" s="34"/>
      <c r="BU577" s="34"/>
      <c r="BV577" s="34"/>
      <c r="BW577" s="34"/>
      <c r="BX577" s="34"/>
      <c r="BY577" s="34"/>
    </row>
    <row r="578" spans="1:77" x14ac:dyDescent="0.3">
      <c r="A578" s="39"/>
      <c r="B578" s="42"/>
      <c r="C578" s="42"/>
      <c r="D578" s="75"/>
      <c r="E578" s="75"/>
      <c r="F578" s="76"/>
      <c r="G578" s="47"/>
      <c r="H578" s="47"/>
      <c r="I578" s="75"/>
      <c r="J578" s="76"/>
      <c r="K578" s="76"/>
      <c r="L578" s="75"/>
      <c r="M578" s="49"/>
      <c r="N578" s="76"/>
      <c r="O578" s="49"/>
      <c r="P578" s="77"/>
      <c r="Q578" s="53"/>
      <c r="R578" s="54"/>
      <c r="S578" s="55"/>
      <c r="T578" s="56"/>
      <c r="U578" s="56"/>
      <c r="V578" s="42"/>
      <c r="W578" s="57"/>
      <c r="X578" s="58"/>
      <c r="Y578" s="75"/>
      <c r="Z578" s="59"/>
      <c r="AA578" s="61"/>
      <c r="AB578" s="61"/>
      <c r="AC578" s="61"/>
      <c r="AD578" s="62"/>
      <c r="AE578" s="62"/>
      <c r="AF578" s="34"/>
      <c r="AG578" s="34"/>
      <c r="AH578" s="34"/>
      <c r="AI578" s="34"/>
      <c r="AJ578" s="34"/>
      <c r="AK578" s="34"/>
      <c r="AL578" s="34"/>
      <c r="AM578" s="34"/>
      <c r="AN578" s="34"/>
      <c r="AO578" s="34"/>
      <c r="AP578" s="34"/>
      <c r="AQ578" s="34"/>
      <c r="AR578" s="34"/>
      <c r="AS578" s="34"/>
      <c r="AT578" s="34"/>
      <c r="AU578" s="34"/>
      <c r="AV578" s="34"/>
      <c r="AW578" s="34"/>
      <c r="AX578" s="34"/>
      <c r="AY578" s="34"/>
      <c r="AZ578" s="34"/>
      <c r="BA578" s="34"/>
      <c r="BB578" s="34"/>
      <c r="BD578" s="34"/>
      <c r="BE578" s="34"/>
      <c r="BF578" s="34"/>
      <c r="BG578" s="34"/>
      <c r="BH578" s="34"/>
      <c r="BI578" s="34"/>
      <c r="BJ578" s="34"/>
      <c r="BK578" s="34"/>
      <c r="BL578" s="34"/>
      <c r="BM578" s="34"/>
      <c r="BN578" s="34"/>
      <c r="BO578" s="34"/>
      <c r="BP578" s="34"/>
      <c r="BQ578" s="34"/>
      <c r="BR578" s="34"/>
      <c r="BS578" s="34"/>
      <c r="BT578" s="34"/>
      <c r="BU578" s="34"/>
      <c r="BV578" s="34"/>
      <c r="BW578" s="34"/>
      <c r="BX578" s="34"/>
      <c r="BY578" s="34"/>
    </row>
    <row r="579" spans="1:77" x14ac:dyDescent="0.3">
      <c r="A579" s="39"/>
      <c r="B579" s="42"/>
      <c r="C579" s="42"/>
      <c r="D579" s="75"/>
      <c r="E579" s="75"/>
      <c r="F579" s="76"/>
      <c r="G579" s="47"/>
      <c r="H579" s="47"/>
      <c r="I579" s="75"/>
      <c r="J579" s="76"/>
      <c r="K579" s="76"/>
      <c r="L579" s="75"/>
      <c r="M579" s="49"/>
      <c r="N579" s="76"/>
      <c r="O579" s="49"/>
      <c r="P579" s="77"/>
      <c r="Q579" s="53"/>
      <c r="R579" s="54"/>
      <c r="S579" s="55"/>
      <c r="T579" s="56"/>
      <c r="U579" s="56"/>
      <c r="V579" s="42"/>
      <c r="W579" s="57"/>
      <c r="X579" s="58"/>
      <c r="Y579" s="75"/>
      <c r="Z579" s="59"/>
      <c r="AA579" s="61"/>
      <c r="AB579" s="61"/>
      <c r="AC579" s="61"/>
      <c r="AD579" s="62"/>
      <c r="AE579" s="62"/>
      <c r="AF579" s="34"/>
      <c r="AG579" s="34"/>
      <c r="AH579" s="34"/>
      <c r="AI579" s="34"/>
      <c r="AJ579" s="34"/>
      <c r="AK579" s="34"/>
      <c r="AL579" s="34"/>
      <c r="AM579" s="34"/>
      <c r="AN579" s="34"/>
      <c r="AO579" s="34"/>
      <c r="AP579" s="34"/>
      <c r="AQ579" s="34"/>
      <c r="AR579" s="34"/>
      <c r="AS579" s="34"/>
      <c r="AT579" s="34"/>
      <c r="AU579" s="34"/>
      <c r="AV579" s="34"/>
      <c r="AW579" s="34"/>
      <c r="AX579" s="34"/>
      <c r="AY579" s="34"/>
      <c r="AZ579" s="34"/>
      <c r="BA579" s="34"/>
      <c r="BB579" s="34"/>
      <c r="BD579" s="34"/>
      <c r="BE579" s="34"/>
      <c r="BF579" s="34"/>
      <c r="BG579" s="34"/>
      <c r="BH579" s="34"/>
      <c r="BI579" s="34"/>
      <c r="BJ579" s="34"/>
      <c r="BK579" s="34"/>
      <c r="BL579" s="34"/>
      <c r="BM579" s="34"/>
      <c r="BN579" s="34"/>
      <c r="BO579" s="34"/>
      <c r="BP579" s="34"/>
      <c r="BQ579" s="34"/>
      <c r="BR579" s="34"/>
      <c r="BS579" s="34"/>
      <c r="BT579" s="34"/>
      <c r="BU579" s="34"/>
      <c r="BV579" s="34"/>
      <c r="BW579" s="34"/>
      <c r="BX579" s="34"/>
      <c r="BY579" s="34"/>
    </row>
    <row r="580" spans="1:77" x14ac:dyDescent="0.3">
      <c r="A580" s="39"/>
      <c r="B580" s="42"/>
      <c r="C580" s="42"/>
      <c r="D580" s="75"/>
      <c r="E580" s="75"/>
      <c r="F580" s="76"/>
      <c r="G580" s="47"/>
      <c r="H580" s="47"/>
      <c r="I580" s="75"/>
      <c r="J580" s="76"/>
      <c r="K580" s="76"/>
      <c r="L580" s="75"/>
      <c r="M580" s="49"/>
      <c r="N580" s="76"/>
      <c r="O580" s="49"/>
      <c r="P580" s="77"/>
      <c r="Q580" s="53"/>
      <c r="R580" s="54"/>
      <c r="S580" s="55"/>
      <c r="T580" s="56"/>
      <c r="U580" s="56"/>
      <c r="V580" s="42"/>
      <c r="W580" s="57"/>
      <c r="X580" s="58"/>
      <c r="Y580" s="75"/>
      <c r="Z580" s="59"/>
      <c r="AA580" s="61"/>
      <c r="AB580" s="61"/>
      <c r="AC580" s="61"/>
      <c r="AD580" s="62"/>
      <c r="AE580" s="62"/>
      <c r="AF580" s="34"/>
      <c r="AG580" s="34"/>
      <c r="AH580" s="34"/>
      <c r="AI580" s="34"/>
      <c r="AJ580" s="34"/>
      <c r="AK580" s="34"/>
      <c r="AL580" s="34"/>
      <c r="AM580" s="34"/>
      <c r="AN580" s="34"/>
      <c r="AO580" s="34"/>
      <c r="AP580" s="34"/>
      <c r="AQ580" s="34"/>
      <c r="AR580" s="34"/>
      <c r="AS580" s="34"/>
      <c r="AT580" s="34"/>
      <c r="AU580" s="34"/>
      <c r="AV580" s="34"/>
      <c r="AW580" s="34"/>
      <c r="AX580" s="34"/>
      <c r="AY580" s="34"/>
      <c r="AZ580" s="34"/>
      <c r="BA580" s="34"/>
      <c r="BB580" s="34"/>
      <c r="BD580" s="34"/>
      <c r="BE580" s="34"/>
      <c r="BF580" s="34"/>
      <c r="BG580" s="34"/>
      <c r="BH580" s="34"/>
      <c r="BI580" s="34"/>
      <c r="BJ580" s="34"/>
      <c r="BK580" s="34"/>
      <c r="BL580" s="34"/>
      <c r="BM580" s="34"/>
      <c r="BN580" s="34"/>
      <c r="BO580" s="34"/>
      <c r="BP580" s="34"/>
      <c r="BQ580" s="34"/>
      <c r="BR580" s="34"/>
      <c r="BS580" s="34"/>
      <c r="BT580" s="34"/>
      <c r="BU580" s="34"/>
      <c r="BV580" s="34"/>
      <c r="BW580" s="34"/>
      <c r="BX580" s="34"/>
      <c r="BY580" s="34"/>
    </row>
    <row r="581" spans="1:77" x14ac:dyDescent="0.3">
      <c r="A581" s="39"/>
      <c r="B581" s="42"/>
      <c r="C581" s="42"/>
      <c r="D581" s="75"/>
      <c r="E581" s="75"/>
      <c r="F581" s="76"/>
      <c r="G581" s="47"/>
      <c r="H581" s="47"/>
      <c r="I581" s="75"/>
      <c r="J581" s="76"/>
      <c r="K581" s="76"/>
      <c r="L581" s="75"/>
      <c r="M581" s="49"/>
      <c r="N581" s="76"/>
      <c r="O581" s="49"/>
      <c r="P581" s="77"/>
      <c r="Q581" s="53"/>
      <c r="R581" s="54"/>
      <c r="S581" s="55"/>
      <c r="T581" s="56"/>
      <c r="U581" s="56"/>
      <c r="V581" s="42"/>
      <c r="W581" s="57"/>
      <c r="X581" s="58"/>
      <c r="Y581" s="75"/>
      <c r="Z581" s="59"/>
      <c r="AA581" s="61"/>
      <c r="AB581" s="61"/>
      <c r="AC581" s="61"/>
      <c r="AD581" s="62"/>
      <c r="AE581" s="62"/>
      <c r="AF581" s="34"/>
      <c r="AG581" s="34"/>
      <c r="AH581" s="34"/>
      <c r="AI581" s="34"/>
      <c r="AJ581" s="34"/>
      <c r="AK581" s="34"/>
      <c r="AL581" s="34"/>
      <c r="AM581" s="34"/>
      <c r="AN581" s="34"/>
      <c r="AO581" s="34"/>
      <c r="AP581" s="34"/>
      <c r="AQ581" s="34"/>
      <c r="AR581" s="34"/>
      <c r="AS581" s="34"/>
      <c r="AT581" s="34"/>
      <c r="AU581" s="34"/>
      <c r="AV581" s="34"/>
      <c r="AW581" s="34"/>
      <c r="AX581" s="34"/>
      <c r="AY581" s="34"/>
      <c r="AZ581" s="34"/>
      <c r="BA581" s="34"/>
      <c r="BB581" s="34"/>
      <c r="BD581" s="34"/>
      <c r="BE581" s="34"/>
      <c r="BF581" s="34"/>
      <c r="BG581" s="34"/>
      <c r="BH581" s="34"/>
      <c r="BI581" s="34"/>
      <c r="BJ581" s="34"/>
      <c r="BK581" s="34"/>
      <c r="BL581" s="34"/>
      <c r="BM581" s="34"/>
      <c r="BN581" s="34"/>
      <c r="BO581" s="34"/>
      <c r="BP581" s="34"/>
      <c r="BQ581" s="34"/>
      <c r="BR581" s="34"/>
      <c r="BS581" s="34"/>
      <c r="BT581" s="34"/>
      <c r="BU581" s="34"/>
      <c r="BV581" s="34"/>
      <c r="BW581" s="34"/>
      <c r="BX581" s="34"/>
      <c r="BY581" s="34"/>
    </row>
    <row r="582" spans="1:77" x14ac:dyDescent="0.3">
      <c r="A582" s="39"/>
      <c r="B582" s="42"/>
      <c r="C582" s="42"/>
      <c r="D582" s="75"/>
      <c r="E582" s="75"/>
      <c r="F582" s="76"/>
      <c r="G582" s="47"/>
      <c r="H582" s="47"/>
      <c r="I582" s="75"/>
      <c r="J582" s="76"/>
      <c r="K582" s="76"/>
      <c r="L582" s="75"/>
      <c r="M582" s="49"/>
      <c r="N582" s="76"/>
      <c r="O582" s="49"/>
      <c r="P582" s="77"/>
      <c r="Q582" s="53"/>
      <c r="R582" s="54"/>
      <c r="S582" s="55"/>
      <c r="T582" s="56"/>
      <c r="U582" s="56"/>
      <c r="V582" s="42"/>
      <c r="W582" s="57"/>
      <c r="X582" s="58"/>
      <c r="Y582" s="75"/>
      <c r="Z582" s="59"/>
      <c r="AA582" s="61"/>
      <c r="AB582" s="61"/>
      <c r="AC582" s="61"/>
      <c r="AD582" s="62"/>
      <c r="AE582" s="62"/>
      <c r="AF582" s="34"/>
      <c r="AG582" s="34"/>
      <c r="AH582" s="34"/>
      <c r="AI582" s="34"/>
      <c r="AJ582" s="34"/>
      <c r="AK582" s="34"/>
      <c r="AL582" s="34"/>
      <c r="AM582" s="34"/>
      <c r="AN582" s="34"/>
      <c r="AO582" s="34"/>
      <c r="AP582" s="34"/>
      <c r="AQ582" s="34"/>
      <c r="AR582" s="34"/>
      <c r="AS582" s="34"/>
      <c r="AT582" s="34"/>
      <c r="AU582" s="34"/>
      <c r="AV582" s="34"/>
      <c r="AW582" s="34"/>
      <c r="AX582" s="34"/>
      <c r="AY582" s="34"/>
      <c r="AZ582" s="34"/>
      <c r="BA582" s="34"/>
      <c r="BB582" s="34"/>
      <c r="BD582" s="34"/>
      <c r="BE582" s="34"/>
      <c r="BF582" s="34"/>
      <c r="BG582" s="34"/>
      <c r="BH582" s="34"/>
      <c r="BI582" s="34"/>
      <c r="BJ582" s="34"/>
      <c r="BK582" s="34"/>
      <c r="BL582" s="34"/>
      <c r="BM582" s="34"/>
      <c r="BN582" s="34"/>
      <c r="BO582" s="34"/>
      <c r="BP582" s="34"/>
      <c r="BQ582" s="34"/>
      <c r="BR582" s="34"/>
      <c r="BS582" s="34"/>
      <c r="BT582" s="34"/>
      <c r="BU582" s="34"/>
      <c r="BV582" s="34"/>
      <c r="BW582" s="34"/>
      <c r="BX582" s="34"/>
      <c r="BY582" s="34"/>
    </row>
    <row r="583" spans="1:77" x14ac:dyDescent="0.3">
      <c r="A583" s="39"/>
      <c r="B583" s="42"/>
      <c r="C583" s="42"/>
      <c r="D583" s="75"/>
      <c r="E583" s="75"/>
      <c r="F583" s="76"/>
      <c r="G583" s="47"/>
      <c r="H583" s="47"/>
      <c r="I583" s="75"/>
      <c r="J583" s="76"/>
      <c r="K583" s="76"/>
      <c r="L583" s="75"/>
      <c r="M583" s="49"/>
      <c r="N583" s="76"/>
      <c r="O583" s="49"/>
      <c r="P583" s="77"/>
      <c r="Q583" s="53"/>
      <c r="R583" s="54"/>
      <c r="S583" s="55"/>
      <c r="T583" s="56"/>
      <c r="U583" s="56"/>
      <c r="V583" s="42"/>
      <c r="W583" s="57"/>
      <c r="X583" s="58"/>
      <c r="Y583" s="75"/>
      <c r="Z583" s="59"/>
      <c r="AA583" s="61"/>
      <c r="AB583" s="61"/>
      <c r="AC583" s="61"/>
      <c r="AD583" s="62"/>
      <c r="AE583" s="62"/>
      <c r="AF583" s="34"/>
      <c r="AG583" s="34"/>
      <c r="AH583" s="34"/>
      <c r="AI583" s="34"/>
      <c r="AJ583" s="34"/>
      <c r="AK583" s="34"/>
      <c r="AL583" s="34"/>
      <c r="AM583" s="34"/>
      <c r="AN583" s="34"/>
      <c r="AO583" s="34"/>
      <c r="AP583" s="34"/>
      <c r="AQ583" s="34"/>
      <c r="AR583" s="34"/>
      <c r="AS583" s="34"/>
      <c r="AT583" s="34"/>
      <c r="AU583" s="34"/>
      <c r="AV583" s="34"/>
      <c r="AW583" s="34"/>
      <c r="AX583" s="34"/>
      <c r="AY583" s="34"/>
      <c r="AZ583" s="34"/>
      <c r="BA583" s="34"/>
      <c r="BB583" s="34"/>
      <c r="BD583" s="34"/>
      <c r="BE583" s="34"/>
      <c r="BF583" s="34"/>
      <c r="BG583" s="34"/>
      <c r="BH583" s="34"/>
      <c r="BI583" s="34"/>
      <c r="BJ583" s="34"/>
      <c r="BK583" s="34"/>
      <c r="BL583" s="34"/>
      <c r="BM583" s="34"/>
      <c r="BN583" s="34"/>
      <c r="BO583" s="34"/>
      <c r="BP583" s="34"/>
      <c r="BQ583" s="34"/>
      <c r="BR583" s="34"/>
      <c r="BS583" s="34"/>
      <c r="BT583" s="34"/>
      <c r="BU583" s="34"/>
      <c r="BV583" s="34"/>
      <c r="BW583" s="34"/>
      <c r="BX583" s="34"/>
      <c r="BY583" s="34"/>
    </row>
    <row r="584" spans="1:77" x14ac:dyDescent="0.3">
      <c r="A584" s="39"/>
      <c r="B584" s="42"/>
      <c r="C584" s="42"/>
      <c r="D584" s="75"/>
      <c r="E584" s="75"/>
      <c r="F584" s="76"/>
      <c r="G584" s="47"/>
      <c r="H584" s="47"/>
      <c r="I584" s="75"/>
      <c r="J584" s="76"/>
      <c r="K584" s="76"/>
      <c r="L584" s="75"/>
      <c r="M584" s="49"/>
      <c r="N584" s="76"/>
      <c r="O584" s="49"/>
      <c r="P584" s="77"/>
      <c r="Q584" s="53"/>
      <c r="R584" s="54"/>
      <c r="S584" s="55"/>
      <c r="T584" s="56"/>
      <c r="U584" s="56"/>
      <c r="V584" s="42"/>
      <c r="W584" s="57"/>
      <c r="X584" s="58"/>
      <c r="Y584" s="75"/>
      <c r="Z584" s="59"/>
      <c r="AA584" s="61"/>
      <c r="AB584" s="61"/>
      <c r="AC584" s="61"/>
      <c r="AD584" s="62"/>
      <c r="AE584" s="62"/>
      <c r="AF584" s="34"/>
      <c r="AG584" s="34"/>
      <c r="AH584" s="34"/>
      <c r="AI584" s="34"/>
      <c r="AJ584" s="34"/>
      <c r="AK584" s="34"/>
      <c r="AL584" s="34"/>
      <c r="AM584" s="34"/>
      <c r="AN584" s="34"/>
      <c r="AO584" s="34"/>
      <c r="AP584" s="34"/>
      <c r="AQ584" s="34"/>
      <c r="AR584" s="34"/>
      <c r="AS584" s="34"/>
      <c r="AT584" s="34"/>
      <c r="AU584" s="34"/>
      <c r="AV584" s="34"/>
      <c r="AW584" s="34"/>
      <c r="AX584" s="34"/>
      <c r="AY584" s="34"/>
      <c r="AZ584" s="34"/>
      <c r="BA584" s="34"/>
      <c r="BB584" s="34"/>
      <c r="BD584" s="34"/>
      <c r="BE584" s="34"/>
      <c r="BF584" s="34"/>
      <c r="BG584" s="34"/>
      <c r="BH584" s="34"/>
      <c r="BI584" s="34"/>
      <c r="BJ584" s="34"/>
      <c r="BK584" s="34"/>
      <c r="BL584" s="34"/>
      <c r="BM584" s="34"/>
      <c r="BN584" s="34"/>
      <c r="BO584" s="34"/>
      <c r="BP584" s="34"/>
      <c r="BQ584" s="34"/>
      <c r="BR584" s="34"/>
      <c r="BS584" s="34"/>
      <c r="BT584" s="34"/>
      <c r="BU584" s="34"/>
      <c r="BV584" s="34"/>
      <c r="BW584" s="34"/>
      <c r="BX584" s="34"/>
      <c r="BY584" s="34"/>
    </row>
    <row r="585" spans="1:77" x14ac:dyDescent="0.3">
      <c r="A585" s="39"/>
      <c r="B585" s="42"/>
      <c r="C585" s="42"/>
      <c r="D585" s="75"/>
      <c r="E585" s="75"/>
      <c r="F585" s="76"/>
      <c r="G585" s="47"/>
      <c r="H585" s="47"/>
      <c r="I585" s="75"/>
      <c r="J585" s="76"/>
      <c r="K585" s="76"/>
      <c r="L585" s="75"/>
      <c r="M585" s="49"/>
      <c r="N585" s="76"/>
      <c r="O585" s="49"/>
      <c r="P585" s="77"/>
      <c r="Q585" s="53"/>
      <c r="R585" s="54"/>
      <c r="S585" s="55"/>
      <c r="T585" s="56"/>
      <c r="U585" s="56"/>
      <c r="V585" s="42"/>
      <c r="W585" s="57"/>
      <c r="X585" s="58"/>
      <c r="Y585" s="75"/>
      <c r="Z585" s="59"/>
      <c r="AA585" s="61"/>
      <c r="AB585" s="61"/>
      <c r="AC585" s="61"/>
      <c r="AD585" s="62"/>
      <c r="AE585" s="62"/>
      <c r="AF585" s="34"/>
      <c r="AG585" s="34"/>
      <c r="AH585" s="34"/>
      <c r="AI585" s="34"/>
      <c r="AJ585" s="34"/>
      <c r="AK585" s="34"/>
      <c r="AL585" s="34"/>
      <c r="AM585" s="34"/>
      <c r="AN585" s="34"/>
      <c r="AO585" s="34"/>
      <c r="AP585" s="34"/>
      <c r="AQ585" s="34"/>
      <c r="AR585" s="34"/>
      <c r="AS585" s="34"/>
      <c r="AT585" s="34"/>
      <c r="AU585" s="34"/>
      <c r="AV585" s="34"/>
      <c r="AW585" s="34"/>
      <c r="AX585" s="34"/>
      <c r="AY585" s="34"/>
      <c r="AZ585" s="34"/>
      <c r="BA585" s="34"/>
      <c r="BB585" s="34"/>
      <c r="BD585" s="34"/>
      <c r="BE585" s="34"/>
      <c r="BF585" s="34"/>
      <c r="BG585" s="34"/>
      <c r="BH585" s="34"/>
      <c r="BI585" s="34"/>
      <c r="BJ585" s="34"/>
      <c r="BK585" s="34"/>
      <c r="BL585" s="34"/>
      <c r="BM585" s="34"/>
      <c r="BN585" s="34"/>
      <c r="BO585" s="34"/>
      <c r="BP585" s="34"/>
      <c r="BQ585" s="34"/>
      <c r="BR585" s="34"/>
      <c r="BS585" s="34"/>
      <c r="BT585" s="34"/>
      <c r="BU585" s="34"/>
      <c r="BV585" s="34"/>
      <c r="BW585" s="34"/>
      <c r="BX585" s="34"/>
      <c r="BY585" s="34"/>
    </row>
    <row r="586" spans="1:77" x14ac:dyDescent="0.3">
      <c r="A586" s="39"/>
      <c r="B586" s="42"/>
      <c r="C586" s="42"/>
      <c r="D586" s="75"/>
      <c r="E586" s="75"/>
      <c r="F586" s="76"/>
      <c r="G586" s="47"/>
      <c r="H586" s="47"/>
      <c r="I586" s="75"/>
      <c r="J586" s="76"/>
      <c r="K586" s="76"/>
      <c r="L586" s="75"/>
      <c r="M586" s="49"/>
      <c r="N586" s="76"/>
      <c r="O586" s="49"/>
      <c r="P586" s="77"/>
      <c r="Q586" s="53"/>
      <c r="R586" s="54"/>
      <c r="S586" s="55"/>
      <c r="T586" s="56"/>
      <c r="U586" s="56"/>
      <c r="V586" s="42"/>
      <c r="W586" s="57"/>
      <c r="X586" s="58"/>
      <c r="Y586" s="75"/>
      <c r="Z586" s="59"/>
      <c r="AA586" s="61"/>
      <c r="AB586" s="61"/>
      <c r="AC586" s="61"/>
      <c r="AD586" s="62"/>
      <c r="AE586" s="62"/>
      <c r="AF586" s="34"/>
      <c r="AG586" s="34"/>
      <c r="AH586" s="34"/>
      <c r="AI586" s="34"/>
      <c r="AJ586" s="34"/>
      <c r="AK586" s="34"/>
      <c r="AL586" s="34"/>
      <c r="AM586" s="34"/>
      <c r="AN586" s="34"/>
      <c r="AO586" s="34"/>
      <c r="AP586" s="34"/>
      <c r="AQ586" s="34"/>
      <c r="AR586" s="34"/>
      <c r="AS586" s="34"/>
      <c r="AT586" s="34"/>
      <c r="AU586" s="34"/>
      <c r="AV586" s="34"/>
      <c r="AW586" s="34"/>
      <c r="AX586" s="34"/>
      <c r="AY586" s="34"/>
      <c r="AZ586" s="34"/>
      <c r="BA586" s="34"/>
      <c r="BB586" s="34"/>
      <c r="BD586" s="34"/>
      <c r="BE586" s="34"/>
      <c r="BF586" s="34"/>
      <c r="BG586" s="34"/>
      <c r="BH586" s="34"/>
      <c r="BI586" s="34"/>
      <c r="BJ586" s="34"/>
      <c r="BK586" s="34"/>
      <c r="BL586" s="34"/>
      <c r="BM586" s="34"/>
      <c r="BN586" s="34"/>
      <c r="BO586" s="34"/>
      <c r="BP586" s="34"/>
      <c r="BQ586" s="34"/>
      <c r="BR586" s="34"/>
      <c r="BS586" s="34"/>
      <c r="BT586" s="34"/>
      <c r="BU586" s="34"/>
      <c r="BV586" s="34"/>
      <c r="BW586" s="34"/>
      <c r="BX586" s="34"/>
      <c r="BY586" s="34"/>
    </row>
    <row r="587" spans="1:77" x14ac:dyDescent="0.3">
      <c r="A587" s="39"/>
      <c r="B587" s="42"/>
      <c r="C587" s="42"/>
      <c r="D587" s="75"/>
      <c r="E587" s="75"/>
      <c r="F587" s="76"/>
      <c r="G587" s="47"/>
      <c r="H587" s="47"/>
      <c r="I587" s="75"/>
      <c r="J587" s="76"/>
      <c r="K587" s="76"/>
      <c r="L587" s="75"/>
      <c r="M587" s="49"/>
      <c r="N587" s="76"/>
      <c r="O587" s="49"/>
      <c r="P587" s="77"/>
      <c r="Q587" s="53"/>
      <c r="R587" s="54"/>
      <c r="S587" s="55"/>
      <c r="T587" s="56"/>
      <c r="U587" s="56"/>
      <c r="V587" s="42"/>
      <c r="W587" s="57"/>
      <c r="X587" s="58"/>
      <c r="Y587" s="75"/>
      <c r="Z587" s="59"/>
      <c r="AA587" s="61"/>
      <c r="AB587" s="61"/>
      <c r="AC587" s="61"/>
      <c r="AD587" s="62"/>
      <c r="AE587" s="62"/>
      <c r="AF587" s="34"/>
      <c r="AG587" s="34"/>
      <c r="AH587" s="34"/>
      <c r="AI587" s="34"/>
      <c r="AJ587" s="34"/>
      <c r="AK587" s="34"/>
      <c r="AL587" s="34"/>
      <c r="AM587" s="34"/>
      <c r="AN587" s="34"/>
      <c r="AO587" s="34"/>
      <c r="AP587" s="34"/>
      <c r="AQ587" s="34"/>
      <c r="AR587" s="34"/>
      <c r="AS587" s="34"/>
      <c r="AT587" s="34"/>
      <c r="AU587" s="34"/>
      <c r="AV587" s="34"/>
      <c r="AW587" s="34"/>
      <c r="AX587" s="34"/>
      <c r="AY587" s="34"/>
      <c r="AZ587" s="34"/>
      <c r="BA587" s="34"/>
      <c r="BB587" s="34"/>
      <c r="BD587" s="34"/>
      <c r="BE587" s="34"/>
      <c r="BF587" s="34"/>
      <c r="BG587" s="34"/>
      <c r="BH587" s="34"/>
      <c r="BI587" s="34"/>
      <c r="BJ587" s="34"/>
      <c r="BK587" s="34"/>
      <c r="BL587" s="34"/>
      <c r="BM587" s="34"/>
      <c r="BN587" s="34"/>
      <c r="BO587" s="34"/>
      <c r="BP587" s="34"/>
      <c r="BQ587" s="34"/>
      <c r="BR587" s="34"/>
      <c r="BS587" s="34"/>
      <c r="BT587" s="34"/>
      <c r="BU587" s="34"/>
      <c r="BV587" s="34"/>
      <c r="BW587" s="34"/>
      <c r="BX587" s="34"/>
      <c r="BY587" s="34"/>
    </row>
    <row r="588" spans="1:77" x14ac:dyDescent="0.3">
      <c r="A588" s="39"/>
      <c r="B588" s="42"/>
      <c r="C588" s="42"/>
      <c r="D588" s="75"/>
      <c r="E588" s="75"/>
      <c r="F588" s="76"/>
      <c r="G588" s="47"/>
      <c r="H588" s="47"/>
      <c r="I588" s="75"/>
      <c r="J588" s="76"/>
      <c r="K588" s="76"/>
      <c r="L588" s="75"/>
      <c r="M588" s="49"/>
      <c r="N588" s="76"/>
      <c r="O588" s="49"/>
      <c r="P588" s="77"/>
      <c r="Q588" s="53"/>
      <c r="R588" s="54"/>
      <c r="S588" s="55"/>
      <c r="T588" s="56"/>
      <c r="U588" s="56"/>
      <c r="V588" s="42"/>
      <c r="W588" s="57"/>
      <c r="X588" s="58"/>
      <c r="Y588" s="75"/>
      <c r="Z588" s="59"/>
      <c r="AA588" s="61"/>
      <c r="AB588" s="61"/>
      <c r="AC588" s="61"/>
      <c r="AD588" s="62"/>
      <c r="AE588" s="62"/>
      <c r="AF588" s="34"/>
      <c r="AG588" s="34"/>
      <c r="AH588" s="34"/>
      <c r="AI588" s="34"/>
      <c r="AJ588" s="34"/>
      <c r="AK588" s="34"/>
      <c r="AL588" s="34"/>
      <c r="AM588" s="34"/>
      <c r="AN588" s="34"/>
      <c r="AO588" s="34"/>
      <c r="AP588" s="34"/>
      <c r="AQ588" s="34"/>
      <c r="AR588" s="34"/>
      <c r="AS588" s="34"/>
      <c r="AT588" s="34"/>
      <c r="AU588" s="34"/>
      <c r="AV588" s="34"/>
      <c r="AW588" s="34"/>
      <c r="AX588" s="34"/>
      <c r="AY588" s="34"/>
      <c r="AZ588" s="34"/>
      <c r="BA588" s="34"/>
      <c r="BB588" s="34"/>
      <c r="BD588" s="34"/>
      <c r="BE588" s="34"/>
      <c r="BF588" s="34"/>
      <c r="BG588" s="34"/>
      <c r="BH588" s="34"/>
      <c r="BI588" s="34"/>
      <c r="BJ588" s="34"/>
      <c r="BK588" s="34"/>
      <c r="BL588" s="34"/>
      <c r="BM588" s="34"/>
      <c r="BN588" s="34"/>
      <c r="BO588" s="34"/>
      <c r="BP588" s="34"/>
      <c r="BQ588" s="34"/>
      <c r="BR588" s="34"/>
      <c r="BS588" s="34"/>
      <c r="BT588" s="34"/>
      <c r="BU588" s="34"/>
      <c r="BV588" s="34"/>
      <c r="BW588" s="34"/>
      <c r="BX588" s="34"/>
      <c r="BY588" s="34"/>
    </row>
    <row r="589" spans="1:77" x14ac:dyDescent="0.3">
      <c r="A589" s="39"/>
      <c r="B589" s="42"/>
      <c r="C589" s="42"/>
      <c r="D589" s="75"/>
      <c r="E589" s="75"/>
      <c r="F589" s="76"/>
      <c r="G589" s="47"/>
      <c r="H589" s="47"/>
      <c r="I589" s="75"/>
      <c r="J589" s="76"/>
      <c r="K589" s="76"/>
      <c r="L589" s="75"/>
      <c r="M589" s="49"/>
      <c r="N589" s="76"/>
      <c r="O589" s="49"/>
      <c r="P589" s="77"/>
      <c r="Q589" s="53"/>
      <c r="R589" s="54"/>
      <c r="S589" s="55"/>
      <c r="T589" s="56"/>
      <c r="U589" s="56"/>
      <c r="V589" s="42"/>
      <c r="W589" s="57"/>
      <c r="X589" s="58"/>
      <c r="Y589" s="75"/>
      <c r="Z589" s="59"/>
      <c r="AA589" s="61"/>
      <c r="AB589" s="61"/>
      <c r="AC589" s="61"/>
      <c r="AD589" s="62"/>
      <c r="AE589" s="62"/>
      <c r="AF589" s="34"/>
      <c r="AG589" s="34"/>
      <c r="AH589" s="34"/>
      <c r="AI589" s="34"/>
      <c r="AJ589" s="34"/>
      <c r="AK589" s="34"/>
      <c r="AL589" s="34"/>
      <c r="AM589" s="34"/>
      <c r="AN589" s="34"/>
      <c r="AO589" s="34"/>
      <c r="AP589" s="34"/>
      <c r="AQ589" s="34"/>
      <c r="AR589" s="34"/>
      <c r="AS589" s="34"/>
      <c r="AT589" s="34"/>
      <c r="AU589" s="34"/>
      <c r="AV589" s="34"/>
      <c r="AW589" s="34"/>
      <c r="AX589" s="34"/>
      <c r="AY589" s="34"/>
      <c r="AZ589" s="34"/>
      <c r="BA589" s="34"/>
      <c r="BB589" s="34"/>
      <c r="BD589" s="34"/>
      <c r="BE589" s="34"/>
      <c r="BF589" s="34"/>
      <c r="BG589" s="34"/>
      <c r="BH589" s="34"/>
      <c r="BI589" s="34"/>
      <c r="BJ589" s="34"/>
      <c r="BK589" s="34"/>
      <c r="BL589" s="34"/>
      <c r="BM589" s="34"/>
      <c r="BN589" s="34"/>
      <c r="BO589" s="34"/>
      <c r="BP589" s="34"/>
      <c r="BQ589" s="34"/>
      <c r="BR589" s="34"/>
      <c r="BS589" s="34"/>
      <c r="BT589" s="34"/>
      <c r="BU589" s="34"/>
      <c r="BV589" s="34"/>
      <c r="BW589" s="34"/>
      <c r="BX589" s="34"/>
      <c r="BY589" s="34"/>
    </row>
    <row r="590" spans="1:77" x14ac:dyDescent="0.3">
      <c r="A590" s="39"/>
      <c r="B590" s="42"/>
      <c r="C590" s="42"/>
      <c r="D590" s="75"/>
      <c r="E590" s="75"/>
      <c r="F590" s="76"/>
      <c r="G590" s="47"/>
      <c r="H590" s="47"/>
      <c r="I590" s="75"/>
      <c r="J590" s="76"/>
      <c r="K590" s="76"/>
      <c r="L590" s="75"/>
      <c r="M590" s="49"/>
      <c r="N590" s="76"/>
      <c r="O590" s="49"/>
      <c r="P590" s="77"/>
      <c r="Q590" s="53"/>
      <c r="R590" s="54"/>
      <c r="S590" s="55"/>
      <c r="T590" s="56"/>
      <c r="U590" s="56"/>
      <c r="V590" s="42"/>
      <c r="W590" s="57"/>
      <c r="X590" s="58"/>
      <c r="Y590" s="75"/>
      <c r="Z590" s="59"/>
      <c r="AA590" s="61"/>
      <c r="AB590" s="61"/>
      <c r="AC590" s="61"/>
      <c r="AD590" s="62"/>
      <c r="AE590" s="62"/>
      <c r="AF590" s="34"/>
      <c r="AG590" s="34"/>
      <c r="AH590" s="34"/>
      <c r="AI590" s="34"/>
      <c r="AJ590" s="34"/>
      <c r="AK590" s="34"/>
      <c r="AL590" s="34"/>
      <c r="AM590" s="34"/>
      <c r="AN590" s="34"/>
      <c r="AO590" s="34"/>
      <c r="AP590" s="34"/>
      <c r="AQ590" s="34"/>
      <c r="AR590" s="34"/>
      <c r="AS590" s="34"/>
      <c r="AT590" s="34"/>
      <c r="AU590" s="34"/>
      <c r="AV590" s="34"/>
      <c r="AW590" s="34"/>
      <c r="AX590" s="34"/>
      <c r="AY590" s="34"/>
      <c r="AZ590" s="34"/>
      <c r="BA590" s="34"/>
      <c r="BB590" s="34"/>
      <c r="BD590" s="34"/>
      <c r="BE590" s="34"/>
      <c r="BF590" s="34"/>
      <c r="BG590" s="34"/>
      <c r="BH590" s="34"/>
      <c r="BI590" s="34"/>
      <c r="BJ590" s="34"/>
      <c r="BK590" s="34"/>
      <c r="BL590" s="34"/>
      <c r="BM590" s="34"/>
      <c r="BN590" s="34"/>
      <c r="BO590" s="34"/>
      <c r="BP590" s="34"/>
      <c r="BQ590" s="34"/>
      <c r="BR590" s="34"/>
      <c r="BS590" s="34"/>
      <c r="BT590" s="34"/>
      <c r="BU590" s="34"/>
      <c r="BV590" s="34"/>
      <c r="BW590" s="34"/>
      <c r="BX590" s="34"/>
      <c r="BY590" s="34"/>
    </row>
    <row r="591" spans="1:77" x14ac:dyDescent="0.3">
      <c r="A591" s="39"/>
      <c r="B591" s="42"/>
      <c r="C591" s="42"/>
      <c r="D591" s="75"/>
      <c r="E591" s="75"/>
      <c r="F591" s="76"/>
      <c r="G591" s="47"/>
      <c r="H591" s="47"/>
      <c r="I591" s="75"/>
      <c r="J591" s="76"/>
      <c r="K591" s="76"/>
      <c r="L591" s="75"/>
      <c r="M591" s="49"/>
      <c r="N591" s="76"/>
      <c r="O591" s="49"/>
      <c r="P591" s="77"/>
      <c r="Q591" s="53"/>
      <c r="R591" s="54"/>
      <c r="S591" s="55"/>
      <c r="T591" s="56"/>
      <c r="U591" s="56"/>
      <c r="V591" s="42"/>
      <c r="W591" s="57"/>
      <c r="X591" s="58"/>
      <c r="Y591" s="75"/>
      <c r="Z591" s="59"/>
      <c r="AA591" s="61"/>
      <c r="AB591" s="61"/>
      <c r="AC591" s="61"/>
      <c r="AD591" s="62"/>
      <c r="AE591" s="62"/>
      <c r="AF591" s="34"/>
      <c r="AG591" s="34"/>
      <c r="AH591" s="34"/>
      <c r="AI591" s="34"/>
      <c r="AJ591" s="34"/>
      <c r="AK591" s="34"/>
      <c r="AL591" s="34"/>
      <c r="AM591" s="34"/>
      <c r="AN591" s="34"/>
      <c r="AO591" s="34"/>
      <c r="AP591" s="34"/>
      <c r="AQ591" s="34"/>
      <c r="AR591" s="34"/>
      <c r="AS591" s="34"/>
      <c r="AT591" s="34"/>
      <c r="AU591" s="34"/>
      <c r="AV591" s="34"/>
      <c r="AW591" s="34"/>
      <c r="AX591" s="34"/>
      <c r="AY591" s="34"/>
      <c r="AZ591" s="34"/>
      <c r="BA591" s="34"/>
      <c r="BB591" s="34"/>
      <c r="BD591" s="34"/>
      <c r="BE591" s="34"/>
      <c r="BF591" s="34"/>
      <c r="BG591" s="34"/>
      <c r="BH591" s="34"/>
      <c r="BI591" s="34"/>
      <c r="BJ591" s="34"/>
      <c r="BK591" s="34"/>
      <c r="BL591" s="34"/>
      <c r="BM591" s="34"/>
      <c r="BN591" s="34"/>
      <c r="BO591" s="34"/>
      <c r="BP591" s="34"/>
      <c r="BQ591" s="34"/>
      <c r="BR591" s="34"/>
      <c r="BS591" s="34"/>
      <c r="BT591" s="34"/>
      <c r="BU591" s="34"/>
      <c r="BV591" s="34"/>
      <c r="BW591" s="34"/>
      <c r="BX591" s="34"/>
      <c r="BY591" s="34"/>
    </row>
    <row r="592" spans="1:77" x14ac:dyDescent="0.3">
      <c r="A592" s="39"/>
      <c r="B592" s="42"/>
      <c r="C592" s="42"/>
      <c r="D592" s="75"/>
      <c r="E592" s="75"/>
      <c r="F592" s="76"/>
      <c r="G592" s="47"/>
      <c r="H592" s="47"/>
      <c r="I592" s="75"/>
      <c r="J592" s="76"/>
      <c r="K592" s="76"/>
      <c r="L592" s="75"/>
      <c r="M592" s="49"/>
      <c r="N592" s="76"/>
      <c r="O592" s="49"/>
      <c r="P592" s="77"/>
      <c r="Q592" s="53"/>
      <c r="R592" s="54"/>
      <c r="S592" s="55"/>
      <c r="T592" s="56"/>
      <c r="U592" s="56"/>
      <c r="V592" s="42"/>
      <c r="W592" s="57"/>
      <c r="X592" s="58"/>
      <c r="Y592" s="75"/>
      <c r="Z592" s="59"/>
      <c r="AA592" s="61"/>
      <c r="AB592" s="61"/>
      <c r="AC592" s="61"/>
      <c r="AD592" s="62"/>
      <c r="AE592" s="62"/>
      <c r="AF592" s="34"/>
      <c r="AG592" s="34"/>
      <c r="AH592" s="34"/>
      <c r="AI592" s="34"/>
      <c r="AJ592" s="34"/>
      <c r="AK592" s="34"/>
      <c r="AL592" s="34"/>
      <c r="AM592" s="34"/>
      <c r="AN592" s="34"/>
      <c r="AO592" s="34"/>
      <c r="AP592" s="34"/>
      <c r="AQ592" s="34"/>
      <c r="AR592" s="34"/>
      <c r="AS592" s="34"/>
      <c r="AT592" s="34"/>
      <c r="AU592" s="34"/>
      <c r="AV592" s="34"/>
      <c r="AW592" s="34"/>
      <c r="AX592" s="34"/>
      <c r="AY592" s="34"/>
      <c r="AZ592" s="34"/>
      <c r="BA592" s="34"/>
      <c r="BB592" s="34"/>
      <c r="BD592" s="34"/>
      <c r="BE592" s="34"/>
      <c r="BF592" s="34"/>
      <c r="BG592" s="34"/>
      <c r="BH592" s="34"/>
      <c r="BI592" s="34"/>
      <c r="BJ592" s="34"/>
      <c r="BK592" s="34"/>
      <c r="BL592" s="34"/>
      <c r="BM592" s="34"/>
      <c r="BN592" s="34"/>
      <c r="BO592" s="34"/>
      <c r="BP592" s="34"/>
      <c r="BQ592" s="34"/>
      <c r="BR592" s="34"/>
      <c r="BS592" s="34"/>
      <c r="BT592" s="34"/>
      <c r="BU592" s="34"/>
      <c r="BV592" s="34"/>
      <c r="BW592" s="34"/>
      <c r="BX592" s="34"/>
      <c r="BY592" s="34"/>
    </row>
    <row r="593" spans="1:77" x14ac:dyDescent="0.3">
      <c r="A593" s="39"/>
      <c r="B593" s="42"/>
      <c r="C593" s="42"/>
      <c r="D593" s="75"/>
      <c r="E593" s="75"/>
      <c r="F593" s="76"/>
      <c r="G593" s="47"/>
      <c r="H593" s="47"/>
      <c r="I593" s="75"/>
      <c r="J593" s="76"/>
      <c r="K593" s="76"/>
      <c r="L593" s="75"/>
      <c r="M593" s="49"/>
      <c r="N593" s="76"/>
      <c r="O593" s="49"/>
      <c r="P593" s="77"/>
      <c r="Q593" s="53"/>
      <c r="R593" s="54"/>
      <c r="S593" s="55"/>
      <c r="T593" s="56"/>
      <c r="U593" s="56"/>
      <c r="V593" s="42"/>
      <c r="W593" s="57"/>
      <c r="X593" s="58"/>
      <c r="Y593" s="75"/>
      <c r="Z593" s="59"/>
      <c r="AA593" s="61"/>
      <c r="AB593" s="61"/>
      <c r="AC593" s="61"/>
      <c r="AD593" s="62"/>
      <c r="AE593" s="62"/>
      <c r="AF593" s="34"/>
      <c r="AG593" s="34"/>
      <c r="AH593" s="34"/>
      <c r="AI593" s="34"/>
      <c r="AJ593" s="34"/>
      <c r="AK593" s="34"/>
      <c r="AL593" s="34"/>
      <c r="AM593" s="34"/>
      <c r="AN593" s="34"/>
      <c r="AO593" s="34"/>
      <c r="AP593" s="34"/>
      <c r="AQ593" s="34"/>
      <c r="AR593" s="34"/>
      <c r="AS593" s="34"/>
      <c r="AT593" s="34"/>
      <c r="AU593" s="34"/>
      <c r="AV593" s="34"/>
      <c r="AW593" s="34"/>
      <c r="AX593" s="34"/>
      <c r="AY593" s="34"/>
      <c r="AZ593" s="34"/>
      <c r="BA593" s="34"/>
      <c r="BB593" s="34"/>
      <c r="BD593" s="34"/>
      <c r="BE593" s="34"/>
      <c r="BF593" s="34"/>
      <c r="BG593" s="34"/>
      <c r="BH593" s="34"/>
      <c r="BI593" s="34"/>
      <c r="BJ593" s="34"/>
      <c r="BK593" s="34"/>
      <c r="BL593" s="34"/>
      <c r="BM593" s="34"/>
      <c r="BN593" s="34"/>
      <c r="BO593" s="34"/>
      <c r="BP593" s="34"/>
      <c r="BQ593" s="34"/>
      <c r="BR593" s="34"/>
      <c r="BS593" s="34"/>
      <c r="BT593" s="34"/>
      <c r="BU593" s="34"/>
      <c r="BV593" s="34"/>
      <c r="BW593" s="34"/>
      <c r="BX593" s="34"/>
      <c r="BY593" s="34"/>
    </row>
    <row r="594" spans="1:77" x14ac:dyDescent="0.3">
      <c r="A594" s="39"/>
      <c r="B594" s="42"/>
      <c r="C594" s="42"/>
      <c r="D594" s="75"/>
      <c r="E594" s="75"/>
      <c r="F594" s="76"/>
      <c r="G594" s="47"/>
      <c r="H594" s="47"/>
      <c r="I594" s="75"/>
      <c r="J594" s="76"/>
      <c r="K594" s="76"/>
      <c r="L594" s="75"/>
      <c r="M594" s="49"/>
      <c r="N594" s="76"/>
      <c r="O594" s="49"/>
      <c r="P594" s="77"/>
      <c r="Q594" s="53"/>
      <c r="R594" s="54"/>
      <c r="S594" s="55"/>
      <c r="T594" s="56"/>
      <c r="U594" s="56"/>
      <c r="V594" s="42"/>
      <c r="W594" s="57"/>
      <c r="X594" s="58"/>
      <c r="Y594" s="75"/>
      <c r="Z594" s="59"/>
      <c r="AA594" s="61"/>
      <c r="AB594" s="61"/>
      <c r="AC594" s="61"/>
      <c r="AD594" s="62"/>
      <c r="AE594" s="62"/>
      <c r="AF594" s="34"/>
      <c r="AG594" s="34"/>
      <c r="AH594" s="34"/>
      <c r="AI594" s="34"/>
      <c r="AJ594" s="34"/>
      <c r="AK594" s="34"/>
      <c r="AL594" s="34"/>
      <c r="AM594" s="34"/>
      <c r="AN594" s="34"/>
      <c r="AO594" s="34"/>
      <c r="AP594" s="34"/>
      <c r="AQ594" s="34"/>
      <c r="AR594" s="34"/>
      <c r="AS594" s="34"/>
      <c r="AT594" s="34"/>
      <c r="AU594" s="34"/>
      <c r="AV594" s="34"/>
      <c r="AW594" s="34"/>
      <c r="AX594" s="34"/>
      <c r="AY594" s="34"/>
      <c r="AZ594" s="34"/>
      <c r="BA594" s="34"/>
      <c r="BB594" s="34"/>
      <c r="BD594" s="34"/>
      <c r="BE594" s="34"/>
      <c r="BF594" s="34"/>
      <c r="BG594" s="34"/>
      <c r="BH594" s="34"/>
      <c r="BI594" s="34"/>
      <c r="BJ594" s="34"/>
      <c r="BK594" s="34"/>
      <c r="BL594" s="34"/>
      <c r="BM594" s="34"/>
      <c r="BN594" s="34"/>
      <c r="BO594" s="34"/>
      <c r="BP594" s="34"/>
      <c r="BQ594" s="34"/>
      <c r="BR594" s="34"/>
      <c r="BS594" s="34"/>
      <c r="BT594" s="34"/>
      <c r="BU594" s="34"/>
      <c r="BV594" s="34"/>
      <c r="BW594" s="34"/>
      <c r="BX594" s="34"/>
      <c r="BY594" s="34"/>
    </row>
    <row r="595" spans="1:77" x14ac:dyDescent="0.3">
      <c r="A595" s="39"/>
      <c r="B595" s="42"/>
      <c r="C595" s="42"/>
      <c r="D595" s="75"/>
      <c r="E595" s="75"/>
      <c r="F595" s="76"/>
      <c r="G595" s="47"/>
      <c r="H595" s="47"/>
      <c r="I595" s="75"/>
      <c r="J595" s="76"/>
      <c r="K595" s="76"/>
      <c r="L595" s="75"/>
      <c r="M595" s="49"/>
      <c r="N595" s="76"/>
      <c r="O595" s="49"/>
      <c r="P595" s="77"/>
      <c r="Q595" s="53"/>
      <c r="R595" s="54"/>
      <c r="S595" s="55"/>
      <c r="T595" s="56"/>
      <c r="U595" s="56"/>
      <c r="V595" s="42"/>
      <c r="W595" s="57"/>
      <c r="X595" s="58"/>
      <c r="Y595" s="75"/>
      <c r="Z595" s="59"/>
      <c r="AA595" s="61"/>
      <c r="AB595" s="61"/>
      <c r="AC595" s="61"/>
      <c r="AD595" s="62"/>
      <c r="AE595" s="62"/>
      <c r="AF595" s="34"/>
      <c r="AG595" s="34"/>
      <c r="AH595" s="34"/>
      <c r="AI595" s="34"/>
      <c r="AJ595" s="34"/>
      <c r="AK595" s="34"/>
      <c r="AL595" s="34"/>
      <c r="AM595" s="34"/>
      <c r="AN595" s="34"/>
      <c r="AO595" s="34"/>
      <c r="AP595" s="34"/>
      <c r="AQ595" s="34"/>
      <c r="AR595" s="34"/>
      <c r="AS595" s="34"/>
      <c r="AT595" s="34"/>
      <c r="AU595" s="34"/>
      <c r="AV595" s="34"/>
      <c r="AW595" s="34"/>
      <c r="AX595" s="34"/>
      <c r="AY595" s="34"/>
      <c r="AZ595" s="34"/>
      <c r="BA595" s="34"/>
      <c r="BB595" s="34"/>
      <c r="BD595" s="34"/>
      <c r="BE595" s="34"/>
      <c r="BF595" s="34"/>
      <c r="BG595" s="34"/>
      <c r="BH595" s="34"/>
      <c r="BI595" s="34"/>
      <c r="BJ595" s="34"/>
      <c r="BK595" s="34"/>
      <c r="BL595" s="34"/>
      <c r="BM595" s="34"/>
      <c r="BN595" s="34"/>
      <c r="BO595" s="34"/>
      <c r="BP595" s="34"/>
      <c r="BQ595" s="34"/>
      <c r="BR595" s="34"/>
      <c r="BS595" s="34"/>
      <c r="BT595" s="34"/>
      <c r="BU595" s="34"/>
      <c r="BV595" s="34"/>
      <c r="BW595" s="34"/>
      <c r="BX595" s="34"/>
      <c r="BY595" s="34"/>
    </row>
    <row r="596" spans="1:77" x14ac:dyDescent="0.3">
      <c r="A596" s="39"/>
      <c r="B596" s="42"/>
      <c r="C596" s="42"/>
      <c r="D596" s="75"/>
      <c r="E596" s="75"/>
      <c r="F596" s="76"/>
      <c r="G596" s="47"/>
      <c r="H596" s="47"/>
      <c r="I596" s="75"/>
      <c r="J596" s="76"/>
      <c r="K596" s="76"/>
      <c r="L596" s="75"/>
      <c r="M596" s="49"/>
      <c r="N596" s="76"/>
      <c r="O596" s="49"/>
      <c r="P596" s="77"/>
      <c r="Q596" s="53"/>
      <c r="R596" s="54"/>
      <c r="S596" s="55"/>
      <c r="T596" s="56"/>
      <c r="U596" s="56"/>
      <c r="V596" s="42"/>
      <c r="W596" s="57"/>
      <c r="X596" s="58"/>
      <c r="Y596" s="75"/>
      <c r="Z596" s="59"/>
      <c r="AA596" s="61"/>
      <c r="AB596" s="61"/>
      <c r="AC596" s="61"/>
      <c r="AD596" s="62"/>
      <c r="AE596" s="62"/>
      <c r="AF596" s="34"/>
      <c r="AG596" s="34"/>
      <c r="AH596" s="34"/>
      <c r="AI596" s="34"/>
      <c r="AJ596" s="34"/>
      <c r="AK596" s="34"/>
      <c r="AL596" s="34"/>
      <c r="AM596" s="34"/>
      <c r="AN596" s="34"/>
      <c r="AO596" s="34"/>
      <c r="AP596" s="34"/>
      <c r="AQ596" s="34"/>
      <c r="AR596" s="34"/>
      <c r="AS596" s="34"/>
      <c r="AT596" s="34"/>
      <c r="AU596" s="34"/>
      <c r="AV596" s="34"/>
      <c r="AW596" s="34"/>
      <c r="AX596" s="34"/>
      <c r="AY596" s="34"/>
      <c r="AZ596" s="34"/>
      <c r="BA596" s="34"/>
      <c r="BB596" s="34"/>
      <c r="BD596" s="34"/>
      <c r="BE596" s="34"/>
      <c r="BF596" s="34"/>
      <c r="BG596" s="34"/>
      <c r="BH596" s="34"/>
      <c r="BI596" s="34"/>
      <c r="BJ596" s="34"/>
      <c r="BK596" s="34"/>
      <c r="BL596" s="34"/>
      <c r="BM596" s="34"/>
      <c r="BN596" s="34"/>
      <c r="BO596" s="34"/>
      <c r="BP596" s="34"/>
      <c r="BQ596" s="34"/>
      <c r="BR596" s="34"/>
      <c r="BS596" s="34"/>
      <c r="BT596" s="34"/>
      <c r="BU596" s="34"/>
      <c r="BV596" s="34"/>
      <c r="BW596" s="34"/>
      <c r="BX596" s="34"/>
      <c r="BY596" s="34"/>
    </row>
    <row r="597" spans="1:77" x14ac:dyDescent="0.3">
      <c r="A597" s="39"/>
      <c r="B597" s="42"/>
      <c r="C597" s="42"/>
      <c r="D597" s="75"/>
      <c r="E597" s="75"/>
      <c r="F597" s="76"/>
      <c r="G597" s="47"/>
      <c r="H597" s="47"/>
      <c r="I597" s="75"/>
      <c r="J597" s="76"/>
      <c r="K597" s="76"/>
      <c r="L597" s="75"/>
      <c r="M597" s="49"/>
      <c r="N597" s="76"/>
      <c r="O597" s="49"/>
      <c r="P597" s="77"/>
      <c r="Q597" s="53"/>
      <c r="R597" s="54"/>
      <c r="S597" s="55"/>
      <c r="T597" s="56"/>
      <c r="U597" s="56"/>
      <c r="V597" s="42"/>
      <c r="W597" s="57"/>
      <c r="X597" s="58"/>
      <c r="Y597" s="75"/>
      <c r="Z597" s="59"/>
      <c r="AA597" s="61"/>
      <c r="AB597" s="61"/>
      <c r="AC597" s="61"/>
      <c r="AD597" s="62"/>
      <c r="AE597" s="62"/>
      <c r="AF597" s="34"/>
      <c r="AG597" s="34"/>
      <c r="AH597" s="34"/>
      <c r="AI597" s="34"/>
      <c r="AJ597" s="34"/>
      <c r="AK597" s="34"/>
      <c r="AL597" s="34"/>
      <c r="AM597" s="34"/>
      <c r="AN597" s="34"/>
      <c r="AO597" s="34"/>
      <c r="AP597" s="34"/>
      <c r="AQ597" s="34"/>
      <c r="AR597" s="34"/>
      <c r="AS597" s="34"/>
      <c r="AT597" s="34"/>
      <c r="AU597" s="34"/>
      <c r="AV597" s="34"/>
      <c r="AW597" s="34"/>
      <c r="AX597" s="34"/>
      <c r="AY597" s="34"/>
      <c r="AZ597" s="34"/>
      <c r="BA597" s="34"/>
      <c r="BB597" s="34"/>
      <c r="BD597" s="34"/>
      <c r="BE597" s="34"/>
      <c r="BF597" s="34"/>
      <c r="BG597" s="34"/>
      <c r="BH597" s="34"/>
      <c r="BI597" s="34"/>
      <c r="BJ597" s="34"/>
      <c r="BK597" s="34"/>
      <c r="BL597" s="34"/>
      <c r="BM597" s="34"/>
      <c r="BN597" s="34"/>
      <c r="BO597" s="34"/>
      <c r="BP597" s="34"/>
      <c r="BQ597" s="34"/>
      <c r="BR597" s="34"/>
      <c r="BS597" s="34"/>
      <c r="BT597" s="34"/>
      <c r="BU597" s="34"/>
      <c r="BV597" s="34"/>
      <c r="BW597" s="34"/>
      <c r="BX597" s="34"/>
      <c r="BY597" s="34"/>
    </row>
    <row r="598" spans="1:77" x14ac:dyDescent="0.3">
      <c r="A598" s="39"/>
      <c r="B598" s="42"/>
      <c r="C598" s="42"/>
      <c r="D598" s="75"/>
      <c r="E598" s="75"/>
      <c r="F598" s="76"/>
      <c r="G598" s="47"/>
      <c r="H598" s="47"/>
      <c r="I598" s="75"/>
      <c r="J598" s="76"/>
      <c r="K598" s="76"/>
      <c r="L598" s="75"/>
      <c r="M598" s="49"/>
      <c r="N598" s="76"/>
      <c r="O598" s="49"/>
      <c r="P598" s="77"/>
      <c r="Q598" s="53"/>
      <c r="R598" s="54"/>
      <c r="S598" s="55"/>
      <c r="T598" s="56"/>
      <c r="U598" s="56"/>
      <c r="V598" s="42"/>
      <c r="W598" s="57"/>
      <c r="X598" s="58"/>
      <c r="Y598" s="75"/>
      <c r="Z598" s="59"/>
      <c r="AA598" s="61"/>
      <c r="AB598" s="61"/>
      <c r="AC598" s="61"/>
      <c r="AD598" s="62"/>
      <c r="AE598" s="62"/>
      <c r="AF598" s="34"/>
      <c r="AG598" s="34"/>
      <c r="AH598" s="34"/>
      <c r="AI598" s="34"/>
      <c r="AJ598" s="34"/>
      <c r="AK598" s="34"/>
      <c r="AL598" s="34"/>
      <c r="AM598" s="34"/>
      <c r="AN598" s="34"/>
      <c r="AO598" s="34"/>
      <c r="AP598" s="34"/>
      <c r="AQ598" s="34"/>
      <c r="AR598" s="34"/>
      <c r="AS598" s="34"/>
      <c r="AT598" s="34"/>
      <c r="AU598" s="34"/>
      <c r="AV598" s="34"/>
      <c r="AW598" s="34"/>
      <c r="AX598" s="34"/>
      <c r="AY598" s="34"/>
      <c r="AZ598" s="34"/>
      <c r="BA598" s="34"/>
      <c r="BB598" s="34"/>
      <c r="BD598" s="34"/>
      <c r="BE598" s="34"/>
      <c r="BF598" s="34"/>
      <c r="BG598" s="34"/>
      <c r="BH598" s="34"/>
      <c r="BI598" s="34"/>
      <c r="BJ598" s="34"/>
      <c r="BK598" s="34"/>
      <c r="BL598" s="34"/>
      <c r="BM598" s="34"/>
      <c r="BN598" s="34"/>
      <c r="BO598" s="34"/>
      <c r="BP598" s="34"/>
      <c r="BQ598" s="34"/>
      <c r="BR598" s="34"/>
      <c r="BS598" s="34"/>
      <c r="BT598" s="34"/>
      <c r="BU598" s="34"/>
      <c r="BV598" s="34"/>
      <c r="BW598" s="34"/>
      <c r="BX598" s="34"/>
      <c r="BY598" s="34"/>
    </row>
    <row r="599" spans="1:77" x14ac:dyDescent="0.3">
      <c r="A599" s="39"/>
      <c r="B599" s="42"/>
      <c r="C599" s="42"/>
      <c r="D599" s="75"/>
      <c r="E599" s="75"/>
      <c r="F599" s="76"/>
      <c r="G599" s="47"/>
      <c r="H599" s="47"/>
      <c r="I599" s="75"/>
      <c r="J599" s="76"/>
      <c r="K599" s="76"/>
      <c r="L599" s="75"/>
      <c r="M599" s="49"/>
      <c r="N599" s="76"/>
      <c r="O599" s="49"/>
      <c r="P599" s="77"/>
      <c r="Q599" s="53"/>
      <c r="R599" s="54"/>
      <c r="S599" s="55"/>
      <c r="T599" s="56"/>
      <c r="U599" s="56"/>
      <c r="V599" s="42"/>
      <c r="W599" s="57"/>
      <c r="X599" s="58"/>
      <c r="Y599" s="75"/>
      <c r="Z599" s="59"/>
      <c r="AA599" s="61"/>
      <c r="AB599" s="61"/>
      <c r="AC599" s="61"/>
      <c r="AD599" s="62"/>
      <c r="AE599" s="62"/>
      <c r="AF599" s="34"/>
      <c r="AG599" s="34"/>
      <c r="AH599" s="34"/>
      <c r="AI599" s="34"/>
      <c r="AJ599" s="34"/>
      <c r="AK599" s="34"/>
      <c r="AL599" s="34"/>
      <c r="AM599" s="34"/>
      <c r="AN599" s="34"/>
      <c r="AO599" s="34"/>
      <c r="AP599" s="34"/>
      <c r="AQ599" s="34"/>
      <c r="AR599" s="34"/>
      <c r="AS599" s="34"/>
      <c r="AT599" s="34"/>
      <c r="AU599" s="34"/>
      <c r="AV599" s="34"/>
      <c r="AW599" s="34"/>
      <c r="AX599" s="34"/>
      <c r="AY599" s="34"/>
      <c r="AZ599" s="34"/>
      <c r="BA599" s="34"/>
      <c r="BB599" s="34"/>
      <c r="BD599" s="34"/>
      <c r="BE599" s="34"/>
      <c r="BF599" s="34"/>
      <c r="BG599" s="34"/>
      <c r="BH599" s="34"/>
      <c r="BI599" s="34"/>
      <c r="BJ599" s="34"/>
      <c r="BK599" s="34"/>
      <c r="BL599" s="34"/>
      <c r="BM599" s="34"/>
      <c r="BN599" s="34"/>
      <c r="BO599" s="34"/>
      <c r="BP599" s="34"/>
      <c r="BQ599" s="34"/>
      <c r="BR599" s="34"/>
      <c r="BS599" s="34"/>
      <c r="BT599" s="34"/>
      <c r="BU599" s="34"/>
      <c r="BV599" s="34"/>
      <c r="BW599" s="34"/>
      <c r="BX599" s="34"/>
      <c r="BY599" s="34"/>
    </row>
    <row r="600" spans="1:77" x14ac:dyDescent="0.3">
      <c r="A600" s="39"/>
      <c r="B600" s="42"/>
      <c r="C600" s="42"/>
      <c r="D600" s="75"/>
      <c r="E600" s="75"/>
      <c r="F600" s="76"/>
      <c r="G600" s="47"/>
      <c r="H600" s="47"/>
      <c r="I600" s="75"/>
      <c r="J600" s="76"/>
      <c r="K600" s="76"/>
      <c r="L600" s="75"/>
      <c r="M600" s="49"/>
      <c r="N600" s="76"/>
      <c r="O600" s="49"/>
      <c r="P600" s="77"/>
      <c r="Q600" s="53"/>
      <c r="R600" s="54"/>
      <c r="S600" s="55"/>
      <c r="T600" s="56"/>
      <c r="U600" s="56"/>
      <c r="V600" s="42"/>
      <c r="W600" s="57"/>
      <c r="X600" s="58"/>
      <c r="Y600" s="75"/>
      <c r="Z600" s="59"/>
      <c r="AA600" s="61"/>
      <c r="AB600" s="61"/>
      <c r="AC600" s="61"/>
      <c r="AD600" s="62"/>
      <c r="AE600" s="62"/>
      <c r="AF600" s="34"/>
      <c r="AG600" s="34"/>
      <c r="AH600" s="34"/>
      <c r="AI600" s="34"/>
      <c r="AJ600" s="34"/>
      <c r="AK600" s="34"/>
      <c r="AL600" s="34"/>
      <c r="AM600" s="34"/>
      <c r="AN600" s="34"/>
      <c r="AO600" s="34"/>
      <c r="AP600" s="34"/>
      <c r="AQ600" s="34"/>
      <c r="AR600" s="34"/>
      <c r="AS600" s="34"/>
      <c r="AT600" s="34"/>
      <c r="AU600" s="34"/>
      <c r="AV600" s="34"/>
      <c r="AW600" s="34"/>
      <c r="AX600" s="34"/>
      <c r="AY600" s="34"/>
      <c r="AZ600" s="34"/>
      <c r="BA600" s="34"/>
      <c r="BB600" s="34"/>
      <c r="BD600" s="34"/>
      <c r="BE600" s="34"/>
      <c r="BF600" s="34"/>
      <c r="BG600" s="34"/>
      <c r="BH600" s="34"/>
      <c r="BI600" s="34"/>
      <c r="BJ600" s="34"/>
      <c r="BK600" s="34"/>
      <c r="BL600" s="34"/>
      <c r="BM600" s="34"/>
      <c r="BN600" s="34"/>
      <c r="BO600" s="34"/>
      <c r="BP600" s="34"/>
      <c r="BQ600" s="34"/>
      <c r="BR600" s="34"/>
      <c r="BS600" s="34"/>
      <c r="BT600" s="34"/>
      <c r="BU600" s="34"/>
      <c r="BV600" s="34"/>
      <c r="BW600" s="34"/>
      <c r="BX600" s="34"/>
      <c r="BY600" s="34"/>
    </row>
    <row r="601" spans="1:77" x14ac:dyDescent="0.3">
      <c r="A601" s="39"/>
      <c r="B601" s="42"/>
      <c r="C601" s="42"/>
      <c r="D601" s="75"/>
      <c r="E601" s="75"/>
      <c r="F601" s="76"/>
      <c r="G601" s="47"/>
      <c r="H601" s="47"/>
      <c r="I601" s="75"/>
      <c r="J601" s="76"/>
      <c r="K601" s="76"/>
      <c r="L601" s="75"/>
      <c r="M601" s="49"/>
      <c r="N601" s="76"/>
      <c r="O601" s="49"/>
      <c r="P601" s="77"/>
      <c r="Q601" s="53"/>
      <c r="R601" s="54"/>
      <c r="S601" s="55"/>
      <c r="T601" s="56"/>
      <c r="U601" s="56"/>
      <c r="V601" s="42"/>
      <c r="W601" s="57"/>
      <c r="X601" s="58"/>
      <c r="Y601" s="75"/>
      <c r="Z601" s="59"/>
      <c r="AA601" s="61"/>
      <c r="AB601" s="61"/>
      <c r="AC601" s="61"/>
      <c r="AD601" s="62"/>
      <c r="AE601" s="62"/>
      <c r="AF601" s="34"/>
      <c r="AG601" s="34"/>
      <c r="AH601" s="34"/>
      <c r="AI601" s="34"/>
      <c r="AJ601" s="34"/>
      <c r="AK601" s="34"/>
      <c r="AL601" s="34"/>
      <c r="AM601" s="34"/>
      <c r="AN601" s="34"/>
      <c r="AO601" s="34"/>
      <c r="AP601" s="34"/>
      <c r="AQ601" s="34"/>
      <c r="AR601" s="34"/>
      <c r="AS601" s="34"/>
      <c r="AT601" s="34"/>
      <c r="AU601" s="34"/>
      <c r="AV601" s="34"/>
      <c r="AW601" s="34"/>
      <c r="AX601" s="34"/>
      <c r="AY601" s="34"/>
      <c r="AZ601" s="34"/>
      <c r="BA601" s="34"/>
      <c r="BB601" s="34"/>
      <c r="BD601" s="34"/>
      <c r="BE601" s="34"/>
      <c r="BF601" s="34"/>
      <c r="BG601" s="34"/>
      <c r="BH601" s="34"/>
      <c r="BI601" s="34"/>
      <c r="BJ601" s="34"/>
      <c r="BK601" s="34"/>
      <c r="BL601" s="34"/>
      <c r="BM601" s="34"/>
      <c r="BN601" s="34"/>
      <c r="BO601" s="34"/>
      <c r="BP601" s="34"/>
      <c r="BQ601" s="34"/>
      <c r="BR601" s="34"/>
      <c r="BS601" s="34"/>
      <c r="BT601" s="34"/>
      <c r="BU601" s="34"/>
      <c r="BV601" s="34"/>
      <c r="BW601" s="34"/>
      <c r="BX601" s="34"/>
      <c r="BY601" s="34"/>
    </row>
    <row r="602" spans="1:77" x14ac:dyDescent="0.3">
      <c r="A602" s="39"/>
      <c r="B602" s="42"/>
      <c r="C602" s="42"/>
      <c r="D602" s="75"/>
      <c r="E602" s="75"/>
      <c r="F602" s="76"/>
      <c r="G602" s="47"/>
      <c r="H602" s="47"/>
      <c r="I602" s="75"/>
      <c r="J602" s="76"/>
      <c r="K602" s="76"/>
      <c r="L602" s="75"/>
      <c r="M602" s="49"/>
      <c r="N602" s="76"/>
      <c r="O602" s="49"/>
      <c r="P602" s="77"/>
      <c r="Q602" s="53"/>
      <c r="R602" s="54"/>
      <c r="S602" s="55"/>
      <c r="T602" s="56"/>
      <c r="U602" s="56"/>
      <c r="V602" s="42"/>
      <c r="W602" s="57"/>
      <c r="X602" s="58"/>
      <c r="Y602" s="75"/>
      <c r="Z602" s="59"/>
      <c r="AA602" s="61"/>
      <c r="AB602" s="61"/>
      <c r="AC602" s="61"/>
      <c r="AD602" s="62"/>
      <c r="AE602" s="62"/>
      <c r="AF602" s="34"/>
      <c r="AG602" s="34"/>
      <c r="AH602" s="34"/>
      <c r="AI602" s="34"/>
      <c r="AJ602" s="34"/>
      <c r="AK602" s="34"/>
      <c r="AL602" s="34"/>
      <c r="AM602" s="34"/>
      <c r="AN602" s="34"/>
      <c r="AO602" s="34"/>
      <c r="AP602" s="34"/>
      <c r="AQ602" s="34"/>
      <c r="AR602" s="34"/>
      <c r="AS602" s="34"/>
      <c r="AT602" s="34"/>
      <c r="AU602" s="34"/>
      <c r="AV602" s="34"/>
      <c r="AW602" s="34"/>
      <c r="AX602" s="34"/>
      <c r="AY602" s="34"/>
      <c r="AZ602" s="34"/>
      <c r="BA602" s="34"/>
      <c r="BB602" s="34"/>
      <c r="BD602" s="34"/>
      <c r="BE602" s="34"/>
      <c r="BF602" s="34"/>
      <c r="BG602" s="34"/>
      <c r="BH602" s="34"/>
      <c r="BI602" s="34"/>
      <c r="BJ602" s="34"/>
      <c r="BK602" s="34"/>
      <c r="BL602" s="34"/>
      <c r="BM602" s="34"/>
      <c r="BN602" s="34"/>
      <c r="BO602" s="34"/>
      <c r="BP602" s="34"/>
      <c r="BQ602" s="34"/>
      <c r="BR602" s="34"/>
      <c r="BS602" s="34"/>
      <c r="BT602" s="34"/>
      <c r="BU602" s="34"/>
      <c r="BV602" s="34"/>
      <c r="BW602" s="34"/>
      <c r="BX602" s="34"/>
      <c r="BY602" s="34"/>
    </row>
    <row r="603" spans="1:77" x14ac:dyDescent="0.3">
      <c r="A603" s="39"/>
      <c r="B603" s="42"/>
      <c r="C603" s="42"/>
      <c r="D603" s="75"/>
      <c r="E603" s="75"/>
      <c r="F603" s="76"/>
      <c r="G603" s="47"/>
      <c r="H603" s="47"/>
      <c r="I603" s="75"/>
      <c r="J603" s="76"/>
      <c r="K603" s="76"/>
      <c r="L603" s="75"/>
      <c r="M603" s="49"/>
      <c r="N603" s="76"/>
      <c r="O603" s="49"/>
      <c r="P603" s="77"/>
      <c r="Q603" s="53"/>
      <c r="R603" s="54"/>
      <c r="S603" s="55"/>
      <c r="T603" s="56"/>
      <c r="U603" s="56"/>
      <c r="V603" s="42"/>
      <c r="W603" s="57"/>
      <c r="X603" s="58"/>
      <c r="Y603" s="75"/>
      <c r="Z603" s="59"/>
      <c r="AA603" s="61"/>
      <c r="AB603" s="61"/>
      <c r="AC603" s="61"/>
      <c r="AD603" s="62"/>
      <c r="AE603" s="62"/>
      <c r="AF603" s="34"/>
      <c r="AG603" s="34"/>
      <c r="AH603" s="34"/>
      <c r="AI603" s="34"/>
      <c r="AJ603" s="34"/>
      <c r="AK603" s="34"/>
      <c r="AL603" s="34"/>
      <c r="AM603" s="34"/>
      <c r="AN603" s="34"/>
      <c r="AO603" s="34"/>
      <c r="AP603" s="34"/>
      <c r="AQ603" s="34"/>
      <c r="AR603" s="34"/>
      <c r="AS603" s="34"/>
      <c r="AT603" s="34"/>
      <c r="AU603" s="34"/>
      <c r="AV603" s="34"/>
      <c r="AW603" s="34"/>
      <c r="AX603" s="34"/>
      <c r="AY603" s="34"/>
      <c r="AZ603" s="34"/>
      <c r="BA603" s="34"/>
      <c r="BB603" s="34"/>
      <c r="BD603" s="34"/>
      <c r="BE603" s="34"/>
      <c r="BF603" s="34"/>
      <c r="BG603" s="34"/>
      <c r="BH603" s="34"/>
      <c r="BI603" s="34"/>
      <c r="BJ603" s="34"/>
      <c r="BK603" s="34"/>
      <c r="BL603" s="34"/>
      <c r="BM603" s="34"/>
      <c r="BN603" s="34"/>
      <c r="BO603" s="34"/>
      <c r="BP603" s="34"/>
      <c r="BQ603" s="34"/>
      <c r="BR603" s="34"/>
      <c r="BS603" s="34"/>
      <c r="BT603" s="34"/>
      <c r="BU603" s="34"/>
      <c r="BV603" s="34"/>
      <c r="BW603" s="34"/>
      <c r="BX603" s="34"/>
      <c r="BY603" s="34"/>
    </row>
    <row r="604" spans="1:77" x14ac:dyDescent="0.3">
      <c r="A604" s="39"/>
      <c r="B604" s="42"/>
      <c r="C604" s="42"/>
      <c r="D604" s="75"/>
      <c r="E604" s="75"/>
      <c r="F604" s="76"/>
      <c r="G604" s="47"/>
      <c r="H604" s="47"/>
      <c r="I604" s="75"/>
      <c r="J604" s="76"/>
      <c r="K604" s="76"/>
      <c r="L604" s="75"/>
      <c r="M604" s="49"/>
      <c r="N604" s="76"/>
      <c r="O604" s="49"/>
      <c r="P604" s="77"/>
      <c r="Q604" s="53"/>
      <c r="R604" s="54"/>
      <c r="S604" s="55"/>
      <c r="T604" s="56"/>
      <c r="U604" s="56"/>
      <c r="V604" s="42"/>
      <c r="W604" s="57"/>
      <c r="X604" s="58"/>
      <c r="Y604" s="75"/>
      <c r="Z604" s="59"/>
      <c r="AA604" s="61"/>
      <c r="AB604" s="61"/>
      <c r="AC604" s="61"/>
      <c r="AD604" s="62"/>
      <c r="AE604" s="62"/>
      <c r="AF604" s="34"/>
      <c r="AG604" s="34"/>
      <c r="AH604" s="34"/>
      <c r="AI604" s="34"/>
      <c r="AJ604" s="34"/>
      <c r="AK604" s="34"/>
      <c r="AL604" s="34"/>
      <c r="AM604" s="34"/>
      <c r="AN604" s="34"/>
      <c r="AO604" s="34"/>
      <c r="AP604" s="34"/>
      <c r="AQ604" s="34"/>
      <c r="AR604" s="34"/>
      <c r="AS604" s="34"/>
      <c r="AT604" s="34"/>
      <c r="AU604" s="34"/>
      <c r="AV604" s="34"/>
      <c r="AW604" s="34"/>
      <c r="AX604" s="34"/>
      <c r="AY604" s="34"/>
      <c r="AZ604" s="34"/>
      <c r="BA604" s="34"/>
      <c r="BB604" s="34"/>
      <c r="BD604" s="34"/>
      <c r="BE604" s="34"/>
      <c r="BF604" s="34"/>
      <c r="BG604" s="34"/>
      <c r="BH604" s="34"/>
      <c r="BI604" s="34"/>
      <c r="BJ604" s="34"/>
      <c r="BK604" s="34"/>
      <c r="BL604" s="34"/>
      <c r="BM604" s="34"/>
      <c r="BN604" s="34"/>
      <c r="BO604" s="34"/>
      <c r="BP604" s="34"/>
      <c r="BQ604" s="34"/>
      <c r="BR604" s="34"/>
      <c r="BS604" s="34"/>
      <c r="BT604" s="34"/>
      <c r="BU604" s="34"/>
      <c r="BV604" s="34"/>
      <c r="BW604" s="34"/>
      <c r="BX604" s="34"/>
      <c r="BY604" s="34"/>
    </row>
    <row r="605" spans="1:77" x14ac:dyDescent="0.3">
      <c r="A605" s="39"/>
      <c r="B605" s="42"/>
      <c r="C605" s="42"/>
      <c r="D605" s="75"/>
      <c r="E605" s="75"/>
      <c r="F605" s="76"/>
      <c r="G605" s="47"/>
      <c r="H605" s="47"/>
      <c r="I605" s="75"/>
      <c r="J605" s="76"/>
      <c r="K605" s="76"/>
      <c r="L605" s="75"/>
      <c r="M605" s="49"/>
      <c r="N605" s="76"/>
      <c r="O605" s="49"/>
      <c r="P605" s="77"/>
      <c r="Q605" s="53"/>
      <c r="R605" s="54"/>
      <c r="S605" s="55"/>
      <c r="T605" s="56"/>
      <c r="U605" s="56"/>
      <c r="V605" s="42"/>
      <c r="W605" s="57"/>
      <c r="X605" s="58"/>
      <c r="Y605" s="75"/>
      <c r="Z605" s="59"/>
      <c r="AA605" s="61"/>
      <c r="AB605" s="61"/>
      <c r="AC605" s="61"/>
      <c r="AD605" s="62"/>
      <c r="AE605" s="62"/>
      <c r="AF605" s="34"/>
      <c r="AG605" s="34"/>
      <c r="AH605" s="34"/>
      <c r="AI605" s="34"/>
      <c r="AJ605" s="34"/>
      <c r="AK605" s="34"/>
      <c r="AL605" s="34"/>
      <c r="AM605" s="34"/>
      <c r="AN605" s="34"/>
      <c r="AO605" s="34"/>
      <c r="AP605" s="34"/>
      <c r="AQ605" s="34"/>
      <c r="AR605" s="34"/>
      <c r="AS605" s="34"/>
      <c r="AT605" s="34"/>
      <c r="AU605" s="34"/>
      <c r="AV605" s="34"/>
      <c r="AW605" s="34"/>
      <c r="AX605" s="34"/>
      <c r="AY605" s="34"/>
      <c r="AZ605" s="34"/>
      <c r="BA605" s="34"/>
      <c r="BB605" s="34"/>
      <c r="BD605" s="34"/>
      <c r="BE605" s="34"/>
      <c r="BF605" s="34"/>
      <c r="BG605" s="34"/>
      <c r="BH605" s="34"/>
      <c r="BI605" s="34"/>
      <c r="BJ605" s="34"/>
      <c r="BK605" s="34"/>
      <c r="BL605" s="34"/>
      <c r="BM605" s="34"/>
      <c r="BN605" s="34"/>
      <c r="BO605" s="34"/>
      <c r="BP605" s="34"/>
      <c r="BQ605" s="34"/>
      <c r="BR605" s="34"/>
      <c r="BS605" s="34"/>
      <c r="BT605" s="34"/>
      <c r="BU605" s="34"/>
      <c r="BV605" s="34"/>
      <c r="BW605" s="34"/>
      <c r="BX605" s="34"/>
      <c r="BY605" s="34"/>
    </row>
    <row r="606" spans="1:77" x14ac:dyDescent="0.3">
      <c r="A606" s="39"/>
      <c r="B606" s="42"/>
      <c r="C606" s="42"/>
      <c r="D606" s="75"/>
      <c r="E606" s="75"/>
      <c r="F606" s="76"/>
      <c r="G606" s="47"/>
      <c r="H606" s="47"/>
      <c r="I606" s="75"/>
      <c r="J606" s="76"/>
      <c r="K606" s="76"/>
      <c r="L606" s="75"/>
      <c r="M606" s="49"/>
      <c r="N606" s="76"/>
      <c r="O606" s="49"/>
      <c r="P606" s="77"/>
      <c r="Q606" s="53"/>
      <c r="R606" s="54"/>
      <c r="S606" s="55"/>
      <c r="T606" s="56"/>
      <c r="U606" s="56"/>
      <c r="V606" s="42"/>
      <c r="W606" s="57"/>
      <c r="X606" s="58"/>
      <c r="Y606" s="75"/>
      <c r="Z606" s="59"/>
      <c r="AA606" s="61"/>
      <c r="AB606" s="61"/>
      <c r="AC606" s="61"/>
      <c r="AD606" s="62"/>
      <c r="AE606" s="62"/>
      <c r="AF606" s="34"/>
      <c r="AG606" s="34"/>
      <c r="AH606" s="34"/>
      <c r="AI606" s="34"/>
      <c r="AJ606" s="34"/>
      <c r="AK606" s="34"/>
      <c r="AL606" s="34"/>
      <c r="AM606" s="34"/>
      <c r="AN606" s="34"/>
      <c r="AO606" s="34"/>
      <c r="AP606" s="34"/>
      <c r="AQ606" s="34"/>
      <c r="AR606" s="34"/>
      <c r="AS606" s="34"/>
      <c r="AT606" s="34"/>
      <c r="AU606" s="34"/>
      <c r="AV606" s="34"/>
      <c r="AW606" s="34"/>
      <c r="AX606" s="34"/>
      <c r="AY606" s="34"/>
      <c r="AZ606" s="34"/>
      <c r="BA606" s="34"/>
      <c r="BB606" s="34"/>
      <c r="BD606" s="34"/>
      <c r="BE606" s="34"/>
      <c r="BF606" s="34"/>
      <c r="BG606" s="34"/>
      <c r="BH606" s="34"/>
      <c r="BI606" s="34"/>
      <c r="BJ606" s="34"/>
      <c r="BK606" s="34"/>
      <c r="BL606" s="34"/>
      <c r="BM606" s="34"/>
      <c r="BN606" s="34"/>
      <c r="BO606" s="34"/>
      <c r="BP606" s="34"/>
      <c r="BQ606" s="34"/>
      <c r="BR606" s="34"/>
      <c r="BS606" s="34"/>
      <c r="BT606" s="34"/>
      <c r="BU606" s="34"/>
      <c r="BV606" s="34"/>
      <c r="BW606" s="34"/>
      <c r="BX606" s="34"/>
      <c r="BY606" s="34"/>
    </row>
    <row r="607" spans="1:77" x14ac:dyDescent="0.3">
      <c r="A607" s="39"/>
      <c r="B607" s="42"/>
      <c r="C607" s="42"/>
      <c r="D607" s="75"/>
      <c r="E607" s="75"/>
      <c r="F607" s="76"/>
      <c r="G607" s="47"/>
      <c r="H607" s="47"/>
      <c r="I607" s="75"/>
      <c r="J607" s="76"/>
      <c r="K607" s="76"/>
      <c r="L607" s="75"/>
      <c r="M607" s="49"/>
      <c r="N607" s="76"/>
      <c r="O607" s="49"/>
      <c r="P607" s="77"/>
      <c r="Q607" s="53"/>
      <c r="R607" s="54"/>
      <c r="S607" s="55"/>
      <c r="T607" s="56"/>
      <c r="U607" s="56"/>
      <c r="V607" s="42"/>
      <c r="W607" s="57"/>
      <c r="X607" s="58"/>
      <c r="Y607" s="75"/>
      <c r="Z607" s="59"/>
      <c r="AA607" s="61"/>
      <c r="AB607" s="61"/>
      <c r="AC607" s="61"/>
      <c r="AD607" s="62"/>
      <c r="AE607" s="62"/>
      <c r="AF607" s="34"/>
      <c r="AG607" s="34"/>
      <c r="AH607" s="34"/>
      <c r="AI607" s="34"/>
      <c r="AJ607" s="34"/>
      <c r="AK607" s="34"/>
      <c r="AL607" s="34"/>
      <c r="AM607" s="34"/>
      <c r="AN607" s="34"/>
      <c r="AO607" s="34"/>
      <c r="AP607" s="34"/>
      <c r="AQ607" s="34"/>
      <c r="AR607" s="34"/>
      <c r="AS607" s="34"/>
      <c r="AT607" s="34"/>
      <c r="AU607" s="34"/>
      <c r="AV607" s="34"/>
      <c r="AW607" s="34"/>
      <c r="AX607" s="34"/>
      <c r="AY607" s="34"/>
      <c r="AZ607" s="34"/>
      <c r="BA607" s="34"/>
      <c r="BB607" s="34"/>
      <c r="BD607" s="34"/>
      <c r="BE607" s="34"/>
      <c r="BF607" s="34"/>
      <c r="BG607" s="34"/>
      <c r="BH607" s="34"/>
      <c r="BI607" s="34"/>
      <c r="BJ607" s="34"/>
      <c r="BK607" s="34"/>
      <c r="BL607" s="34"/>
      <c r="BM607" s="34"/>
      <c r="BN607" s="34"/>
      <c r="BO607" s="34"/>
      <c r="BP607" s="34"/>
      <c r="BQ607" s="34"/>
      <c r="BR607" s="34"/>
      <c r="BS607" s="34"/>
      <c r="BT607" s="34"/>
      <c r="BU607" s="34"/>
      <c r="BV607" s="34"/>
      <c r="BW607" s="34"/>
      <c r="BX607" s="34"/>
      <c r="BY607" s="34"/>
    </row>
    <row r="608" spans="1:77" x14ac:dyDescent="0.3">
      <c r="A608" s="39"/>
      <c r="B608" s="42"/>
      <c r="C608" s="42"/>
      <c r="D608" s="75"/>
      <c r="E608" s="75"/>
      <c r="F608" s="76"/>
      <c r="G608" s="47"/>
      <c r="H608" s="47"/>
      <c r="I608" s="75"/>
      <c r="J608" s="76"/>
      <c r="K608" s="76"/>
      <c r="L608" s="75"/>
      <c r="M608" s="49"/>
      <c r="N608" s="76"/>
      <c r="O608" s="49"/>
      <c r="P608" s="77"/>
      <c r="Q608" s="53"/>
      <c r="R608" s="54"/>
      <c r="S608" s="55"/>
      <c r="T608" s="56"/>
      <c r="U608" s="56"/>
      <c r="V608" s="42"/>
      <c r="W608" s="57"/>
      <c r="X608" s="58"/>
      <c r="Y608" s="75"/>
      <c r="Z608" s="59"/>
      <c r="AA608" s="61"/>
      <c r="AB608" s="61"/>
      <c r="AC608" s="61"/>
      <c r="AD608" s="62"/>
      <c r="AE608" s="62"/>
      <c r="AF608" s="34"/>
      <c r="AG608" s="34"/>
      <c r="AH608" s="34"/>
      <c r="AI608" s="34"/>
      <c r="AJ608" s="34"/>
      <c r="AK608" s="34"/>
      <c r="AL608" s="34"/>
      <c r="AM608" s="34"/>
      <c r="AN608" s="34"/>
      <c r="AO608" s="34"/>
      <c r="AP608" s="34"/>
      <c r="AQ608" s="34"/>
      <c r="AR608" s="34"/>
      <c r="AS608" s="34"/>
      <c r="AT608" s="34"/>
      <c r="AU608" s="34"/>
      <c r="AV608" s="34"/>
      <c r="AW608" s="34"/>
      <c r="AX608" s="34"/>
      <c r="AY608" s="34"/>
      <c r="AZ608" s="34"/>
      <c r="BA608" s="34"/>
      <c r="BB608" s="34"/>
      <c r="BD608" s="34"/>
      <c r="BE608" s="34"/>
      <c r="BF608" s="34"/>
      <c r="BG608" s="34"/>
      <c r="BH608" s="34"/>
      <c r="BI608" s="34"/>
      <c r="BJ608" s="34"/>
      <c r="BK608" s="34"/>
      <c r="BL608" s="34"/>
      <c r="BM608" s="34"/>
      <c r="BN608" s="34"/>
      <c r="BO608" s="34"/>
      <c r="BP608" s="34"/>
      <c r="BQ608" s="34"/>
      <c r="BR608" s="34"/>
      <c r="BS608" s="34"/>
      <c r="BT608" s="34"/>
      <c r="BU608" s="34"/>
      <c r="BV608" s="34"/>
      <c r="BW608" s="34"/>
      <c r="BX608" s="34"/>
      <c r="BY608" s="34"/>
    </row>
    <row r="609" spans="1:77" x14ac:dyDescent="0.3">
      <c r="A609" s="39"/>
      <c r="B609" s="42"/>
      <c r="C609" s="42"/>
      <c r="D609" s="75"/>
      <c r="E609" s="75"/>
      <c r="F609" s="76"/>
      <c r="G609" s="47"/>
      <c r="H609" s="47"/>
      <c r="I609" s="75"/>
      <c r="J609" s="76"/>
      <c r="K609" s="76"/>
      <c r="L609" s="75"/>
      <c r="M609" s="49"/>
      <c r="N609" s="76"/>
      <c r="O609" s="49"/>
      <c r="P609" s="77"/>
      <c r="Q609" s="53"/>
      <c r="R609" s="54"/>
      <c r="S609" s="55"/>
      <c r="T609" s="56"/>
      <c r="U609" s="56"/>
      <c r="V609" s="42"/>
      <c r="W609" s="57"/>
      <c r="X609" s="58"/>
      <c r="Y609" s="75"/>
      <c r="Z609" s="59"/>
      <c r="AA609" s="61"/>
      <c r="AB609" s="61"/>
      <c r="AC609" s="61"/>
      <c r="AD609" s="62"/>
      <c r="AE609" s="62"/>
      <c r="AF609" s="34"/>
      <c r="AG609" s="34"/>
      <c r="AH609" s="34"/>
      <c r="AI609" s="34"/>
      <c r="AJ609" s="34"/>
      <c r="AK609" s="34"/>
      <c r="AL609" s="34"/>
      <c r="AM609" s="34"/>
      <c r="AN609" s="34"/>
      <c r="AO609" s="34"/>
      <c r="AP609" s="34"/>
      <c r="AQ609" s="34"/>
      <c r="AR609" s="34"/>
      <c r="AS609" s="34"/>
      <c r="AT609" s="34"/>
      <c r="AU609" s="34"/>
      <c r="AV609" s="34"/>
      <c r="AW609" s="34"/>
      <c r="AX609" s="34"/>
      <c r="AY609" s="34"/>
      <c r="AZ609" s="34"/>
      <c r="BA609" s="34"/>
      <c r="BB609" s="34"/>
      <c r="BD609" s="34"/>
      <c r="BE609" s="34"/>
      <c r="BF609" s="34"/>
      <c r="BG609" s="34"/>
      <c r="BH609" s="34"/>
      <c r="BI609" s="34"/>
      <c r="BJ609" s="34"/>
      <c r="BK609" s="34"/>
      <c r="BL609" s="34"/>
      <c r="BM609" s="34"/>
      <c r="BN609" s="34"/>
      <c r="BO609" s="34"/>
      <c r="BP609" s="34"/>
      <c r="BQ609" s="34"/>
      <c r="BR609" s="34"/>
      <c r="BS609" s="34"/>
      <c r="BT609" s="34"/>
      <c r="BU609" s="34"/>
      <c r="BV609" s="34"/>
      <c r="BW609" s="34"/>
      <c r="BX609" s="34"/>
      <c r="BY609" s="34"/>
    </row>
    <row r="610" spans="1:77" x14ac:dyDescent="0.3">
      <c r="A610" s="39"/>
      <c r="B610" s="42"/>
      <c r="C610" s="42"/>
      <c r="D610" s="75"/>
      <c r="E610" s="75"/>
      <c r="F610" s="76"/>
      <c r="G610" s="47"/>
      <c r="H610" s="47"/>
      <c r="I610" s="75"/>
      <c r="J610" s="76"/>
      <c r="K610" s="76"/>
      <c r="L610" s="75"/>
      <c r="M610" s="49"/>
      <c r="N610" s="76"/>
      <c r="O610" s="49"/>
      <c r="P610" s="77"/>
      <c r="Q610" s="53"/>
      <c r="R610" s="54"/>
      <c r="S610" s="55"/>
      <c r="T610" s="56"/>
      <c r="U610" s="56"/>
      <c r="V610" s="42"/>
      <c r="W610" s="57"/>
      <c r="X610" s="58"/>
      <c r="Y610" s="75"/>
      <c r="Z610" s="59"/>
      <c r="AA610" s="61"/>
      <c r="AB610" s="61"/>
      <c r="AC610" s="61"/>
      <c r="AD610" s="62"/>
      <c r="AE610" s="62"/>
      <c r="AF610" s="34"/>
      <c r="AG610" s="34"/>
      <c r="AH610" s="34"/>
      <c r="AI610" s="34"/>
      <c r="AJ610" s="34"/>
      <c r="AK610" s="34"/>
      <c r="AL610" s="34"/>
      <c r="AM610" s="34"/>
      <c r="AN610" s="34"/>
      <c r="AO610" s="34"/>
      <c r="AP610" s="34"/>
      <c r="AQ610" s="34"/>
      <c r="AR610" s="34"/>
      <c r="AS610" s="34"/>
      <c r="AT610" s="34"/>
      <c r="AU610" s="34"/>
      <c r="AV610" s="34"/>
      <c r="AW610" s="34"/>
      <c r="AX610" s="34"/>
      <c r="AY610" s="34"/>
      <c r="AZ610" s="34"/>
      <c r="BA610" s="34"/>
      <c r="BB610" s="34"/>
      <c r="BD610" s="34"/>
      <c r="BE610" s="34"/>
      <c r="BF610" s="34"/>
      <c r="BG610" s="34"/>
      <c r="BH610" s="34"/>
      <c r="BI610" s="34"/>
      <c r="BJ610" s="34"/>
      <c r="BK610" s="34"/>
      <c r="BL610" s="34"/>
      <c r="BM610" s="34"/>
      <c r="BN610" s="34"/>
      <c r="BO610" s="34"/>
      <c r="BP610" s="34"/>
      <c r="BQ610" s="34"/>
      <c r="BR610" s="34"/>
      <c r="BS610" s="34"/>
      <c r="BT610" s="34"/>
      <c r="BU610" s="34"/>
      <c r="BV610" s="34"/>
      <c r="BW610" s="34"/>
      <c r="BX610" s="34"/>
      <c r="BY610" s="34"/>
    </row>
    <row r="611" spans="1:77" x14ac:dyDescent="0.3">
      <c r="A611" s="39"/>
      <c r="B611" s="42"/>
      <c r="C611" s="42"/>
      <c r="D611" s="75"/>
      <c r="E611" s="75"/>
      <c r="F611" s="76"/>
      <c r="G611" s="47"/>
      <c r="H611" s="47"/>
      <c r="I611" s="75"/>
      <c r="J611" s="76"/>
      <c r="K611" s="76"/>
      <c r="L611" s="75"/>
      <c r="M611" s="49"/>
      <c r="N611" s="76"/>
      <c r="O611" s="49"/>
      <c r="P611" s="77"/>
      <c r="Q611" s="53"/>
      <c r="R611" s="54"/>
      <c r="S611" s="55"/>
      <c r="T611" s="56"/>
      <c r="U611" s="56"/>
      <c r="V611" s="42"/>
      <c r="W611" s="57"/>
      <c r="X611" s="58"/>
      <c r="Y611" s="75"/>
      <c r="Z611" s="59"/>
      <c r="AA611" s="61"/>
      <c r="AB611" s="61"/>
      <c r="AC611" s="61"/>
      <c r="AD611" s="62"/>
      <c r="AE611" s="62"/>
      <c r="AF611" s="34"/>
      <c r="AG611" s="34"/>
      <c r="AH611" s="34"/>
      <c r="AI611" s="34"/>
      <c r="AJ611" s="34"/>
      <c r="AK611" s="34"/>
      <c r="AL611" s="34"/>
      <c r="AM611" s="34"/>
      <c r="AN611" s="34"/>
      <c r="AO611" s="34"/>
      <c r="AP611" s="34"/>
      <c r="AQ611" s="34"/>
      <c r="AR611" s="34"/>
      <c r="AS611" s="34"/>
      <c r="AT611" s="34"/>
      <c r="AU611" s="34"/>
      <c r="AV611" s="34"/>
      <c r="AW611" s="34"/>
      <c r="AX611" s="34"/>
      <c r="AY611" s="34"/>
      <c r="AZ611" s="34"/>
      <c r="BA611" s="34"/>
      <c r="BB611" s="34"/>
      <c r="BD611" s="34"/>
      <c r="BE611" s="34"/>
      <c r="BF611" s="34"/>
      <c r="BG611" s="34"/>
      <c r="BH611" s="34"/>
      <c r="BI611" s="34"/>
      <c r="BJ611" s="34"/>
      <c r="BK611" s="34"/>
      <c r="BL611" s="34"/>
      <c r="BM611" s="34"/>
      <c r="BN611" s="34"/>
      <c r="BO611" s="34"/>
      <c r="BP611" s="34"/>
      <c r="BQ611" s="34"/>
      <c r="BR611" s="34"/>
      <c r="BS611" s="34"/>
      <c r="BT611" s="34"/>
      <c r="BU611" s="34"/>
      <c r="BV611" s="34"/>
      <c r="BW611" s="34"/>
      <c r="BX611" s="34"/>
      <c r="BY611" s="34"/>
    </row>
    <row r="612" spans="1:77" x14ac:dyDescent="0.3">
      <c r="A612" s="39"/>
      <c r="B612" s="42"/>
      <c r="C612" s="42"/>
      <c r="D612" s="75"/>
      <c r="E612" s="75"/>
      <c r="F612" s="76"/>
      <c r="G612" s="47"/>
      <c r="H612" s="47"/>
      <c r="I612" s="75"/>
      <c r="J612" s="76"/>
      <c r="K612" s="76"/>
      <c r="L612" s="75"/>
      <c r="M612" s="49"/>
      <c r="N612" s="76"/>
      <c r="O612" s="49"/>
      <c r="P612" s="77"/>
      <c r="Q612" s="53"/>
      <c r="R612" s="54"/>
      <c r="S612" s="55"/>
      <c r="T612" s="56"/>
      <c r="U612" s="56"/>
      <c r="V612" s="42"/>
      <c r="W612" s="57"/>
      <c r="X612" s="58"/>
      <c r="Y612" s="75"/>
      <c r="Z612" s="59"/>
      <c r="AA612" s="61"/>
      <c r="AB612" s="61"/>
      <c r="AC612" s="61"/>
      <c r="AD612" s="62"/>
      <c r="AE612" s="62"/>
      <c r="AF612" s="34"/>
      <c r="AG612" s="34"/>
      <c r="AH612" s="34"/>
      <c r="AI612" s="34"/>
      <c r="AJ612" s="34"/>
      <c r="AK612" s="34"/>
      <c r="AL612" s="34"/>
      <c r="AM612" s="34"/>
      <c r="AN612" s="34"/>
      <c r="AO612" s="34"/>
      <c r="AP612" s="34"/>
      <c r="AQ612" s="34"/>
      <c r="AR612" s="34"/>
      <c r="AS612" s="34"/>
      <c r="AT612" s="34"/>
      <c r="AU612" s="34"/>
      <c r="AV612" s="34"/>
      <c r="AW612" s="34"/>
      <c r="AX612" s="34"/>
      <c r="AY612" s="34"/>
      <c r="AZ612" s="34"/>
      <c r="BA612" s="34"/>
      <c r="BB612" s="34"/>
      <c r="BD612" s="34"/>
      <c r="BE612" s="34"/>
      <c r="BF612" s="34"/>
      <c r="BG612" s="34"/>
      <c r="BH612" s="34"/>
      <c r="BI612" s="34"/>
      <c r="BJ612" s="34"/>
      <c r="BK612" s="34"/>
      <c r="BL612" s="34"/>
      <c r="BM612" s="34"/>
      <c r="BN612" s="34"/>
      <c r="BO612" s="34"/>
      <c r="BP612" s="34"/>
      <c r="BQ612" s="34"/>
      <c r="BR612" s="34"/>
      <c r="BS612" s="34"/>
      <c r="BT612" s="34"/>
      <c r="BU612" s="34"/>
      <c r="BV612" s="34"/>
      <c r="BW612" s="34"/>
      <c r="BX612" s="34"/>
      <c r="BY612" s="34"/>
    </row>
    <row r="613" spans="1:77" x14ac:dyDescent="0.3">
      <c r="A613" s="39"/>
      <c r="B613" s="42"/>
      <c r="C613" s="42"/>
      <c r="D613" s="75"/>
      <c r="E613" s="75"/>
      <c r="F613" s="76"/>
      <c r="G613" s="47"/>
      <c r="H613" s="47"/>
      <c r="I613" s="75"/>
      <c r="J613" s="76"/>
      <c r="K613" s="76"/>
      <c r="L613" s="75"/>
      <c r="M613" s="49"/>
      <c r="N613" s="76"/>
      <c r="O613" s="49"/>
      <c r="P613" s="77"/>
      <c r="Q613" s="53"/>
      <c r="R613" s="54"/>
      <c r="S613" s="55"/>
      <c r="T613" s="56"/>
      <c r="U613" s="56"/>
      <c r="V613" s="42"/>
      <c r="W613" s="57"/>
      <c r="X613" s="58"/>
      <c r="Y613" s="75"/>
      <c r="Z613" s="59"/>
      <c r="AA613" s="61"/>
      <c r="AB613" s="61"/>
      <c r="AC613" s="61"/>
      <c r="AD613" s="62"/>
      <c r="AE613" s="62"/>
      <c r="AF613" s="34"/>
      <c r="AG613" s="34"/>
      <c r="AH613" s="34"/>
      <c r="AI613" s="34"/>
      <c r="AJ613" s="34"/>
      <c r="AK613" s="34"/>
      <c r="AL613" s="34"/>
      <c r="AM613" s="34"/>
      <c r="AN613" s="34"/>
      <c r="AO613" s="34"/>
      <c r="AP613" s="34"/>
      <c r="AQ613" s="34"/>
      <c r="AR613" s="34"/>
      <c r="AS613" s="34"/>
      <c r="AT613" s="34"/>
      <c r="AU613" s="34"/>
      <c r="AV613" s="34"/>
      <c r="AW613" s="34"/>
      <c r="AX613" s="34"/>
      <c r="AY613" s="34"/>
      <c r="AZ613" s="34"/>
      <c r="BA613" s="34"/>
      <c r="BB613" s="34"/>
      <c r="BD613" s="34"/>
      <c r="BE613" s="34"/>
      <c r="BF613" s="34"/>
      <c r="BG613" s="34"/>
      <c r="BH613" s="34"/>
      <c r="BI613" s="34"/>
      <c r="BJ613" s="34"/>
      <c r="BK613" s="34"/>
      <c r="BL613" s="34"/>
      <c r="BM613" s="34"/>
      <c r="BN613" s="34"/>
      <c r="BO613" s="34"/>
      <c r="BP613" s="34"/>
      <c r="BQ613" s="34"/>
      <c r="BR613" s="34"/>
      <c r="BS613" s="34"/>
      <c r="BT613" s="34"/>
      <c r="BU613" s="34"/>
      <c r="BV613" s="34"/>
      <c r="BW613" s="34"/>
      <c r="BX613" s="34"/>
      <c r="BY613" s="34"/>
    </row>
    <row r="614" spans="1:77" x14ac:dyDescent="0.3">
      <c r="A614" s="39"/>
      <c r="B614" s="42"/>
      <c r="C614" s="42"/>
      <c r="D614" s="75"/>
      <c r="E614" s="75"/>
      <c r="F614" s="76"/>
      <c r="G614" s="47"/>
      <c r="H614" s="47"/>
      <c r="I614" s="75"/>
      <c r="J614" s="76"/>
      <c r="K614" s="76"/>
      <c r="L614" s="75"/>
      <c r="M614" s="49"/>
      <c r="N614" s="76"/>
      <c r="O614" s="49"/>
      <c r="P614" s="77"/>
      <c r="Q614" s="53"/>
      <c r="R614" s="54"/>
      <c r="S614" s="55"/>
      <c r="T614" s="56"/>
      <c r="U614" s="56"/>
      <c r="V614" s="42"/>
      <c r="W614" s="57"/>
      <c r="X614" s="58"/>
      <c r="Y614" s="75"/>
      <c r="Z614" s="59"/>
      <c r="AA614" s="61"/>
      <c r="AB614" s="61"/>
      <c r="AC614" s="61"/>
      <c r="AD614" s="62"/>
      <c r="AE614" s="62"/>
      <c r="AF614" s="34"/>
      <c r="AG614" s="34"/>
      <c r="AH614" s="34"/>
      <c r="AI614" s="34"/>
      <c r="AJ614" s="34"/>
      <c r="AK614" s="34"/>
      <c r="AL614" s="34"/>
      <c r="AM614" s="34"/>
      <c r="AN614" s="34"/>
      <c r="AO614" s="34"/>
      <c r="AP614" s="34"/>
      <c r="AQ614" s="34"/>
      <c r="AR614" s="34"/>
      <c r="AS614" s="34"/>
      <c r="AT614" s="34"/>
      <c r="AU614" s="34"/>
      <c r="AV614" s="34"/>
      <c r="AW614" s="34"/>
      <c r="AX614" s="34"/>
      <c r="AY614" s="34"/>
      <c r="AZ614" s="34"/>
      <c r="BA614" s="34"/>
      <c r="BB614" s="34"/>
      <c r="BD614" s="34"/>
      <c r="BE614" s="34"/>
      <c r="BF614" s="34"/>
      <c r="BG614" s="34"/>
      <c r="BH614" s="34"/>
      <c r="BI614" s="34"/>
      <c r="BJ614" s="34"/>
      <c r="BK614" s="34"/>
      <c r="BL614" s="34"/>
      <c r="BM614" s="34"/>
      <c r="BN614" s="34"/>
      <c r="BO614" s="34"/>
      <c r="BP614" s="34"/>
      <c r="BQ614" s="34"/>
      <c r="BR614" s="34"/>
      <c r="BS614" s="34"/>
      <c r="BT614" s="34"/>
      <c r="BU614" s="34"/>
      <c r="BV614" s="34"/>
      <c r="BW614" s="34"/>
      <c r="BX614" s="34"/>
      <c r="BY614" s="34"/>
    </row>
    <row r="615" spans="1:77" x14ac:dyDescent="0.3">
      <c r="A615" s="39"/>
      <c r="B615" s="42"/>
      <c r="C615" s="42"/>
      <c r="D615" s="75"/>
      <c r="E615" s="75"/>
      <c r="F615" s="76"/>
      <c r="G615" s="47"/>
      <c r="H615" s="47"/>
      <c r="I615" s="75"/>
      <c r="J615" s="76"/>
      <c r="K615" s="76"/>
      <c r="L615" s="75"/>
      <c r="M615" s="49"/>
      <c r="N615" s="76"/>
      <c r="O615" s="49"/>
      <c r="P615" s="77"/>
      <c r="Q615" s="53"/>
      <c r="R615" s="54"/>
      <c r="S615" s="55"/>
      <c r="T615" s="56"/>
      <c r="U615" s="56"/>
      <c r="V615" s="42"/>
      <c r="W615" s="57"/>
      <c r="X615" s="58"/>
      <c r="Y615" s="75"/>
      <c r="Z615" s="59"/>
      <c r="AA615" s="61"/>
      <c r="AB615" s="61"/>
      <c r="AC615" s="61"/>
      <c r="AD615" s="62"/>
      <c r="AE615" s="62"/>
      <c r="AF615" s="34"/>
      <c r="AG615" s="34"/>
      <c r="AH615" s="34"/>
      <c r="AI615" s="34"/>
      <c r="AJ615" s="34"/>
      <c r="AK615" s="34"/>
      <c r="AL615" s="34"/>
      <c r="AM615" s="34"/>
      <c r="AN615" s="34"/>
      <c r="AO615" s="34"/>
      <c r="AP615" s="34"/>
      <c r="AQ615" s="34"/>
      <c r="AR615" s="34"/>
      <c r="AS615" s="34"/>
      <c r="AT615" s="34"/>
      <c r="AU615" s="34"/>
      <c r="AV615" s="34"/>
      <c r="AW615" s="34"/>
      <c r="AX615" s="34"/>
      <c r="AY615" s="34"/>
      <c r="AZ615" s="34"/>
      <c r="BA615" s="34"/>
      <c r="BB615" s="34"/>
      <c r="BD615" s="34"/>
      <c r="BE615" s="34"/>
      <c r="BF615" s="34"/>
      <c r="BG615" s="34"/>
      <c r="BH615" s="34"/>
      <c r="BI615" s="34"/>
      <c r="BJ615" s="34"/>
      <c r="BK615" s="34"/>
      <c r="BL615" s="34"/>
      <c r="BM615" s="34"/>
      <c r="BN615" s="34"/>
      <c r="BO615" s="34"/>
      <c r="BP615" s="34"/>
      <c r="BQ615" s="34"/>
      <c r="BR615" s="34"/>
      <c r="BS615" s="34"/>
      <c r="BT615" s="34"/>
      <c r="BU615" s="34"/>
      <c r="BV615" s="34"/>
      <c r="BW615" s="34"/>
      <c r="BX615" s="34"/>
      <c r="BY615" s="34"/>
    </row>
    <row r="616" spans="1:77" x14ac:dyDescent="0.3">
      <c r="A616" s="39"/>
      <c r="B616" s="42"/>
      <c r="C616" s="42"/>
      <c r="D616" s="75"/>
      <c r="E616" s="75"/>
      <c r="F616" s="76"/>
      <c r="G616" s="47"/>
      <c r="H616" s="47"/>
      <c r="I616" s="75"/>
      <c r="J616" s="76"/>
      <c r="K616" s="76"/>
      <c r="L616" s="75"/>
      <c r="M616" s="49"/>
      <c r="N616" s="76"/>
      <c r="O616" s="49"/>
      <c r="P616" s="77"/>
      <c r="Q616" s="53"/>
      <c r="R616" s="54"/>
      <c r="S616" s="55"/>
      <c r="T616" s="56"/>
      <c r="U616" s="56"/>
      <c r="V616" s="42"/>
      <c r="W616" s="57"/>
      <c r="X616" s="58"/>
      <c r="Y616" s="75"/>
      <c r="Z616" s="59"/>
      <c r="AA616" s="61"/>
      <c r="AB616" s="61"/>
      <c r="AC616" s="61"/>
      <c r="AD616" s="62"/>
      <c r="AE616" s="62"/>
      <c r="AF616" s="34"/>
      <c r="AG616" s="34"/>
      <c r="AH616" s="34"/>
      <c r="AI616" s="34"/>
      <c r="AJ616" s="34"/>
      <c r="AK616" s="34"/>
      <c r="AL616" s="34"/>
      <c r="AM616" s="34"/>
      <c r="AN616" s="34"/>
      <c r="AO616" s="34"/>
      <c r="AP616" s="34"/>
      <c r="AQ616" s="34"/>
      <c r="AR616" s="34"/>
      <c r="AS616" s="34"/>
      <c r="AT616" s="34"/>
      <c r="AU616" s="34"/>
      <c r="AV616" s="34"/>
      <c r="AW616" s="34"/>
      <c r="AX616" s="34"/>
      <c r="AY616" s="34"/>
      <c r="AZ616" s="34"/>
      <c r="BA616" s="34"/>
      <c r="BB616" s="34"/>
      <c r="BD616" s="34"/>
      <c r="BE616" s="34"/>
      <c r="BF616" s="34"/>
      <c r="BG616" s="34"/>
      <c r="BH616" s="34"/>
      <c r="BI616" s="34"/>
      <c r="BJ616" s="34"/>
      <c r="BK616" s="34"/>
      <c r="BL616" s="34"/>
      <c r="BM616" s="34"/>
      <c r="BN616" s="34"/>
      <c r="BO616" s="34"/>
      <c r="BP616" s="34"/>
      <c r="BQ616" s="34"/>
      <c r="BR616" s="34"/>
      <c r="BS616" s="34"/>
      <c r="BT616" s="34"/>
      <c r="BU616" s="34"/>
      <c r="BV616" s="34"/>
      <c r="BW616" s="34"/>
      <c r="BX616" s="34"/>
      <c r="BY616" s="34"/>
    </row>
    <row r="617" spans="1:77" x14ac:dyDescent="0.3">
      <c r="A617" s="39"/>
      <c r="B617" s="42"/>
      <c r="C617" s="42"/>
      <c r="D617" s="75"/>
      <c r="E617" s="75"/>
      <c r="F617" s="76"/>
      <c r="G617" s="47"/>
      <c r="H617" s="47"/>
      <c r="I617" s="75"/>
      <c r="J617" s="76"/>
      <c r="K617" s="76"/>
      <c r="L617" s="75"/>
      <c r="M617" s="49"/>
      <c r="N617" s="76"/>
      <c r="O617" s="49"/>
      <c r="P617" s="77"/>
      <c r="Q617" s="53"/>
      <c r="R617" s="54"/>
      <c r="S617" s="55"/>
      <c r="T617" s="56"/>
      <c r="U617" s="56"/>
      <c r="V617" s="42"/>
      <c r="W617" s="57"/>
      <c r="X617" s="58"/>
      <c r="Y617" s="75"/>
      <c r="Z617" s="59"/>
      <c r="AA617" s="61"/>
      <c r="AB617" s="61"/>
      <c r="AC617" s="61"/>
      <c r="AD617" s="62"/>
      <c r="AE617" s="62"/>
      <c r="AF617" s="34"/>
      <c r="AG617" s="34"/>
      <c r="AH617" s="34"/>
      <c r="AI617" s="34"/>
      <c r="AJ617" s="34"/>
      <c r="AK617" s="34"/>
      <c r="AL617" s="34"/>
      <c r="AM617" s="34"/>
      <c r="AN617" s="34"/>
      <c r="AO617" s="34"/>
      <c r="AP617" s="34"/>
      <c r="AQ617" s="34"/>
      <c r="AR617" s="34"/>
      <c r="AS617" s="34"/>
      <c r="AT617" s="34"/>
      <c r="AU617" s="34"/>
      <c r="AV617" s="34"/>
      <c r="AW617" s="34"/>
      <c r="AX617" s="34"/>
      <c r="AY617" s="34"/>
      <c r="AZ617" s="34"/>
      <c r="BA617" s="34"/>
      <c r="BB617" s="34"/>
      <c r="BD617" s="34"/>
      <c r="BE617" s="34"/>
      <c r="BF617" s="34"/>
      <c r="BG617" s="34"/>
      <c r="BH617" s="34"/>
      <c r="BI617" s="34"/>
      <c r="BJ617" s="34"/>
      <c r="BK617" s="34"/>
      <c r="BL617" s="34"/>
      <c r="BM617" s="34"/>
      <c r="BN617" s="34"/>
      <c r="BO617" s="34"/>
      <c r="BP617" s="34"/>
      <c r="BQ617" s="34"/>
      <c r="BR617" s="34"/>
      <c r="BS617" s="34"/>
      <c r="BT617" s="34"/>
      <c r="BU617" s="34"/>
      <c r="BV617" s="34"/>
      <c r="BW617" s="34"/>
      <c r="BX617" s="34"/>
      <c r="BY617" s="34"/>
    </row>
    <row r="618" spans="1:77" x14ac:dyDescent="0.3">
      <c r="A618" s="39"/>
      <c r="B618" s="42"/>
      <c r="C618" s="42"/>
      <c r="D618" s="75"/>
      <c r="E618" s="75"/>
      <c r="F618" s="76"/>
      <c r="G618" s="47"/>
      <c r="H618" s="47"/>
      <c r="I618" s="75"/>
      <c r="J618" s="76"/>
      <c r="K618" s="76"/>
      <c r="L618" s="75"/>
      <c r="M618" s="49"/>
      <c r="N618" s="76"/>
      <c r="O618" s="49"/>
      <c r="P618" s="77"/>
      <c r="Q618" s="53"/>
      <c r="R618" s="54"/>
      <c r="S618" s="55"/>
      <c r="T618" s="56"/>
      <c r="U618" s="56"/>
      <c r="V618" s="42"/>
      <c r="W618" s="57"/>
      <c r="X618" s="58"/>
      <c r="Y618" s="75"/>
      <c r="Z618" s="59"/>
      <c r="AA618" s="61"/>
      <c r="AB618" s="61"/>
      <c r="AC618" s="61"/>
      <c r="AD618" s="62"/>
      <c r="AE618" s="62"/>
      <c r="AF618" s="34"/>
      <c r="AG618" s="34"/>
      <c r="AH618" s="34"/>
      <c r="AI618" s="34"/>
      <c r="AJ618" s="34"/>
      <c r="AK618" s="34"/>
      <c r="AL618" s="34"/>
      <c r="AM618" s="34"/>
      <c r="AN618" s="34"/>
      <c r="AO618" s="34"/>
      <c r="AP618" s="34"/>
      <c r="AQ618" s="34"/>
      <c r="AR618" s="34"/>
      <c r="AS618" s="34"/>
      <c r="AT618" s="34"/>
      <c r="AU618" s="34"/>
      <c r="AV618" s="34"/>
      <c r="AW618" s="34"/>
      <c r="AX618" s="34"/>
      <c r="AY618" s="34"/>
      <c r="AZ618" s="34"/>
      <c r="BA618" s="34"/>
      <c r="BB618" s="34"/>
      <c r="BD618" s="34"/>
      <c r="BE618" s="34"/>
      <c r="BF618" s="34"/>
      <c r="BG618" s="34"/>
      <c r="BH618" s="34"/>
      <c r="BI618" s="34"/>
      <c r="BJ618" s="34"/>
      <c r="BK618" s="34"/>
      <c r="BL618" s="34"/>
      <c r="BM618" s="34"/>
      <c r="BN618" s="34"/>
      <c r="BO618" s="34"/>
      <c r="BP618" s="34"/>
      <c r="BQ618" s="34"/>
      <c r="BR618" s="34"/>
      <c r="BS618" s="34"/>
      <c r="BT618" s="34"/>
      <c r="BU618" s="34"/>
      <c r="BV618" s="34"/>
      <c r="BW618" s="34"/>
      <c r="BX618" s="34"/>
      <c r="BY618" s="34"/>
    </row>
    <row r="619" spans="1:77" x14ac:dyDescent="0.3">
      <c r="A619" s="39"/>
      <c r="B619" s="42"/>
      <c r="C619" s="42"/>
      <c r="D619" s="75"/>
      <c r="E619" s="75"/>
      <c r="F619" s="76"/>
      <c r="G619" s="47"/>
      <c r="H619" s="47"/>
      <c r="I619" s="75"/>
      <c r="J619" s="76"/>
      <c r="K619" s="76"/>
      <c r="L619" s="75"/>
      <c r="M619" s="49"/>
      <c r="N619" s="76"/>
      <c r="O619" s="49"/>
      <c r="P619" s="77"/>
      <c r="Q619" s="53"/>
      <c r="R619" s="54"/>
      <c r="S619" s="55"/>
      <c r="T619" s="56"/>
      <c r="U619" s="56"/>
      <c r="V619" s="42"/>
      <c r="W619" s="57"/>
      <c r="X619" s="58"/>
      <c r="Y619" s="75"/>
      <c r="Z619" s="59"/>
      <c r="AA619" s="61"/>
      <c r="AB619" s="61"/>
      <c r="AC619" s="61"/>
      <c r="AD619" s="62"/>
      <c r="AE619" s="62"/>
      <c r="AF619" s="34"/>
      <c r="AG619" s="34"/>
      <c r="AH619" s="34"/>
      <c r="AI619" s="34"/>
      <c r="AJ619" s="34"/>
      <c r="AK619" s="34"/>
      <c r="AL619" s="34"/>
      <c r="AM619" s="34"/>
      <c r="AN619" s="34"/>
      <c r="AO619" s="34"/>
      <c r="AP619" s="34"/>
      <c r="AQ619" s="34"/>
      <c r="AR619" s="34"/>
      <c r="AS619" s="34"/>
      <c r="AT619" s="34"/>
      <c r="AU619" s="34"/>
      <c r="AV619" s="34"/>
      <c r="AW619" s="34"/>
      <c r="AX619" s="34"/>
      <c r="AY619" s="34"/>
      <c r="AZ619" s="34"/>
      <c r="BA619" s="34"/>
      <c r="BB619" s="34"/>
      <c r="BD619" s="34"/>
      <c r="BE619" s="34"/>
      <c r="BF619" s="34"/>
      <c r="BG619" s="34"/>
      <c r="BH619" s="34"/>
      <c r="BI619" s="34"/>
      <c r="BJ619" s="34"/>
      <c r="BK619" s="34"/>
      <c r="BL619" s="34"/>
      <c r="BM619" s="34"/>
      <c r="BN619" s="34"/>
      <c r="BO619" s="34"/>
      <c r="BP619" s="34"/>
      <c r="BQ619" s="34"/>
      <c r="BR619" s="34"/>
      <c r="BS619" s="34"/>
      <c r="BT619" s="34"/>
      <c r="BU619" s="34"/>
      <c r="BV619" s="34"/>
      <c r="BW619" s="34"/>
      <c r="BX619" s="34"/>
      <c r="BY619" s="34"/>
    </row>
    <row r="620" spans="1:77" x14ac:dyDescent="0.3">
      <c r="A620" s="39"/>
      <c r="B620" s="42"/>
      <c r="C620" s="42"/>
      <c r="D620" s="75"/>
      <c r="E620" s="75"/>
      <c r="F620" s="76"/>
      <c r="G620" s="47"/>
      <c r="H620" s="47"/>
      <c r="I620" s="75"/>
      <c r="J620" s="76"/>
      <c r="K620" s="76"/>
      <c r="L620" s="75"/>
      <c r="M620" s="49"/>
      <c r="N620" s="76"/>
      <c r="O620" s="49"/>
      <c r="P620" s="77"/>
      <c r="Q620" s="53"/>
      <c r="R620" s="54"/>
      <c r="S620" s="55"/>
      <c r="T620" s="56"/>
      <c r="U620" s="56"/>
      <c r="V620" s="42"/>
      <c r="W620" s="57"/>
      <c r="X620" s="58"/>
      <c r="Y620" s="75"/>
      <c r="Z620" s="59"/>
      <c r="AA620" s="61"/>
      <c r="AB620" s="61"/>
      <c r="AC620" s="61"/>
      <c r="AD620" s="62"/>
      <c r="AE620" s="62"/>
      <c r="AF620" s="34"/>
      <c r="AG620" s="34"/>
      <c r="AH620" s="34"/>
      <c r="AI620" s="34"/>
      <c r="AJ620" s="34"/>
      <c r="AK620" s="34"/>
      <c r="AL620" s="34"/>
      <c r="AM620" s="34"/>
      <c r="AN620" s="34"/>
      <c r="AO620" s="34"/>
      <c r="AP620" s="34"/>
      <c r="AQ620" s="34"/>
      <c r="AR620" s="34"/>
      <c r="AS620" s="34"/>
      <c r="AT620" s="34"/>
      <c r="AU620" s="34"/>
      <c r="AV620" s="34"/>
      <c r="AW620" s="34"/>
      <c r="AX620" s="34"/>
      <c r="AY620" s="34"/>
      <c r="AZ620" s="34"/>
      <c r="BA620" s="34"/>
      <c r="BB620" s="34"/>
      <c r="BD620" s="34"/>
      <c r="BE620" s="34"/>
      <c r="BF620" s="34"/>
      <c r="BG620" s="34"/>
      <c r="BH620" s="34"/>
      <c r="BI620" s="34"/>
      <c r="BJ620" s="34"/>
      <c r="BK620" s="34"/>
      <c r="BL620" s="34"/>
      <c r="BM620" s="34"/>
      <c r="BN620" s="34"/>
      <c r="BO620" s="34"/>
      <c r="BP620" s="34"/>
      <c r="BQ620" s="34"/>
      <c r="BR620" s="34"/>
      <c r="BS620" s="34"/>
      <c r="BT620" s="34"/>
      <c r="BU620" s="34"/>
      <c r="BV620" s="34"/>
      <c r="BW620" s="34"/>
      <c r="BX620" s="34"/>
      <c r="BY620" s="34"/>
    </row>
    <row r="621" spans="1:77" x14ac:dyDescent="0.3">
      <c r="A621" s="39"/>
      <c r="B621" s="42"/>
      <c r="C621" s="42"/>
      <c r="D621" s="75"/>
      <c r="E621" s="75"/>
      <c r="F621" s="76"/>
      <c r="G621" s="47"/>
      <c r="H621" s="47"/>
      <c r="I621" s="75"/>
      <c r="J621" s="76"/>
      <c r="K621" s="76"/>
      <c r="L621" s="75"/>
      <c r="M621" s="49"/>
      <c r="N621" s="76"/>
      <c r="O621" s="49"/>
      <c r="P621" s="77"/>
      <c r="Q621" s="53"/>
      <c r="R621" s="54"/>
      <c r="S621" s="55"/>
      <c r="T621" s="56"/>
      <c r="U621" s="56"/>
      <c r="V621" s="42"/>
      <c r="W621" s="57"/>
      <c r="X621" s="58"/>
      <c r="Y621" s="75"/>
      <c r="Z621" s="59"/>
      <c r="AA621" s="61"/>
      <c r="AB621" s="61"/>
      <c r="AC621" s="61"/>
      <c r="AD621" s="62"/>
      <c r="AE621" s="62"/>
      <c r="AF621" s="34"/>
      <c r="AG621" s="34"/>
      <c r="AH621" s="34"/>
      <c r="AI621" s="34"/>
      <c r="AJ621" s="34"/>
      <c r="AK621" s="34"/>
      <c r="AL621" s="34"/>
      <c r="AM621" s="34"/>
      <c r="AN621" s="34"/>
      <c r="AO621" s="34"/>
      <c r="AP621" s="34"/>
      <c r="AQ621" s="34"/>
      <c r="AR621" s="34"/>
      <c r="AS621" s="34"/>
      <c r="AT621" s="34"/>
      <c r="AU621" s="34"/>
      <c r="AV621" s="34"/>
      <c r="AW621" s="34"/>
      <c r="AX621" s="34"/>
      <c r="AY621" s="34"/>
      <c r="AZ621" s="34"/>
      <c r="BA621" s="34"/>
      <c r="BB621" s="34"/>
      <c r="BD621" s="34"/>
      <c r="BE621" s="34"/>
      <c r="BF621" s="34"/>
      <c r="BG621" s="34"/>
      <c r="BH621" s="34"/>
      <c r="BI621" s="34"/>
      <c r="BJ621" s="34"/>
      <c r="BK621" s="34"/>
      <c r="BL621" s="34"/>
      <c r="BM621" s="34"/>
      <c r="BN621" s="34"/>
      <c r="BO621" s="34"/>
      <c r="BP621" s="34"/>
      <c r="BQ621" s="34"/>
      <c r="BR621" s="34"/>
      <c r="BS621" s="34"/>
      <c r="BT621" s="34"/>
      <c r="BU621" s="34"/>
      <c r="BV621" s="34"/>
      <c r="BW621" s="34"/>
      <c r="BX621" s="34"/>
      <c r="BY621" s="34"/>
    </row>
    <row r="622" spans="1:77" x14ac:dyDescent="0.3">
      <c r="A622" s="39"/>
      <c r="B622" s="42"/>
      <c r="C622" s="42"/>
      <c r="D622" s="75"/>
      <c r="E622" s="75"/>
      <c r="F622" s="76"/>
      <c r="G622" s="47"/>
      <c r="H622" s="47"/>
      <c r="I622" s="75"/>
      <c r="J622" s="76"/>
      <c r="K622" s="76"/>
      <c r="L622" s="75"/>
      <c r="M622" s="49"/>
      <c r="N622" s="76"/>
      <c r="O622" s="49"/>
      <c r="P622" s="77"/>
      <c r="Q622" s="53"/>
      <c r="R622" s="54"/>
      <c r="S622" s="55"/>
      <c r="T622" s="56"/>
      <c r="U622" s="56"/>
      <c r="V622" s="42"/>
      <c r="W622" s="57"/>
      <c r="X622" s="58"/>
      <c r="Y622" s="75"/>
      <c r="Z622" s="59"/>
      <c r="AA622" s="61"/>
      <c r="AB622" s="61"/>
      <c r="AC622" s="61"/>
      <c r="AD622" s="62"/>
      <c r="AE622" s="62"/>
      <c r="AF622" s="34"/>
      <c r="AG622" s="34"/>
      <c r="AH622" s="34"/>
      <c r="AI622" s="34"/>
      <c r="AJ622" s="34"/>
      <c r="AK622" s="34"/>
      <c r="AL622" s="34"/>
      <c r="AM622" s="34"/>
      <c r="AN622" s="34"/>
      <c r="AO622" s="34"/>
      <c r="AP622" s="34"/>
      <c r="AQ622" s="34"/>
      <c r="AR622" s="34"/>
      <c r="AS622" s="34"/>
      <c r="AT622" s="34"/>
      <c r="AU622" s="34"/>
      <c r="AV622" s="34"/>
      <c r="AW622" s="34"/>
      <c r="AX622" s="34"/>
      <c r="AY622" s="34"/>
      <c r="AZ622" s="34"/>
      <c r="BA622" s="34"/>
      <c r="BB622" s="34"/>
      <c r="BD622" s="34"/>
      <c r="BE622" s="34"/>
      <c r="BF622" s="34"/>
      <c r="BG622" s="34"/>
      <c r="BH622" s="34"/>
      <c r="BI622" s="34"/>
      <c r="BJ622" s="34"/>
      <c r="BK622" s="34"/>
      <c r="BL622" s="34"/>
      <c r="BM622" s="34"/>
      <c r="BN622" s="34"/>
      <c r="BO622" s="34"/>
      <c r="BP622" s="34"/>
      <c r="BQ622" s="34"/>
      <c r="BR622" s="34"/>
      <c r="BS622" s="34"/>
      <c r="BT622" s="34"/>
      <c r="BU622" s="34"/>
      <c r="BV622" s="34"/>
      <c r="BW622" s="34"/>
      <c r="BX622" s="34"/>
      <c r="BY622" s="34"/>
    </row>
    <row r="623" spans="1:77" x14ac:dyDescent="0.3">
      <c r="A623" s="39"/>
      <c r="B623" s="42"/>
      <c r="C623" s="42"/>
      <c r="D623" s="75"/>
      <c r="E623" s="75"/>
      <c r="F623" s="76"/>
      <c r="G623" s="47"/>
      <c r="H623" s="47"/>
      <c r="I623" s="75"/>
      <c r="J623" s="76"/>
      <c r="K623" s="76"/>
      <c r="L623" s="75"/>
      <c r="M623" s="49"/>
      <c r="N623" s="76"/>
      <c r="O623" s="49"/>
      <c r="P623" s="77"/>
      <c r="Q623" s="53"/>
      <c r="R623" s="54"/>
      <c r="S623" s="55"/>
      <c r="T623" s="56"/>
      <c r="U623" s="56"/>
      <c r="V623" s="42"/>
      <c r="W623" s="57"/>
      <c r="X623" s="58"/>
      <c r="Y623" s="75"/>
      <c r="Z623" s="59"/>
      <c r="AA623" s="61"/>
      <c r="AB623" s="61"/>
      <c r="AC623" s="61"/>
      <c r="AD623" s="62"/>
      <c r="AE623" s="62"/>
      <c r="AF623" s="34"/>
      <c r="AG623" s="34"/>
      <c r="AH623" s="34"/>
      <c r="AI623" s="34"/>
      <c r="AJ623" s="34"/>
      <c r="AK623" s="34"/>
      <c r="AL623" s="34"/>
      <c r="AM623" s="34"/>
      <c r="AN623" s="34"/>
      <c r="AO623" s="34"/>
      <c r="AP623" s="34"/>
      <c r="AQ623" s="34"/>
      <c r="AR623" s="34"/>
      <c r="AS623" s="34"/>
      <c r="AT623" s="34"/>
      <c r="AU623" s="34"/>
      <c r="AV623" s="34"/>
      <c r="AW623" s="34"/>
      <c r="AX623" s="34"/>
      <c r="AY623" s="34"/>
      <c r="AZ623" s="34"/>
      <c r="BA623" s="34"/>
      <c r="BB623" s="34"/>
      <c r="BD623" s="34"/>
      <c r="BE623" s="34"/>
      <c r="BF623" s="34"/>
      <c r="BG623" s="34"/>
      <c r="BH623" s="34"/>
      <c r="BI623" s="34"/>
      <c r="BJ623" s="34"/>
      <c r="BK623" s="34"/>
      <c r="BL623" s="34"/>
      <c r="BM623" s="34"/>
      <c r="BN623" s="34"/>
      <c r="BO623" s="34"/>
      <c r="BP623" s="34"/>
      <c r="BQ623" s="34"/>
      <c r="BR623" s="34"/>
      <c r="BS623" s="34"/>
      <c r="BT623" s="34"/>
      <c r="BU623" s="34"/>
      <c r="BV623" s="34"/>
      <c r="BW623" s="34"/>
      <c r="BX623" s="34"/>
      <c r="BY623" s="34"/>
    </row>
    <row r="624" spans="1:77" x14ac:dyDescent="0.3">
      <c r="A624" s="39"/>
      <c r="B624" s="42"/>
      <c r="C624" s="42"/>
      <c r="D624" s="75"/>
      <c r="E624" s="75"/>
      <c r="F624" s="76"/>
      <c r="G624" s="47"/>
      <c r="H624" s="47"/>
      <c r="I624" s="75"/>
      <c r="J624" s="76"/>
      <c r="K624" s="76"/>
      <c r="L624" s="75"/>
      <c r="M624" s="49"/>
      <c r="N624" s="76"/>
      <c r="O624" s="49"/>
      <c r="P624" s="77"/>
      <c r="Q624" s="53"/>
      <c r="R624" s="54"/>
      <c r="S624" s="55"/>
      <c r="T624" s="56"/>
      <c r="U624" s="56"/>
      <c r="V624" s="42"/>
      <c r="W624" s="57"/>
      <c r="X624" s="58"/>
      <c r="Y624" s="75"/>
      <c r="Z624" s="59"/>
      <c r="AA624" s="61"/>
      <c r="AB624" s="61"/>
      <c r="AC624" s="61"/>
      <c r="AD624" s="62"/>
      <c r="AE624" s="62"/>
      <c r="AF624" s="34"/>
      <c r="AG624" s="34"/>
      <c r="AH624" s="34"/>
      <c r="AI624" s="34"/>
      <c r="AJ624" s="34"/>
      <c r="AK624" s="34"/>
      <c r="AL624" s="34"/>
      <c r="AM624" s="34"/>
      <c r="AN624" s="34"/>
      <c r="AO624" s="34"/>
      <c r="AP624" s="34"/>
      <c r="AQ624" s="34"/>
      <c r="AR624" s="34"/>
      <c r="AS624" s="34"/>
      <c r="AT624" s="34"/>
      <c r="AU624" s="34"/>
      <c r="AV624" s="34"/>
      <c r="AW624" s="34"/>
      <c r="AX624" s="34"/>
      <c r="AY624" s="34"/>
      <c r="AZ624" s="34"/>
      <c r="BA624" s="34"/>
      <c r="BB624" s="34"/>
      <c r="BD624" s="34"/>
      <c r="BE624" s="34"/>
      <c r="BF624" s="34"/>
      <c r="BG624" s="34"/>
      <c r="BH624" s="34"/>
      <c r="BI624" s="34"/>
      <c r="BJ624" s="34"/>
      <c r="BK624" s="34"/>
      <c r="BL624" s="34"/>
      <c r="BM624" s="34"/>
      <c r="BN624" s="34"/>
      <c r="BO624" s="34"/>
      <c r="BP624" s="34"/>
      <c r="BQ624" s="34"/>
      <c r="BR624" s="34"/>
      <c r="BS624" s="34"/>
      <c r="BT624" s="34"/>
      <c r="BU624" s="34"/>
      <c r="BV624" s="34"/>
      <c r="BW624" s="34"/>
      <c r="BX624" s="34"/>
      <c r="BY624" s="34"/>
    </row>
    <row r="625" spans="1:77" x14ac:dyDescent="0.3">
      <c r="A625" s="39"/>
      <c r="B625" s="42"/>
      <c r="C625" s="42"/>
      <c r="D625" s="75"/>
      <c r="E625" s="75"/>
      <c r="F625" s="76"/>
      <c r="G625" s="47"/>
      <c r="H625" s="47"/>
      <c r="I625" s="75"/>
      <c r="J625" s="76"/>
      <c r="K625" s="76"/>
      <c r="L625" s="75"/>
      <c r="M625" s="49"/>
      <c r="N625" s="76"/>
      <c r="O625" s="49"/>
      <c r="P625" s="77"/>
      <c r="Q625" s="53"/>
      <c r="R625" s="54"/>
      <c r="S625" s="55"/>
      <c r="T625" s="56"/>
      <c r="U625" s="56"/>
      <c r="V625" s="42"/>
      <c r="W625" s="57"/>
      <c r="X625" s="58"/>
      <c r="Y625" s="75"/>
      <c r="Z625" s="59"/>
      <c r="AA625" s="61"/>
      <c r="AB625" s="61"/>
      <c r="AC625" s="61"/>
      <c r="AD625" s="62"/>
      <c r="AE625" s="62"/>
      <c r="AF625" s="34"/>
      <c r="AG625" s="34"/>
      <c r="AH625" s="34"/>
      <c r="AI625" s="34"/>
      <c r="AJ625" s="34"/>
      <c r="AK625" s="34"/>
      <c r="AL625" s="34"/>
      <c r="AM625" s="34"/>
      <c r="AN625" s="34"/>
      <c r="AO625" s="34"/>
      <c r="AP625" s="34"/>
      <c r="AQ625" s="34"/>
      <c r="AR625" s="34"/>
      <c r="AS625" s="34"/>
      <c r="AT625" s="34"/>
      <c r="AU625" s="34"/>
      <c r="AV625" s="34"/>
      <c r="AW625" s="34"/>
      <c r="AX625" s="34"/>
      <c r="AY625" s="34"/>
      <c r="AZ625" s="34"/>
      <c r="BA625" s="34"/>
      <c r="BB625" s="34"/>
      <c r="BD625" s="34"/>
      <c r="BE625" s="34"/>
      <c r="BF625" s="34"/>
      <c r="BG625" s="34"/>
      <c r="BH625" s="34"/>
      <c r="BI625" s="34"/>
      <c r="BJ625" s="34"/>
      <c r="BK625" s="34"/>
      <c r="BL625" s="34"/>
      <c r="BM625" s="34"/>
      <c r="BN625" s="34"/>
      <c r="BO625" s="34"/>
      <c r="BP625" s="34"/>
      <c r="BQ625" s="34"/>
      <c r="BR625" s="34"/>
      <c r="BS625" s="34"/>
      <c r="BT625" s="34"/>
      <c r="BU625" s="34"/>
      <c r="BV625" s="34"/>
      <c r="BW625" s="34"/>
      <c r="BX625" s="34"/>
      <c r="BY625" s="34"/>
    </row>
    <row r="626" spans="1:77" x14ac:dyDescent="0.3">
      <c r="A626" s="39"/>
      <c r="B626" s="42"/>
      <c r="C626" s="42"/>
      <c r="D626" s="75"/>
      <c r="E626" s="75"/>
      <c r="F626" s="76"/>
      <c r="G626" s="47"/>
      <c r="H626" s="47"/>
      <c r="I626" s="75"/>
      <c r="J626" s="76"/>
      <c r="K626" s="76"/>
      <c r="L626" s="75"/>
      <c r="M626" s="49"/>
      <c r="N626" s="76"/>
      <c r="O626" s="49"/>
      <c r="P626" s="77"/>
      <c r="Q626" s="53"/>
      <c r="R626" s="54"/>
      <c r="S626" s="55"/>
      <c r="T626" s="56"/>
      <c r="U626" s="56"/>
      <c r="V626" s="42"/>
      <c r="W626" s="57"/>
      <c r="X626" s="58"/>
      <c r="Y626" s="75"/>
      <c r="Z626" s="59"/>
      <c r="AA626" s="61"/>
      <c r="AB626" s="61"/>
      <c r="AC626" s="61"/>
      <c r="AD626" s="62"/>
      <c r="AE626" s="62"/>
      <c r="AF626" s="34"/>
      <c r="AG626" s="34"/>
      <c r="AH626" s="34"/>
      <c r="AI626" s="34"/>
      <c r="AJ626" s="34"/>
      <c r="AK626" s="34"/>
      <c r="AL626" s="34"/>
      <c r="AM626" s="34"/>
      <c r="AN626" s="34"/>
      <c r="AO626" s="34"/>
      <c r="AP626" s="34"/>
      <c r="AQ626" s="34"/>
      <c r="AR626" s="34"/>
      <c r="AS626" s="34"/>
      <c r="AT626" s="34"/>
      <c r="AU626" s="34"/>
      <c r="AV626" s="34"/>
      <c r="AW626" s="34"/>
      <c r="AX626" s="34"/>
      <c r="AY626" s="34"/>
      <c r="AZ626" s="34"/>
      <c r="BA626" s="34"/>
      <c r="BB626" s="34"/>
      <c r="BD626" s="34"/>
      <c r="BE626" s="34"/>
      <c r="BF626" s="34"/>
      <c r="BG626" s="34"/>
      <c r="BH626" s="34"/>
      <c r="BI626" s="34"/>
      <c r="BJ626" s="34"/>
      <c r="BK626" s="34"/>
      <c r="BL626" s="34"/>
      <c r="BM626" s="34"/>
      <c r="BN626" s="34"/>
      <c r="BO626" s="34"/>
      <c r="BP626" s="34"/>
      <c r="BQ626" s="34"/>
      <c r="BR626" s="34"/>
      <c r="BS626" s="34"/>
      <c r="BT626" s="34"/>
      <c r="BU626" s="34"/>
      <c r="BV626" s="34"/>
      <c r="BW626" s="34"/>
      <c r="BX626" s="34"/>
      <c r="BY626" s="34"/>
    </row>
    <row r="627" spans="1:77" x14ac:dyDescent="0.3">
      <c r="A627" s="39"/>
      <c r="B627" s="42"/>
      <c r="C627" s="42"/>
      <c r="D627" s="75"/>
      <c r="E627" s="75"/>
      <c r="F627" s="76"/>
      <c r="G627" s="47"/>
      <c r="H627" s="47"/>
      <c r="I627" s="75"/>
      <c r="J627" s="76"/>
      <c r="K627" s="76"/>
      <c r="L627" s="75"/>
      <c r="M627" s="49"/>
      <c r="N627" s="76"/>
      <c r="O627" s="49"/>
      <c r="P627" s="77"/>
      <c r="Q627" s="53"/>
      <c r="R627" s="54"/>
      <c r="S627" s="55"/>
      <c r="T627" s="56"/>
      <c r="U627" s="56"/>
      <c r="V627" s="42"/>
      <c r="W627" s="57"/>
      <c r="X627" s="58"/>
      <c r="Y627" s="75"/>
      <c r="Z627" s="59"/>
      <c r="AA627" s="61"/>
      <c r="AB627" s="61"/>
      <c r="AC627" s="61"/>
      <c r="AD627" s="62"/>
      <c r="AE627" s="62"/>
      <c r="AF627" s="34"/>
      <c r="AG627" s="34"/>
      <c r="AH627" s="34"/>
      <c r="AI627" s="34"/>
      <c r="AJ627" s="34"/>
      <c r="AK627" s="34"/>
      <c r="AL627" s="34"/>
      <c r="AM627" s="34"/>
      <c r="AN627" s="34"/>
      <c r="AO627" s="34"/>
      <c r="AP627" s="34"/>
      <c r="AQ627" s="34"/>
      <c r="AR627" s="34"/>
      <c r="AS627" s="34"/>
      <c r="AT627" s="34"/>
      <c r="AU627" s="34"/>
      <c r="AV627" s="34"/>
      <c r="AW627" s="34"/>
      <c r="AX627" s="34"/>
      <c r="AY627" s="34"/>
      <c r="AZ627" s="34"/>
      <c r="BA627" s="34"/>
      <c r="BB627" s="34"/>
      <c r="BD627" s="34"/>
      <c r="BE627" s="34"/>
      <c r="BF627" s="34"/>
      <c r="BG627" s="34"/>
      <c r="BH627" s="34"/>
      <c r="BI627" s="34"/>
      <c r="BJ627" s="34"/>
      <c r="BK627" s="34"/>
      <c r="BL627" s="34"/>
      <c r="BM627" s="34"/>
      <c r="BN627" s="34"/>
      <c r="BO627" s="34"/>
      <c r="BP627" s="34"/>
      <c r="BQ627" s="34"/>
      <c r="BR627" s="34"/>
      <c r="BS627" s="34"/>
      <c r="BT627" s="34"/>
      <c r="BU627" s="34"/>
      <c r="BV627" s="34"/>
      <c r="BW627" s="34"/>
      <c r="BX627" s="34"/>
      <c r="BY627" s="34"/>
    </row>
    <row r="628" spans="1:77" x14ac:dyDescent="0.3">
      <c r="A628" s="39"/>
      <c r="B628" s="42"/>
      <c r="C628" s="42"/>
      <c r="D628" s="75"/>
      <c r="E628" s="75"/>
      <c r="F628" s="76"/>
      <c r="G628" s="47"/>
      <c r="H628" s="47"/>
      <c r="I628" s="75"/>
      <c r="J628" s="76"/>
      <c r="K628" s="76"/>
      <c r="L628" s="75"/>
      <c r="M628" s="49"/>
      <c r="N628" s="76"/>
      <c r="O628" s="49"/>
      <c r="P628" s="77"/>
      <c r="Q628" s="53"/>
      <c r="R628" s="54"/>
      <c r="S628" s="55"/>
      <c r="T628" s="56"/>
      <c r="U628" s="56"/>
      <c r="V628" s="42"/>
      <c r="W628" s="57"/>
      <c r="X628" s="58"/>
      <c r="Y628" s="75"/>
      <c r="Z628" s="59"/>
      <c r="AA628" s="61"/>
      <c r="AB628" s="61"/>
      <c r="AC628" s="61"/>
      <c r="AD628" s="62"/>
      <c r="AE628" s="62"/>
      <c r="AF628" s="34"/>
      <c r="AG628" s="34"/>
      <c r="AH628" s="34"/>
      <c r="AI628" s="34"/>
      <c r="AJ628" s="34"/>
      <c r="AK628" s="34"/>
      <c r="AL628" s="34"/>
      <c r="AM628" s="34"/>
      <c r="AN628" s="34"/>
      <c r="AO628" s="34"/>
      <c r="AP628" s="34"/>
      <c r="AQ628" s="34"/>
      <c r="AR628" s="34"/>
      <c r="AS628" s="34"/>
      <c r="AT628" s="34"/>
      <c r="AU628" s="34"/>
      <c r="AV628" s="34"/>
      <c r="AW628" s="34"/>
      <c r="AX628" s="34"/>
      <c r="AY628" s="34"/>
      <c r="AZ628" s="34"/>
      <c r="BA628" s="34"/>
      <c r="BB628" s="34"/>
      <c r="BD628" s="34"/>
      <c r="BE628" s="34"/>
      <c r="BF628" s="34"/>
      <c r="BG628" s="34"/>
      <c r="BH628" s="34"/>
      <c r="BI628" s="34"/>
      <c r="BJ628" s="34"/>
      <c r="BK628" s="34"/>
      <c r="BL628" s="34"/>
      <c r="BM628" s="34"/>
      <c r="BN628" s="34"/>
      <c r="BO628" s="34"/>
      <c r="BP628" s="34"/>
      <c r="BQ628" s="34"/>
      <c r="BR628" s="34"/>
      <c r="BS628" s="34"/>
      <c r="BT628" s="34"/>
      <c r="BU628" s="34"/>
      <c r="BV628" s="34"/>
      <c r="BW628" s="34"/>
      <c r="BX628" s="34"/>
      <c r="BY628" s="34"/>
    </row>
    <row r="629" spans="1:77" x14ac:dyDescent="0.3">
      <c r="A629" s="39"/>
      <c r="B629" s="42"/>
      <c r="C629" s="42"/>
      <c r="D629" s="75"/>
      <c r="E629" s="75"/>
      <c r="F629" s="76"/>
      <c r="G629" s="47"/>
      <c r="H629" s="47"/>
      <c r="I629" s="75"/>
      <c r="J629" s="76"/>
      <c r="K629" s="76"/>
      <c r="L629" s="75"/>
      <c r="M629" s="49"/>
      <c r="N629" s="76"/>
      <c r="O629" s="49"/>
      <c r="P629" s="77"/>
      <c r="Q629" s="53"/>
      <c r="R629" s="54"/>
      <c r="S629" s="55"/>
      <c r="T629" s="56"/>
      <c r="U629" s="56"/>
      <c r="V629" s="42"/>
      <c r="W629" s="57"/>
      <c r="X629" s="58"/>
      <c r="Y629" s="75"/>
      <c r="Z629" s="59"/>
      <c r="AA629" s="61"/>
      <c r="AB629" s="61"/>
      <c r="AC629" s="61"/>
      <c r="AD629" s="62"/>
      <c r="AE629" s="62"/>
      <c r="AF629" s="34"/>
      <c r="AG629" s="34"/>
      <c r="AH629" s="34"/>
      <c r="AI629" s="34"/>
      <c r="AJ629" s="34"/>
      <c r="AK629" s="34"/>
      <c r="AL629" s="34"/>
      <c r="AM629" s="34"/>
      <c r="AN629" s="34"/>
      <c r="AO629" s="34"/>
      <c r="AP629" s="34"/>
      <c r="AQ629" s="34"/>
      <c r="AR629" s="34"/>
      <c r="AS629" s="34"/>
      <c r="AT629" s="34"/>
      <c r="AU629" s="34"/>
      <c r="AV629" s="34"/>
      <c r="AW629" s="34"/>
      <c r="AX629" s="34"/>
      <c r="AY629" s="34"/>
      <c r="AZ629" s="34"/>
      <c r="BA629" s="34"/>
      <c r="BB629" s="34"/>
      <c r="BD629" s="34"/>
      <c r="BE629" s="34"/>
      <c r="BF629" s="34"/>
      <c r="BG629" s="34"/>
      <c r="BH629" s="34"/>
      <c r="BI629" s="34"/>
      <c r="BJ629" s="34"/>
      <c r="BK629" s="34"/>
      <c r="BL629" s="34"/>
      <c r="BM629" s="34"/>
      <c r="BN629" s="34"/>
      <c r="BO629" s="34"/>
      <c r="BP629" s="34"/>
      <c r="BQ629" s="34"/>
      <c r="BR629" s="34"/>
      <c r="BS629" s="34"/>
      <c r="BT629" s="34"/>
      <c r="BU629" s="34"/>
      <c r="BV629" s="34"/>
      <c r="BW629" s="34"/>
      <c r="BX629" s="34"/>
      <c r="BY629" s="34"/>
    </row>
    <row r="630" spans="1:77" x14ac:dyDescent="0.3">
      <c r="A630" s="39"/>
      <c r="B630" s="42"/>
      <c r="C630" s="42"/>
      <c r="D630" s="75"/>
      <c r="E630" s="75"/>
      <c r="F630" s="76"/>
      <c r="G630" s="47"/>
      <c r="H630" s="47"/>
      <c r="I630" s="75"/>
      <c r="J630" s="76"/>
      <c r="K630" s="76"/>
      <c r="L630" s="75"/>
      <c r="M630" s="49"/>
      <c r="N630" s="76"/>
      <c r="O630" s="49"/>
      <c r="P630" s="77"/>
      <c r="Q630" s="53"/>
      <c r="R630" s="54"/>
      <c r="S630" s="55"/>
      <c r="T630" s="56"/>
      <c r="U630" s="56"/>
      <c r="V630" s="42"/>
      <c r="W630" s="57"/>
      <c r="X630" s="58"/>
      <c r="Y630" s="75"/>
      <c r="Z630" s="59"/>
      <c r="AA630" s="61"/>
      <c r="AB630" s="61"/>
      <c r="AC630" s="61"/>
      <c r="AD630" s="62"/>
      <c r="AE630" s="62"/>
      <c r="AF630" s="34"/>
      <c r="AG630" s="34"/>
      <c r="AH630" s="34"/>
      <c r="AI630" s="34"/>
      <c r="AJ630" s="34"/>
      <c r="AK630" s="34"/>
      <c r="AL630" s="34"/>
      <c r="AM630" s="34"/>
      <c r="AN630" s="34"/>
      <c r="AO630" s="34"/>
      <c r="AP630" s="34"/>
      <c r="AQ630" s="34"/>
      <c r="AR630" s="34"/>
      <c r="AS630" s="34"/>
      <c r="AT630" s="34"/>
      <c r="AU630" s="34"/>
      <c r="AV630" s="34"/>
      <c r="AW630" s="34"/>
      <c r="AX630" s="34"/>
      <c r="AY630" s="34"/>
      <c r="AZ630" s="34"/>
      <c r="BA630" s="34"/>
      <c r="BB630" s="34"/>
      <c r="BD630" s="34"/>
      <c r="BE630" s="34"/>
      <c r="BF630" s="34"/>
      <c r="BG630" s="34"/>
      <c r="BH630" s="34"/>
      <c r="BI630" s="34"/>
      <c r="BJ630" s="34"/>
      <c r="BK630" s="34"/>
      <c r="BL630" s="34"/>
      <c r="BM630" s="34"/>
      <c r="BN630" s="34"/>
      <c r="BO630" s="34"/>
      <c r="BP630" s="34"/>
      <c r="BQ630" s="34"/>
      <c r="BR630" s="34"/>
      <c r="BS630" s="34"/>
      <c r="BT630" s="34"/>
      <c r="BU630" s="34"/>
      <c r="BV630" s="34"/>
      <c r="BW630" s="34"/>
      <c r="BX630" s="34"/>
      <c r="BY630" s="34"/>
    </row>
    <row r="631" spans="1:77" x14ac:dyDescent="0.3">
      <c r="A631" s="39"/>
      <c r="B631" s="42"/>
      <c r="C631" s="42"/>
      <c r="D631" s="75"/>
      <c r="E631" s="75"/>
      <c r="F631" s="76"/>
      <c r="G631" s="47"/>
      <c r="H631" s="47"/>
      <c r="I631" s="75"/>
      <c r="J631" s="76"/>
      <c r="K631" s="76"/>
      <c r="L631" s="75"/>
      <c r="M631" s="49"/>
      <c r="N631" s="76"/>
      <c r="O631" s="49"/>
      <c r="P631" s="77"/>
      <c r="Q631" s="53"/>
      <c r="R631" s="54"/>
      <c r="S631" s="55"/>
      <c r="T631" s="56"/>
      <c r="U631" s="56"/>
      <c r="V631" s="42"/>
      <c r="W631" s="57"/>
      <c r="X631" s="58"/>
      <c r="Y631" s="75"/>
      <c r="Z631" s="59"/>
      <c r="AA631" s="61"/>
      <c r="AB631" s="61"/>
      <c r="AC631" s="61"/>
      <c r="AD631" s="62"/>
      <c r="AE631" s="62"/>
      <c r="AF631" s="34"/>
      <c r="AG631" s="34"/>
      <c r="AH631" s="34"/>
      <c r="AI631" s="34"/>
      <c r="AJ631" s="34"/>
      <c r="AK631" s="34"/>
      <c r="AL631" s="34"/>
      <c r="AM631" s="34"/>
      <c r="AN631" s="34"/>
      <c r="AO631" s="34"/>
      <c r="AP631" s="34"/>
      <c r="AQ631" s="34"/>
      <c r="AR631" s="34"/>
      <c r="AS631" s="34"/>
      <c r="AT631" s="34"/>
      <c r="AU631" s="34"/>
      <c r="AV631" s="34"/>
      <c r="AW631" s="34"/>
      <c r="AX631" s="34"/>
      <c r="AY631" s="34"/>
      <c r="AZ631" s="34"/>
      <c r="BA631" s="34"/>
      <c r="BB631" s="34"/>
      <c r="BD631" s="34"/>
      <c r="BE631" s="34"/>
      <c r="BF631" s="34"/>
      <c r="BG631" s="34"/>
      <c r="BH631" s="34"/>
      <c r="BI631" s="34"/>
      <c r="BJ631" s="34"/>
      <c r="BK631" s="34"/>
      <c r="BL631" s="34"/>
      <c r="BM631" s="34"/>
      <c r="BN631" s="34"/>
      <c r="BO631" s="34"/>
      <c r="BP631" s="34"/>
      <c r="BQ631" s="34"/>
      <c r="BR631" s="34"/>
      <c r="BS631" s="34"/>
      <c r="BT631" s="34"/>
      <c r="BU631" s="34"/>
      <c r="BV631" s="34"/>
      <c r="BW631" s="34"/>
      <c r="BX631" s="34"/>
      <c r="BY631" s="34"/>
    </row>
    <row r="632" spans="1:77" x14ac:dyDescent="0.3">
      <c r="A632" s="39"/>
      <c r="B632" s="42"/>
      <c r="C632" s="42"/>
      <c r="D632" s="75"/>
      <c r="E632" s="75"/>
      <c r="F632" s="76"/>
      <c r="G632" s="47"/>
      <c r="H632" s="47"/>
      <c r="I632" s="75"/>
      <c r="J632" s="76"/>
      <c r="K632" s="76"/>
      <c r="L632" s="75"/>
      <c r="M632" s="49"/>
      <c r="N632" s="76"/>
      <c r="O632" s="49"/>
      <c r="P632" s="77"/>
      <c r="Q632" s="53"/>
      <c r="R632" s="54"/>
      <c r="S632" s="55"/>
      <c r="T632" s="56"/>
      <c r="U632" s="56"/>
      <c r="V632" s="42"/>
      <c r="W632" s="57"/>
      <c r="X632" s="58"/>
      <c r="Y632" s="75"/>
      <c r="Z632" s="59"/>
      <c r="AA632" s="61"/>
      <c r="AB632" s="61"/>
      <c r="AC632" s="61"/>
      <c r="AD632" s="62"/>
      <c r="AE632" s="62"/>
      <c r="AF632" s="34"/>
      <c r="AG632" s="34"/>
      <c r="AH632" s="34"/>
      <c r="AI632" s="34"/>
      <c r="AJ632" s="34"/>
      <c r="AK632" s="34"/>
      <c r="AL632" s="34"/>
      <c r="AM632" s="34"/>
      <c r="AN632" s="34"/>
      <c r="AO632" s="34"/>
      <c r="AP632" s="34"/>
      <c r="AQ632" s="34"/>
      <c r="AR632" s="34"/>
      <c r="AS632" s="34"/>
      <c r="AT632" s="34"/>
      <c r="AU632" s="34"/>
      <c r="AV632" s="34"/>
      <c r="AW632" s="34"/>
      <c r="AX632" s="34"/>
      <c r="AY632" s="34"/>
      <c r="AZ632" s="34"/>
      <c r="BA632" s="34"/>
      <c r="BB632" s="34"/>
      <c r="BD632" s="34"/>
      <c r="BE632" s="34"/>
      <c r="BF632" s="34"/>
      <c r="BG632" s="34"/>
      <c r="BH632" s="34"/>
      <c r="BI632" s="34"/>
      <c r="BJ632" s="34"/>
      <c r="BK632" s="34"/>
      <c r="BL632" s="34"/>
      <c r="BM632" s="34"/>
      <c r="BN632" s="34"/>
      <c r="BO632" s="34"/>
      <c r="BP632" s="34"/>
      <c r="BQ632" s="34"/>
      <c r="BR632" s="34"/>
      <c r="BS632" s="34"/>
      <c r="BT632" s="34"/>
      <c r="BU632" s="34"/>
      <c r="BV632" s="34"/>
      <c r="BW632" s="34"/>
      <c r="BX632" s="34"/>
      <c r="BY632" s="34"/>
    </row>
    <row r="633" spans="1:77" x14ac:dyDescent="0.3">
      <c r="A633" s="39"/>
      <c r="B633" s="42"/>
      <c r="C633" s="42"/>
      <c r="D633" s="75"/>
      <c r="E633" s="75"/>
      <c r="F633" s="76"/>
      <c r="G633" s="47"/>
      <c r="H633" s="47"/>
      <c r="I633" s="75"/>
      <c r="J633" s="76"/>
      <c r="K633" s="76"/>
      <c r="L633" s="75"/>
      <c r="M633" s="49"/>
      <c r="N633" s="76"/>
      <c r="O633" s="49"/>
      <c r="P633" s="77"/>
      <c r="Q633" s="53"/>
      <c r="R633" s="54"/>
      <c r="S633" s="55"/>
      <c r="T633" s="56"/>
      <c r="U633" s="56"/>
      <c r="V633" s="42"/>
      <c r="W633" s="57"/>
      <c r="X633" s="58"/>
      <c r="Y633" s="75"/>
      <c r="Z633" s="59"/>
      <c r="AA633" s="61"/>
      <c r="AB633" s="61"/>
      <c r="AC633" s="61"/>
      <c r="AD633" s="62"/>
      <c r="AE633" s="62"/>
      <c r="AF633" s="34"/>
      <c r="AG633" s="34"/>
      <c r="AH633" s="34"/>
      <c r="AI633" s="34"/>
      <c r="AJ633" s="34"/>
      <c r="AK633" s="34"/>
      <c r="AL633" s="34"/>
      <c r="AM633" s="34"/>
      <c r="AN633" s="34"/>
      <c r="AO633" s="34"/>
      <c r="AP633" s="34"/>
      <c r="AQ633" s="34"/>
      <c r="AR633" s="34"/>
      <c r="AS633" s="34"/>
      <c r="AT633" s="34"/>
      <c r="AU633" s="34"/>
      <c r="AV633" s="34"/>
      <c r="AW633" s="34"/>
      <c r="AX633" s="34"/>
      <c r="AY633" s="34"/>
      <c r="AZ633" s="34"/>
      <c r="BA633" s="34"/>
      <c r="BB633" s="34"/>
      <c r="BD633" s="34"/>
      <c r="BE633" s="34"/>
      <c r="BF633" s="34"/>
      <c r="BG633" s="34"/>
      <c r="BH633" s="34"/>
      <c r="BI633" s="34"/>
      <c r="BJ633" s="34"/>
      <c r="BK633" s="34"/>
      <c r="BL633" s="34"/>
      <c r="BM633" s="34"/>
      <c r="BN633" s="34"/>
      <c r="BO633" s="34"/>
      <c r="BP633" s="34"/>
      <c r="BQ633" s="34"/>
      <c r="BR633" s="34"/>
      <c r="BS633" s="34"/>
      <c r="BT633" s="34"/>
      <c r="BU633" s="34"/>
      <c r="BV633" s="34"/>
      <c r="BW633" s="34"/>
      <c r="BX633" s="34"/>
      <c r="BY633" s="34"/>
    </row>
    <row r="634" spans="1:77" x14ac:dyDescent="0.3">
      <c r="A634" s="39"/>
      <c r="B634" s="42"/>
      <c r="C634" s="42"/>
      <c r="D634" s="75"/>
      <c r="E634" s="75"/>
      <c r="F634" s="76"/>
      <c r="G634" s="47"/>
      <c r="H634" s="47"/>
      <c r="I634" s="75"/>
      <c r="J634" s="76"/>
      <c r="K634" s="76"/>
      <c r="L634" s="75"/>
      <c r="M634" s="49"/>
      <c r="N634" s="76"/>
      <c r="O634" s="49"/>
      <c r="P634" s="77"/>
      <c r="Q634" s="53"/>
      <c r="R634" s="54"/>
      <c r="S634" s="55"/>
      <c r="T634" s="56"/>
      <c r="U634" s="56"/>
      <c r="V634" s="42"/>
      <c r="W634" s="57"/>
      <c r="X634" s="58"/>
      <c r="Y634" s="75"/>
      <c r="Z634" s="59"/>
      <c r="AA634" s="61"/>
      <c r="AB634" s="61"/>
      <c r="AC634" s="61"/>
      <c r="AD634" s="62"/>
      <c r="AE634" s="62"/>
      <c r="AF634" s="34"/>
      <c r="AG634" s="34"/>
      <c r="AH634" s="34"/>
      <c r="AI634" s="34"/>
      <c r="AJ634" s="34"/>
      <c r="AK634" s="34"/>
      <c r="AL634" s="34"/>
      <c r="AM634" s="34"/>
      <c r="AN634" s="34"/>
      <c r="AO634" s="34"/>
      <c r="AP634" s="34"/>
      <c r="AQ634" s="34"/>
      <c r="AR634" s="34"/>
      <c r="AS634" s="34"/>
      <c r="AT634" s="34"/>
      <c r="AU634" s="34"/>
      <c r="AV634" s="34"/>
      <c r="AW634" s="34"/>
      <c r="AX634" s="34"/>
      <c r="AY634" s="34"/>
      <c r="AZ634" s="34"/>
      <c r="BA634" s="34"/>
      <c r="BB634" s="34"/>
      <c r="BD634" s="34"/>
      <c r="BE634" s="34"/>
      <c r="BF634" s="34"/>
      <c r="BG634" s="34"/>
      <c r="BH634" s="34"/>
      <c r="BI634" s="34"/>
      <c r="BJ634" s="34"/>
      <c r="BK634" s="34"/>
      <c r="BL634" s="34"/>
      <c r="BM634" s="34"/>
      <c r="BN634" s="34"/>
      <c r="BO634" s="34"/>
      <c r="BP634" s="34"/>
      <c r="BQ634" s="34"/>
      <c r="BR634" s="34"/>
      <c r="BS634" s="34"/>
      <c r="BT634" s="34"/>
      <c r="BU634" s="34"/>
      <c r="BV634" s="34"/>
      <c r="BW634" s="34"/>
      <c r="BX634" s="34"/>
      <c r="BY634" s="34"/>
    </row>
    <row r="635" spans="1:77" x14ac:dyDescent="0.3">
      <c r="A635" s="39"/>
      <c r="B635" s="42"/>
      <c r="C635" s="42"/>
      <c r="D635" s="75"/>
      <c r="E635" s="75"/>
      <c r="F635" s="76"/>
      <c r="G635" s="47"/>
      <c r="H635" s="47"/>
      <c r="I635" s="75"/>
      <c r="J635" s="76"/>
      <c r="K635" s="76"/>
      <c r="L635" s="75"/>
      <c r="M635" s="49"/>
      <c r="N635" s="76"/>
      <c r="O635" s="49"/>
      <c r="P635" s="77"/>
      <c r="Q635" s="53"/>
      <c r="R635" s="54"/>
      <c r="S635" s="55"/>
      <c r="T635" s="56"/>
      <c r="U635" s="56"/>
      <c r="V635" s="42"/>
      <c r="W635" s="57"/>
      <c r="X635" s="58"/>
      <c r="Y635" s="75"/>
      <c r="Z635" s="59"/>
      <c r="AA635" s="61"/>
      <c r="AB635" s="61"/>
      <c r="AC635" s="61"/>
      <c r="AD635" s="62"/>
      <c r="AE635" s="62"/>
      <c r="AF635" s="34"/>
      <c r="AG635" s="34"/>
      <c r="AH635" s="34"/>
      <c r="AI635" s="34"/>
      <c r="AJ635" s="34"/>
      <c r="AK635" s="34"/>
      <c r="AL635" s="34"/>
      <c r="AM635" s="34"/>
      <c r="AN635" s="34"/>
      <c r="AO635" s="34"/>
      <c r="AP635" s="34"/>
      <c r="AQ635" s="34"/>
      <c r="AR635" s="34"/>
      <c r="AS635" s="34"/>
      <c r="AT635" s="34"/>
      <c r="AU635" s="34"/>
      <c r="AV635" s="34"/>
      <c r="AW635" s="34"/>
      <c r="AX635" s="34"/>
      <c r="AY635" s="34"/>
      <c r="AZ635" s="34"/>
      <c r="BA635" s="34"/>
      <c r="BB635" s="34"/>
      <c r="BD635" s="34"/>
      <c r="BE635" s="34"/>
      <c r="BF635" s="34"/>
      <c r="BG635" s="34"/>
      <c r="BH635" s="34"/>
      <c r="BI635" s="34"/>
      <c r="BJ635" s="34"/>
      <c r="BK635" s="34"/>
      <c r="BL635" s="34"/>
      <c r="BM635" s="34"/>
      <c r="BN635" s="34"/>
      <c r="BO635" s="34"/>
      <c r="BP635" s="34"/>
      <c r="BQ635" s="34"/>
      <c r="BR635" s="34"/>
      <c r="BS635" s="34"/>
      <c r="BT635" s="34"/>
      <c r="BU635" s="34"/>
      <c r="BV635" s="34"/>
      <c r="BW635" s="34"/>
      <c r="BX635" s="34"/>
      <c r="BY635" s="34"/>
    </row>
    <row r="636" spans="1:77" x14ac:dyDescent="0.3">
      <c r="A636" s="39"/>
      <c r="B636" s="42"/>
      <c r="C636" s="42"/>
      <c r="D636" s="75"/>
      <c r="E636" s="75"/>
      <c r="F636" s="76"/>
      <c r="G636" s="47"/>
      <c r="H636" s="47"/>
      <c r="I636" s="75"/>
      <c r="J636" s="76"/>
      <c r="K636" s="76"/>
      <c r="L636" s="75"/>
      <c r="M636" s="49"/>
      <c r="N636" s="76"/>
      <c r="O636" s="49"/>
      <c r="P636" s="77"/>
      <c r="Q636" s="53"/>
      <c r="R636" s="54"/>
      <c r="S636" s="55"/>
      <c r="T636" s="56"/>
      <c r="U636" s="56"/>
      <c r="V636" s="42"/>
      <c r="W636" s="57"/>
      <c r="X636" s="58"/>
      <c r="Y636" s="75"/>
      <c r="Z636" s="59"/>
      <c r="AA636" s="61"/>
      <c r="AB636" s="61"/>
      <c r="AC636" s="61"/>
      <c r="AD636" s="62"/>
      <c r="AE636" s="62"/>
      <c r="AF636" s="34"/>
      <c r="AG636" s="34"/>
      <c r="AH636" s="34"/>
      <c r="AI636" s="34"/>
      <c r="AJ636" s="34"/>
      <c r="AK636" s="34"/>
      <c r="AL636" s="34"/>
      <c r="AM636" s="34"/>
      <c r="AN636" s="34"/>
      <c r="AO636" s="34"/>
      <c r="AP636" s="34"/>
      <c r="AQ636" s="34"/>
      <c r="AR636" s="34"/>
      <c r="AS636" s="34"/>
      <c r="AT636" s="34"/>
      <c r="AU636" s="34"/>
      <c r="AV636" s="34"/>
      <c r="AW636" s="34"/>
      <c r="AX636" s="34"/>
      <c r="AY636" s="34"/>
      <c r="AZ636" s="34"/>
      <c r="BA636" s="34"/>
      <c r="BB636" s="34"/>
      <c r="BD636" s="34"/>
      <c r="BE636" s="34"/>
      <c r="BF636" s="34"/>
      <c r="BG636" s="34"/>
      <c r="BH636" s="34"/>
      <c r="BI636" s="34"/>
      <c r="BJ636" s="34"/>
      <c r="BK636" s="34"/>
      <c r="BL636" s="34"/>
      <c r="BM636" s="34"/>
      <c r="BN636" s="34"/>
      <c r="BO636" s="34"/>
      <c r="BP636" s="34"/>
      <c r="BQ636" s="34"/>
      <c r="BR636" s="34"/>
      <c r="BS636" s="34"/>
      <c r="BT636" s="34"/>
      <c r="BU636" s="34"/>
      <c r="BV636" s="34"/>
      <c r="BW636" s="34"/>
      <c r="BX636" s="34"/>
      <c r="BY636" s="34"/>
    </row>
    <row r="637" spans="1:77" x14ac:dyDescent="0.3">
      <c r="A637" s="39"/>
      <c r="B637" s="42"/>
      <c r="C637" s="42"/>
      <c r="D637" s="75"/>
      <c r="E637" s="75"/>
      <c r="F637" s="76"/>
      <c r="G637" s="47"/>
      <c r="H637" s="47"/>
      <c r="I637" s="75"/>
      <c r="J637" s="76"/>
      <c r="K637" s="76"/>
      <c r="L637" s="75"/>
      <c r="M637" s="49"/>
      <c r="N637" s="76"/>
      <c r="O637" s="49"/>
      <c r="P637" s="77"/>
      <c r="Q637" s="53"/>
      <c r="R637" s="54"/>
      <c r="S637" s="55"/>
      <c r="T637" s="56"/>
      <c r="U637" s="56"/>
      <c r="V637" s="42"/>
      <c r="W637" s="57"/>
      <c r="X637" s="58"/>
      <c r="Y637" s="75"/>
      <c r="Z637" s="59"/>
      <c r="AA637" s="61"/>
      <c r="AB637" s="61"/>
      <c r="AC637" s="61"/>
      <c r="AD637" s="62"/>
      <c r="AE637" s="62"/>
      <c r="AF637" s="34"/>
      <c r="AG637" s="34"/>
      <c r="AH637" s="34"/>
      <c r="AI637" s="34"/>
      <c r="AJ637" s="34"/>
      <c r="AK637" s="34"/>
      <c r="AL637" s="34"/>
      <c r="AM637" s="34"/>
      <c r="AN637" s="34"/>
      <c r="AO637" s="34"/>
      <c r="AP637" s="34"/>
      <c r="AQ637" s="34"/>
      <c r="AR637" s="34"/>
      <c r="AS637" s="34"/>
      <c r="AT637" s="34"/>
      <c r="AU637" s="34"/>
      <c r="AV637" s="34"/>
      <c r="AW637" s="34"/>
      <c r="AX637" s="34"/>
      <c r="AY637" s="34"/>
      <c r="AZ637" s="34"/>
      <c r="BA637" s="34"/>
      <c r="BB637" s="34"/>
      <c r="BD637" s="34"/>
      <c r="BE637" s="34"/>
      <c r="BF637" s="34"/>
      <c r="BG637" s="34"/>
      <c r="BH637" s="34"/>
      <c r="BI637" s="34"/>
      <c r="BJ637" s="34"/>
      <c r="BK637" s="34"/>
      <c r="BL637" s="34"/>
      <c r="BM637" s="34"/>
      <c r="BN637" s="34"/>
      <c r="BO637" s="34"/>
      <c r="BP637" s="34"/>
      <c r="BQ637" s="34"/>
      <c r="BR637" s="34"/>
      <c r="BS637" s="34"/>
      <c r="BT637" s="34"/>
      <c r="BU637" s="34"/>
      <c r="BV637" s="34"/>
      <c r="BW637" s="34"/>
      <c r="BX637" s="34"/>
      <c r="BY637" s="34"/>
    </row>
    <row r="638" spans="1:77" x14ac:dyDescent="0.3">
      <c r="A638" s="39"/>
      <c r="B638" s="42"/>
      <c r="C638" s="42"/>
      <c r="D638" s="75"/>
      <c r="E638" s="75"/>
      <c r="F638" s="76"/>
      <c r="G638" s="47"/>
      <c r="H638" s="47"/>
      <c r="I638" s="75"/>
      <c r="J638" s="76"/>
      <c r="K638" s="76"/>
      <c r="L638" s="75"/>
      <c r="M638" s="49"/>
      <c r="N638" s="76"/>
      <c r="O638" s="49"/>
      <c r="P638" s="77"/>
      <c r="Q638" s="53"/>
      <c r="R638" s="54"/>
      <c r="S638" s="55"/>
      <c r="T638" s="56"/>
      <c r="U638" s="56"/>
      <c r="V638" s="42"/>
      <c r="W638" s="57"/>
      <c r="X638" s="58"/>
      <c r="Y638" s="75"/>
      <c r="Z638" s="59"/>
      <c r="AA638" s="61"/>
      <c r="AB638" s="61"/>
      <c r="AC638" s="61"/>
      <c r="AD638" s="62"/>
      <c r="AE638" s="62"/>
      <c r="AF638" s="34"/>
      <c r="AG638" s="34"/>
      <c r="AH638" s="34"/>
      <c r="AI638" s="34"/>
      <c r="AJ638" s="34"/>
      <c r="AK638" s="34"/>
      <c r="AL638" s="34"/>
      <c r="AM638" s="34"/>
      <c r="AN638" s="34"/>
      <c r="AO638" s="34"/>
      <c r="AP638" s="34"/>
      <c r="AQ638" s="34"/>
      <c r="AR638" s="34"/>
      <c r="AS638" s="34"/>
      <c r="AT638" s="34"/>
      <c r="AU638" s="34"/>
      <c r="AV638" s="34"/>
      <c r="AW638" s="34"/>
      <c r="AX638" s="34"/>
      <c r="AY638" s="34"/>
      <c r="AZ638" s="34"/>
      <c r="BA638" s="34"/>
      <c r="BB638" s="34"/>
      <c r="BD638" s="34"/>
      <c r="BE638" s="34"/>
      <c r="BF638" s="34"/>
      <c r="BG638" s="34"/>
      <c r="BH638" s="34"/>
      <c r="BI638" s="34"/>
      <c r="BJ638" s="34"/>
      <c r="BK638" s="34"/>
      <c r="BL638" s="34"/>
      <c r="BM638" s="34"/>
      <c r="BN638" s="34"/>
      <c r="BO638" s="34"/>
      <c r="BP638" s="34"/>
      <c r="BQ638" s="34"/>
      <c r="BR638" s="34"/>
      <c r="BS638" s="34"/>
      <c r="BT638" s="34"/>
      <c r="BU638" s="34"/>
      <c r="BV638" s="34"/>
      <c r="BW638" s="34"/>
      <c r="BX638" s="34"/>
      <c r="BY638" s="34"/>
    </row>
    <row r="639" spans="1:77" x14ac:dyDescent="0.3">
      <c r="A639" s="39"/>
      <c r="B639" s="42"/>
      <c r="C639" s="42"/>
      <c r="D639" s="75"/>
      <c r="E639" s="75"/>
      <c r="F639" s="76"/>
      <c r="G639" s="47"/>
      <c r="H639" s="47"/>
      <c r="I639" s="75"/>
      <c r="J639" s="76"/>
      <c r="K639" s="76"/>
      <c r="L639" s="75"/>
      <c r="M639" s="49"/>
      <c r="N639" s="76"/>
      <c r="O639" s="49"/>
      <c r="P639" s="77"/>
      <c r="Q639" s="53"/>
      <c r="R639" s="54"/>
      <c r="S639" s="55"/>
      <c r="T639" s="56"/>
      <c r="U639" s="56"/>
      <c r="V639" s="42"/>
      <c r="W639" s="57"/>
      <c r="X639" s="58"/>
      <c r="Y639" s="75"/>
      <c r="Z639" s="59"/>
      <c r="AA639" s="61"/>
      <c r="AB639" s="61"/>
      <c r="AC639" s="61"/>
      <c r="AD639" s="62"/>
      <c r="AE639" s="62"/>
      <c r="AF639" s="34"/>
      <c r="AG639" s="34"/>
      <c r="AH639" s="34"/>
      <c r="AI639" s="34"/>
      <c r="AJ639" s="34"/>
      <c r="AK639" s="34"/>
      <c r="AL639" s="34"/>
      <c r="AM639" s="34"/>
      <c r="AN639" s="34"/>
      <c r="AO639" s="34"/>
      <c r="AP639" s="34"/>
      <c r="AQ639" s="34"/>
      <c r="AR639" s="34"/>
      <c r="AS639" s="34"/>
      <c r="AT639" s="34"/>
      <c r="AU639" s="34"/>
      <c r="AV639" s="34"/>
      <c r="AW639" s="34"/>
      <c r="AX639" s="34"/>
      <c r="AY639" s="34"/>
      <c r="AZ639" s="34"/>
      <c r="BA639" s="34"/>
      <c r="BB639" s="34"/>
      <c r="BD639" s="34"/>
      <c r="BE639" s="34"/>
      <c r="BF639" s="34"/>
      <c r="BG639" s="34"/>
      <c r="BH639" s="34"/>
      <c r="BI639" s="34"/>
      <c r="BJ639" s="34"/>
      <c r="BK639" s="34"/>
      <c r="BL639" s="34"/>
      <c r="BM639" s="34"/>
      <c r="BN639" s="34"/>
      <c r="BO639" s="34"/>
      <c r="BP639" s="34"/>
      <c r="BQ639" s="34"/>
      <c r="BR639" s="34"/>
      <c r="BS639" s="34"/>
      <c r="BT639" s="34"/>
      <c r="BU639" s="34"/>
      <c r="BV639" s="34"/>
      <c r="BW639" s="34"/>
      <c r="BX639" s="34"/>
      <c r="BY639" s="34"/>
    </row>
    <row r="640" spans="1:77" x14ac:dyDescent="0.3">
      <c r="A640" s="39"/>
      <c r="B640" s="42"/>
      <c r="C640" s="42"/>
      <c r="D640" s="75"/>
      <c r="E640" s="75"/>
      <c r="F640" s="76"/>
      <c r="G640" s="47"/>
      <c r="H640" s="47"/>
      <c r="I640" s="75"/>
      <c r="J640" s="76"/>
      <c r="K640" s="76"/>
      <c r="L640" s="75"/>
      <c r="M640" s="49"/>
      <c r="N640" s="76"/>
      <c r="O640" s="49"/>
      <c r="P640" s="77"/>
      <c r="Q640" s="53"/>
      <c r="R640" s="54"/>
      <c r="S640" s="55"/>
      <c r="T640" s="56"/>
      <c r="U640" s="56"/>
      <c r="V640" s="42"/>
      <c r="W640" s="57"/>
      <c r="X640" s="58"/>
      <c r="Y640" s="75"/>
      <c r="Z640" s="59"/>
      <c r="AA640" s="61"/>
      <c r="AB640" s="61"/>
      <c r="AC640" s="61"/>
      <c r="AD640" s="62"/>
      <c r="AE640" s="62"/>
      <c r="AF640" s="34"/>
      <c r="AG640" s="34"/>
      <c r="AH640" s="34"/>
      <c r="AI640" s="34"/>
      <c r="AJ640" s="34"/>
      <c r="AK640" s="34"/>
      <c r="AL640" s="34"/>
      <c r="AM640" s="34"/>
      <c r="AN640" s="34"/>
      <c r="AO640" s="34"/>
      <c r="AP640" s="34"/>
      <c r="AQ640" s="34"/>
      <c r="AR640" s="34"/>
      <c r="AS640" s="34"/>
      <c r="AT640" s="34"/>
      <c r="AU640" s="34"/>
      <c r="AV640" s="34"/>
      <c r="AW640" s="34"/>
      <c r="AX640" s="34"/>
      <c r="AY640" s="34"/>
      <c r="AZ640" s="34"/>
      <c r="BA640" s="34"/>
      <c r="BB640" s="34"/>
      <c r="BD640" s="34"/>
      <c r="BE640" s="34"/>
      <c r="BF640" s="34"/>
      <c r="BG640" s="34"/>
      <c r="BH640" s="34"/>
      <c r="BI640" s="34"/>
      <c r="BJ640" s="34"/>
      <c r="BK640" s="34"/>
      <c r="BL640" s="34"/>
      <c r="BM640" s="34"/>
      <c r="BN640" s="34"/>
      <c r="BO640" s="34"/>
      <c r="BP640" s="34"/>
      <c r="BQ640" s="34"/>
      <c r="BR640" s="34"/>
      <c r="BS640" s="34"/>
      <c r="BT640" s="34"/>
      <c r="BU640" s="34"/>
      <c r="BV640" s="34"/>
      <c r="BW640" s="34"/>
      <c r="BX640" s="34"/>
      <c r="BY640" s="34"/>
    </row>
    <row r="641" spans="1:77" x14ac:dyDescent="0.3">
      <c r="A641" s="39"/>
      <c r="B641" s="42"/>
      <c r="C641" s="42"/>
      <c r="D641" s="75"/>
      <c r="E641" s="75"/>
      <c r="F641" s="76"/>
      <c r="G641" s="47"/>
      <c r="H641" s="47"/>
      <c r="I641" s="75"/>
      <c r="J641" s="76"/>
      <c r="K641" s="76"/>
      <c r="L641" s="75"/>
      <c r="M641" s="49"/>
      <c r="N641" s="76"/>
      <c r="O641" s="49"/>
      <c r="P641" s="77"/>
      <c r="Q641" s="53"/>
      <c r="R641" s="54"/>
      <c r="S641" s="55"/>
      <c r="T641" s="56"/>
      <c r="U641" s="56"/>
      <c r="V641" s="42"/>
      <c r="W641" s="57"/>
      <c r="X641" s="58"/>
      <c r="Y641" s="75"/>
      <c r="Z641" s="59"/>
      <c r="AA641" s="61"/>
      <c r="AB641" s="61"/>
      <c r="AC641" s="61"/>
      <c r="AD641" s="62"/>
      <c r="AE641" s="62"/>
      <c r="AF641" s="34"/>
      <c r="AG641" s="34"/>
      <c r="AH641" s="34"/>
      <c r="AI641" s="34"/>
      <c r="AJ641" s="34"/>
      <c r="AK641" s="34"/>
      <c r="AL641" s="34"/>
      <c r="AM641" s="34"/>
      <c r="AN641" s="34"/>
      <c r="AO641" s="34"/>
      <c r="AP641" s="34"/>
      <c r="AQ641" s="34"/>
      <c r="AR641" s="34"/>
      <c r="AS641" s="34"/>
      <c r="AT641" s="34"/>
      <c r="AU641" s="34"/>
      <c r="AV641" s="34"/>
      <c r="AW641" s="34"/>
      <c r="AX641" s="34"/>
      <c r="AY641" s="34"/>
      <c r="AZ641" s="34"/>
      <c r="BA641" s="34"/>
      <c r="BB641" s="34"/>
      <c r="BD641" s="34"/>
      <c r="BE641" s="34"/>
      <c r="BF641" s="34"/>
      <c r="BG641" s="34"/>
      <c r="BH641" s="34"/>
      <c r="BI641" s="34"/>
      <c r="BJ641" s="34"/>
      <c r="BK641" s="34"/>
      <c r="BL641" s="34"/>
      <c r="BM641" s="34"/>
      <c r="BN641" s="34"/>
      <c r="BO641" s="34"/>
      <c r="BP641" s="34"/>
      <c r="BQ641" s="34"/>
      <c r="BR641" s="34"/>
      <c r="BS641" s="34"/>
      <c r="BT641" s="34"/>
      <c r="BU641" s="34"/>
      <c r="BV641" s="34"/>
      <c r="BW641" s="34"/>
      <c r="BX641" s="34"/>
      <c r="BY641" s="34"/>
    </row>
    <row r="642" spans="1:77" x14ac:dyDescent="0.3">
      <c r="A642" s="39"/>
      <c r="B642" s="42"/>
      <c r="C642" s="42"/>
      <c r="D642" s="75"/>
      <c r="E642" s="75"/>
      <c r="F642" s="76"/>
      <c r="G642" s="47"/>
      <c r="H642" s="47"/>
      <c r="I642" s="75"/>
      <c r="J642" s="76"/>
      <c r="K642" s="76"/>
      <c r="L642" s="75"/>
      <c r="M642" s="49"/>
      <c r="N642" s="76"/>
      <c r="O642" s="49"/>
      <c r="P642" s="77"/>
      <c r="Q642" s="53"/>
      <c r="R642" s="54"/>
      <c r="S642" s="55"/>
      <c r="T642" s="56"/>
      <c r="U642" s="56"/>
      <c r="V642" s="42"/>
      <c r="W642" s="57"/>
      <c r="X642" s="58"/>
      <c r="Y642" s="75"/>
      <c r="Z642" s="59"/>
      <c r="AA642" s="61"/>
      <c r="AB642" s="61"/>
      <c r="AC642" s="61"/>
      <c r="AD642" s="62"/>
      <c r="AE642" s="62"/>
      <c r="AF642" s="34"/>
      <c r="AG642" s="34"/>
      <c r="AH642" s="34"/>
      <c r="AI642" s="34"/>
      <c r="AJ642" s="34"/>
      <c r="AK642" s="34"/>
      <c r="AL642" s="34"/>
      <c r="AM642" s="34"/>
      <c r="AN642" s="34"/>
      <c r="AO642" s="34"/>
      <c r="AP642" s="34"/>
      <c r="AQ642" s="34"/>
      <c r="AR642" s="34"/>
      <c r="AS642" s="34"/>
      <c r="AT642" s="34"/>
      <c r="AU642" s="34"/>
      <c r="AV642" s="34"/>
      <c r="AW642" s="34"/>
      <c r="AX642" s="34"/>
      <c r="AY642" s="34"/>
      <c r="AZ642" s="34"/>
      <c r="BA642" s="34"/>
      <c r="BB642" s="34"/>
      <c r="BD642" s="34"/>
      <c r="BE642" s="34"/>
      <c r="BF642" s="34"/>
      <c r="BG642" s="34"/>
      <c r="BH642" s="34"/>
      <c r="BI642" s="34"/>
      <c r="BJ642" s="34"/>
      <c r="BK642" s="34"/>
      <c r="BL642" s="34"/>
      <c r="BM642" s="34"/>
      <c r="BN642" s="34"/>
      <c r="BO642" s="34"/>
      <c r="BP642" s="34"/>
      <c r="BQ642" s="34"/>
      <c r="BR642" s="34"/>
      <c r="BS642" s="34"/>
      <c r="BT642" s="34"/>
      <c r="BU642" s="34"/>
      <c r="BV642" s="34"/>
      <c r="BW642" s="34"/>
      <c r="BX642" s="34"/>
      <c r="BY642" s="34"/>
    </row>
    <row r="643" spans="1:77" x14ac:dyDescent="0.3">
      <c r="A643" s="39"/>
      <c r="B643" s="42"/>
      <c r="C643" s="42"/>
      <c r="D643" s="75"/>
      <c r="E643" s="75"/>
      <c r="F643" s="76"/>
      <c r="G643" s="47"/>
      <c r="H643" s="47"/>
      <c r="I643" s="75"/>
      <c r="J643" s="76"/>
      <c r="K643" s="76"/>
      <c r="L643" s="75"/>
      <c r="M643" s="49"/>
      <c r="N643" s="76"/>
      <c r="O643" s="49"/>
      <c r="P643" s="77"/>
      <c r="Q643" s="53"/>
      <c r="R643" s="54"/>
      <c r="S643" s="55"/>
      <c r="T643" s="56"/>
      <c r="U643" s="56"/>
      <c r="V643" s="42"/>
      <c r="W643" s="57"/>
      <c r="X643" s="58"/>
      <c r="Y643" s="75"/>
      <c r="Z643" s="59"/>
      <c r="AA643" s="61"/>
      <c r="AB643" s="61"/>
      <c r="AC643" s="61"/>
      <c r="AD643" s="62"/>
      <c r="AE643" s="62"/>
      <c r="AF643" s="34"/>
      <c r="AG643" s="34"/>
      <c r="AH643" s="34"/>
      <c r="AI643" s="34"/>
      <c r="AJ643" s="34"/>
      <c r="AK643" s="34"/>
      <c r="AL643" s="34"/>
      <c r="AM643" s="34"/>
      <c r="AN643" s="34"/>
      <c r="AO643" s="34"/>
      <c r="AP643" s="34"/>
      <c r="AQ643" s="34"/>
      <c r="AR643" s="34"/>
      <c r="AS643" s="34"/>
      <c r="AT643" s="34"/>
      <c r="AU643" s="34"/>
      <c r="AV643" s="34"/>
      <c r="AW643" s="34"/>
      <c r="AX643" s="34"/>
      <c r="AY643" s="34"/>
      <c r="AZ643" s="34"/>
      <c r="BA643" s="34"/>
      <c r="BB643" s="34"/>
      <c r="BD643" s="34"/>
      <c r="BE643" s="34"/>
      <c r="BF643" s="34"/>
      <c r="BG643" s="34"/>
      <c r="BH643" s="34"/>
      <c r="BI643" s="34"/>
      <c r="BJ643" s="34"/>
      <c r="BK643" s="34"/>
      <c r="BL643" s="34"/>
      <c r="BM643" s="34"/>
      <c r="BN643" s="34"/>
      <c r="BO643" s="34"/>
      <c r="BP643" s="34"/>
      <c r="BQ643" s="34"/>
      <c r="BR643" s="34"/>
      <c r="BS643" s="34"/>
      <c r="BT643" s="34"/>
      <c r="BU643" s="34"/>
      <c r="BV643" s="34"/>
      <c r="BW643" s="34"/>
      <c r="BX643" s="34"/>
      <c r="BY643" s="34"/>
    </row>
    <row r="644" spans="1:77" x14ac:dyDescent="0.3">
      <c r="A644" s="39"/>
      <c r="B644" s="42"/>
      <c r="C644" s="42"/>
      <c r="D644" s="75"/>
      <c r="E644" s="75"/>
      <c r="F644" s="76"/>
      <c r="G644" s="47"/>
      <c r="H644" s="47"/>
      <c r="I644" s="75"/>
      <c r="J644" s="76"/>
      <c r="K644" s="76"/>
      <c r="L644" s="75"/>
      <c r="M644" s="49"/>
      <c r="N644" s="76"/>
      <c r="O644" s="49"/>
      <c r="P644" s="77"/>
      <c r="Q644" s="53"/>
      <c r="R644" s="54"/>
      <c r="S644" s="55"/>
      <c r="T644" s="56"/>
      <c r="U644" s="56"/>
      <c r="V644" s="42"/>
      <c r="W644" s="57"/>
      <c r="X644" s="58"/>
      <c r="Y644" s="75"/>
      <c r="Z644" s="59"/>
      <c r="AA644" s="61"/>
      <c r="AB644" s="61"/>
      <c r="AC644" s="61"/>
      <c r="AD644" s="62"/>
      <c r="AE644" s="62"/>
      <c r="AF644" s="34"/>
      <c r="AG644" s="34"/>
      <c r="AH644" s="34"/>
      <c r="AI644" s="34"/>
      <c r="AJ644" s="34"/>
      <c r="AK644" s="34"/>
      <c r="AL644" s="34"/>
      <c r="AM644" s="34"/>
      <c r="AN644" s="34"/>
      <c r="AO644" s="34"/>
      <c r="AP644" s="34"/>
      <c r="AQ644" s="34"/>
      <c r="AR644" s="34"/>
      <c r="AS644" s="34"/>
      <c r="AT644" s="34"/>
      <c r="AU644" s="34"/>
      <c r="AV644" s="34"/>
      <c r="AW644" s="34"/>
      <c r="AX644" s="34"/>
      <c r="AY644" s="34"/>
      <c r="AZ644" s="34"/>
      <c r="BA644" s="34"/>
      <c r="BB644" s="34"/>
      <c r="BD644" s="34"/>
      <c r="BE644" s="34"/>
      <c r="BF644" s="34"/>
      <c r="BG644" s="34"/>
      <c r="BH644" s="34"/>
      <c r="BI644" s="34"/>
      <c r="BJ644" s="34"/>
      <c r="BK644" s="34"/>
      <c r="BL644" s="34"/>
      <c r="BM644" s="34"/>
      <c r="BN644" s="34"/>
      <c r="BO644" s="34"/>
      <c r="BP644" s="34"/>
      <c r="BQ644" s="34"/>
      <c r="BR644" s="34"/>
      <c r="BS644" s="34"/>
      <c r="BT644" s="34"/>
      <c r="BU644" s="34"/>
      <c r="BV644" s="34"/>
      <c r="BW644" s="34"/>
      <c r="BX644" s="34"/>
      <c r="BY644" s="34"/>
    </row>
    <row r="645" spans="1:77" x14ac:dyDescent="0.3">
      <c r="A645" s="39"/>
      <c r="B645" s="42"/>
      <c r="C645" s="42"/>
      <c r="D645" s="75"/>
      <c r="E645" s="75"/>
      <c r="F645" s="76"/>
      <c r="G645" s="47"/>
      <c r="H645" s="47"/>
      <c r="I645" s="75"/>
      <c r="J645" s="76"/>
      <c r="K645" s="76"/>
      <c r="L645" s="75"/>
      <c r="M645" s="49"/>
      <c r="N645" s="76"/>
      <c r="O645" s="49"/>
      <c r="P645" s="77"/>
      <c r="Q645" s="53"/>
      <c r="R645" s="54"/>
      <c r="S645" s="55"/>
      <c r="T645" s="56"/>
      <c r="U645" s="56"/>
      <c r="V645" s="42"/>
      <c r="W645" s="57"/>
      <c r="X645" s="58"/>
      <c r="Y645" s="75"/>
      <c r="Z645" s="59"/>
      <c r="AA645" s="61"/>
      <c r="AB645" s="61"/>
      <c r="AC645" s="61"/>
      <c r="AD645" s="62"/>
      <c r="AE645" s="62"/>
      <c r="AF645" s="34"/>
      <c r="AG645" s="34"/>
      <c r="AH645" s="34"/>
      <c r="AI645" s="34"/>
      <c r="AJ645" s="34"/>
      <c r="AK645" s="34"/>
      <c r="AL645" s="34"/>
      <c r="AM645" s="34"/>
      <c r="AN645" s="34"/>
      <c r="AO645" s="34"/>
      <c r="AP645" s="34"/>
      <c r="AQ645" s="34"/>
      <c r="AR645" s="34"/>
      <c r="AS645" s="34"/>
      <c r="AT645" s="34"/>
      <c r="AU645" s="34"/>
      <c r="AV645" s="34"/>
      <c r="AW645" s="34"/>
      <c r="AX645" s="34"/>
      <c r="AY645" s="34"/>
      <c r="AZ645" s="34"/>
      <c r="BA645" s="34"/>
      <c r="BB645" s="34"/>
      <c r="BD645" s="34"/>
      <c r="BE645" s="34"/>
      <c r="BF645" s="34"/>
      <c r="BG645" s="34"/>
      <c r="BH645" s="34"/>
      <c r="BI645" s="34"/>
      <c r="BJ645" s="34"/>
      <c r="BK645" s="34"/>
      <c r="BL645" s="34"/>
      <c r="BM645" s="34"/>
      <c r="BN645" s="34"/>
      <c r="BO645" s="34"/>
      <c r="BP645" s="34"/>
      <c r="BQ645" s="34"/>
      <c r="BR645" s="34"/>
      <c r="BS645" s="34"/>
      <c r="BT645" s="34"/>
      <c r="BU645" s="34"/>
      <c r="BV645" s="34"/>
      <c r="BW645" s="34"/>
      <c r="BX645" s="34"/>
      <c r="BY645" s="34"/>
    </row>
    <row r="646" spans="1:77" x14ac:dyDescent="0.3">
      <c r="A646" s="39"/>
      <c r="B646" s="42"/>
      <c r="C646" s="42"/>
      <c r="D646" s="75"/>
      <c r="E646" s="75"/>
      <c r="F646" s="76"/>
      <c r="G646" s="47"/>
      <c r="H646" s="47"/>
      <c r="I646" s="75"/>
      <c r="J646" s="76"/>
      <c r="K646" s="76"/>
      <c r="L646" s="75"/>
      <c r="M646" s="49"/>
      <c r="N646" s="76"/>
      <c r="O646" s="49"/>
      <c r="P646" s="77"/>
      <c r="Q646" s="53"/>
      <c r="R646" s="54"/>
      <c r="S646" s="55"/>
      <c r="T646" s="56"/>
      <c r="U646" s="56"/>
      <c r="V646" s="42"/>
      <c r="W646" s="57"/>
      <c r="X646" s="58"/>
      <c r="Y646" s="75"/>
      <c r="Z646" s="59"/>
      <c r="AA646" s="61"/>
      <c r="AB646" s="61"/>
      <c r="AC646" s="61"/>
      <c r="AD646" s="62"/>
      <c r="AE646" s="62"/>
      <c r="AF646" s="34"/>
      <c r="AG646" s="34"/>
      <c r="AH646" s="34"/>
      <c r="AI646" s="34"/>
      <c r="AJ646" s="34"/>
      <c r="AK646" s="34"/>
      <c r="AL646" s="34"/>
      <c r="AM646" s="34"/>
      <c r="AN646" s="34"/>
      <c r="AO646" s="34"/>
      <c r="AP646" s="34"/>
      <c r="AQ646" s="34"/>
      <c r="AR646" s="34"/>
      <c r="AS646" s="34"/>
      <c r="AT646" s="34"/>
      <c r="AU646" s="34"/>
      <c r="AV646" s="34"/>
      <c r="AW646" s="34"/>
      <c r="AX646" s="34"/>
      <c r="AY646" s="34"/>
      <c r="AZ646" s="34"/>
      <c r="BA646" s="34"/>
      <c r="BB646" s="34"/>
      <c r="BD646" s="34"/>
      <c r="BE646" s="34"/>
      <c r="BF646" s="34"/>
      <c r="BG646" s="34"/>
      <c r="BH646" s="34"/>
      <c r="BI646" s="34"/>
      <c r="BJ646" s="34"/>
      <c r="BK646" s="34"/>
      <c r="BL646" s="34"/>
      <c r="BM646" s="34"/>
      <c r="BN646" s="34"/>
      <c r="BO646" s="34"/>
      <c r="BP646" s="34"/>
      <c r="BQ646" s="34"/>
      <c r="BR646" s="34"/>
      <c r="BS646" s="34"/>
      <c r="BT646" s="34"/>
      <c r="BU646" s="34"/>
      <c r="BV646" s="34"/>
      <c r="BW646" s="34"/>
      <c r="BX646" s="34"/>
      <c r="BY646" s="34"/>
    </row>
    <row r="647" spans="1:77" x14ac:dyDescent="0.3">
      <c r="A647" s="39"/>
      <c r="B647" s="42"/>
      <c r="C647" s="42"/>
      <c r="D647" s="75"/>
      <c r="E647" s="75"/>
      <c r="F647" s="76"/>
      <c r="G647" s="47"/>
      <c r="H647" s="47"/>
      <c r="I647" s="75"/>
      <c r="J647" s="76"/>
      <c r="K647" s="76"/>
      <c r="L647" s="75"/>
      <c r="M647" s="49"/>
      <c r="N647" s="76"/>
      <c r="O647" s="49"/>
      <c r="P647" s="77"/>
      <c r="Q647" s="53"/>
      <c r="R647" s="54"/>
      <c r="S647" s="55"/>
      <c r="T647" s="56"/>
      <c r="U647" s="56"/>
      <c r="V647" s="42"/>
      <c r="W647" s="57"/>
      <c r="X647" s="58"/>
      <c r="Y647" s="75"/>
      <c r="Z647" s="59"/>
      <c r="AA647" s="61"/>
      <c r="AB647" s="61"/>
      <c r="AC647" s="61"/>
      <c r="AD647" s="62"/>
      <c r="AE647" s="62"/>
      <c r="AF647" s="34"/>
      <c r="AG647" s="34"/>
      <c r="AH647" s="34"/>
      <c r="AI647" s="34"/>
      <c r="AJ647" s="34"/>
      <c r="AK647" s="34"/>
      <c r="AL647" s="34"/>
      <c r="AM647" s="34"/>
      <c r="AN647" s="34"/>
      <c r="AO647" s="34"/>
      <c r="AP647" s="34"/>
      <c r="AQ647" s="34"/>
      <c r="AR647" s="34"/>
      <c r="AS647" s="34"/>
      <c r="AT647" s="34"/>
      <c r="AU647" s="34"/>
      <c r="AV647" s="34"/>
      <c r="AW647" s="34"/>
      <c r="AX647" s="34"/>
      <c r="AY647" s="34"/>
      <c r="AZ647" s="34"/>
      <c r="BA647" s="34"/>
      <c r="BB647" s="34"/>
      <c r="BD647" s="34"/>
      <c r="BE647" s="34"/>
      <c r="BF647" s="34"/>
      <c r="BG647" s="34"/>
      <c r="BH647" s="34"/>
      <c r="BI647" s="34"/>
      <c r="BJ647" s="34"/>
      <c r="BK647" s="34"/>
      <c r="BL647" s="34"/>
      <c r="BM647" s="34"/>
      <c r="BN647" s="34"/>
      <c r="BO647" s="34"/>
      <c r="BP647" s="34"/>
      <c r="BQ647" s="34"/>
      <c r="BR647" s="34"/>
      <c r="BS647" s="34"/>
      <c r="BT647" s="34"/>
      <c r="BU647" s="34"/>
      <c r="BV647" s="34"/>
      <c r="BW647" s="34"/>
      <c r="BX647" s="34"/>
      <c r="BY647" s="34"/>
    </row>
    <row r="648" spans="1:77" x14ac:dyDescent="0.3">
      <c r="A648" s="39"/>
      <c r="B648" s="42"/>
      <c r="C648" s="42"/>
      <c r="D648" s="75"/>
      <c r="E648" s="75"/>
      <c r="F648" s="76"/>
      <c r="G648" s="47"/>
      <c r="H648" s="47"/>
      <c r="I648" s="75"/>
      <c r="J648" s="76"/>
      <c r="K648" s="76"/>
      <c r="L648" s="75"/>
      <c r="M648" s="49"/>
      <c r="N648" s="76"/>
      <c r="O648" s="49"/>
      <c r="P648" s="77"/>
      <c r="Q648" s="53"/>
      <c r="R648" s="54"/>
      <c r="S648" s="55"/>
      <c r="T648" s="56"/>
      <c r="U648" s="56"/>
      <c r="V648" s="42"/>
      <c r="W648" s="57"/>
      <c r="X648" s="58"/>
      <c r="Y648" s="75"/>
      <c r="Z648" s="59"/>
      <c r="AA648" s="61"/>
      <c r="AB648" s="61"/>
      <c r="AC648" s="61"/>
      <c r="AD648" s="62"/>
      <c r="AE648" s="62"/>
      <c r="AF648" s="34"/>
      <c r="AG648" s="34"/>
      <c r="AH648" s="34"/>
      <c r="AI648" s="34"/>
      <c r="AJ648" s="34"/>
      <c r="AK648" s="34"/>
      <c r="AL648" s="34"/>
      <c r="AM648" s="34"/>
      <c r="AN648" s="34"/>
      <c r="AO648" s="34"/>
      <c r="AP648" s="34"/>
      <c r="AQ648" s="34"/>
      <c r="AR648" s="34"/>
      <c r="AS648" s="34"/>
      <c r="AT648" s="34"/>
      <c r="AU648" s="34"/>
      <c r="AV648" s="34"/>
      <c r="AW648" s="34"/>
      <c r="AX648" s="34"/>
      <c r="AY648" s="34"/>
      <c r="AZ648" s="34"/>
      <c r="BA648" s="34"/>
      <c r="BB648" s="34"/>
      <c r="BD648" s="34"/>
      <c r="BE648" s="34"/>
      <c r="BF648" s="34"/>
      <c r="BG648" s="34"/>
      <c r="BH648" s="34"/>
      <c r="BI648" s="34"/>
      <c r="BJ648" s="34"/>
      <c r="BK648" s="34"/>
      <c r="BL648" s="34"/>
      <c r="BM648" s="34"/>
      <c r="BN648" s="34"/>
      <c r="BO648" s="34"/>
      <c r="BP648" s="34"/>
      <c r="BQ648" s="34"/>
      <c r="BR648" s="34"/>
      <c r="BS648" s="34"/>
      <c r="BT648" s="34"/>
      <c r="BU648" s="34"/>
      <c r="BV648" s="34"/>
      <c r="BW648" s="34"/>
      <c r="BX648" s="34"/>
      <c r="BY648" s="34"/>
    </row>
    <row r="649" spans="1:77" x14ac:dyDescent="0.3">
      <c r="A649" s="39"/>
      <c r="B649" s="42"/>
      <c r="C649" s="42"/>
      <c r="D649" s="75"/>
      <c r="E649" s="75"/>
      <c r="F649" s="76"/>
      <c r="G649" s="47"/>
      <c r="H649" s="47"/>
      <c r="I649" s="75"/>
      <c r="J649" s="76"/>
      <c r="K649" s="76"/>
      <c r="L649" s="75"/>
      <c r="M649" s="49"/>
      <c r="N649" s="76"/>
      <c r="O649" s="49"/>
      <c r="P649" s="77"/>
      <c r="Q649" s="53"/>
      <c r="R649" s="54"/>
      <c r="S649" s="55"/>
      <c r="T649" s="56"/>
      <c r="U649" s="56"/>
      <c r="V649" s="42"/>
      <c r="W649" s="57"/>
      <c r="X649" s="58"/>
      <c r="Y649" s="75"/>
      <c r="Z649" s="59"/>
      <c r="AA649" s="61"/>
      <c r="AB649" s="61"/>
      <c r="AC649" s="61"/>
      <c r="AD649" s="62"/>
      <c r="AE649" s="62"/>
      <c r="AF649" s="34"/>
      <c r="AG649" s="34"/>
      <c r="AH649" s="34"/>
      <c r="AI649" s="34"/>
      <c r="AJ649" s="34"/>
      <c r="AK649" s="34"/>
      <c r="AL649" s="34"/>
      <c r="AM649" s="34"/>
      <c r="AN649" s="34"/>
      <c r="AO649" s="34"/>
      <c r="AP649" s="34"/>
      <c r="AQ649" s="34"/>
      <c r="AR649" s="34"/>
      <c r="AS649" s="34"/>
      <c r="AT649" s="34"/>
      <c r="AU649" s="34"/>
      <c r="AV649" s="34"/>
      <c r="AW649" s="34"/>
      <c r="AX649" s="34"/>
      <c r="AY649" s="34"/>
      <c r="AZ649" s="34"/>
      <c r="BA649" s="34"/>
      <c r="BB649" s="34"/>
      <c r="BD649" s="34"/>
      <c r="BE649" s="34"/>
      <c r="BF649" s="34"/>
      <c r="BG649" s="34"/>
      <c r="BH649" s="34"/>
      <c r="BI649" s="34"/>
      <c r="BJ649" s="34"/>
      <c r="BK649" s="34"/>
      <c r="BL649" s="34"/>
      <c r="BM649" s="34"/>
      <c r="BN649" s="34"/>
      <c r="BO649" s="34"/>
      <c r="BP649" s="34"/>
      <c r="BQ649" s="34"/>
      <c r="BR649" s="34"/>
      <c r="BS649" s="34"/>
      <c r="BT649" s="34"/>
      <c r="BU649" s="34"/>
      <c r="BV649" s="34"/>
      <c r="BW649" s="34"/>
      <c r="BX649" s="34"/>
      <c r="BY649" s="34"/>
    </row>
    <row r="650" spans="1:77" x14ac:dyDescent="0.3">
      <c r="A650" s="39"/>
      <c r="B650" s="42"/>
      <c r="C650" s="42"/>
      <c r="D650" s="75"/>
      <c r="E650" s="75"/>
      <c r="F650" s="76"/>
      <c r="G650" s="47"/>
      <c r="H650" s="47"/>
      <c r="I650" s="75"/>
      <c r="J650" s="76"/>
      <c r="K650" s="76"/>
      <c r="L650" s="75"/>
      <c r="M650" s="49"/>
      <c r="N650" s="76"/>
      <c r="O650" s="49"/>
      <c r="P650" s="77"/>
      <c r="Q650" s="53"/>
      <c r="R650" s="54"/>
      <c r="S650" s="55"/>
      <c r="T650" s="56"/>
      <c r="U650" s="56"/>
      <c r="V650" s="42"/>
      <c r="W650" s="57"/>
      <c r="X650" s="58"/>
      <c r="Y650" s="75"/>
      <c r="Z650" s="59"/>
      <c r="AA650" s="61"/>
      <c r="AB650" s="61"/>
      <c r="AC650" s="61"/>
      <c r="AD650" s="62"/>
      <c r="AE650" s="62"/>
      <c r="AF650" s="34"/>
      <c r="AG650" s="34"/>
      <c r="AH650" s="34"/>
      <c r="AI650" s="34"/>
      <c r="AJ650" s="34"/>
      <c r="AK650" s="34"/>
      <c r="AL650" s="34"/>
      <c r="AM650" s="34"/>
      <c r="AN650" s="34"/>
      <c r="AO650" s="34"/>
      <c r="AP650" s="34"/>
      <c r="AQ650" s="34"/>
      <c r="AR650" s="34"/>
      <c r="AS650" s="34"/>
      <c r="AT650" s="34"/>
      <c r="AU650" s="34"/>
      <c r="AV650" s="34"/>
      <c r="AW650" s="34"/>
      <c r="AX650" s="34"/>
      <c r="AY650" s="34"/>
      <c r="AZ650" s="34"/>
      <c r="BA650" s="34"/>
      <c r="BB650" s="34"/>
      <c r="BD650" s="34"/>
      <c r="BE650" s="34"/>
      <c r="BF650" s="34"/>
      <c r="BG650" s="34"/>
      <c r="BH650" s="34"/>
      <c r="BI650" s="34"/>
      <c r="BJ650" s="34"/>
      <c r="BK650" s="34"/>
      <c r="BL650" s="34"/>
      <c r="BM650" s="34"/>
      <c r="BN650" s="34"/>
      <c r="BO650" s="34"/>
      <c r="BP650" s="34"/>
      <c r="BQ650" s="34"/>
      <c r="BR650" s="34"/>
      <c r="BS650" s="34"/>
      <c r="BT650" s="34"/>
      <c r="BU650" s="34"/>
      <c r="BV650" s="34"/>
      <c r="BW650" s="34"/>
      <c r="BX650" s="34"/>
      <c r="BY650" s="34"/>
    </row>
    <row r="651" spans="1:77" x14ac:dyDescent="0.3">
      <c r="A651" s="39"/>
      <c r="B651" s="42"/>
      <c r="C651" s="42"/>
      <c r="D651" s="75"/>
      <c r="E651" s="75"/>
      <c r="F651" s="76"/>
      <c r="G651" s="47"/>
      <c r="H651" s="47"/>
      <c r="I651" s="75"/>
      <c r="J651" s="76"/>
      <c r="K651" s="76"/>
      <c r="L651" s="75"/>
      <c r="M651" s="49"/>
      <c r="N651" s="76"/>
      <c r="O651" s="49"/>
      <c r="P651" s="77"/>
      <c r="Q651" s="53"/>
      <c r="R651" s="54"/>
      <c r="S651" s="55"/>
      <c r="T651" s="56"/>
      <c r="U651" s="56"/>
      <c r="V651" s="42"/>
      <c r="W651" s="57"/>
      <c r="X651" s="58"/>
      <c r="Y651" s="75"/>
      <c r="Z651" s="59"/>
      <c r="AA651" s="61"/>
      <c r="AB651" s="61"/>
      <c r="AC651" s="61"/>
      <c r="AD651" s="62"/>
      <c r="AE651" s="62"/>
      <c r="AF651" s="34"/>
      <c r="AG651" s="34"/>
      <c r="AH651" s="34"/>
      <c r="AI651" s="34"/>
      <c r="AJ651" s="34"/>
      <c r="AK651" s="34"/>
      <c r="AL651" s="34"/>
      <c r="AM651" s="34"/>
      <c r="AN651" s="34"/>
      <c r="AO651" s="34"/>
      <c r="AP651" s="34"/>
      <c r="AQ651" s="34"/>
      <c r="AR651" s="34"/>
      <c r="AS651" s="34"/>
      <c r="AT651" s="34"/>
      <c r="AU651" s="34"/>
      <c r="AV651" s="34"/>
      <c r="AW651" s="34"/>
      <c r="AX651" s="34"/>
      <c r="AY651" s="34"/>
      <c r="AZ651" s="34"/>
      <c r="BA651" s="34"/>
      <c r="BB651" s="34"/>
      <c r="BD651" s="34"/>
      <c r="BE651" s="34"/>
      <c r="BF651" s="34"/>
      <c r="BG651" s="34"/>
      <c r="BH651" s="34"/>
      <c r="BI651" s="34"/>
      <c r="BJ651" s="34"/>
      <c r="BK651" s="34"/>
      <c r="BL651" s="34"/>
      <c r="BM651" s="34"/>
      <c r="BN651" s="34"/>
      <c r="BO651" s="34"/>
      <c r="BP651" s="34"/>
      <c r="BQ651" s="34"/>
      <c r="BR651" s="34"/>
      <c r="BS651" s="34"/>
      <c r="BT651" s="34"/>
      <c r="BU651" s="34"/>
      <c r="BV651" s="34"/>
      <c r="BW651" s="34"/>
      <c r="BX651" s="34"/>
      <c r="BY651" s="34"/>
    </row>
    <row r="652" spans="1:77" x14ac:dyDescent="0.3">
      <c r="A652" s="39"/>
      <c r="B652" s="42"/>
      <c r="C652" s="42"/>
      <c r="D652" s="75"/>
      <c r="E652" s="75"/>
      <c r="F652" s="76"/>
      <c r="G652" s="47"/>
      <c r="H652" s="47"/>
      <c r="I652" s="75"/>
      <c r="J652" s="76"/>
      <c r="K652" s="76"/>
      <c r="L652" s="75"/>
      <c r="M652" s="49"/>
      <c r="N652" s="76"/>
      <c r="O652" s="49"/>
      <c r="P652" s="77"/>
      <c r="Q652" s="53"/>
      <c r="R652" s="54"/>
      <c r="S652" s="55"/>
      <c r="T652" s="56"/>
      <c r="U652" s="56"/>
      <c r="V652" s="42"/>
      <c r="W652" s="57"/>
      <c r="X652" s="58"/>
      <c r="Y652" s="75"/>
      <c r="Z652" s="59"/>
      <c r="AA652" s="61"/>
      <c r="AB652" s="61"/>
      <c r="AC652" s="61"/>
      <c r="AD652" s="62"/>
      <c r="AE652" s="62"/>
      <c r="AF652" s="34"/>
      <c r="AG652" s="34"/>
      <c r="AH652" s="34"/>
      <c r="AI652" s="34"/>
      <c r="AJ652" s="34"/>
      <c r="AK652" s="34"/>
      <c r="AL652" s="34"/>
      <c r="AM652" s="34"/>
      <c r="AN652" s="34"/>
      <c r="AO652" s="34"/>
      <c r="AP652" s="34"/>
      <c r="AQ652" s="34"/>
      <c r="AR652" s="34"/>
      <c r="AS652" s="34"/>
      <c r="AT652" s="34"/>
      <c r="AU652" s="34"/>
      <c r="AV652" s="34"/>
      <c r="AW652" s="34"/>
      <c r="AX652" s="34"/>
      <c r="AY652" s="34"/>
      <c r="AZ652" s="34"/>
      <c r="BA652" s="34"/>
      <c r="BB652" s="34"/>
      <c r="BD652" s="34"/>
      <c r="BE652" s="34"/>
      <c r="BF652" s="34"/>
      <c r="BG652" s="34"/>
      <c r="BH652" s="34"/>
      <c r="BI652" s="34"/>
      <c r="BJ652" s="34"/>
      <c r="BK652" s="34"/>
      <c r="BL652" s="34"/>
      <c r="BM652" s="34"/>
      <c r="BN652" s="34"/>
      <c r="BO652" s="34"/>
      <c r="BP652" s="34"/>
      <c r="BQ652" s="34"/>
      <c r="BR652" s="34"/>
      <c r="BS652" s="34"/>
      <c r="BT652" s="34"/>
      <c r="BU652" s="34"/>
      <c r="BV652" s="34"/>
      <c r="BW652" s="34"/>
      <c r="BX652" s="34"/>
      <c r="BY652" s="34"/>
    </row>
    <row r="653" spans="1:77" x14ac:dyDescent="0.3">
      <c r="A653" s="39"/>
      <c r="B653" s="42"/>
      <c r="C653" s="42"/>
      <c r="D653" s="75"/>
      <c r="E653" s="75"/>
      <c r="F653" s="76"/>
      <c r="G653" s="47"/>
      <c r="H653" s="47"/>
      <c r="I653" s="75"/>
      <c r="J653" s="76"/>
      <c r="K653" s="76"/>
      <c r="L653" s="75"/>
      <c r="M653" s="49"/>
      <c r="N653" s="76"/>
      <c r="O653" s="49"/>
      <c r="P653" s="77"/>
      <c r="Q653" s="53"/>
      <c r="R653" s="54"/>
      <c r="S653" s="55"/>
      <c r="T653" s="56"/>
      <c r="U653" s="56"/>
      <c r="V653" s="42"/>
      <c r="W653" s="57"/>
      <c r="X653" s="58"/>
      <c r="Y653" s="75"/>
      <c r="Z653" s="59"/>
      <c r="AA653" s="61"/>
      <c r="AB653" s="61"/>
      <c r="AC653" s="61"/>
      <c r="AD653" s="62"/>
      <c r="AE653" s="62"/>
      <c r="AF653" s="34"/>
      <c r="AG653" s="34"/>
      <c r="AH653" s="34"/>
      <c r="AI653" s="34"/>
      <c r="AJ653" s="34"/>
      <c r="AK653" s="34"/>
      <c r="AL653" s="34"/>
      <c r="AM653" s="34"/>
      <c r="AN653" s="34"/>
      <c r="AO653" s="34"/>
      <c r="AP653" s="34"/>
      <c r="AQ653" s="34"/>
      <c r="AR653" s="34"/>
      <c r="AS653" s="34"/>
      <c r="AT653" s="34"/>
      <c r="AU653" s="34"/>
      <c r="AV653" s="34"/>
      <c r="AW653" s="34"/>
      <c r="AX653" s="34"/>
      <c r="AY653" s="34"/>
      <c r="AZ653" s="34"/>
      <c r="BA653" s="34"/>
      <c r="BB653" s="34"/>
      <c r="BD653" s="34"/>
      <c r="BE653" s="34"/>
      <c r="BF653" s="34"/>
      <c r="BG653" s="34"/>
      <c r="BH653" s="34"/>
      <c r="BI653" s="34"/>
      <c r="BJ653" s="34"/>
      <c r="BK653" s="34"/>
      <c r="BL653" s="34"/>
      <c r="BM653" s="34"/>
      <c r="BN653" s="34"/>
      <c r="BO653" s="34"/>
      <c r="BP653" s="34"/>
      <c r="BQ653" s="34"/>
      <c r="BR653" s="34"/>
      <c r="BS653" s="34"/>
      <c r="BT653" s="34"/>
      <c r="BU653" s="34"/>
      <c r="BV653" s="34"/>
      <c r="BW653" s="34"/>
      <c r="BX653" s="34"/>
      <c r="BY653" s="34"/>
    </row>
    <row r="654" spans="1:77" x14ac:dyDescent="0.3">
      <c r="A654" s="39"/>
      <c r="B654" s="42"/>
      <c r="C654" s="42"/>
      <c r="D654" s="75"/>
      <c r="E654" s="75"/>
      <c r="F654" s="76"/>
      <c r="G654" s="47"/>
      <c r="H654" s="47"/>
      <c r="I654" s="75"/>
      <c r="J654" s="76"/>
      <c r="K654" s="76"/>
      <c r="L654" s="75"/>
      <c r="M654" s="49"/>
      <c r="N654" s="76"/>
      <c r="O654" s="49"/>
      <c r="P654" s="77"/>
      <c r="Q654" s="53"/>
      <c r="R654" s="54"/>
      <c r="S654" s="55"/>
      <c r="T654" s="56"/>
      <c r="U654" s="56"/>
      <c r="V654" s="42"/>
      <c r="W654" s="57"/>
      <c r="X654" s="58"/>
      <c r="Y654" s="75"/>
      <c r="Z654" s="59"/>
      <c r="AA654" s="61"/>
      <c r="AB654" s="61"/>
      <c r="AC654" s="61"/>
      <c r="AD654" s="62"/>
      <c r="AE654" s="62"/>
      <c r="AF654" s="34"/>
      <c r="AG654" s="34"/>
      <c r="AH654" s="34"/>
      <c r="AI654" s="34"/>
      <c r="AJ654" s="34"/>
      <c r="AK654" s="34"/>
      <c r="AL654" s="34"/>
      <c r="AM654" s="34"/>
      <c r="AN654" s="34"/>
      <c r="AO654" s="34"/>
      <c r="AP654" s="34"/>
      <c r="AQ654" s="34"/>
      <c r="AR654" s="34"/>
      <c r="AS654" s="34"/>
      <c r="AT654" s="34"/>
      <c r="AU654" s="34"/>
      <c r="AV654" s="34"/>
      <c r="AW654" s="34"/>
      <c r="AX654" s="34"/>
      <c r="AY654" s="34"/>
      <c r="AZ654" s="34"/>
      <c r="BA654" s="34"/>
      <c r="BB654" s="34"/>
      <c r="BD654" s="34"/>
      <c r="BE654" s="34"/>
      <c r="BF654" s="34"/>
      <c r="BG654" s="34"/>
      <c r="BH654" s="34"/>
      <c r="BI654" s="34"/>
      <c r="BJ654" s="34"/>
      <c r="BK654" s="34"/>
      <c r="BL654" s="34"/>
      <c r="BM654" s="34"/>
      <c r="BN654" s="34"/>
      <c r="BO654" s="34"/>
      <c r="BP654" s="34"/>
      <c r="BQ654" s="34"/>
      <c r="BR654" s="34"/>
      <c r="BS654" s="34"/>
      <c r="BT654" s="34"/>
      <c r="BU654" s="34"/>
      <c r="BV654" s="34"/>
      <c r="BW654" s="34"/>
      <c r="BX654" s="34"/>
      <c r="BY654" s="34"/>
    </row>
    <row r="655" spans="1:77" x14ac:dyDescent="0.3">
      <c r="A655" s="39"/>
      <c r="B655" s="42"/>
      <c r="C655" s="42"/>
      <c r="D655" s="75"/>
      <c r="E655" s="75"/>
      <c r="F655" s="76"/>
      <c r="G655" s="47"/>
      <c r="H655" s="47"/>
      <c r="I655" s="75"/>
      <c r="J655" s="76"/>
      <c r="K655" s="76"/>
      <c r="L655" s="75"/>
      <c r="M655" s="49"/>
      <c r="N655" s="76"/>
      <c r="O655" s="49"/>
      <c r="P655" s="77"/>
      <c r="Q655" s="53"/>
      <c r="R655" s="54"/>
      <c r="S655" s="55"/>
      <c r="T655" s="56"/>
      <c r="U655" s="56"/>
      <c r="V655" s="42"/>
      <c r="W655" s="57"/>
      <c r="X655" s="58"/>
      <c r="Y655" s="75"/>
      <c r="Z655" s="59"/>
      <c r="AA655" s="61"/>
      <c r="AB655" s="61"/>
      <c r="AC655" s="61"/>
      <c r="AD655" s="62"/>
      <c r="AE655" s="62"/>
      <c r="AF655" s="34"/>
      <c r="AG655" s="34"/>
      <c r="AH655" s="34"/>
      <c r="AI655" s="34"/>
      <c r="AJ655" s="34"/>
      <c r="AK655" s="34"/>
      <c r="AL655" s="34"/>
      <c r="AM655" s="34"/>
      <c r="AN655" s="34"/>
      <c r="AO655" s="34"/>
      <c r="AP655" s="34"/>
      <c r="AQ655" s="34"/>
      <c r="AR655" s="34"/>
      <c r="AS655" s="34"/>
      <c r="AT655" s="34"/>
      <c r="AU655" s="34"/>
      <c r="AV655" s="34"/>
      <c r="AW655" s="34"/>
      <c r="AX655" s="34"/>
      <c r="AY655" s="34"/>
      <c r="AZ655" s="34"/>
      <c r="BA655" s="34"/>
      <c r="BB655" s="34"/>
      <c r="BD655" s="34"/>
      <c r="BE655" s="34"/>
      <c r="BF655" s="34"/>
      <c r="BG655" s="34"/>
      <c r="BH655" s="34"/>
      <c r="BI655" s="34"/>
      <c r="BJ655" s="34"/>
      <c r="BK655" s="34"/>
      <c r="BL655" s="34"/>
      <c r="BM655" s="34"/>
      <c r="BN655" s="34"/>
      <c r="BO655" s="34"/>
      <c r="BP655" s="34"/>
      <c r="BQ655" s="34"/>
      <c r="BR655" s="34"/>
      <c r="BS655" s="34"/>
      <c r="BT655" s="34"/>
      <c r="BU655" s="34"/>
      <c r="BV655" s="34"/>
      <c r="BW655" s="34"/>
      <c r="BX655" s="34"/>
      <c r="BY655" s="34"/>
    </row>
    <row r="656" spans="1:77" x14ac:dyDescent="0.3">
      <c r="A656" s="39"/>
      <c r="B656" s="42"/>
      <c r="C656" s="42"/>
      <c r="D656" s="75"/>
      <c r="E656" s="75"/>
      <c r="F656" s="76"/>
      <c r="G656" s="47"/>
      <c r="H656" s="47"/>
      <c r="I656" s="75"/>
      <c r="J656" s="76"/>
      <c r="K656" s="76"/>
      <c r="L656" s="75"/>
      <c r="M656" s="49"/>
      <c r="N656" s="76"/>
      <c r="O656" s="49"/>
      <c r="P656" s="77"/>
      <c r="Q656" s="53"/>
      <c r="R656" s="54"/>
      <c r="S656" s="55"/>
      <c r="T656" s="56"/>
      <c r="U656" s="56"/>
      <c r="V656" s="42"/>
      <c r="W656" s="57"/>
      <c r="X656" s="58"/>
      <c r="Y656" s="75"/>
      <c r="Z656" s="59"/>
      <c r="AA656" s="61"/>
      <c r="AB656" s="61"/>
      <c r="AC656" s="61"/>
      <c r="AD656" s="62"/>
      <c r="AE656" s="62"/>
      <c r="AF656" s="34"/>
      <c r="AG656" s="34"/>
      <c r="AH656" s="34"/>
      <c r="AI656" s="34"/>
      <c r="AJ656" s="34"/>
      <c r="AK656" s="34"/>
      <c r="AL656" s="34"/>
      <c r="AM656" s="34"/>
      <c r="AN656" s="34"/>
      <c r="AO656" s="34"/>
      <c r="AP656" s="34"/>
      <c r="AQ656" s="34"/>
      <c r="AR656" s="34"/>
      <c r="AS656" s="34"/>
      <c r="AT656" s="34"/>
      <c r="AU656" s="34"/>
      <c r="AV656" s="34"/>
      <c r="AW656" s="34"/>
      <c r="AX656" s="34"/>
      <c r="AY656" s="34"/>
      <c r="AZ656" s="34"/>
      <c r="BA656" s="34"/>
      <c r="BB656" s="34"/>
      <c r="BD656" s="34"/>
      <c r="BE656" s="34"/>
      <c r="BF656" s="34"/>
      <c r="BG656" s="34"/>
      <c r="BH656" s="34"/>
      <c r="BI656" s="34"/>
      <c r="BJ656" s="34"/>
      <c r="BK656" s="34"/>
      <c r="BL656" s="34"/>
      <c r="BM656" s="34"/>
      <c r="BN656" s="34"/>
      <c r="BO656" s="34"/>
      <c r="BP656" s="34"/>
      <c r="BQ656" s="34"/>
      <c r="BR656" s="34"/>
      <c r="BS656" s="34"/>
      <c r="BT656" s="34"/>
      <c r="BU656" s="34"/>
      <c r="BV656" s="34"/>
      <c r="BW656" s="34"/>
      <c r="BX656" s="34"/>
      <c r="BY656" s="34"/>
    </row>
    <row r="657" spans="1:77" x14ac:dyDescent="0.3">
      <c r="A657" s="39"/>
      <c r="B657" s="42"/>
      <c r="C657" s="42"/>
      <c r="D657" s="75"/>
      <c r="E657" s="75"/>
      <c r="F657" s="76"/>
      <c r="G657" s="47"/>
      <c r="H657" s="47"/>
      <c r="I657" s="75"/>
      <c r="J657" s="76"/>
      <c r="K657" s="76"/>
      <c r="L657" s="75"/>
      <c r="M657" s="49"/>
      <c r="N657" s="76"/>
      <c r="O657" s="49"/>
      <c r="P657" s="77"/>
      <c r="Q657" s="53"/>
      <c r="R657" s="54"/>
      <c r="S657" s="55"/>
      <c r="T657" s="56"/>
      <c r="U657" s="56"/>
      <c r="V657" s="42"/>
      <c r="W657" s="57"/>
      <c r="X657" s="58"/>
      <c r="Y657" s="75"/>
      <c r="Z657" s="59"/>
      <c r="AA657" s="61"/>
      <c r="AB657" s="61"/>
      <c r="AC657" s="61"/>
      <c r="AD657" s="62"/>
      <c r="AE657" s="62"/>
      <c r="AF657" s="34"/>
      <c r="AG657" s="34"/>
      <c r="AH657" s="34"/>
      <c r="AI657" s="34"/>
      <c r="AJ657" s="34"/>
      <c r="AK657" s="34"/>
      <c r="AL657" s="34"/>
      <c r="AM657" s="34"/>
      <c r="AN657" s="34"/>
      <c r="AO657" s="34"/>
      <c r="AP657" s="34"/>
      <c r="AQ657" s="34"/>
      <c r="AR657" s="34"/>
      <c r="AS657" s="34"/>
      <c r="AT657" s="34"/>
      <c r="AU657" s="34"/>
      <c r="AV657" s="34"/>
      <c r="AW657" s="34"/>
      <c r="AX657" s="34"/>
      <c r="AY657" s="34"/>
      <c r="AZ657" s="34"/>
      <c r="BA657" s="34"/>
      <c r="BB657" s="34"/>
      <c r="BD657" s="34"/>
      <c r="BE657" s="34"/>
      <c r="BF657" s="34"/>
      <c r="BG657" s="34"/>
      <c r="BH657" s="34"/>
      <c r="BI657" s="34"/>
      <c r="BJ657" s="34"/>
      <c r="BK657" s="34"/>
      <c r="BL657" s="34"/>
      <c r="BM657" s="34"/>
      <c r="BN657" s="34"/>
      <c r="BO657" s="34"/>
      <c r="BP657" s="34"/>
      <c r="BQ657" s="34"/>
      <c r="BR657" s="34"/>
      <c r="BS657" s="34"/>
      <c r="BT657" s="34"/>
      <c r="BU657" s="34"/>
      <c r="BV657" s="34"/>
      <c r="BW657" s="34"/>
      <c r="BX657" s="34"/>
      <c r="BY657" s="34"/>
    </row>
    <row r="658" spans="1:77" x14ac:dyDescent="0.3">
      <c r="A658" s="39"/>
      <c r="B658" s="42"/>
      <c r="C658" s="42"/>
      <c r="D658" s="75"/>
      <c r="E658" s="75"/>
      <c r="F658" s="76"/>
      <c r="G658" s="47"/>
      <c r="H658" s="47"/>
      <c r="I658" s="75"/>
      <c r="J658" s="76"/>
      <c r="K658" s="76"/>
      <c r="L658" s="75"/>
      <c r="M658" s="49"/>
      <c r="N658" s="76"/>
      <c r="O658" s="49"/>
      <c r="P658" s="77"/>
      <c r="Q658" s="53"/>
      <c r="R658" s="54"/>
      <c r="S658" s="55"/>
      <c r="T658" s="56"/>
      <c r="U658" s="56"/>
      <c r="V658" s="42"/>
      <c r="W658" s="57"/>
      <c r="X658" s="58"/>
      <c r="Y658" s="75"/>
      <c r="Z658" s="59"/>
      <c r="AA658" s="61"/>
      <c r="AB658" s="61"/>
      <c r="AC658" s="61"/>
      <c r="AD658" s="62"/>
      <c r="AE658" s="62"/>
      <c r="AF658" s="34"/>
      <c r="AG658" s="34"/>
      <c r="AH658" s="34"/>
      <c r="AI658" s="34"/>
      <c r="AJ658" s="34"/>
      <c r="AK658" s="34"/>
      <c r="AL658" s="34"/>
      <c r="AM658" s="34"/>
      <c r="AN658" s="34"/>
      <c r="AO658" s="34"/>
      <c r="AP658" s="34"/>
      <c r="AQ658" s="34"/>
      <c r="AR658" s="34"/>
      <c r="AS658" s="34"/>
      <c r="AT658" s="34"/>
      <c r="AU658" s="34"/>
      <c r="AV658" s="34"/>
      <c r="AW658" s="34"/>
      <c r="AX658" s="34"/>
      <c r="AY658" s="34"/>
      <c r="AZ658" s="34"/>
      <c r="BA658" s="34"/>
      <c r="BB658" s="34"/>
      <c r="BD658" s="34"/>
      <c r="BE658" s="34"/>
      <c r="BF658" s="34"/>
      <c r="BG658" s="34"/>
      <c r="BH658" s="34"/>
      <c r="BI658" s="34"/>
      <c r="BJ658" s="34"/>
      <c r="BK658" s="34"/>
      <c r="BL658" s="34"/>
      <c r="BM658" s="34"/>
      <c r="BN658" s="34"/>
      <c r="BO658" s="34"/>
      <c r="BP658" s="34"/>
      <c r="BQ658" s="34"/>
      <c r="BR658" s="34"/>
      <c r="BS658" s="34"/>
      <c r="BT658" s="34"/>
      <c r="BU658" s="34"/>
      <c r="BV658" s="34"/>
      <c r="BW658" s="34"/>
      <c r="BX658" s="34"/>
      <c r="BY658" s="34"/>
    </row>
    <row r="659" spans="1:77" x14ac:dyDescent="0.3">
      <c r="A659" s="39"/>
      <c r="B659" s="42"/>
      <c r="C659" s="42"/>
      <c r="D659" s="75"/>
      <c r="E659" s="75"/>
      <c r="F659" s="76"/>
      <c r="G659" s="47"/>
      <c r="H659" s="47"/>
      <c r="I659" s="75"/>
      <c r="J659" s="76"/>
      <c r="K659" s="76"/>
      <c r="L659" s="75"/>
      <c r="M659" s="49"/>
      <c r="N659" s="76"/>
      <c r="O659" s="49"/>
      <c r="P659" s="77"/>
      <c r="Q659" s="53"/>
      <c r="R659" s="54"/>
      <c r="S659" s="55"/>
      <c r="T659" s="56"/>
      <c r="U659" s="56"/>
      <c r="V659" s="42"/>
      <c r="W659" s="57"/>
      <c r="X659" s="58"/>
      <c r="Y659" s="75"/>
      <c r="Z659" s="59"/>
      <c r="AA659" s="61"/>
      <c r="AB659" s="61"/>
      <c r="AC659" s="61"/>
      <c r="AD659" s="62"/>
      <c r="AE659" s="62"/>
      <c r="AF659" s="34"/>
      <c r="AG659" s="34"/>
      <c r="AH659" s="34"/>
      <c r="AI659" s="34"/>
      <c r="AJ659" s="34"/>
      <c r="AK659" s="34"/>
      <c r="AL659" s="34"/>
      <c r="AM659" s="34"/>
      <c r="AN659" s="34"/>
      <c r="AO659" s="34"/>
      <c r="AP659" s="34"/>
      <c r="AQ659" s="34"/>
      <c r="AR659" s="34"/>
      <c r="AS659" s="34"/>
      <c r="AT659" s="34"/>
      <c r="AU659" s="34"/>
      <c r="AV659" s="34"/>
      <c r="AW659" s="34"/>
      <c r="AX659" s="34"/>
      <c r="AY659" s="34"/>
      <c r="AZ659" s="34"/>
      <c r="BA659" s="34"/>
      <c r="BB659" s="34"/>
      <c r="BD659" s="34"/>
      <c r="BE659" s="34"/>
      <c r="BF659" s="34"/>
      <c r="BG659" s="34"/>
      <c r="BH659" s="34"/>
      <c r="BI659" s="34"/>
      <c r="BJ659" s="34"/>
      <c r="BK659" s="34"/>
      <c r="BL659" s="34"/>
      <c r="BM659" s="34"/>
      <c r="BN659" s="34"/>
      <c r="BO659" s="34"/>
      <c r="BP659" s="34"/>
      <c r="BQ659" s="34"/>
      <c r="BR659" s="34"/>
      <c r="BS659" s="34"/>
      <c r="BT659" s="34"/>
      <c r="BU659" s="34"/>
      <c r="BV659" s="34"/>
      <c r="BW659" s="34"/>
      <c r="BX659" s="34"/>
      <c r="BY659" s="34"/>
    </row>
    <row r="660" spans="1:77" x14ac:dyDescent="0.3">
      <c r="A660" s="39"/>
      <c r="B660" s="42"/>
      <c r="C660" s="42"/>
      <c r="D660" s="75"/>
      <c r="E660" s="75"/>
      <c r="F660" s="76"/>
      <c r="G660" s="47"/>
      <c r="H660" s="47"/>
      <c r="I660" s="75"/>
      <c r="J660" s="76"/>
      <c r="K660" s="76"/>
      <c r="L660" s="75"/>
      <c r="M660" s="49"/>
      <c r="N660" s="76"/>
      <c r="O660" s="49"/>
      <c r="P660" s="77"/>
      <c r="Q660" s="53"/>
      <c r="R660" s="54"/>
      <c r="S660" s="55"/>
      <c r="T660" s="56"/>
      <c r="U660" s="56"/>
      <c r="V660" s="42"/>
      <c r="W660" s="57"/>
      <c r="X660" s="58"/>
      <c r="Y660" s="75"/>
      <c r="Z660" s="59"/>
      <c r="AA660" s="61"/>
      <c r="AB660" s="61"/>
      <c r="AC660" s="61"/>
      <c r="AD660" s="62"/>
      <c r="AE660" s="62"/>
      <c r="AF660" s="34"/>
      <c r="AG660" s="34"/>
      <c r="AH660" s="34"/>
      <c r="AI660" s="34"/>
      <c r="AJ660" s="34"/>
      <c r="AK660" s="34"/>
      <c r="AL660" s="34"/>
      <c r="AM660" s="34"/>
      <c r="AN660" s="34"/>
      <c r="AO660" s="34"/>
      <c r="AP660" s="34"/>
      <c r="AQ660" s="34"/>
      <c r="AR660" s="34"/>
      <c r="AS660" s="34"/>
      <c r="AT660" s="34"/>
      <c r="AU660" s="34"/>
      <c r="AV660" s="34"/>
      <c r="AW660" s="34"/>
      <c r="AX660" s="34"/>
      <c r="AY660" s="34"/>
      <c r="AZ660" s="34"/>
      <c r="BA660" s="34"/>
      <c r="BB660" s="34"/>
      <c r="BD660" s="34"/>
      <c r="BE660" s="34"/>
      <c r="BF660" s="34"/>
      <c r="BG660" s="34"/>
      <c r="BH660" s="34"/>
      <c r="BI660" s="34"/>
      <c r="BJ660" s="34"/>
      <c r="BK660" s="34"/>
      <c r="BL660" s="34"/>
      <c r="BM660" s="34"/>
      <c r="BN660" s="34"/>
      <c r="BO660" s="34"/>
      <c r="BP660" s="34"/>
      <c r="BQ660" s="34"/>
      <c r="BR660" s="34"/>
      <c r="BS660" s="34"/>
      <c r="BT660" s="34"/>
      <c r="BU660" s="34"/>
      <c r="BV660" s="34"/>
      <c r="BW660" s="34"/>
      <c r="BX660" s="34"/>
      <c r="BY660" s="34"/>
    </row>
    <row r="661" spans="1:77" x14ac:dyDescent="0.3">
      <c r="A661" s="39"/>
      <c r="B661" s="42"/>
      <c r="C661" s="42"/>
      <c r="D661" s="75"/>
      <c r="E661" s="75"/>
      <c r="F661" s="76"/>
      <c r="G661" s="47"/>
      <c r="H661" s="47"/>
      <c r="I661" s="75"/>
      <c r="J661" s="76"/>
      <c r="K661" s="76"/>
      <c r="L661" s="75"/>
      <c r="M661" s="49"/>
      <c r="N661" s="76"/>
      <c r="O661" s="49"/>
      <c r="P661" s="77"/>
      <c r="Q661" s="53"/>
      <c r="R661" s="54"/>
      <c r="S661" s="55"/>
      <c r="T661" s="56"/>
      <c r="U661" s="56"/>
      <c r="V661" s="42"/>
      <c r="W661" s="57"/>
      <c r="X661" s="58"/>
      <c r="Y661" s="75"/>
      <c r="Z661" s="59"/>
      <c r="AA661" s="61"/>
      <c r="AB661" s="61"/>
      <c r="AC661" s="61"/>
      <c r="AD661" s="62"/>
      <c r="AE661" s="62"/>
      <c r="AF661" s="34"/>
      <c r="AG661" s="34"/>
      <c r="AH661" s="34"/>
      <c r="AI661" s="34"/>
      <c r="AJ661" s="34"/>
      <c r="AK661" s="34"/>
      <c r="AL661" s="34"/>
      <c r="AM661" s="34"/>
      <c r="AN661" s="34"/>
      <c r="AO661" s="34"/>
      <c r="AP661" s="34"/>
      <c r="AQ661" s="34"/>
      <c r="AR661" s="34"/>
      <c r="AS661" s="34"/>
      <c r="AT661" s="34"/>
      <c r="AU661" s="34"/>
      <c r="AV661" s="34"/>
      <c r="AW661" s="34"/>
      <c r="AX661" s="34"/>
      <c r="AY661" s="34"/>
      <c r="AZ661" s="34"/>
      <c r="BA661" s="34"/>
      <c r="BB661" s="34"/>
      <c r="BD661" s="34"/>
      <c r="BE661" s="34"/>
      <c r="BF661" s="34"/>
      <c r="BG661" s="34"/>
      <c r="BH661" s="34"/>
      <c r="BI661" s="34"/>
      <c r="BJ661" s="34"/>
      <c r="BK661" s="34"/>
      <c r="BL661" s="34"/>
      <c r="BM661" s="34"/>
      <c r="BN661" s="34"/>
      <c r="BO661" s="34"/>
      <c r="BP661" s="34"/>
      <c r="BQ661" s="34"/>
      <c r="BR661" s="34"/>
      <c r="BS661" s="34"/>
      <c r="BT661" s="34"/>
      <c r="BU661" s="34"/>
      <c r="BV661" s="34"/>
      <c r="BW661" s="34"/>
      <c r="BX661" s="34"/>
      <c r="BY661" s="34"/>
    </row>
    <row r="662" spans="1:77" x14ac:dyDescent="0.3">
      <c r="A662" s="39"/>
      <c r="B662" s="42"/>
      <c r="C662" s="42"/>
      <c r="D662" s="75"/>
      <c r="E662" s="75"/>
      <c r="F662" s="76"/>
      <c r="G662" s="47"/>
      <c r="H662" s="47"/>
      <c r="I662" s="75"/>
      <c r="J662" s="76"/>
      <c r="K662" s="76"/>
      <c r="L662" s="75"/>
      <c r="M662" s="49"/>
      <c r="N662" s="76"/>
      <c r="O662" s="49"/>
      <c r="P662" s="77"/>
      <c r="Q662" s="53"/>
      <c r="R662" s="54"/>
      <c r="S662" s="55"/>
      <c r="T662" s="56"/>
      <c r="U662" s="56"/>
      <c r="V662" s="42"/>
      <c r="W662" s="57"/>
      <c r="X662" s="58"/>
      <c r="Y662" s="75"/>
      <c r="Z662" s="59"/>
      <c r="AA662" s="61"/>
      <c r="AB662" s="61"/>
      <c r="AC662" s="61"/>
      <c r="AD662" s="62"/>
      <c r="AE662" s="62"/>
      <c r="AF662" s="34"/>
      <c r="AG662" s="34"/>
      <c r="AH662" s="34"/>
      <c r="AI662" s="34"/>
      <c r="AJ662" s="34"/>
      <c r="AK662" s="34"/>
      <c r="AL662" s="34"/>
      <c r="AM662" s="34"/>
      <c r="AN662" s="34"/>
      <c r="AO662" s="34"/>
      <c r="AP662" s="34"/>
      <c r="AQ662" s="34"/>
      <c r="AR662" s="34"/>
      <c r="AS662" s="34"/>
      <c r="AT662" s="34"/>
      <c r="AU662" s="34"/>
      <c r="AV662" s="34"/>
      <c r="AW662" s="34"/>
      <c r="AX662" s="34"/>
      <c r="AY662" s="34"/>
      <c r="AZ662" s="34"/>
      <c r="BA662" s="34"/>
      <c r="BB662" s="34"/>
      <c r="BD662" s="34"/>
      <c r="BE662" s="34"/>
      <c r="BF662" s="34"/>
      <c r="BG662" s="34"/>
      <c r="BH662" s="34"/>
      <c r="BI662" s="34"/>
      <c r="BJ662" s="34"/>
      <c r="BK662" s="34"/>
      <c r="BL662" s="34"/>
      <c r="BM662" s="34"/>
      <c r="BN662" s="34"/>
      <c r="BO662" s="34"/>
      <c r="BP662" s="34"/>
      <c r="BQ662" s="34"/>
      <c r="BR662" s="34"/>
      <c r="BS662" s="34"/>
      <c r="BT662" s="34"/>
      <c r="BU662" s="34"/>
      <c r="BV662" s="34"/>
      <c r="BW662" s="34"/>
      <c r="BX662" s="34"/>
      <c r="BY662" s="34"/>
    </row>
    <row r="663" spans="1:77" x14ac:dyDescent="0.3">
      <c r="A663" s="39"/>
      <c r="B663" s="42"/>
      <c r="C663" s="42"/>
      <c r="D663" s="75"/>
      <c r="E663" s="75"/>
      <c r="F663" s="76"/>
      <c r="G663" s="47"/>
      <c r="H663" s="47"/>
      <c r="I663" s="75"/>
      <c r="J663" s="76"/>
      <c r="K663" s="76"/>
      <c r="L663" s="75"/>
      <c r="M663" s="49"/>
      <c r="N663" s="76"/>
      <c r="O663" s="49"/>
      <c r="P663" s="77"/>
      <c r="Q663" s="53"/>
      <c r="R663" s="54"/>
      <c r="S663" s="55"/>
      <c r="T663" s="56"/>
      <c r="U663" s="56"/>
      <c r="V663" s="42"/>
      <c r="W663" s="57"/>
      <c r="X663" s="58"/>
      <c r="Y663" s="75"/>
      <c r="Z663" s="59"/>
      <c r="AA663" s="61"/>
      <c r="AB663" s="61"/>
      <c r="AC663" s="61"/>
      <c r="AD663" s="62"/>
      <c r="AE663" s="62"/>
      <c r="AF663" s="34"/>
      <c r="AG663" s="34"/>
      <c r="AH663" s="34"/>
      <c r="AI663" s="34"/>
      <c r="AJ663" s="34"/>
      <c r="AK663" s="34"/>
      <c r="AL663" s="34"/>
      <c r="AM663" s="34"/>
      <c r="AN663" s="34"/>
      <c r="AO663" s="34"/>
      <c r="AP663" s="34"/>
      <c r="AQ663" s="34"/>
      <c r="AR663" s="34"/>
      <c r="AS663" s="34"/>
      <c r="AT663" s="34"/>
      <c r="AU663" s="34"/>
      <c r="AV663" s="34"/>
      <c r="AW663" s="34"/>
      <c r="AX663" s="34"/>
      <c r="AY663" s="34"/>
      <c r="AZ663" s="34"/>
      <c r="BA663" s="34"/>
      <c r="BB663" s="34"/>
      <c r="BD663" s="34"/>
      <c r="BE663" s="34"/>
      <c r="BF663" s="34"/>
      <c r="BG663" s="34"/>
      <c r="BH663" s="34"/>
      <c r="BI663" s="34"/>
      <c r="BJ663" s="34"/>
      <c r="BK663" s="34"/>
      <c r="BL663" s="34"/>
      <c r="BM663" s="34"/>
      <c r="BN663" s="34"/>
      <c r="BO663" s="34"/>
      <c r="BP663" s="34"/>
      <c r="BQ663" s="34"/>
      <c r="BR663" s="34"/>
      <c r="BS663" s="34"/>
      <c r="BT663" s="34"/>
      <c r="BU663" s="34"/>
      <c r="BV663" s="34"/>
      <c r="BW663" s="34"/>
      <c r="BX663" s="34"/>
      <c r="BY663" s="34"/>
    </row>
    <row r="664" spans="1:77" x14ac:dyDescent="0.3">
      <c r="A664" s="39"/>
      <c r="B664" s="42"/>
      <c r="C664" s="42"/>
      <c r="D664" s="75"/>
      <c r="E664" s="75"/>
      <c r="F664" s="76"/>
      <c r="G664" s="47"/>
      <c r="H664" s="47"/>
      <c r="I664" s="75"/>
      <c r="J664" s="76"/>
      <c r="K664" s="76"/>
      <c r="L664" s="75"/>
      <c r="M664" s="49"/>
      <c r="N664" s="76"/>
      <c r="O664" s="49"/>
      <c r="P664" s="77"/>
      <c r="Q664" s="53"/>
      <c r="R664" s="54"/>
      <c r="S664" s="55"/>
      <c r="T664" s="56"/>
      <c r="U664" s="56"/>
      <c r="V664" s="42"/>
      <c r="W664" s="57"/>
      <c r="X664" s="58"/>
      <c r="Y664" s="75"/>
      <c r="Z664" s="59"/>
      <c r="AA664" s="61"/>
      <c r="AB664" s="61"/>
      <c r="AC664" s="61"/>
      <c r="AD664" s="62"/>
      <c r="AE664" s="62"/>
      <c r="AF664" s="34"/>
      <c r="AG664" s="34"/>
      <c r="AH664" s="34"/>
      <c r="AI664" s="34"/>
      <c r="AJ664" s="34"/>
      <c r="AK664" s="34"/>
      <c r="AL664" s="34"/>
      <c r="AM664" s="34"/>
      <c r="AN664" s="34"/>
      <c r="AO664" s="34"/>
      <c r="AP664" s="34"/>
      <c r="AQ664" s="34"/>
      <c r="AR664" s="34"/>
      <c r="AS664" s="34"/>
      <c r="AT664" s="34"/>
      <c r="AU664" s="34"/>
      <c r="AV664" s="34"/>
      <c r="AW664" s="34"/>
      <c r="AX664" s="34"/>
      <c r="AY664" s="34"/>
      <c r="AZ664" s="34"/>
      <c r="BA664" s="34"/>
      <c r="BB664" s="34"/>
      <c r="BD664" s="34"/>
      <c r="BE664" s="34"/>
      <c r="BF664" s="34"/>
      <c r="BG664" s="34"/>
      <c r="BH664" s="34"/>
      <c r="BI664" s="34"/>
      <c r="BJ664" s="34"/>
      <c r="BK664" s="34"/>
      <c r="BL664" s="34"/>
      <c r="BM664" s="34"/>
      <c r="BN664" s="34"/>
      <c r="BO664" s="34"/>
      <c r="BP664" s="34"/>
      <c r="BQ664" s="34"/>
      <c r="BR664" s="34"/>
      <c r="BS664" s="34"/>
      <c r="BT664" s="34"/>
      <c r="BU664" s="34"/>
      <c r="BV664" s="34"/>
      <c r="BW664" s="34"/>
      <c r="BX664" s="34"/>
      <c r="BY664" s="34"/>
    </row>
    <row r="665" spans="1:77" x14ac:dyDescent="0.3">
      <c r="A665" s="39"/>
      <c r="B665" s="42"/>
      <c r="C665" s="42"/>
      <c r="D665" s="75"/>
      <c r="E665" s="75"/>
      <c r="F665" s="76"/>
      <c r="G665" s="47"/>
      <c r="H665" s="47"/>
      <c r="I665" s="75"/>
      <c r="J665" s="76"/>
      <c r="K665" s="76"/>
      <c r="L665" s="75"/>
      <c r="M665" s="49"/>
      <c r="N665" s="76"/>
      <c r="O665" s="49"/>
      <c r="P665" s="77"/>
      <c r="Q665" s="53"/>
      <c r="R665" s="54"/>
      <c r="S665" s="55"/>
      <c r="T665" s="56"/>
      <c r="U665" s="56"/>
      <c r="V665" s="42"/>
      <c r="W665" s="57"/>
      <c r="X665" s="58"/>
      <c r="Y665" s="75"/>
      <c r="Z665" s="59"/>
      <c r="AA665" s="61"/>
      <c r="AB665" s="61"/>
      <c r="AC665" s="61"/>
      <c r="AD665" s="62"/>
      <c r="AE665" s="62"/>
      <c r="AF665" s="34"/>
      <c r="AG665" s="34"/>
      <c r="AH665" s="34"/>
      <c r="AI665" s="34"/>
      <c r="AJ665" s="34"/>
      <c r="AK665" s="34"/>
      <c r="AL665" s="34"/>
      <c r="AM665" s="34"/>
      <c r="AN665" s="34"/>
      <c r="AO665" s="34"/>
      <c r="AP665" s="34"/>
      <c r="AQ665" s="34"/>
      <c r="AR665" s="34"/>
      <c r="AS665" s="34"/>
      <c r="AT665" s="34"/>
      <c r="AU665" s="34"/>
      <c r="AV665" s="34"/>
      <c r="AW665" s="34"/>
      <c r="AX665" s="34"/>
      <c r="AY665" s="34"/>
      <c r="AZ665" s="34"/>
      <c r="BA665" s="34"/>
      <c r="BB665" s="34"/>
      <c r="BD665" s="34"/>
      <c r="BE665" s="34"/>
      <c r="BF665" s="34"/>
      <c r="BG665" s="34"/>
      <c r="BH665" s="34"/>
      <c r="BI665" s="34"/>
      <c r="BJ665" s="34"/>
      <c r="BK665" s="34"/>
      <c r="BL665" s="34"/>
      <c r="BM665" s="34"/>
      <c r="BN665" s="34"/>
      <c r="BO665" s="34"/>
      <c r="BP665" s="34"/>
      <c r="BQ665" s="34"/>
      <c r="BR665" s="34"/>
      <c r="BS665" s="34"/>
      <c r="BT665" s="34"/>
      <c r="BU665" s="34"/>
      <c r="BV665" s="34"/>
      <c r="BW665" s="34"/>
      <c r="BX665" s="34"/>
      <c r="BY665" s="34"/>
    </row>
    <row r="666" spans="1:77" x14ac:dyDescent="0.3">
      <c r="A666" s="39"/>
      <c r="B666" s="42"/>
      <c r="C666" s="42"/>
      <c r="D666" s="75"/>
      <c r="E666" s="75"/>
      <c r="F666" s="76"/>
      <c r="G666" s="47"/>
      <c r="H666" s="47"/>
      <c r="I666" s="75"/>
      <c r="J666" s="76"/>
      <c r="K666" s="76"/>
      <c r="L666" s="75"/>
      <c r="M666" s="49"/>
      <c r="N666" s="76"/>
      <c r="O666" s="49"/>
      <c r="P666" s="77"/>
      <c r="Q666" s="53"/>
      <c r="R666" s="54"/>
      <c r="S666" s="55"/>
      <c r="T666" s="56"/>
      <c r="U666" s="56"/>
      <c r="V666" s="42"/>
      <c r="W666" s="57"/>
      <c r="X666" s="58"/>
      <c r="Y666" s="75"/>
      <c r="Z666" s="59"/>
      <c r="AA666" s="61"/>
      <c r="AB666" s="61"/>
      <c r="AC666" s="61"/>
      <c r="AD666" s="62"/>
      <c r="AE666" s="62"/>
      <c r="AF666" s="34"/>
      <c r="AG666" s="34"/>
      <c r="AH666" s="34"/>
      <c r="AI666" s="34"/>
      <c r="AJ666" s="34"/>
      <c r="AK666" s="34"/>
      <c r="AL666" s="34"/>
      <c r="AM666" s="34"/>
      <c r="AN666" s="34"/>
      <c r="AO666" s="34"/>
      <c r="AP666" s="34"/>
      <c r="AQ666" s="34"/>
      <c r="AR666" s="34"/>
      <c r="AS666" s="34"/>
      <c r="AT666" s="34"/>
      <c r="AU666" s="34"/>
      <c r="AV666" s="34"/>
      <c r="AW666" s="34"/>
      <c r="AX666" s="34"/>
      <c r="AY666" s="34"/>
      <c r="AZ666" s="34"/>
      <c r="BA666" s="34"/>
      <c r="BB666" s="34"/>
      <c r="BD666" s="34"/>
      <c r="BE666" s="34"/>
      <c r="BF666" s="34"/>
      <c r="BG666" s="34"/>
      <c r="BH666" s="34"/>
      <c r="BI666" s="34"/>
      <c r="BJ666" s="34"/>
      <c r="BK666" s="34"/>
      <c r="BL666" s="34"/>
      <c r="BM666" s="34"/>
      <c r="BN666" s="34"/>
      <c r="BO666" s="34"/>
      <c r="BP666" s="34"/>
      <c r="BQ666" s="34"/>
      <c r="BR666" s="34"/>
      <c r="BS666" s="34"/>
      <c r="BT666" s="34"/>
      <c r="BU666" s="34"/>
      <c r="BV666" s="34"/>
      <c r="BW666" s="34"/>
      <c r="BX666" s="34"/>
      <c r="BY666" s="34"/>
    </row>
    <row r="667" spans="1:77" x14ac:dyDescent="0.3">
      <c r="A667" s="39"/>
      <c r="B667" s="42"/>
      <c r="C667" s="42"/>
      <c r="D667" s="75"/>
      <c r="E667" s="75"/>
      <c r="F667" s="76"/>
      <c r="G667" s="47"/>
      <c r="H667" s="47"/>
      <c r="I667" s="75"/>
      <c r="J667" s="76"/>
      <c r="K667" s="76"/>
      <c r="L667" s="75"/>
      <c r="M667" s="49"/>
      <c r="N667" s="76"/>
      <c r="O667" s="49"/>
      <c r="P667" s="77"/>
      <c r="Q667" s="53"/>
      <c r="R667" s="54"/>
      <c r="S667" s="55"/>
      <c r="T667" s="56"/>
      <c r="U667" s="56"/>
      <c r="V667" s="42"/>
      <c r="W667" s="57"/>
      <c r="X667" s="58"/>
      <c r="Y667" s="75"/>
      <c r="Z667" s="59"/>
      <c r="AA667" s="61"/>
      <c r="AB667" s="61"/>
      <c r="AC667" s="61"/>
      <c r="AD667" s="62"/>
      <c r="AE667" s="62"/>
      <c r="AF667" s="34"/>
      <c r="AG667" s="34"/>
      <c r="AH667" s="34"/>
      <c r="AI667" s="34"/>
      <c r="AJ667" s="34"/>
      <c r="AK667" s="34"/>
      <c r="AL667" s="34"/>
      <c r="AM667" s="34"/>
      <c r="AN667" s="34"/>
      <c r="AO667" s="34"/>
      <c r="AP667" s="34"/>
      <c r="AQ667" s="34"/>
      <c r="AR667" s="34"/>
      <c r="AS667" s="34"/>
      <c r="AT667" s="34"/>
      <c r="AU667" s="34"/>
      <c r="AV667" s="34"/>
      <c r="AW667" s="34"/>
      <c r="AX667" s="34"/>
      <c r="AY667" s="34"/>
      <c r="AZ667" s="34"/>
      <c r="BA667" s="34"/>
      <c r="BB667" s="34"/>
      <c r="BD667" s="34"/>
      <c r="BE667" s="34"/>
      <c r="BF667" s="34"/>
      <c r="BG667" s="34"/>
      <c r="BH667" s="34"/>
      <c r="BI667" s="34"/>
      <c r="BJ667" s="34"/>
      <c r="BK667" s="34"/>
      <c r="BL667" s="34"/>
      <c r="BM667" s="34"/>
      <c r="BN667" s="34"/>
      <c r="BO667" s="34"/>
      <c r="BP667" s="34"/>
      <c r="BQ667" s="34"/>
      <c r="BR667" s="34"/>
      <c r="BS667" s="34"/>
      <c r="BT667" s="34"/>
      <c r="BU667" s="34"/>
      <c r="BV667" s="34"/>
      <c r="BW667" s="34"/>
      <c r="BX667" s="34"/>
      <c r="BY667" s="34"/>
    </row>
    <row r="668" spans="1:77" x14ac:dyDescent="0.3">
      <c r="A668" s="39"/>
      <c r="B668" s="42"/>
      <c r="C668" s="42"/>
      <c r="D668" s="75"/>
      <c r="E668" s="75"/>
      <c r="F668" s="76"/>
      <c r="G668" s="47"/>
      <c r="H668" s="47"/>
      <c r="I668" s="75"/>
      <c r="J668" s="76"/>
      <c r="K668" s="76"/>
      <c r="L668" s="75"/>
      <c r="M668" s="49"/>
      <c r="N668" s="76"/>
      <c r="O668" s="49"/>
      <c r="P668" s="77"/>
      <c r="Q668" s="53"/>
      <c r="R668" s="54"/>
      <c r="S668" s="55"/>
      <c r="T668" s="56"/>
      <c r="U668" s="56"/>
      <c r="V668" s="42"/>
      <c r="W668" s="57"/>
      <c r="X668" s="58"/>
      <c r="Y668" s="75"/>
      <c r="Z668" s="59"/>
      <c r="AA668" s="61"/>
      <c r="AB668" s="61"/>
      <c r="AC668" s="61"/>
      <c r="AD668" s="62"/>
      <c r="AE668" s="62"/>
      <c r="AF668" s="34"/>
      <c r="AG668" s="34"/>
      <c r="AH668" s="34"/>
      <c r="AI668" s="34"/>
      <c r="AJ668" s="34"/>
      <c r="AK668" s="34"/>
      <c r="AL668" s="34"/>
      <c r="AM668" s="34"/>
      <c r="AN668" s="34"/>
      <c r="AO668" s="34"/>
      <c r="AP668" s="34"/>
      <c r="AQ668" s="34"/>
      <c r="AR668" s="34"/>
      <c r="AS668" s="34"/>
      <c r="AT668" s="34"/>
      <c r="AU668" s="34"/>
      <c r="AV668" s="34"/>
      <c r="AW668" s="34"/>
      <c r="AX668" s="34"/>
      <c r="AY668" s="34"/>
      <c r="AZ668" s="34"/>
      <c r="BA668" s="34"/>
      <c r="BB668" s="34"/>
      <c r="BD668" s="34"/>
      <c r="BE668" s="34"/>
      <c r="BF668" s="34"/>
      <c r="BG668" s="34"/>
      <c r="BH668" s="34"/>
      <c r="BI668" s="34"/>
      <c r="BJ668" s="34"/>
      <c r="BK668" s="34"/>
      <c r="BL668" s="34"/>
      <c r="BM668" s="34"/>
      <c r="BN668" s="34"/>
      <c r="BO668" s="34"/>
      <c r="BP668" s="34"/>
      <c r="BQ668" s="34"/>
      <c r="BR668" s="34"/>
      <c r="BS668" s="34"/>
      <c r="BT668" s="34"/>
      <c r="BU668" s="34"/>
      <c r="BV668" s="34"/>
      <c r="BW668" s="34"/>
      <c r="BX668" s="34"/>
      <c r="BY668" s="34"/>
    </row>
    <row r="669" spans="1:77" x14ac:dyDescent="0.3">
      <c r="A669" s="39"/>
      <c r="B669" s="42"/>
      <c r="C669" s="42"/>
      <c r="D669" s="75"/>
      <c r="E669" s="75"/>
      <c r="F669" s="76"/>
      <c r="G669" s="47"/>
      <c r="H669" s="47"/>
      <c r="I669" s="75"/>
      <c r="J669" s="76"/>
      <c r="K669" s="76"/>
      <c r="L669" s="75"/>
      <c r="M669" s="49"/>
      <c r="N669" s="76"/>
      <c r="O669" s="49"/>
      <c r="P669" s="77"/>
      <c r="Q669" s="53"/>
      <c r="R669" s="54"/>
      <c r="S669" s="55"/>
      <c r="T669" s="56"/>
      <c r="U669" s="56"/>
      <c r="V669" s="42"/>
      <c r="W669" s="57"/>
      <c r="X669" s="58"/>
      <c r="Y669" s="75"/>
      <c r="Z669" s="59"/>
      <c r="AA669" s="61"/>
      <c r="AB669" s="61"/>
      <c r="AC669" s="61"/>
      <c r="AD669" s="62"/>
      <c r="AE669" s="62"/>
      <c r="AF669" s="34"/>
      <c r="AG669" s="34"/>
      <c r="AH669" s="34"/>
      <c r="AI669" s="34"/>
      <c r="AJ669" s="34"/>
      <c r="AK669" s="34"/>
      <c r="AL669" s="34"/>
      <c r="AM669" s="34"/>
      <c r="AN669" s="34"/>
      <c r="AO669" s="34"/>
      <c r="AP669" s="34"/>
      <c r="AQ669" s="34"/>
      <c r="AR669" s="34"/>
      <c r="AS669" s="34"/>
      <c r="AT669" s="34"/>
      <c r="AU669" s="34"/>
      <c r="AV669" s="34"/>
      <c r="AW669" s="34"/>
      <c r="AX669" s="34"/>
      <c r="AY669" s="34"/>
      <c r="AZ669" s="34"/>
      <c r="BA669" s="34"/>
      <c r="BB669" s="34"/>
      <c r="BD669" s="34"/>
      <c r="BE669" s="34"/>
      <c r="BF669" s="34"/>
      <c r="BG669" s="34"/>
      <c r="BH669" s="34"/>
      <c r="BI669" s="34"/>
      <c r="BJ669" s="34"/>
      <c r="BK669" s="34"/>
      <c r="BL669" s="34"/>
      <c r="BM669" s="34"/>
      <c r="BN669" s="34"/>
      <c r="BO669" s="34"/>
      <c r="BP669" s="34"/>
      <c r="BQ669" s="34"/>
      <c r="BR669" s="34"/>
      <c r="BS669" s="34"/>
      <c r="BT669" s="34"/>
      <c r="BU669" s="34"/>
      <c r="BV669" s="34"/>
      <c r="BW669" s="34"/>
      <c r="BX669" s="34"/>
      <c r="BY669" s="34"/>
    </row>
    <row r="670" spans="1:77" x14ac:dyDescent="0.3">
      <c r="A670" s="39"/>
      <c r="B670" s="42"/>
      <c r="C670" s="42"/>
      <c r="D670" s="75"/>
      <c r="E670" s="75"/>
      <c r="F670" s="76"/>
      <c r="G670" s="47"/>
      <c r="H670" s="47"/>
      <c r="I670" s="75"/>
      <c r="J670" s="76"/>
      <c r="K670" s="76"/>
      <c r="L670" s="75"/>
      <c r="M670" s="49"/>
      <c r="N670" s="76"/>
      <c r="O670" s="49"/>
      <c r="P670" s="77"/>
      <c r="Q670" s="53"/>
      <c r="R670" s="54"/>
      <c r="S670" s="55"/>
      <c r="T670" s="56"/>
      <c r="U670" s="56"/>
      <c r="V670" s="42"/>
      <c r="W670" s="57"/>
      <c r="X670" s="58"/>
      <c r="Y670" s="75"/>
      <c r="Z670" s="59"/>
      <c r="AA670" s="61"/>
      <c r="AB670" s="61"/>
      <c r="AC670" s="61"/>
      <c r="AD670" s="62"/>
      <c r="AE670" s="62"/>
      <c r="AF670" s="34"/>
      <c r="AG670" s="34"/>
      <c r="AH670" s="34"/>
      <c r="AI670" s="34"/>
      <c r="AJ670" s="34"/>
      <c r="AK670" s="34"/>
      <c r="AL670" s="34"/>
      <c r="AM670" s="34"/>
      <c r="AN670" s="34"/>
      <c r="AO670" s="34"/>
      <c r="AP670" s="34"/>
      <c r="AQ670" s="34"/>
      <c r="AR670" s="34"/>
      <c r="AS670" s="34"/>
      <c r="AT670" s="34"/>
      <c r="AU670" s="34"/>
      <c r="AV670" s="34"/>
      <c r="AW670" s="34"/>
      <c r="AX670" s="34"/>
      <c r="AY670" s="34"/>
      <c r="AZ670" s="34"/>
      <c r="BA670" s="34"/>
      <c r="BB670" s="34"/>
      <c r="BD670" s="34"/>
      <c r="BE670" s="34"/>
      <c r="BF670" s="34"/>
      <c r="BG670" s="34"/>
      <c r="BH670" s="34"/>
      <c r="BI670" s="34"/>
      <c r="BJ670" s="34"/>
      <c r="BK670" s="34"/>
      <c r="BL670" s="34"/>
      <c r="BM670" s="34"/>
      <c r="BN670" s="34"/>
      <c r="BO670" s="34"/>
      <c r="BP670" s="34"/>
      <c r="BQ670" s="34"/>
      <c r="BR670" s="34"/>
      <c r="BS670" s="34"/>
      <c r="BT670" s="34"/>
      <c r="BU670" s="34"/>
      <c r="BV670" s="34"/>
      <c r="BW670" s="34"/>
      <c r="BX670" s="34"/>
      <c r="BY670" s="34"/>
    </row>
    <row r="671" spans="1:77" x14ac:dyDescent="0.3">
      <c r="A671" s="39"/>
      <c r="B671" s="42"/>
      <c r="C671" s="42"/>
      <c r="D671" s="75"/>
      <c r="E671" s="75"/>
      <c r="F671" s="76"/>
      <c r="G671" s="47"/>
      <c r="H671" s="47"/>
      <c r="I671" s="75"/>
      <c r="J671" s="76"/>
      <c r="K671" s="76"/>
      <c r="L671" s="75"/>
      <c r="M671" s="49"/>
      <c r="N671" s="76"/>
      <c r="O671" s="49"/>
      <c r="P671" s="77"/>
      <c r="Q671" s="53"/>
      <c r="R671" s="54"/>
      <c r="S671" s="55"/>
      <c r="T671" s="56"/>
      <c r="U671" s="56"/>
      <c r="V671" s="42"/>
      <c r="W671" s="57"/>
      <c r="X671" s="58"/>
      <c r="Y671" s="75"/>
      <c r="Z671" s="59"/>
      <c r="AA671" s="61"/>
      <c r="AB671" s="61"/>
      <c r="AC671" s="61"/>
      <c r="AD671" s="62"/>
      <c r="AE671" s="62"/>
      <c r="AF671" s="34"/>
      <c r="AG671" s="34"/>
      <c r="AH671" s="34"/>
      <c r="AI671" s="34"/>
      <c r="AJ671" s="34"/>
      <c r="AK671" s="34"/>
      <c r="AL671" s="34"/>
      <c r="AM671" s="34"/>
      <c r="AN671" s="34"/>
      <c r="AO671" s="34"/>
      <c r="AP671" s="34"/>
      <c r="AQ671" s="34"/>
      <c r="AR671" s="34"/>
      <c r="AS671" s="34"/>
      <c r="AT671" s="34"/>
      <c r="AU671" s="34"/>
      <c r="AV671" s="34"/>
      <c r="AW671" s="34"/>
      <c r="AX671" s="34"/>
      <c r="AY671" s="34"/>
      <c r="AZ671" s="34"/>
      <c r="BA671" s="34"/>
      <c r="BB671" s="34"/>
      <c r="BD671" s="34"/>
      <c r="BE671" s="34"/>
      <c r="BF671" s="34"/>
      <c r="BG671" s="34"/>
      <c r="BH671" s="34"/>
      <c r="BI671" s="34"/>
      <c r="BJ671" s="34"/>
      <c r="BK671" s="34"/>
      <c r="BL671" s="34"/>
      <c r="BM671" s="34"/>
      <c r="BN671" s="34"/>
      <c r="BO671" s="34"/>
      <c r="BP671" s="34"/>
      <c r="BQ671" s="34"/>
      <c r="BR671" s="34"/>
      <c r="BS671" s="34"/>
      <c r="BT671" s="34"/>
      <c r="BU671" s="34"/>
      <c r="BV671" s="34"/>
      <c r="BW671" s="34"/>
      <c r="BX671" s="34"/>
      <c r="BY671" s="34"/>
    </row>
    <row r="672" spans="1:77" x14ac:dyDescent="0.3">
      <c r="A672" s="39"/>
      <c r="B672" s="42"/>
      <c r="C672" s="42"/>
      <c r="D672" s="75"/>
      <c r="E672" s="75"/>
      <c r="F672" s="76"/>
      <c r="G672" s="47"/>
      <c r="H672" s="47"/>
      <c r="I672" s="75"/>
      <c r="J672" s="76"/>
      <c r="K672" s="76"/>
      <c r="L672" s="75"/>
      <c r="M672" s="49"/>
      <c r="N672" s="76"/>
      <c r="O672" s="49"/>
      <c r="P672" s="77"/>
      <c r="Q672" s="53"/>
      <c r="R672" s="54"/>
      <c r="S672" s="55"/>
      <c r="T672" s="56"/>
      <c r="U672" s="56"/>
      <c r="V672" s="42"/>
      <c r="W672" s="57"/>
      <c r="X672" s="58"/>
      <c r="Y672" s="75"/>
      <c r="Z672" s="59"/>
      <c r="AA672" s="61"/>
      <c r="AB672" s="61"/>
      <c r="AC672" s="61"/>
      <c r="AD672" s="62"/>
      <c r="AE672" s="62"/>
      <c r="AF672" s="34"/>
      <c r="AG672" s="34"/>
      <c r="AH672" s="34"/>
      <c r="AI672" s="34"/>
      <c r="AJ672" s="34"/>
      <c r="AK672" s="34"/>
      <c r="AL672" s="34"/>
      <c r="AM672" s="34"/>
      <c r="AN672" s="34"/>
      <c r="AO672" s="34"/>
      <c r="AP672" s="34"/>
      <c r="AQ672" s="34"/>
      <c r="AR672" s="34"/>
      <c r="AS672" s="34"/>
      <c r="AT672" s="34"/>
      <c r="AU672" s="34"/>
      <c r="AV672" s="34"/>
      <c r="AW672" s="34"/>
      <c r="AX672" s="34"/>
      <c r="AY672" s="34"/>
      <c r="AZ672" s="34"/>
      <c r="BA672" s="34"/>
      <c r="BB672" s="34"/>
      <c r="BD672" s="34"/>
      <c r="BE672" s="34"/>
      <c r="BF672" s="34"/>
      <c r="BG672" s="34"/>
      <c r="BH672" s="34"/>
      <c r="BI672" s="34"/>
      <c r="BJ672" s="34"/>
      <c r="BK672" s="34"/>
      <c r="BL672" s="34"/>
      <c r="BM672" s="34"/>
      <c r="BN672" s="34"/>
      <c r="BO672" s="34"/>
      <c r="BP672" s="34"/>
      <c r="BQ672" s="34"/>
      <c r="BR672" s="34"/>
      <c r="BS672" s="34"/>
      <c r="BT672" s="34"/>
      <c r="BU672" s="34"/>
      <c r="BV672" s="34"/>
      <c r="BW672" s="34"/>
      <c r="BX672" s="34"/>
      <c r="BY672" s="34"/>
    </row>
    <row r="673" spans="1:77" x14ac:dyDescent="0.3">
      <c r="A673" s="39"/>
      <c r="B673" s="42"/>
      <c r="C673" s="42"/>
      <c r="D673" s="75"/>
      <c r="E673" s="75"/>
      <c r="F673" s="76"/>
      <c r="G673" s="47"/>
      <c r="H673" s="47"/>
      <c r="I673" s="75"/>
      <c r="J673" s="76"/>
      <c r="K673" s="76"/>
      <c r="L673" s="75"/>
      <c r="M673" s="49"/>
      <c r="N673" s="76"/>
      <c r="O673" s="49"/>
      <c r="P673" s="77"/>
      <c r="Q673" s="53"/>
      <c r="R673" s="54"/>
      <c r="S673" s="55"/>
      <c r="T673" s="56"/>
      <c r="U673" s="56"/>
      <c r="V673" s="42"/>
      <c r="W673" s="57"/>
      <c r="X673" s="58"/>
      <c r="Y673" s="75"/>
      <c r="Z673" s="59"/>
      <c r="AA673" s="61"/>
      <c r="AB673" s="61"/>
      <c r="AC673" s="61"/>
      <c r="AD673" s="62"/>
      <c r="AE673" s="62"/>
      <c r="AF673" s="34"/>
      <c r="AG673" s="34"/>
      <c r="AH673" s="34"/>
      <c r="AI673" s="34"/>
      <c r="AJ673" s="34"/>
      <c r="AK673" s="34"/>
      <c r="AL673" s="34"/>
      <c r="AM673" s="34"/>
      <c r="AN673" s="34"/>
      <c r="AO673" s="34"/>
      <c r="AP673" s="34"/>
      <c r="AQ673" s="34"/>
      <c r="AR673" s="34"/>
      <c r="AS673" s="34"/>
      <c r="AT673" s="34"/>
      <c r="AU673" s="34"/>
      <c r="AV673" s="34"/>
      <c r="AW673" s="34"/>
      <c r="AX673" s="34"/>
      <c r="AY673" s="34"/>
      <c r="AZ673" s="34"/>
      <c r="BA673" s="34"/>
      <c r="BB673" s="34"/>
      <c r="BD673" s="34"/>
      <c r="BE673" s="34"/>
      <c r="BF673" s="34"/>
      <c r="BG673" s="34"/>
      <c r="BH673" s="34"/>
      <c r="BI673" s="34"/>
      <c r="BJ673" s="34"/>
      <c r="BK673" s="34"/>
      <c r="BL673" s="34"/>
      <c r="BM673" s="34"/>
      <c r="BN673" s="34"/>
      <c r="BO673" s="34"/>
      <c r="BP673" s="34"/>
      <c r="BQ673" s="34"/>
      <c r="BR673" s="34"/>
      <c r="BS673" s="34"/>
      <c r="BT673" s="34"/>
      <c r="BU673" s="34"/>
      <c r="BV673" s="34"/>
      <c r="BW673" s="34"/>
      <c r="BX673" s="34"/>
      <c r="BY673" s="34"/>
    </row>
    <row r="674" spans="1:77" x14ac:dyDescent="0.3">
      <c r="A674" s="39"/>
      <c r="B674" s="42"/>
      <c r="C674" s="42"/>
      <c r="D674" s="75"/>
      <c r="E674" s="75"/>
      <c r="F674" s="76"/>
      <c r="G674" s="47"/>
      <c r="H674" s="47"/>
      <c r="I674" s="75"/>
      <c r="J674" s="76"/>
      <c r="K674" s="76"/>
      <c r="L674" s="75"/>
      <c r="M674" s="49"/>
      <c r="N674" s="76"/>
      <c r="O674" s="49"/>
      <c r="P674" s="77"/>
      <c r="Q674" s="53"/>
      <c r="R674" s="54"/>
      <c r="S674" s="55"/>
      <c r="T674" s="56"/>
      <c r="U674" s="56"/>
      <c r="V674" s="42"/>
      <c r="W674" s="57"/>
      <c r="X674" s="58"/>
      <c r="Y674" s="75"/>
      <c r="Z674" s="59"/>
      <c r="AA674" s="61"/>
      <c r="AB674" s="61"/>
      <c r="AC674" s="61"/>
      <c r="AD674" s="62"/>
      <c r="AE674" s="62"/>
      <c r="AF674" s="34"/>
      <c r="AG674" s="34"/>
      <c r="AH674" s="34"/>
      <c r="AI674" s="34"/>
      <c r="AJ674" s="34"/>
      <c r="AK674" s="34"/>
      <c r="AL674" s="34"/>
      <c r="AM674" s="34"/>
      <c r="AN674" s="34"/>
      <c r="AO674" s="34"/>
      <c r="AP674" s="34"/>
      <c r="AQ674" s="34"/>
      <c r="AR674" s="34"/>
      <c r="AS674" s="34"/>
      <c r="AT674" s="34"/>
      <c r="AU674" s="34"/>
      <c r="AV674" s="34"/>
      <c r="AW674" s="34"/>
      <c r="AX674" s="34"/>
      <c r="AY674" s="34"/>
      <c r="AZ674" s="34"/>
      <c r="BA674" s="34"/>
      <c r="BB674" s="34"/>
      <c r="BD674" s="34"/>
      <c r="BE674" s="34"/>
      <c r="BF674" s="34"/>
      <c r="BG674" s="34"/>
      <c r="BH674" s="34"/>
      <c r="BI674" s="34"/>
      <c r="BJ674" s="34"/>
      <c r="BK674" s="34"/>
      <c r="BL674" s="34"/>
      <c r="BM674" s="34"/>
      <c r="BN674" s="34"/>
      <c r="BO674" s="34"/>
      <c r="BP674" s="34"/>
      <c r="BQ674" s="34"/>
      <c r="BR674" s="34"/>
      <c r="BS674" s="34"/>
      <c r="BT674" s="34"/>
      <c r="BU674" s="34"/>
      <c r="BV674" s="34"/>
      <c r="BW674" s="34"/>
      <c r="BX674" s="34"/>
      <c r="BY674" s="34"/>
    </row>
    <row r="675" spans="1:77" x14ac:dyDescent="0.3">
      <c r="A675" s="39"/>
      <c r="B675" s="42"/>
      <c r="C675" s="42"/>
      <c r="D675" s="75"/>
      <c r="E675" s="75"/>
      <c r="F675" s="76"/>
      <c r="G675" s="47"/>
      <c r="H675" s="47"/>
      <c r="I675" s="75"/>
      <c r="J675" s="76"/>
      <c r="K675" s="76"/>
      <c r="L675" s="75"/>
      <c r="M675" s="49"/>
      <c r="N675" s="76"/>
      <c r="O675" s="49"/>
      <c r="P675" s="77"/>
      <c r="Q675" s="53"/>
      <c r="R675" s="54"/>
      <c r="S675" s="55"/>
      <c r="T675" s="56"/>
      <c r="U675" s="56"/>
      <c r="V675" s="42"/>
      <c r="W675" s="57"/>
      <c r="X675" s="58"/>
      <c r="Y675" s="75"/>
      <c r="Z675" s="59"/>
      <c r="AA675" s="61"/>
      <c r="AB675" s="61"/>
      <c r="AC675" s="61"/>
      <c r="AD675" s="62"/>
      <c r="AE675" s="62"/>
      <c r="AF675" s="34"/>
      <c r="AG675" s="34"/>
      <c r="AH675" s="34"/>
      <c r="AI675" s="34"/>
      <c r="AJ675" s="34"/>
      <c r="AK675" s="34"/>
      <c r="AL675" s="34"/>
      <c r="AM675" s="34"/>
      <c r="AN675" s="34"/>
      <c r="AO675" s="34"/>
      <c r="AP675" s="34"/>
      <c r="AQ675" s="34"/>
      <c r="AR675" s="34"/>
      <c r="AS675" s="34"/>
      <c r="AT675" s="34"/>
      <c r="AU675" s="34"/>
      <c r="AV675" s="34"/>
      <c r="AW675" s="34"/>
      <c r="AX675" s="34"/>
      <c r="AY675" s="34"/>
      <c r="AZ675" s="34"/>
      <c r="BA675" s="34"/>
      <c r="BB675" s="34"/>
      <c r="BD675" s="34"/>
      <c r="BE675" s="34"/>
      <c r="BF675" s="34"/>
      <c r="BG675" s="34"/>
      <c r="BH675" s="34"/>
      <c r="BI675" s="34"/>
      <c r="BJ675" s="34"/>
      <c r="BK675" s="34"/>
      <c r="BL675" s="34"/>
      <c r="BM675" s="34"/>
      <c r="BN675" s="34"/>
      <c r="BO675" s="34"/>
      <c r="BP675" s="34"/>
      <c r="BQ675" s="34"/>
      <c r="BR675" s="34"/>
      <c r="BS675" s="34"/>
      <c r="BT675" s="34"/>
      <c r="BU675" s="34"/>
      <c r="BV675" s="34"/>
      <c r="BW675" s="34"/>
      <c r="BX675" s="34"/>
      <c r="BY675" s="34"/>
    </row>
    <row r="676" spans="1:77" x14ac:dyDescent="0.3">
      <c r="A676" s="39"/>
      <c r="B676" s="42"/>
      <c r="C676" s="42"/>
      <c r="D676" s="75"/>
      <c r="E676" s="75"/>
      <c r="F676" s="76"/>
      <c r="G676" s="47"/>
      <c r="H676" s="47"/>
      <c r="I676" s="75"/>
      <c r="J676" s="76"/>
      <c r="K676" s="76"/>
      <c r="L676" s="75"/>
      <c r="M676" s="49"/>
      <c r="N676" s="76"/>
      <c r="O676" s="49"/>
      <c r="P676" s="77"/>
      <c r="Q676" s="53"/>
      <c r="R676" s="54"/>
      <c r="S676" s="55"/>
      <c r="T676" s="56"/>
      <c r="U676" s="56"/>
      <c r="V676" s="42"/>
      <c r="W676" s="57"/>
      <c r="X676" s="58"/>
      <c r="Y676" s="75"/>
      <c r="Z676" s="59"/>
      <c r="AA676" s="61"/>
      <c r="AB676" s="61"/>
      <c r="AC676" s="61"/>
      <c r="AD676" s="62"/>
      <c r="AE676" s="62"/>
      <c r="AF676" s="34"/>
      <c r="AG676" s="34"/>
      <c r="AH676" s="34"/>
      <c r="AI676" s="34"/>
      <c r="AJ676" s="34"/>
      <c r="AK676" s="34"/>
      <c r="AL676" s="34"/>
      <c r="AM676" s="34"/>
      <c r="AN676" s="34"/>
      <c r="AO676" s="34"/>
      <c r="AP676" s="34"/>
      <c r="AQ676" s="34"/>
      <c r="AR676" s="34"/>
      <c r="AS676" s="34"/>
      <c r="AT676" s="34"/>
      <c r="AU676" s="34"/>
      <c r="AV676" s="34"/>
      <c r="AW676" s="34"/>
      <c r="AX676" s="34"/>
      <c r="AY676" s="34"/>
      <c r="AZ676" s="34"/>
      <c r="BA676" s="34"/>
      <c r="BB676" s="34"/>
      <c r="BD676" s="34"/>
      <c r="BE676" s="34"/>
      <c r="BF676" s="34"/>
      <c r="BG676" s="34"/>
      <c r="BH676" s="34"/>
      <c r="BI676" s="34"/>
      <c r="BJ676" s="34"/>
      <c r="BK676" s="34"/>
      <c r="BL676" s="34"/>
      <c r="BM676" s="34"/>
      <c r="BN676" s="34"/>
      <c r="BO676" s="34"/>
      <c r="BP676" s="34"/>
      <c r="BQ676" s="34"/>
      <c r="BR676" s="34"/>
      <c r="BS676" s="34"/>
      <c r="BT676" s="34"/>
      <c r="BU676" s="34"/>
      <c r="BV676" s="34"/>
      <c r="BW676" s="34"/>
      <c r="BX676" s="34"/>
      <c r="BY676" s="34"/>
    </row>
    <row r="677" spans="1:77" x14ac:dyDescent="0.3">
      <c r="A677" s="39"/>
      <c r="B677" s="42"/>
      <c r="C677" s="42"/>
      <c r="D677" s="75"/>
      <c r="E677" s="75"/>
      <c r="F677" s="76"/>
      <c r="G677" s="47"/>
      <c r="H677" s="47"/>
      <c r="I677" s="75"/>
      <c r="J677" s="76"/>
      <c r="K677" s="76"/>
      <c r="L677" s="75"/>
      <c r="M677" s="49"/>
      <c r="N677" s="76"/>
      <c r="O677" s="49"/>
      <c r="P677" s="77"/>
      <c r="Q677" s="53"/>
      <c r="R677" s="54"/>
      <c r="S677" s="55"/>
      <c r="T677" s="56"/>
      <c r="U677" s="56"/>
      <c r="V677" s="42"/>
      <c r="W677" s="57"/>
      <c r="X677" s="58"/>
      <c r="Y677" s="75"/>
      <c r="Z677" s="59"/>
      <c r="AA677" s="61"/>
      <c r="AB677" s="61"/>
      <c r="AC677" s="61"/>
      <c r="AD677" s="62"/>
      <c r="AE677" s="62"/>
      <c r="AF677" s="34"/>
      <c r="AG677" s="34"/>
      <c r="AH677" s="34"/>
      <c r="AI677" s="34"/>
      <c r="AJ677" s="34"/>
      <c r="AK677" s="34"/>
      <c r="AL677" s="34"/>
      <c r="AM677" s="34"/>
      <c r="AN677" s="34"/>
      <c r="AO677" s="34"/>
      <c r="AP677" s="34"/>
      <c r="AQ677" s="34"/>
      <c r="AR677" s="34"/>
      <c r="AS677" s="34"/>
      <c r="AT677" s="34"/>
      <c r="AU677" s="34"/>
      <c r="AV677" s="34"/>
      <c r="AW677" s="34"/>
      <c r="AX677" s="34"/>
      <c r="AY677" s="34"/>
      <c r="AZ677" s="34"/>
      <c r="BA677" s="34"/>
      <c r="BB677" s="34"/>
      <c r="BD677" s="34"/>
      <c r="BE677" s="34"/>
      <c r="BF677" s="34"/>
      <c r="BG677" s="34"/>
      <c r="BH677" s="34"/>
      <c r="BI677" s="34"/>
      <c r="BJ677" s="34"/>
      <c r="BK677" s="34"/>
      <c r="BL677" s="34"/>
      <c r="BM677" s="34"/>
      <c r="BN677" s="34"/>
      <c r="BO677" s="34"/>
      <c r="BP677" s="34"/>
      <c r="BQ677" s="34"/>
      <c r="BR677" s="34"/>
      <c r="BS677" s="34"/>
      <c r="BT677" s="34"/>
      <c r="BU677" s="34"/>
      <c r="BV677" s="34"/>
      <c r="BW677" s="34"/>
      <c r="BX677" s="34"/>
      <c r="BY677" s="34"/>
    </row>
    <row r="678" spans="1:77" x14ac:dyDescent="0.3">
      <c r="A678" s="39"/>
      <c r="B678" s="42"/>
      <c r="C678" s="42"/>
      <c r="D678" s="75"/>
      <c r="E678" s="75"/>
      <c r="F678" s="76"/>
      <c r="G678" s="47"/>
      <c r="H678" s="47"/>
      <c r="I678" s="75"/>
      <c r="J678" s="76"/>
      <c r="K678" s="76"/>
      <c r="L678" s="75"/>
      <c r="M678" s="49"/>
      <c r="N678" s="76"/>
      <c r="O678" s="49"/>
      <c r="P678" s="77"/>
      <c r="Q678" s="53"/>
      <c r="R678" s="54"/>
      <c r="S678" s="55"/>
      <c r="T678" s="56"/>
      <c r="U678" s="56"/>
      <c r="V678" s="42"/>
      <c r="W678" s="57"/>
      <c r="X678" s="58"/>
      <c r="Y678" s="75"/>
      <c r="Z678" s="59"/>
      <c r="AA678" s="61"/>
      <c r="AB678" s="61"/>
      <c r="AC678" s="61"/>
      <c r="AD678" s="62"/>
      <c r="AE678" s="62"/>
      <c r="AF678" s="34"/>
      <c r="AG678" s="34"/>
      <c r="AH678" s="34"/>
      <c r="AI678" s="34"/>
      <c r="AJ678" s="34"/>
      <c r="AK678" s="34"/>
      <c r="AL678" s="34"/>
      <c r="AM678" s="34"/>
      <c r="AN678" s="34"/>
      <c r="AO678" s="34"/>
      <c r="AP678" s="34"/>
      <c r="AQ678" s="34"/>
      <c r="AR678" s="34"/>
      <c r="AS678" s="34"/>
      <c r="AT678" s="34"/>
      <c r="AU678" s="34"/>
      <c r="AV678" s="34"/>
      <c r="AW678" s="34"/>
      <c r="AX678" s="34"/>
      <c r="AY678" s="34"/>
      <c r="AZ678" s="34"/>
      <c r="BA678" s="34"/>
      <c r="BB678" s="34"/>
      <c r="BD678" s="34"/>
      <c r="BE678" s="34"/>
      <c r="BF678" s="34"/>
      <c r="BG678" s="34"/>
      <c r="BH678" s="34"/>
      <c r="BI678" s="34"/>
      <c r="BJ678" s="34"/>
      <c r="BK678" s="34"/>
      <c r="BL678" s="34"/>
      <c r="BM678" s="34"/>
      <c r="BN678" s="34"/>
      <c r="BO678" s="34"/>
      <c r="BP678" s="34"/>
      <c r="BQ678" s="34"/>
      <c r="BR678" s="34"/>
      <c r="BS678" s="34"/>
      <c r="BT678" s="34"/>
      <c r="BU678" s="34"/>
      <c r="BV678" s="34"/>
      <c r="BW678" s="34"/>
      <c r="BX678" s="34"/>
      <c r="BY678" s="34"/>
    </row>
    <row r="679" spans="1:77" x14ac:dyDescent="0.3">
      <c r="A679" s="39"/>
      <c r="B679" s="42"/>
      <c r="C679" s="42"/>
      <c r="D679" s="75"/>
      <c r="E679" s="75"/>
      <c r="F679" s="76"/>
      <c r="G679" s="47"/>
      <c r="H679" s="47"/>
      <c r="I679" s="75"/>
      <c r="J679" s="76"/>
      <c r="K679" s="76"/>
      <c r="L679" s="75"/>
      <c r="M679" s="49"/>
      <c r="N679" s="76"/>
      <c r="O679" s="49"/>
      <c r="P679" s="77"/>
      <c r="Q679" s="53"/>
      <c r="R679" s="54"/>
      <c r="S679" s="55"/>
      <c r="T679" s="56"/>
      <c r="U679" s="56"/>
      <c r="V679" s="42"/>
      <c r="W679" s="57"/>
      <c r="X679" s="58"/>
      <c r="Y679" s="75"/>
      <c r="Z679" s="59"/>
      <c r="AA679" s="61"/>
      <c r="AB679" s="61"/>
      <c r="AC679" s="61"/>
      <c r="AD679" s="62"/>
      <c r="AE679" s="62"/>
      <c r="AF679" s="34"/>
      <c r="AG679" s="34"/>
      <c r="AH679" s="34"/>
      <c r="AI679" s="34"/>
      <c r="AJ679" s="34"/>
      <c r="AK679" s="34"/>
      <c r="AL679" s="34"/>
      <c r="AM679" s="34"/>
      <c r="AN679" s="34"/>
      <c r="AO679" s="34"/>
      <c r="AP679" s="34"/>
      <c r="AQ679" s="34"/>
      <c r="AR679" s="34"/>
      <c r="AS679" s="34"/>
      <c r="AT679" s="34"/>
      <c r="AU679" s="34"/>
      <c r="AV679" s="34"/>
      <c r="AW679" s="34"/>
      <c r="AX679" s="34"/>
      <c r="AY679" s="34"/>
      <c r="AZ679" s="34"/>
      <c r="BA679" s="34"/>
      <c r="BB679" s="34"/>
      <c r="BD679" s="34"/>
      <c r="BE679" s="34"/>
      <c r="BF679" s="34"/>
      <c r="BG679" s="34"/>
      <c r="BH679" s="34"/>
      <c r="BI679" s="34"/>
      <c r="BJ679" s="34"/>
      <c r="BK679" s="34"/>
      <c r="BL679" s="34"/>
      <c r="BM679" s="34"/>
      <c r="BN679" s="34"/>
      <c r="BO679" s="34"/>
      <c r="BP679" s="34"/>
      <c r="BQ679" s="34"/>
      <c r="BR679" s="34"/>
      <c r="BS679" s="34"/>
      <c r="BT679" s="34"/>
      <c r="BU679" s="34"/>
      <c r="BV679" s="34"/>
      <c r="BW679" s="34"/>
      <c r="BX679" s="34"/>
      <c r="BY679" s="34"/>
    </row>
    <row r="680" spans="1:77" x14ac:dyDescent="0.3">
      <c r="A680" s="39"/>
      <c r="B680" s="42"/>
      <c r="C680" s="42"/>
      <c r="D680" s="75"/>
      <c r="E680" s="75"/>
      <c r="F680" s="76"/>
      <c r="G680" s="47"/>
      <c r="H680" s="47"/>
      <c r="I680" s="75"/>
      <c r="J680" s="76"/>
      <c r="K680" s="76"/>
      <c r="L680" s="75"/>
      <c r="M680" s="49"/>
      <c r="N680" s="76"/>
      <c r="O680" s="49"/>
      <c r="P680" s="77"/>
      <c r="Q680" s="53"/>
      <c r="R680" s="54"/>
      <c r="S680" s="55"/>
      <c r="T680" s="56"/>
      <c r="U680" s="56"/>
      <c r="V680" s="42"/>
      <c r="W680" s="57"/>
      <c r="X680" s="58"/>
      <c r="Y680" s="75"/>
      <c r="Z680" s="59"/>
      <c r="AA680" s="61"/>
      <c r="AB680" s="61"/>
      <c r="AC680" s="61"/>
      <c r="AD680" s="62"/>
      <c r="AE680" s="62"/>
      <c r="AF680" s="34"/>
      <c r="AG680" s="34"/>
      <c r="AH680" s="34"/>
      <c r="AI680" s="34"/>
      <c r="AJ680" s="34"/>
      <c r="AK680" s="34"/>
      <c r="AL680" s="34"/>
      <c r="AM680" s="34"/>
      <c r="AN680" s="34"/>
      <c r="AO680" s="34"/>
      <c r="AP680" s="34"/>
      <c r="AQ680" s="34"/>
      <c r="AR680" s="34"/>
      <c r="AS680" s="34"/>
      <c r="AT680" s="34"/>
      <c r="AU680" s="34"/>
      <c r="AV680" s="34"/>
      <c r="AW680" s="34"/>
      <c r="AX680" s="34"/>
      <c r="AY680" s="34"/>
      <c r="AZ680" s="34"/>
      <c r="BA680" s="34"/>
      <c r="BB680" s="34"/>
      <c r="BD680" s="34"/>
      <c r="BE680" s="34"/>
      <c r="BF680" s="34"/>
      <c r="BG680" s="34"/>
      <c r="BH680" s="34"/>
      <c r="BI680" s="34"/>
      <c r="BJ680" s="34"/>
      <c r="BK680" s="34"/>
      <c r="BL680" s="34"/>
      <c r="BM680" s="34"/>
      <c r="BN680" s="34"/>
      <c r="BO680" s="34"/>
      <c r="BP680" s="34"/>
      <c r="BQ680" s="34"/>
      <c r="BR680" s="34"/>
      <c r="BS680" s="34"/>
      <c r="BT680" s="34"/>
      <c r="BU680" s="34"/>
      <c r="BV680" s="34"/>
      <c r="BW680" s="34"/>
      <c r="BX680" s="34"/>
      <c r="BY680" s="34"/>
    </row>
    <row r="681" spans="1:77" x14ac:dyDescent="0.3">
      <c r="A681" s="39"/>
      <c r="B681" s="42"/>
      <c r="C681" s="42"/>
      <c r="D681" s="75"/>
      <c r="E681" s="75"/>
      <c r="F681" s="76"/>
      <c r="G681" s="47"/>
      <c r="H681" s="47"/>
      <c r="I681" s="75"/>
      <c r="J681" s="76"/>
      <c r="K681" s="76"/>
      <c r="L681" s="75"/>
      <c r="M681" s="49"/>
      <c r="N681" s="76"/>
      <c r="O681" s="49"/>
      <c r="P681" s="77"/>
      <c r="Q681" s="53"/>
      <c r="R681" s="54"/>
      <c r="S681" s="55"/>
      <c r="T681" s="56"/>
      <c r="U681" s="56"/>
      <c r="V681" s="42"/>
      <c r="W681" s="57"/>
      <c r="X681" s="58"/>
      <c r="Y681" s="75"/>
      <c r="Z681" s="59"/>
      <c r="AA681" s="61"/>
      <c r="AB681" s="61"/>
      <c r="AC681" s="61"/>
      <c r="AD681" s="62"/>
      <c r="AE681" s="62"/>
      <c r="AF681" s="34"/>
      <c r="AG681" s="34"/>
      <c r="AH681" s="34"/>
      <c r="AI681" s="34"/>
      <c r="AJ681" s="34"/>
      <c r="AK681" s="34"/>
      <c r="AL681" s="34"/>
      <c r="AM681" s="34"/>
      <c r="AN681" s="34"/>
      <c r="AO681" s="34"/>
      <c r="AP681" s="34"/>
      <c r="AQ681" s="34"/>
      <c r="AR681" s="34"/>
      <c r="AS681" s="34"/>
      <c r="AT681" s="34"/>
      <c r="AU681" s="34"/>
      <c r="AV681" s="34"/>
      <c r="AW681" s="34"/>
      <c r="AX681" s="34"/>
      <c r="AY681" s="34"/>
      <c r="AZ681" s="34"/>
      <c r="BA681" s="34"/>
      <c r="BB681" s="34"/>
      <c r="BD681" s="34"/>
      <c r="BE681" s="34"/>
      <c r="BF681" s="34"/>
      <c r="BG681" s="34"/>
      <c r="BH681" s="34"/>
      <c r="BI681" s="34"/>
      <c r="BJ681" s="34"/>
      <c r="BK681" s="34"/>
      <c r="BL681" s="34"/>
      <c r="BM681" s="34"/>
      <c r="BN681" s="34"/>
      <c r="BO681" s="34"/>
      <c r="BP681" s="34"/>
      <c r="BQ681" s="34"/>
      <c r="BR681" s="34"/>
      <c r="BS681" s="34"/>
      <c r="BT681" s="34"/>
      <c r="BU681" s="34"/>
      <c r="BV681" s="34"/>
      <c r="BW681" s="34"/>
      <c r="BX681" s="34"/>
      <c r="BY681" s="34"/>
    </row>
    <row r="682" spans="1:77" x14ac:dyDescent="0.3">
      <c r="A682" s="39"/>
      <c r="B682" s="42"/>
      <c r="C682" s="42"/>
      <c r="D682" s="75"/>
      <c r="E682" s="75"/>
      <c r="F682" s="76"/>
      <c r="G682" s="47"/>
      <c r="H682" s="47"/>
      <c r="I682" s="75"/>
      <c r="J682" s="76"/>
      <c r="K682" s="76"/>
      <c r="L682" s="75"/>
      <c r="M682" s="49"/>
      <c r="N682" s="76"/>
      <c r="O682" s="49"/>
      <c r="P682" s="77"/>
      <c r="Q682" s="53"/>
      <c r="R682" s="54"/>
      <c r="S682" s="55"/>
      <c r="T682" s="56"/>
      <c r="U682" s="56"/>
      <c r="V682" s="42"/>
      <c r="W682" s="57"/>
      <c r="X682" s="58"/>
      <c r="Y682" s="75"/>
      <c r="Z682" s="59"/>
      <c r="AA682" s="61"/>
      <c r="AB682" s="61"/>
      <c r="AC682" s="61"/>
      <c r="AD682" s="62"/>
      <c r="AE682" s="62"/>
      <c r="AF682" s="34"/>
      <c r="AG682" s="34"/>
      <c r="AH682" s="34"/>
      <c r="AI682" s="34"/>
      <c r="AJ682" s="34"/>
      <c r="AK682" s="34"/>
      <c r="AL682" s="34"/>
      <c r="AM682" s="34"/>
      <c r="AN682" s="34"/>
      <c r="AO682" s="34"/>
      <c r="AP682" s="34"/>
      <c r="AQ682" s="34"/>
      <c r="AR682" s="34"/>
      <c r="AS682" s="34"/>
      <c r="AT682" s="34"/>
      <c r="AU682" s="34"/>
      <c r="AV682" s="34"/>
      <c r="AW682" s="34"/>
      <c r="AX682" s="34"/>
      <c r="AY682" s="34"/>
      <c r="AZ682" s="34"/>
      <c r="BA682" s="34"/>
      <c r="BB682" s="34"/>
      <c r="BD682" s="34"/>
      <c r="BE682" s="34"/>
      <c r="BF682" s="34"/>
      <c r="BG682" s="34"/>
      <c r="BH682" s="34"/>
      <c r="BI682" s="34"/>
      <c r="BJ682" s="34"/>
      <c r="BK682" s="34"/>
      <c r="BL682" s="34"/>
      <c r="BM682" s="34"/>
      <c r="BN682" s="34"/>
      <c r="BO682" s="34"/>
      <c r="BP682" s="34"/>
      <c r="BQ682" s="34"/>
      <c r="BR682" s="34"/>
      <c r="BS682" s="34"/>
      <c r="BT682" s="34"/>
      <c r="BU682" s="34"/>
      <c r="BV682" s="34"/>
      <c r="BW682" s="34"/>
      <c r="BX682" s="34"/>
      <c r="BY682" s="34"/>
    </row>
    <row r="683" spans="1:77" x14ac:dyDescent="0.3">
      <c r="A683" s="39"/>
      <c r="B683" s="42"/>
      <c r="C683" s="42"/>
      <c r="D683" s="75"/>
      <c r="E683" s="75"/>
      <c r="F683" s="76"/>
      <c r="G683" s="47"/>
      <c r="H683" s="47"/>
      <c r="I683" s="75"/>
      <c r="J683" s="76"/>
      <c r="K683" s="76"/>
      <c r="L683" s="75"/>
      <c r="M683" s="49"/>
      <c r="N683" s="76"/>
      <c r="O683" s="49"/>
      <c r="P683" s="77"/>
      <c r="Q683" s="53"/>
      <c r="R683" s="54"/>
      <c r="S683" s="55"/>
      <c r="T683" s="56"/>
      <c r="U683" s="56"/>
      <c r="V683" s="42"/>
      <c r="W683" s="57"/>
      <c r="X683" s="58"/>
      <c r="Y683" s="75"/>
      <c r="Z683" s="59"/>
      <c r="AA683" s="61"/>
      <c r="AB683" s="61"/>
      <c r="AC683" s="61"/>
      <c r="AD683" s="62"/>
      <c r="AE683" s="62"/>
      <c r="AF683" s="34"/>
      <c r="AG683" s="34"/>
      <c r="AH683" s="34"/>
      <c r="AI683" s="34"/>
      <c r="AJ683" s="34"/>
      <c r="AK683" s="34"/>
      <c r="AL683" s="34"/>
      <c r="AM683" s="34"/>
      <c r="AN683" s="34"/>
      <c r="AO683" s="34"/>
      <c r="AP683" s="34"/>
      <c r="AQ683" s="34"/>
      <c r="AR683" s="34"/>
      <c r="AS683" s="34"/>
      <c r="AT683" s="34"/>
      <c r="AU683" s="34"/>
      <c r="AV683" s="34"/>
      <c r="AW683" s="34"/>
      <c r="AX683" s="34"/>
      <c r="AY683" s="34"/>
      <c r="AZ683" s="34"/>
      <c r="BA683" s="34"/>
      <c r="BB683" s="34"/>
      <c r="BD683" s="34"/>
      <c r="BE683" s="34"/>
      <c r="BF683" s="34"/>
      <c r="BG683" s="34"/>
      <c r="BH683" s="34"/>
      <c r="BI683" s="34"/>
      <c r="BJ683" s="34"/>
      <c r="BK683" s="34"/>
      <c r="BL683" s="34"/>
      <c r="BM683" s="34"/>
      <c r="BN683" s="34"/>
      <c r="BO683" s="34"/>
      <c r="BP683" s="34"/>
      <c r="BQ683" s="34"/>
      <c r="BR683" s="34"/>
      <c r="BS683" s="34"/>
      <c r="BT683" s="34"/>
      <c r="BU683" s="34"/>
      <c r="BV683" s="34"/>
      <c r="BW683" s="34"/>
      <c r="BX683" s="34"/>
      <c r="BY683" s="34"/>
    </row>
    <row r="684" spans="1:77" x14ac:dyDescent="0.3">
      <c r="A684" s="39"/>
      <c r="B684" s="42"/>
      <c r="C684" s="42"/>
      <c r="D684" s="75"/>
      <c r="E684" s="75"/>
      <c r="F684" s="76"/>
      <c r="G684" s="47"/>
      <c r="H684" s="47"/>
      <c r="I684" s="75"/>
      <c r="J684" s="76"/>
      <c r="K684" s="76"/>
      <c r="L684" s="75"/>
      <c r="M684" s="49"/>
      <c r="N684" s="76"/>
      <c r="O684" s="49"/>
      <c r="P684" s="77"/>
      <c r="Q684" s="53"/>
      <c r="R684" s="54"/>
      <c r="S684" s="55"/>
      <c r="T684" s="56"/>
      <c r="U684" s="56"/>
      <c r="V684" s="42"/>
      <c r="W684" s="57"/>
      <c r="X684" s="58"/>
      <c r="Y684" s="75"/>
      <c r="Z684" s="59"/>
      <c r="AA684" s="61"/>
      <c r="AB684" s="61"/>
      <c r="AC684" s="61"/>
      <c r="AD684" s="62"/>
      <c r="AE684" s="62"/>
      <c r="AF684" s="34"/>
      <c r="AG684" s="34"/>
      <c r="AH684" s="34"/>
      <c r="AI684" s="34"/>
      <c r="AJ684" s="34"/>
      <c r="AK684" s="34"/>
      <c r="AL684" s="34"/>
      <c r="AM684" s="34"/>
      <c r="AN684" s="34"/>
      <c r="AO684" s="34"/>
      <c r="AP684" s="34"/>
      <c r="AQ684" s="34"/>
      <c r="AR684" s="34"/>
      <c r="AS684" s="34"/>
      <c r="AT684" s="34"/>
      <c r="AU684" s="34"/>
      <c r="AV684" s="34"/>
      <c r="AW684" s="34"/>
      <c r="AX684" s="34"/>
      <c r="AY684" s="34"/>
      <c r="AZ684" s="34"/>
      <c r="BA684" s="34"/>
      <c r="BB684" s="34"/>
      <c r="BD684" s="34"/>
      <c r="BE684" s="34"/>
      <c r="BF684" s="34"/>
      <c r="BG684" s="34"/>
      <c r="BH684" s="34"/>
      <c r="BI684" s="34"/>
      <c r="BJ684" s="34"/>
      <c r="BK684" s="34"/>
      <c r="BL684" s="34"/>
      <c r="BM684" s="34"/>
      <c r="BN684" s="34"/>
      <c r="BO684" s="34"/>
      <c r="BP684" s="34"/>
      <c r="BQ684" s="34"/>
      <c r="BR684" s="34"/>
      <c r="BS684" s="34"/>
      <c r="BT684" s="34"/>
      <c r="BU684" s="34"/>
      <c r="BV684" s="34"/>
      <c r="BW684" s="34"/>
      <c r="BX684" s="34"/>
      <c r="BY684" s="34"/>
    </row>
    <row r="685" spans="1:77" x14ac:dyDescent="0.3">
      <c r="A685" s="39"/>
      <c r="B685" s="42"/>
      <c r="C685" s="42"/>
      <c r="D685" s="75"/>
      <c r="E685" s="75"/>
      <c r="F685" s="76"/>
      <c r="G685" s="47"/>
      <c r="H685" s="47"/>
      <c r="I685" s="75"/>
      <c r="J685" s="76"/>
      <c r="K685" s="76"/>
      <c r="L685" s="75"/>
      <c r="M685" s="49"/>
      <c r="N685" s="76"/>
      <c r="O685" s="49"/>
      <c r="P685" s="77"/>
      <c r="Q685" s="53"/>
      <c r="R685" s="54"/>
      <c r="S685" s="55"/>
      <c r="T685" s="56"/>
      <c r="U685" s="56"/>
      <c r="V685" s="42"/>
      <c r="W685" s="57"/>
      <c r="X685" s="58"/>
      <c r="Y685" s="75"/>
      <c r="Z685" s="59"/>
      <c r="AA685" s="61"/>
      <c r="AB685" s="61"/>
      <c r="AC685" s="61"/>
      <c r="AD685" s="62"/>
      <c r="AE685" s="62"/>
      <c r="AF685" s="34"/>
      <c r="AG685" s="34"/>
      <c r="AH685" s="34"/>
      <c r="AI685" s="34"/>
      <c r="AJ685" s="34"/>
      <c r="AK685" s="34"/>
      <c r="AL685" s="34"/>
      <c r="AM685" s="34"/>
      <c r="AN685" s="34"/>
      <c r="AO685" s="34"/>
      <c r="AP685" s="34"/>
      <c r="AQ685" s="34"/>
      <c r="AR685" s="34"/>
      <c r="AS685" s="34"/>
      <c r="AT685" s="34"/>
      <c r="AU685" s="34"/>
      <c r="AV685" s="34"/>
      <c r="AW685" s="34"/>
      <c r="AX685" s="34"/>
      <c r="AY685" s="34"/>
      <c r="AZ685" s="34"/>
      <c r="BA685" s="34"/>
      <c r="BB685" s="34"/>
      <c r="BD685" s="34"/>
      <c r="BE685" s="34"/>
      <c r="BF685" s="34"/>
      <c r="BG685" s="34"/>
      <c r="BH685" s="34"/>
      <c r="BI685" s="34"/>
      <c r="BJ685" s="34"/>
      <c r="BK685" s="34"/>
      <c r="BL685" s="34"/>
      <c r="BM685" s="34"/>
      <c r="BN685" s="34"/>
      <c r="BO685" s="34"/>
      <c r="BP685" s="34"/>
      <c r="BQ685" s="34"/>
      <c r="BR685" s="34"/>
      <c r="BS685" s="34"/>
      <c r="BT685" s="34"/>
      <c r="BU685" s="34"/>
      <c r="BV685" s="34"/>
      <c r="BW685" s="34"/>
      <c r="BX685" s="34"/>
      <c r="BY685" s="34"/>
    </row>
    <row r="686" spans="1:77" x14ac:dyDescent="0.3">
      <c r="A686" s="39"/>
      <c r="B686" s="42"/>
      <c r="C686" s="42"/>
      <c r="D686" s="75"/>
      <c r="E686" s="75"/>
      <c r="F686" s="76"/>
      <c r="G686" s="47"/>
      <c r="H686" s="47"/>
      <c r="I686" s="75"/>
      <c r="J686" s="76"/>
      <c r="K686" s="76"/>
      <c r="L686" s="75"/>
      <c r="M686" s="49"/>
      <c r="N686" s="76"/>
      <c r="O686" s="49"/>
      <c r="P686" s="77"/>
      <c r="Q686" s="53"/>
      <c r="R686" s="54"/>
      <c r="S686" s="55"/>
      <c r="T686" s="56"/>
      <c r="U686" s="56"/>
      <c r="V686" s="42"/>
      <c r="W686" s="57"/>
      <c r="X686" s="58"/>
      <c r="Y686" s="75"/>
      <c r="Z686" s="59"/>
      <c r="AA686" s="61"/>
      <c r="AB686" s="61"/>
      <c r="AC686" s="61"/>
      <c r="AD686" s="62"/>
      <c r="AE686" s="62"/>
      <c r="AF686" s="34"/>
      <c r="AG686" s="34"/>
      <c r="AH686" s="34"/>
      <c r="AI686" s="34"/>
      <c r="AJ686" s="34"/>
      <c r="AK686" s="34"/>
      <c r="AL686" s="34"/>
      <c r="AM686" s="34"/>
      <c r="AN686" s="34"/>
      <c r="AO686" s="34"/>
      <c r="AP686" s="34"/>
      <c r="AQ686" s="34"/>
      <c r="AR686" s="34"/>
      <c r="AS686" s="34"/>
      <c r="AT686" s="34"/>
      <c r="AU686" s="34"/>
      <c r="AV686" s="34"/>
      <c r="AW686" s="34"/>
      <c r="AX686" s="34"/>
      <c r="AY686" s="34"/>
      <c r="AZ686" s="34"/>
      <c r="BA686" s="34"/>
      <c r="BB686" s="34"/>
      <c r="BD686" s="34"/>
      <c r="BE686" s="34"/>
      <c r="BF686" s="34"/>
      <c r="BG686" s="34"/>
      <c r="BH686" s="34"/>
      <c r="BI686" s="34"/>
      <c r="BJ686" s="34"/>
      <c r="BK686" s="34"/>
      <c r="BL686" s="34"/>
      <c r="BM686" s="34"/>
      <c r="BN686" s="34"/>
      <c r="BO686" s="34"/>
      <c r="BP686" s="34"/>
      <c r="BQ686" s="34"/>
      <c r="BR686" s="34"/>
      <c r="BS686" s="34"/>
      <c r="BT686" s="34"/>
      <c r="BU686" s="34"/>
      <c r="BV686" s="34"/>
      <c r="BW686" s="34"/>
      <c r="BX686" s="34"/>
      <c r="BY686" s="34"/>
    </row>
    <row r="687" spans="1:77" x14ac:dyDescent="0.3">
      <c r="A687" s="39"/>
      <c r="B687" s="42"/>
      <c r="C687" s="42"/>
      <c r="D687" s="75"/>
      <c r="E687" s="75"/>
      <c r="F687" s="76"/>
      <c r="G687" s="47"/>
      <c r="H687" s="47"/>
      <c r="I687" s="75"/>
      <c r="J687" s="76"/>
      <c r="K687" s="76"/>
      <c r="L687" s="75"/>
      <c r="M687" s="49"/>
      <c r="N687" s="76"/>
      <c r="O687" s="49"/>
      <c r="P687" s="77"/>
      <c r="Q687" s="53"/>
      <c r="R687" s="54"/>
      <c r="S687" s="55"/>
      <c r="T687" s="56"/>
      <c r="U687" s="56"/>
      <c r="V687" s="42"/>
      <c r="W687" s="57"/>
      <c r="X687" s="58"/>
      <c r="Y687" s="75"/>
      <c r="Z687" s="59"/>
      <c r="AA687" s="61"/>
      <c r="AB687" s="61"/>
      <c r="AC687" s="61"/>
      <c r="AD687" s="62"/>
      <c r="AE687" s="62"/>
      <c r="AF687" s="34"/>
      <c r="AG687" s="34"/>
      <c r="AH687" s="34"/>
      <c r="AI687" s="34"/>
      <c r="AJ687" s="34"/>
      <c r="AK687" s="34"/>
      <c r="AL687" s="34"/>
      <c r="AM687" s="34"/>
      <c r="AN687" s="34"/>
      <c r="AO687" s="34"/>
      <c r="AP687" s="34"/>
      <c r="AQ687" s="34"/>
      <c r="AR687" s="34"/>
      <c r="AS687" s="34"/>
      <c r="AT687" s="34"/>
      <c r="AU687" s="34"/>
      <c r="AV687" s="34"/>
      <c r="AW687" s="34"/>
      <c r="AX687" s="34"/>
      <c r="AY687" s="34"/>
      <c r="AZ687" s="34"/>
      <c r="BA687" s="34"/>
      <c r="BB687" s="34"/>
      <c r="BD687" s="34"/>
      <c r="BE687" s="34"/>
      <c r="BF687" s="34"/>
      <c r="BG687" s="34"/>
      <c r="BH687" s="34"/>
      <c r="BI687" s="34"/>
      <c r="BJ687" s="34"/>
      <c r="BK687" s="34"/>
      <c r="BL687" s="34"/>
      <c r="BM687" s="34"/>
      <c r="BN687" s="34"/>
      <c r="BO687" s="34"/>
      <c r="BP687" s="34"/>
      <c r="BQ687" s="34"/>
      <c r="BR687" s="34"/>
      <c r="BS687" s="34"/>
      <c r="BT687" s="34"/>
      <c r="BU687" s="34"/>
      <c r="BV687" s="34"/>
      <c r="BW687" s="34"/>
      <c r="BX687" s="34"/>
      <c r="BY687" s="34"/>
    </row>
    <row r="688" spans="1:77" x14ac:dyDescent="0.3">
      <c r="A688" s="39"/>
      <c r="B688" s="42"/>
      <c r="C688" s="42"/>
      <c r="D688" s="75"/>
      <c r="E688" s="75"/>
      <c r="F688" s="76"/>
      <c r="G688" s="47"/>
      <c r="H688" s="47"/>
      <c r="I688" s="75"/>
      <c r="J688" s="76"/>
      <c r="K688" s="76"/>
      <c r="L688" s="75"/>
      <c r="M688" s="49"/>
      <c r="N688" s="76"/>
      <c r="O688" s="49"/>
      <c r="P688" s="77"/>
      <c r="Q688" s="53"/>
      <c r="R688" s="54"/>
      <c r="S688" s="55"/>
      <c r="T688" s="56"/>
      <c r="U688" s="56"/>
      <c r="V688" s="42"/>
      <c r="W688" s="57"/>
      <c r="X688" s="58"/>
      <c r="Y688" s="75"/>
      <c r="Z688" s="59"/>
      <c r="AA688" s="61"/>
      <c r="AB688" s="61"/>
      <c r="AC688" s="61"/>
      <c r="AD688" s="62"/>
      <c r="AE688" s="62"/>
      <c r="AF688" s="34"/>
      <c r="AG688" s="34"/>
      <c r="AH688" s="34"/>
      <c r="AI688" s="34"/>
      <c r="AJ688" s="34"/>
      <c r="AK688" s="34"/>
      <c r="AL688" s="34"/>
      <c r="AM688" s="34"/>
      <c r="AN688" s="34"/>
      <c r="AO688" s="34"/>
      <c r="AP688" s="34"/>
      <c r="AQ688" s="34"/>
      <c r="AR688" s="34"/>
      <c r="AS688" s="34"/>
      <c r="AT688" s="34"/>
      <c r="AU688" s="34"/>
      <c r="AV688" s="34"/>
      <c r="AW688" s="34"/>
      <c r="AX688" s="34"/>
      <c r="AY688" s="34"/>
      <c r="AZ688" s="34"/>
      <c r="BA688" s="34"/>
      <c r="BB688" s="34"/>
      <c r="BD688" s="34"/>
      <c r="BE688" s="34"/>
      <c r="BF688" s="34"/>
      <c r="BG688" s="34"/>
      <c r="BH688" s="34"/>
      <c r="BI688" s="34"/>
      <c r="BJ688" s="34"/>
      <c r="BK688" s="34"/>
      <c r="BL688" s="34"/>
      <c r="BM688" s="34"/>
      <c r="BN688" s="34"/>
      <c r="BO688" s="34"/>
      <c r="BP688" s="34"/>
      <c r="BQ688" s="34"/>
      <c r="BR688" s="34"/>
      <c r="BS688" s="34"/>
      <c r="BT688" s="34"/>
      <c r="BU688" s="34"/>
      <c r="BV688" s="34"/>
      <c r="BW688" s="34"/>
      <c r="BX688" s="34"/>
      <c r="BY688" s="34"/>
    </row>
    <row r="689" spans="1:77" x14ac:dyDescent="0.3">
      <c r="A689" s="39"/>
      <c r="B689" s="42"/>
      <c r="C689" s="42"/>
      <c r="D689" s="75"/>
      <c r="E689" s="75"/>
      <c r="F689" s="76"/>
      <c r="G689" s="47"/>
      <c r="H689" s="47"/>
      <c r="I689" s="75"/>
      <c r="J689" s="76"/>
      <c r="K689" s="76"/>
      <c r="L689" s="75"/>
      <c r="M689" s="49"/>
      <c r="N689" s="76"/>
      <c r="O689" s="49"/>
      <c r="P689" s="77"/>
      <c r="Q689" s="53"/>
      <c r="R689" s="54"/>
      <c r="S689" s="55"/>
      <c r="T689" s="56"/>
      <c r="U689" s="56"/>
      <c r="V689" s="42"/>
      <c r="W689" s="57"/>
      <c r="X689" s="58"/>
      <c r="Y689" s="75"/>
      <c r="Z689" s="59"/>
      <c r="AA689" s="61"/>
      <c r="AB689" s="61"/>
      <c r="AC689" s="61"/>
      <c r="AD689" s="62"/>
      <c r="AE689" s="62"/>
      <c r="AF689" s="34"/>
      <c r="AG689" s="34"/>
      <c r="AH689" s="34"/>
      <c r="AI689" s="34"/>
      <c r="AJ689" s="34"/>
      <c r="AK689" s="34"/>
      <c r="AL689" s="34"/>
      <c r="AM689" s="34"/>
      <c r="AN689" s="34"/>
      <c r="AO689" s="34"/>
      <c r="AP689" s="34"/>
      <c r="AQ689" s="34"/>
      <c r="AR689" s="34"/>
      <c r="AS689" s="34"/>
      <c r="AT689" s="34"/>
      <c r="AU689" s="34"/>
      <c r="AV689" s="34"/>
      <c r="AW689" s="34"/>
      <c r="AX689" s="34"/>
      <c r="AY689" s="34"/>
      <c r="AZ689" s="34"/>
      <c r="BA689" s="34"/>
      <c r="BB689" s="34"/>
      <c r="BD689" s="34"/>
      <c r="BE689" s="34"/>
      <c r="BF689" s="34"/>
      <c r="BG689" s="34"/>
      <c r="BH689" s="34"/>
      <c r="BI689" s="34"/>
      <c r="BJ689" s="34"/>
      <c r="BK689" s="34"/>
      <c r="BL689" s="34"/>
      <c r="BM689" s="34"/>
      <c r="BN689" s="34"/>
      <c r="BO689" s="34"/>
      <c r="BP689" s="34"/>
      <c r="BQ689" s="34"/>
      <c r="BR689" s="34"/>
      <c r="BS689" s="34"/>
      <c r="BT689" s="34"/>
      <c r="BU689" s="34"/>
      <c r="BV689" s="34"/>
      <c r="BW689" s="34"/>
      <c r="BX689" s="34"/>
      <c r="BY689" s="34"/>
    </row>
    <row r="690" spans="1:77" x14ac:dyDescent="0.3">
      <c r="A690" s="39"/>
      <c r="B690" s="42"/>
      <c r="C690" s="42"/>
      <c r="D690" s="75"/>
      <c r="E690" s="75"/>
      <c r="F690" s="76"/>
      <c r="G690" s="47"/>
      <c r="H690" s="47"/>
      <c r="I690" s="75"/>
      <c r="J690" s="76"/>
      <c r="K690" s="76"/>
      <c r="L690" s="75"/>
      <c r="M690" s="49"/>
      <c r="N690" s="76"/>
      <c r="O690" s="49"/>
      <c r="P690" s="77"/>
      <c r="Q690" s="53"/>
      <c r="R690" s="54"/>
      <c r="S690" s="55"/>
      <c r="T690" s="56"/>
      <c r="U690" s="56"/>
      <c r="V690" s="42"/>
      <c r="W690" s="57"/>
      <c r="X690" s="58"/>
      <c r="Y690" s="75"/>
      <c r="Z690" s="59"/>
      <c r="AA690" s="61"/>
      <c r="AB690" s="61"/>
      <c r="AC690" s="61"/>
      <c r="AD690" s="62"/>
      <c r="AE690" s="62"/>
      <c r="AF690" s="34"/>
      <c r="AG690" s="34"/>
      <c r="AH690" s="34"/>
      <c r="AI690" s="34"/>
      <c r="AJ690" s="34"/>
      <c r="AK690" s="34"/>
      <c r="AL690" s="34"/>
      <c r="AM690" s="34"/>
      <c r="AN690" s="34"/>
      <c r="AO690" s="34"/>
      <c r="AP690" s="34"/>
      <c r="AQ690" s="34"/>
      <c r="AR690" s="34"/>
      <c r="AS690" s="34"/>
      <c r="AT690" s="34"/>
      <c r="AU690" s="34"/>
      <c r="AV690" s="34"/>
      <c r="AW690" s="34"/>
      <c r="AX690" s="34"/>
      <c r="AY690" s="34"/>
      <c r="AZ690" s="34"/>
      <c r="BA690" s="34"/>
      <c r="BB690" s="34"/>
      <c r="BD690" s="34"/>
      <c r="BE690" s="34"/>
      <c r="BF690" s="34"/>
      <c r="BG690" s="34"/>
      <c r="BH690" s="34"/>
      <c r="BI690" s="34"/>
      <c r="BJ690" s="34"/>
      <c r="BK690" s="34"/>
      <c r="BL690" s="34"/>
      <c r="BM690" s="34"/>
      <c r="BN690" s="34"/>
      <c r="BO690" s="34"/>
      <c r="BP690" s="34"/>
      <c r="BQ690" s="34"/>
      <c r="BR690" s="34"/>
      <c r="BS690" s="34"/>
      <c r="BT690" s="34"/>
      <c r="BU690" s="34"/>
      <c r="BV690" s="34"/>
      <c r="BW690" s="34"/>
      <c r="BX690" s="34"/>
      <c r="BY690" s="34"/>
    </row>
    <row r="691" spans="1:77" x14ac:dyDescent="0.3">
      <c r="A691" s="39"/>
      <c r="B691" s="42"/>
      <c r="C691" s="42"/>
      <c r="D691" s="75"/>
      <c r="E691" s="75"/>
      <c r="F691" s="76"/>
      <c r="G691" s="47"/>
      <c r="H691" s="47"/>
      <c r="I691" s="75"/>
      <c r="J691" s="76"/>
      <c r="K691" s="76"/>
      <c r="L691" s="75"/>
      <c r="M691" s="49"/>
      <c r="N691" s="76"/>
      <c r="O691" s="49"/>
      <c r="P691" s="77"/>
      <c r="Q691" s="53"/>
      <c r="R691" s="54"/>
      <c r="S691" s="55"/>
      <c r="T691" s="56"/>
      <c r="U691" s="56"/>
      <c r="V691" s="42"/>
      <c r="W691" s="57"/>
      <c r="X691" s="58"/>
      <c r="Y691" s="75"/>
      <c r="Z691" s="59"/>
      <c r="AA691" s="61"/>
      <c r="AB691" s="61"/>
      <c r="AC691" s="61"/>
      <c r="AD691" s="62"/>
      <c r="AE691" s="62"/>
      <c r="AF691" s="34"/>
      <c r="AG691" s="34"/>
      <c r="AH691" s="34"/>
      <c r="AI691" s="34"/>
      <c r="AJ691" s="34"/>
      <c r="AK691" s="34"/>
      <c r="AL691" s="34"/>
      <c r="AM691" s="34"/>
      <c r="AN691" s="34"/>
      <c r="AO691" s="34"/>
      <c r="AP691" s="34"/>
      <c r="AQ691" s="34"/>
      <c r="AR691" s="34"/>
      <c r="AS691" s="34"/>
      <c r="AT691" s="34"/>
      <c r="AU691" s="34"/>
      <c r="AV691" s="34"/>
      <c r="AW691" s="34"/>
      <c r="AX691" s="34"/>
      <c r="AY691" s="34"/>
      <c r="AZ691" s="34"/>
      <c r="BA691" s="34"/>
      <c r="BB691" s="34"/>
      <c r="BD691" s="34"/>
      <c r="BE691" s="34"/>
      <c r="BF691" s="34"/>
      <c r="BG691" s="34"/>
      <c r="BH691" s="34"/>
      <c r="BI691" s="34"/>
      <c r="BJ691" s="34"/>
      <c r="BK691" s="34"/>
      <c r="BL691" s="34"/>
      <c r="BM691" s="34"/>
      <c r="BN691" s="34"/>
      <c r="BO691" s="34"/>
      <c r="BP691" s="34"/>
      <c r="BQ691" s="34"/>
      <c r="BR691" s="34"/>
      <c r="BS691" s="34"/>
      <c r="BT691" s="34"/>
      <c r="BU691" s="34"/>
      <c r="BV691" s="34"/>
      <c r="BW691" s="34"/>
      <c r="BX691" s="34"/>
      <c r="BY691" s="34"/>
    </row>
    <row r="692" spans="1:77" x14ac:dyDescent="0.3">
      <c r="A692" s="39"/>
      <c r="B692" s="42"/>
      <c r="C692" s="42"/>
      <c r="D692" s="75"/>
      <c r="E692" s="75"/>
      <c r="F692" s="76"/>
      <c r="G692" s="47"/>
      <c r="H692" s="47"/>
      <c r="I692" s="75"/>
      <c r="J692" s="76"/>
      <c r="K692" s="76"/>
      <c r="L692" s="75"/>
      <c r="M692" s="49"/>
      <c r="N692" s="76"/>
      <c r="O692" s="49"/>
      <c r="P692" s="77"/>
      <c r="Q692" s="53"/>
      <c r="R692" s="54"/>
      <c r="S692" s="55"/>
      <c r="T692" s="56"/>
      <c r="U692" s="56"/>
      <c r="V692" s="42"/>
      <c r="W692" s="57"/>
      <c r="X692" s="58"/>
      <c r="Y692" s="75"/>
      <c r="Z692" s="59"/>
      <c r="AA692" s="61"/>
      <c r="AB692" s="61"/>
      <c r="AC692" s="61"/>
      <c r="AD692" s="62"/>
      <c r="AE692" s="62"/>
      <c r="AF692" s="34"/>
      <c r="AG692" s="34"/>
      <c r="AH692" s="34"/>
      <c r="AI692" s="34"/>
      <c r="AJ692" s="34"/>
      <c r="AK692" s="34"/>
      <c r="AL692" s="34"/>
      <c r="AM692" s="34"/>
      <c r="AN692" s="34"/>
      <c r="AO692" s="34"/>
      <c r="AP692" s="34"/>
      <c r="AQ692" s="34"/>
      <c r="AR692" s="34"/>
      <c r="AS692" s="34"/>
      <c r="AT692" s="34"/>
      <c r="AU692" s="34"/>
      <c r="AV692" s="34"/>
      <c r="AW692" s="34"/>
      <c r="AX692" s="34"/>
      <c r="AY692" s="34"/>
      <c r="AZ692" s="34"/>
      <c r="BA692" s="34"/>
      <c r="BB692" s="34"/>
      <c r="BD692" s="34"/>
      <c r="BE692" s="34"/>
      <c r="BF692" s="34"/>
      <c r="BG692" s="34"/>
      <c r="BH692" s="34"/>
      <c r="BI692" s="34"/>
      <c r="BJ692" s="34"/>
      <c r="BK692" s="34"/>
      <c r="BL692" s="34"/>
      <c r="BM692" s="34"/>
      <c r="BN692" s="34"/>
      <c r="BO692" s="34"/>
      <c r="BP692" s="34"/>
      <c r="BQ692" s="34"/>
      <c r="BR692" s="34"/>
      <c r="BS692" s="34"/>
      <c r="BT692" s="34"/>
      <c r="BU692" s="34"/>
      <c r="BV692" s="34"/>
      <c r="BW692" s="34"/>
      <c r="BX692" s="34"/>
      <c r="BY692" s="34"/>
    </row>
    <row r="693" spans="1:77" x14ac:dyDescent="0.3">
      <c r="A693" s="39"/>
      <c r="B693" s="42"/>
      <c r="C693" s="42"/>
      <c r="D693" s="75"/>
      <c r="E693" s="75"/>
      <c r="F693" s="76"/>
      <c r="G693" s="47"/>
      <c r="H693" s="47"/>
      <c r="I693" s="75"/>
      <c r="J693" s="76"/>
      <c r="K693" s="76"/>
      <c r="L693" s="75"/>
      <c r="M693" s="49"/>
      <c r="N693" s="76"/>
      <c r="O693" s="49"/>
      <c r="P693" s="77"/>
      <c r="Q693" s="53"/>
      <c r="R693" s="54"/>
      <c r="S693" s="55"/>
      <c r="T693" s="56"/>
      <c r="U693" s="56"/>
      <c r="V693" s="42"/>
      <c r="W693" s="57"/>
      <c r="X693" s="58"/>
      <c r="Y693" s="75"/>
      <c r="Z693" s="59"/>
      <c r="AA693" s="61"/>
      <c r="AB693" s="61"/>
      <c r="AC693" s="61"/>
      <c r="AD693" s="62"/>
      <c r="AE693" s="62"/>
      <c r="AF693" s="34"/>
      <c r="AG693" s="34"/>
      <c r="AH693" s="34"/>
      <c r="AI693" s="34"/>
      <c r="AJ693" s="34"/>
      <c r="AK693" s="34"/>
      <c r="AL693" s="34"/>
      <c r="AM693" s="34"/>
      <c r="AN693" s="34"/>
      <c r="AO693" s="34"/>
      <c r="AP693" s="34"/>
      <c r="AQ693" s="34"/>
      <c r="AR693" s="34"/>
      <c r="AS693" s="34"/>
      <c r="AT693" s="34"/>
      <c r="AU693" s="34"/>
      <c r="AV693" s="34"/>
      <c r="AW693" s="34"/>
      <c r="AX693" s="34"/>
      <c r="AY693" s="34"/>
      <c r="AZ693" s="34"/>
      <c r="BA693" s="34"/>
      <c r="BB693" s="34"/>
      <c r="BD693" s="34"/>
      <c r="BE693" s="34"/>
      <c r="BF693" s="34"/>
      <c r="BG693" s="34"/>
      <c r="BH693" s="34"/>
      <c r="BI693" s="34"/>
      <c r="BJ693" s="34"/>
      <c r="BK693" s="34"/>
      <c r="BL693" s="34"/>
      <c r="BM693" s="34"/>
      <c r="BN693" s="34"/>
      <c r="BO693" s="34"/>
      <c r="BP693" s="34"/>
      <c r="BQ693" s="34"/>
      <c r="BR693" s="34"/>
      <c r="BS693" s="34"/>
      <c r="BT693" s="34"/>
      <c r="BU693" s="34"/>
      <c r="BV693" s="34"/>
      <c r="BW693" s="34"/>
      <c r="BX693" s="34"/>
      <c r="BY693" s="34"/>
    </row>
    <row r="694" spans="1:77" x14ac:dyDescent="0.3">
      <c r="A694" s="39"/>
      <c r="B694" s="42"/>
      <c r="C694" s="42"/>
      <c r="D694" s="75"/>
      <c r="E694" s="75"/>
      <c r="F694" s="76"/>
      <c r="G694" s="47"/>
      <c r="H694" s="47"/>
      <c r="I694" s="75"/>
      <c r="J694" s="76"/>
      <c r="K694" s="76"/>
      <c r="L694" s="75"/>
      <c r="M694" s="49"/>
      <c r="N694" s="76"/>
      <c r="O694" s="49"/>
      <c r="P694" s="77"/>
      <c r="Q694" s="53"/>
      <c r="R694" s="54"/>
      <c r="S694" s="55"/>
      <c r="T694" s="56"/>
      <c r="U694" s="56"/>
      <c r="V694" s="42"/>
      <c r="W694" s="57"/>
      <c r="X694" s="58"/>
      <c r="Y694" s="75"/>
      <c r="Z694" s="59"/>
      <c r="AA694" s="61"/>
      <c r="AB694" s="61"/>
      <c r="AC694" s="61"/>
      <c r="AD694" s="62"/>
      <c r="AE694" s="62"/>
      <c r="AF694" s="34"/>
      <c r="AG694" s="34"/>
      <c r="AH694" s="34"/>
      <c r="AI694" s="34"/>
      <c r="AJ694" s="34"/>
      <c r="AK694" s="34"/>
      <c r="AL694" s="34"/>
      <c r="AM694" s="34"/>
      <c r="AN694" s="34"/>
      <c r="AO694" s="34"/>
      <c r="AP694" s="34"/>
      <c r="AQ694" s="34"/>
      <c r="AR694" s="34"/>
      <c r="AS694" s="34"/>
      <c r="AT694" s="34"/>
      <c r="AU694" s="34"/>
      <c r="AV694" s="34"/>
      <c r="AW694" s="34"/>
      <c r="AX694" s="34"/>
      <c r="AY694" s="34"/>
      <c r="AZ694" s="34"/>
      <c r="BA694" s="34"/>
      <c r="BB694" s="34"/>
      <c r="BD694" s="34"/>
      <c r="BE694" s="34"/>
      <c r="BF694" s="34"/>
      <c r="BG694" s="34"/>
      <c r="BH694" s="34"/>
      <c r="BI694" s="34"/>
      <c r="BJ694" s="34"/>
      <c r="BK694" s="34"/>
      <c r="BL694" s="34"/>
      <c r="BM694" s="34"/>
      <c r="BN694" s="34"/>
      <c r="BO694" s="34"/>
      <c r="BP694" s="34"/>
      <c r="BQ694" s="34"/>
      <c r="BR694" s="34"/>
      <c r="BS694" s="34"/>
      <c r="BT694" s="34"/>
      <c r="BU694" s="34"/>
      <c r="BV694" s="34"/>
      <c r="BW694" s="34"/>
      <c r="BX694" s="34"/>
      <c r="BY694" s="34"/>
    </row>
    <row r="695" spans="1:77" x14ac:dyDescent="0.3">
      <c r="A695" s="39"/>
      <c r="B695" s="42"/>
      <c r="C695" s="42"/>
      <c r="D695" s="75"/>
      <c r="E695" s="75"/>
      <c r="F695" s="76"/>
      <c r="G695" s="47"/>
      <c r="H695" s="47"/>
      <c r="I695" s="75"/>
      <c r="J695" s="76"/>
      <c r="K695" s="76"/>
      <c r="L695" s="75"/>
      <c r="M695" s="49"/>
      <c r="N695" s="76"/>
      <c r="O695" s="49"/>
      <c r="P695" s="77"/>
      <c r="Q695" s="53"/>
      <c r="R695" s="54"/>
      <c r="S695" s="55"/>
      <c r="T695" s="56"/>
      <c r="U695" s="56"/>
      <c r="V695" s="42"/>
      <c r="W695" s="57"/>
      <c r="X695" s="58"/>
      <c r="Y695" s="75"/>
      <c r="Z695" s="59"/>
      <c r="AA695" s="61"/>
      <c r="AB695" s="61"/>
      <c r="AC695" s="61"/>
      <c r="AD695" s="62"/>
      <c r="AE695" s="62"/>
      <c r="AF695" s="34"/>
      <c r="AG695" s="34"/>
      <c r="AH695" s="34"/>
      <c r="AI695" s="34"/>
      <c r="AJ695" s="34"/>
      <c r="AK695" s="34"/>
      <c r="AL695" s="34"/>
      <c r="AM695" s="34"/>
      <c r="AN695" s="34"/>
      <c r="AO695" s="34"/>
      <c r="AP695" s="34"/>
      <c r="AQ695" s="34"/>
      <c r="AR695" s="34"/>
      <c r="AS695" s="34"/>
      <c r="AT695" s="34"/>
      <c r="AU695" s="34"/>
      <c r="AV695" s="34"/>
      <c r="AW695" s="34"/>
      <c r="AX695" s="34"/>
      <c r="AY695" s="34"/>
      <c r="AZ695" s="34"/>
      <c r="BA695" s="34"/>
      <c r="BB695" s="34"/>
      <c r="BD695" s="34"/>
      <c r="BE695" s="34"/>
      <c r="BF695" s="34"/>
      <c r="BG695" s="34"/>
      <c r="BH695" s="34"/>
      <c r="BI695" s="34"/>
      <c r="BJ695" s="34"/>
      <c r="BK695" s="34"/>
      <c r="BL695" s="34"/>
      <c r="BM695" s="34"/>
      <c r="BN695" s="34"/>
      <c r="BO695" s="34"/>
      <c r="BP695" s="34"/>
      <c r="BQ695" s="34"/>
      <c r="BR695" s="34"/>
      <c r="BS695" s="34"/>
      <c r="BT695" s="34"/>
      <c r="BU695" s="34"/>
      <c r="BV695" s="34"/>
      <c r="BW695" s="34"/>
      <c r="BX695" s="34"/>
      <c r="BY695" s="34"/>
    </row>
    <row r="696" spans="1:77" x14ac:dyDescent="0.3">
      <c r="A696" s="39"/>
      <c r="B696" s="42"/>
      <c r="C696" s="42"/>
      <c r="D696" s="75"/>
      <c r="E696" s="75"/>
      <c r="F696" s="76"/>
      <c r="G696" s="47"/>
      <c r="H696" s="47"/>
      <c r="I696" s="75"/>
      <c r="J696" s="76"/>
      <c r="K696" s="76"/>
      <c r="L696" s="75"/>
      <c r="M696" s="49"/>
      <c r="N696" s="76"/>
      <c r="O696" s="49"/>
      <c r="P696" s="77"/>
      <c r="Q696" s="53"/>
      <c r="R696" s="54"/>
      <c r="S696" s="55"/>
      <c r="T696" s="56"/>
      <c r="U696" s="56"/>
      <c r="V696" s="42"/>
      <c r="W696" s="57"/>
      <c r="X696" s="58"/>
      <c r="Y696" s="75"/>
      <c r="Z696" s="59"/>
      <c r="AA696" s="61"/>
      <c r="AB696" s="61"/>
      <c r="AC696" s="61"/>
      <c r="AD696" s="62"/>
      <c r="AE696" s="62"/>
      <c r="AF696" s="34"/>
      <c r="AG696" s="34"/>
      <c r="AH696" s="34"/>
      <c r="AI696" s="34"/>
      <c r="AJ696" s="34"/>
      <c r="AK696" s="34"/>
      <c r="AL696" s="34"/>
      <c r="AM696" s="34"/>
      <c r="AN696" s="34"/>
      <c r="AO696" s="34"/>
      <c r="AP696" s="34"/>
      <c r="AQ696" s="34"/>
      <c r="AR696" s="34"/>
      <c r="AS696" s="34"/>
      <c r="AT696" s="34"/>
      <c r="AU696" s="34"/>
      <c r="AV696" s="34"/>
      <c r="AW696" s="34"/>
      <c r="AX696" s="34"/>
      <c r="AY696" s="34"/>
      <c r="AZ696" s="34"/>
      <c r="BA696" s="34"/>
      <c r="BB696" s="34"/>
      <c r="BD696" s="34"/>
      <c r="BE696" s="34"/>
      <c r="BF696" s="34"/>
      <c r="BG696" s="34"/>
      <c r="BH696" s="34"/>
      <c r="BI696" s="34"/>
      <c r="BJ696" s="34"/>
      <c r="BK696" s="34"/>
      <c r="BL696" s="34"/>
      <c r="BM696" s="34"/>
      <c r="BN696" s="34"/>
      <c r="BO696" s="34"/>
      <c r="BP696" s="34"/>
      <c r="BQ696" s="34"/>
      <c r="BR696" s="34"/>
      <c r="BS696" s="34"/>
      <c r="BT696" s="34"/>
      <c r="BU696" s="34"/>
      <c r="BV696" s="34"/>
      <c r="BW696" s="34"/>
      <c r="BX696" s="34"/>
      <c r="BY696" s="34"/>
    </row>
    <row r="697" spans="1:77" x14ac:dyDescent="0.3">
      <c r="A697" s="39"/>
      <c r="B697" s="42"/>
      <c r="C697" s="42"/>
      <c r="D697" s="75"/>
      <c r="E697" s="75"/>
      <c r="F697" s="76"/>
      <c r="G697" s="47"/>
      <c r="H697" s="47"/>
      <c r="I697" s="75"/>
      <c r="J697" s="76"/>
      <c r="K697" s="76"/>
      <c r="L697" s="75"/>
      <c r="M697" s="49"/>
      <c r="N697" s="76"/>
      <c r="O697" s="49"/>
      <c r="P697" s="77"/>
      <c r="Q697" s="53"/>
      <c r="R697" s="54"/>
      <c r="S697" s="55"/>
      <c r="T697" s="56"/>
      <c r="U697" s="56"/>
      <c r="V697" s="42"/>
      <c r="W697" s="57"/>
      <c r="X697" s="58"/>
      <c r="Y697" s="75"/>
      <c r="Z697" s="59"/>
      <c r="AA697" s="61"/>
      <c r="AB697" s="61"/>
      <c r="AC697" s="61"/>
      <c r="AD697" s="62"/>
      <c r="AE697" s="62"/>
      <c r="AF697" s="34"/>
      <c r="AG697" s="34"/>
      <c r="AH697" s="34"/>
      <c r="AI697" s="34"/>
      <c r="AJ697" s="34"/>
      <c r="AK697" s="34"/>
      <c r="AL697" s="34"/>
      <c r="AM697" s="34"/>
      <c r="AN697" s="34"/>
      <c r="AO697" s="34"/>
      <c r="AP697" s="34"/>
      <c r="AQ697" s="34"/>
      <c r="AR697" s="34"/>
      <c r="AS697" s="34"/>
      <c r="AT697" s="34"/>
      <c r="AU697" s="34"/>
      <c r="AV697" s="34"/>
      <c r="AW697" s="34"/>
      <c r="AX697" s="34"/>
      <c r="AY697" s="34"/>
      <c r="AZ697" s="34"/>
      <c r="BA697" s="34"/>
      <c r="BB697" s="34"/>
      <c r="BD697" s="34"/>
      <c r="BE697" s="34"/>
      <c r="BF697" s="34"/>
      <c r="BG697" s="34"/>
      <c r="BH697" s="34"/>
      <c r="BI697" s="34"/>
      <c r="BJ697" s="34"/>
      <c r="BK697" s="34"/>
      <c r="BL697" s="34"/>
      <c r="BM697" s="34"/>
      <c r="BN697" s="34"/>
      <c r="BO697" s="34"/>
      <c r="BP697" s="34"/>
      <c r="BQ697" s="34"/>
      <c r="BR697" s="34"/>
      <c r="BS697" s="34"/>
      <c r="BT697" s="34"/>
      <c r="BU697" s="34"/>
      <c r="BV697" s="34"/>
      <c r="BW697" s="34"/>
      <c r="BX697" s="34"/>
      <c r="BY697" s="34"/>
    </row>
    <row r="698" spans="1:77" x14ac:dyDescent="0.3">
      <c r="A698" s="39"/>
      <c r="B698" s="42"/>
      <c r="C698" s="42"/>
      <c r="D698" s="75"/>
      <c r="E698" s="75"/>
      <c r="F698" s="76"/>
      <c r="G698" s="47"/>
      <c r="H698" s="47"/>
      <c r="I698" s="75"/>
      <c r="J698" s="76"/>
      <c r="K698" s="76"/>
      <c r="L698" s="75"/>
      <c r="M698" s="49"/>
      <c r="N698" s="76"/>
      <c r="O698" s="49"/>
      <c r="P698" s="77"/>
      <c r="Q698" s="53"/>
      <c r="R698" s="54"/>
      <c r="S698" s="55"/>
      <c r="T698" s="56"/>
      <c r="U698" s="56"/>
      <c r="V698" s="42"/>
      <c r="W698" s="57"/>
      <c r="X698" s="58"/>
      <c r="Y698" s="75"/>
      <c r="Z698" s="59"/>
      <c r="AA698" s="61"/>
      <c r="AB698" s="61"/>
      <c r="AC698" s="61"/>
      <c r="AD698" s="62"/>
      <c r="AE698" s="62"/>
      <c r="AF698" s="34"/>
      <c r="AG698" s="34"/>
      <c r="AH698" s="34"/>
      <c r="AI698" s="34"/>
      <c r="AJ698" s="34"/>
      <c r="AK698" s="34"/>
      <c r="AL698" s="34"/>
      <c r="AM698" s="34"/>
      <c r="AN698" s="34"/>
      <c r="AO698" s="34"/>
      <c r="AP698" s="34"/>
      <c r="AQ698" s="34"/>
      <c r="AR698" s="34"/>
      <c r="AS698" s="34"/>
      <c r="AT698" s="34"/>
      <c r="AU698" s="34"/>
      <c r="AV698" s="34"/>
      <c r="AW698" s="34"/>
      <c r="AX698" s="34"/>
      <c r="AY698" s="34"/>
      <c r="AZ698" s="34"/>
      <c r="BA698" s="34"/>
      <c r="BB698" s="34"/>
      <c r="BD698" s="34"/>
      <c r="BE698" s="34"/>
      <c r="BF698" s="34"/>
      <c r="BG698" s="34"/>
      <c r="BH698" s="34"/>
      <c r="BI698" s="34"/>
      <c r="BJ698" s="34"/>
      <c r="BK698" s="34"/>
      <c r="BL698" s="34"/>
      <c r="BM698" s="34"/>
      <c r="BN698" s="34"/>
      <c r="BO698" s="34"/>
      <c r="BP698" s="34"/>
      <c r="BQ698" s="34"/>
      <c r="BR698" s="34"/>
      <c r="BS698" s="34"/>
      <c r="BT698" s="34"/>
      <c r="BU698" s="34"/>
      <c r="BV698" s="34"/>
      <c r="BW698" s="34"/>
      <c r="BX698" s="34"/>
      <c r="BY698" s="34"/>
    </row>
    <row r="699" spans="1:77" x14ac:dyDescent="0.3">
      <c r="A699" s="39"/>
      <c r="B699" s="42"/>
      <c r="C699" s="42"/>
      <c r="D699" s="75"/>
      <c r="E699" s="75"/>
      <c r="F699" s="76"/>
      <c r="G699" s="47"/>
      <c r="H699" s="47"/>
      <c r="I699" s="75"/>
      <c r="J699" s="76"/>
      <c r="K699" s="76"/>
      <c r="L699" s="75"/>
      <c r="M699" s="49"/>
      <c r="N699" s="76"/>
      <c r="O699" s="49"/>
      <c r="P699" s="77"/>
      <c r="Q699" s="53"/>
      <c r="R699" s="54"/>
      <c r="S699" s="55"/>
      <c r="T699" s="56"/>
      <c r="U699" s="56"/>
      <c r="V699" s="42"/>
      <c r="W699" s="57"/>
      <c r="X699" s="58"/>
      <c r="Y699" s="75"/>
      <c r="Z699" s="59"/>
      <c r="AA699" s="61"/>
      <c r="AB699" s="61"/>
      <c r="AC699" s="61"/>
      <c r="AD699" s="62"/>
      <c r="AE699" s="62"/>
      <c r="AF699" s="34"/>
      <c r="AG699" s="34"/>
      <c r="AH699" s="34"/>
      <c r="AI699" s="34"/>
      <c r="AJ699" s="34"/>
      <c r="AK699" s="34"/>
      <c r="AL699" s="34"/>
      <c r="AM699" s="34"/>
      <c r="AN699" s="34"/>
      <c r="AO699" s="34"/>
      <c r="AP699" s="34"/>
      <c r="AQ699" s="34"/>
      <c r="AR699" s="34"/>
      <c r="AS699" s="34"/>
      <c r="AT699" s="34"/>
      <c r="AU699" s="34"/>
      <c r="AV699" s="34"/>
      <c r="AW699" s="34"/>
      <c r="AX699" s="34"/>
      <c r="AY699" s="34"/>
      <c r="AZ699" s="34"/>
      <c r="BA699" s="34"/>
      <c r="BB699" s="34"/>
      <c r="BD699" s="34"/>
      <c r="BE699" s="34"/>
      <c r="BF699" s="34"/>
      <c r="BG699" s="34"/>
      <c r="BH699" s="34"/>
      <c r="BI699" s="34"/>
      <c r="BJ699" s="34"/>
      <c r="BK699" s="34"/>
      <c r="BL699" s="34"/>
      <c r="BM699" s="34"/>
      <c r="BN699" s="34"/>
      <c r="BO699" s="34"/>
      <c r="BP699" s="34"/>
      <c r="BQ699" s="34"/>
      <c r="BR699" s="34"/>
      <c r="BS699" s="34"/>
      <c r="BT699" s="34"/>
      <c r="BU699" s="34"/>
      <c r="BV699" s="34"/>
      <c r="BW699" s="34"/>
      <c r="BX699" s="34"/>
      <c r="BY699" s="34"/>
    </row>
    <row r="700" spans="1:77" x14ac:dyDescent="0.3">
      <c r="A700" s="39"/>
      <c r="B700" s="42"/>
      <c r="C700" s="42"/>
      <c r="D700" s="75"/>
      <c r="E700" s="75"/>
      <c r="F700" s="76"/>
      <c r="G700" s="47"/>
      <c r="H700" s="47"/>
      <c r="I700" s="75"/>
      <c r="J700" s="76"/>
      <c r="K700" s="76"/>
      <c r="L700" s="75"/>
      <c r="M700" s="49"/>
      <c r="N700" s="76"/>
      <c r="O700" s="49"/>
      <c r="P700" s="77"/>
      <c r="Q700" s="53"/>
      <c r="R700" s="54"/>
      <c r="S700" s="55"/>
      <c r="T700" s="56"/>
      <c r="U700" s="56"/>
      <c r="V700" s="42"/>
      <c r="W700" s="57"/>
      <c r="X700" s="58"/>
      <c r="Y700" s="75"/>
      <c r="Z700" s="59"/>
      <c r="AA700" s="61"/>
      <c r="AB700" s="61"/>
      <c r="AC700" s="61"/>
      <c r="AD700" s="62"/>
      <c r="AE700" s="62"/>
      <c r="AF700" s="34"/>
      <c r="AG700" s="34"/>
      <c r="AH700" s="34"/>
      <c r="AI700" s="34"/>
      <c r="AJ700" s="34"/>
      <c r="AK700" s="34"/>
      <c r="AL700" s="34"/>
      <c r="AM700" s="34"/>
      <c r="AN700" s="34"/>
      <c r="AO700" s="34"/>
      <c r="AP700" s="34"/>
      <c r="AQ700" s="34"/>
      <c r="AR700" s="34"/>
      <c r="AS700" s="34"/>
      <c r="AT700" s="34"/>
      <c r="AU700" s="34"/>
      <c r="AV700" s="34"/>
      <c r="AW700" s="34"/>
      <c r="AX700" s="34"/>
      <c r="AY700" s="34"/>
      <c r="AZ700" s="34"/>
      <c r="BA700" s="34"/>
      <c r="BB700" s="34"/>
      <c r="BD700" s="34"/>
      <c r="BE700" s="34"/>
      <c r="BF700" s="34"/>
      <c r="BG700" s="34"/>
      <c r="BH700" s="34"/>
      <c r="BI700" s="34"/>
      <c r="BJ700" s="34"/>
      <c r="BK700" s="34"/>
      <c r="BL700" s="34"/>
      <c r="BM700" s="34"/>
      <c r="BN700" s="34"/>
      <c r="BO700" s="34"/>
      <c r="BP700" s="34"/>
      <c r="BQ700" s="34"/>
      <c r="BR700" s="34"/>
      <c r="BS700" s="34"/>
      <c r="BT700" s="34"/>
      <c r="BU700" s="34"/>
      <c r="BV700" s="34"/>
      <c r="BW700" s="34"/>
      <c r="BX700" s="34"/>
      <c r="BY700" s="34"/>
    </row>
    <row r="701" spans="1:77" x14ac:dyDescent="0.3">
      <c r="A701" s="39"/>
      <c r="B701" s="42"/>
      <c r="C701" s="42"/>
      <c r="D701" s="75"/>
      <c r="E701" s="75"/>
      <c r="F701" s="76"/>
      <c r="G701" s="47"/>
      <c r="H701" s="47"/>
      <c r="I701" s="75"/>
      <c r="J701" s="76"/>
      <c r="K701" s="76"/>
      <c r="L701" s="75"/>
      <c r="M701" s="49"/>
      <c r="N701" s="76"/>
      <c r="O701" s="49"/>
      <c r="P701" s="77"/>
      <c r="Q701" s="53"/>
      <c r="R701" s="54"/>
      <c r="S701" s="55"/>
      <c r="T701" s="56"/>
      <c r="U701" s="56"/>
      <c r="V701" s="42"/>
      <c r="W701" s="57"/>
      <c r="X701" s="58"/>
      <c r="Y701" s="75"/>
      <c r="Z701" s="59"/>
      <c r="AA701" s="61"/>
      <c r="AB701" s="61"/>
      <c r="AC701" s="61"/>
      <c r="AD701" s="62"/>
      <c r="AE701" s="62"/>
      <c r="AF701" s="34"/>
      <c r="AG701" s="34"/>
      <c r="AH701" s="34"/>
      <c r="AI701" s="34"/>
      <c r="AJ701" s="34"/>
      <c r="AK701" s="34"/>
      <c r="AL701" s="34"/>
      <c r="AM701" s="34"/>
      <c r="AN701" s="34"/>
      <c r="AO701" s="34"/>
      <c r="AP701" s="34"/>
      <c r="AQ701" s="34"/>
      <c r="AR701" s="34"/>
      <c r="AS701" s="34"/>
      <c r="AT701" s="34"/>
      <c r="AU701" s="34"/>
      <c r="AV701" s="34"/>
      <c r="AW701" s="34"/>
      <c r="AX701" s="34"/>
      <c r="AY701" s="34"/>
      <c r="AZ701" s="34"/>
      <c r="BA701" s="34"/>
      <c r="BB701" s="34"/>
      <c r="BD701" s="34"/>
      <c r="BE701" s="34"/>
      <c r="BF701" s="34"/>
      <c r="BG701" s="34"/>
      <c r="BH701" s="34"/>
      <c r="BI701" s="34"/>
      <c r="BJ701" s="34"/>
      <c r="BK701" s="34"/>
      <c r="BL701" s="34"/>
      <c r="BM701" s="34"/>
      <c r="BN701" s="34"/>
      <c r="BO701" s="34"/>
      <c r="BP701" s="34"/>
      <c r="BQ701" s="34"/>
      <c r="BR701" s="34"/>
      <c r="BS701" s="34"/>
      <c r="BT701" s="34"/>
      <c r="BU701" s="34"/>
      <c r="BV701" s="34"/>
      <c r="BW701" s="34"/>
      <c r="BX701" s="34"/>
      <c r="BY701" s="34"/>
    </row>
    <row r="702" spans="1:77" x14ac:dyDescent="0.3">
      <c r="A702" s="39"/>
      <c r="B702" s="42"/>
      <c r="C702" s="42"/>
      <c r="D702" s="75"/>
      <c r="E702" s="75"/>
      <c r="F702" s="76"/>
      <c r="G702" s="47"/>
      <c r="H702" s="47"/>
      <c r="I702" s="75"/>
      <c r="J702" s="76"/>
      <c r="K702" s="76"/>
      <c r="L702" s="75"/>
      <c r="M702" s="49"/>
      <c r="N702" s="76"/>
      <c r="O702" s="49"/>
      <c r="P702" s="77"/>
      <c r="Q702" s="53"/>
      <c r="R702" s="54"/>
      <c r="S702" s="55"/>
      <c r="T702" s="56"/>
      <c r="U702" s="56"/>
      <c r="V702" s="42"/>
      <c r="W702" s="57"/>
      <c r="X702" s="58"/>
      <c r="Y702" s="75"/>
      <c r="Z702" s="59"/>
      <c r="AA702" s="61"/>
      <c r="AB702" s="61"/>
      <c r="AC702" s="61"/>
      <c r="AD702" s="62"/>
      <c r="AE702" s="62"/>
      <c r="AF702" s="34"/>
      <c r="AG702" s="34"/>
      <c r="AH702" s="34"/>
      <c r="AI702" s="34"/>
      <c r="AJ702" s="34"/>
      <c r="AK702" s="34"/>
      <c r="AL702" s="34"/>
      <c r="AM702" s="34"/>
      <c r="AN702" s="34"/>
      <c r="AO702" s="34"/>
      <c r="AP702" s="34"/>
      <c r="AQ702" s="34"/>
      <c r="AR702" s="34"/>
      <c r="AS702" s="34"/>
      <c r="AT702" s="34"/>
      <c r="AU702" s="34"/>
      <c r="AV702" s="34"/>
      <c r="AW702" s="34"/>
      <c r="AX702" s="34"/>
      <c r="AY702" s="34"/>
      <c r="AZ702" s="34"/>
      <c r="BA702" s="34"/>
      <c r="BB702" s="34"/>
      <c r="BD702" s="34"/>
      <c r="BE702" s="34"/>
      <c r="BF702" s="34"/>
      <c r="BG702" s="34"/>
      <c r="BH702" s="34"/>
      <c r="BI702" s="34"/>
      <c r="BJ702" s="34"/>
      <c r="BK702" s="34"/>
      <c r="BL702" s="34"/>
      <c r="BM702" s="34"/>
      <c r="BN702" s="34"/>
      <c r="BO702" s="34"/>
      <c r="BP702" s="34"/>
      <c r="BQ702" s="34"/>
      <c r="BR702" s="34"/>
      <c r="BS702" s="34"/>
      <c r="BT702" s="34"/>
      <c r="BU702" s="34"/>
      <c r="BV702" s="34"/>
      <c r="BW702" s="34"/>
      <c r="BX702" s="34"/>
      <c r="BY702" s="34"/>
    </row>
    <row r="703" spans="1:77" x14ac:dyDescent="0.3">
      <c r="A703" s="39"/>
      <c r="B703" s="42"/>
      <c r="C703" s="42"/>
      <c r="D703" s="75"/>
      <c r="E703" s="75"/>
      <c r="F703" s="76"/>
      <c r="G703" s="47"/>
      <c r="H703" s="47"/>
      <c r="I703" s="75"/>
      <c r="J703" s="76"/>
      <c r="K703" s="76"/>
      <c r="L703" s="75"/>
      <c r="M703" s="49"/>
      <c r="N703" s="76"/>
      <c r="O703" s="49"/>
      <c r="P703" s="77"/>
      <c r="Q703" s="53"/>
      <c r="R703" s="54"/>
      <c r="S703" s="55"/>
      <c r="T703" s="56"/>
      <c r="U703" s="56"/>
      <c r="V703" s="42"/>
      <c r="W703" s="57"/>
      <c r="X703" s="58"/>
      <c r="Y703" s="75"/>
      <c r="Z703" s="59"/>
      <c r="AA703" s="61"/>
      <c r="AB703" s="61"/>
      <c r="AC703" s="61"/>
      <c r="AD703" s="62"/>
      <c r="AE703" s="62"/>
      <c r="AF703" s="34"/>
      <c r="AG703" s="34"/>
      <c r="AH703" s="34"/>
      <c r="AI703" s="34"/>
      <c r="AJ703" s="34"/>
      <c r="AK703" s="34"/>
      <c r="AL703" s="34"/>
      <c r="AM703" s="34"/>
      <c r="AN703" s="34"/>
      <c r="AO703" s="34"/>
      <c r="AP703" s="34"/>
      <c r="AQ703" s="34"/>
      <c r="AR703" s="34"/>
      <c r="AS703" s="34"/>
      <c r="AT703" s="34"/>
      <c r="AU703" s="34"/>
      <c r="AV703" s="34"/>
      <c r="AW703" s="34"/>
      <c r="AX703" s="34"/>
      <c r="AY703" s="34"/>
      <c r="AZ703" s="34"/>
      <c r="BA703" s="34"/>
      <c r="BB703" s="34"/>
      <c r="BD703" s="34"/>
      <c r="BE703" s="34"/>
      <c r="BF703" s="34"/>
      <c r="BG703" s="34"/>
      <c r="BH703" s="34"/>
      <c r="BI703" s="34"/>
      <c r="BJ703" s="34"/>
      <c r="BK703" s="34"/>
      <c r="BL703" s="34"/>
      <c r="BM703" s="34"/>
      <c r="BN703" s="34"/>
      <c r="BO703" s="34"/>
      <c r="BP703" s="34"/>
      <c r="BQ703" s="34"/>
      <c r="BR703" s="34"/>
      <c r="BS703" s="34"/>
      <c r="BT703" s="34"/>
      <c r="BU703" s="34"/>
      <c r="BV703" s="34"/>
      <c r="BW703" s="34"/>
      <c r="BX703" s="34"/>
      <c r="BY703" s="34"/>
    </row>
    <row r="704" spans="1:77" x14ac:dyDescent="0.3">
      <c r="A704" s="39"/>
      <c r="B704" s="42"/>
      <c r="C704" s="42"/>
      <c r="D704" s="75"/>
      <c r="E704" s="75"/>
      <c r="F704" s="76"/>
      <c r="G704" s="47"/>
      <c r="H704" s="47"/>
      <c r="I704" s="75"/>
      <c r="J704" s="76"/>
      <c r="K704" s="76"/>
      <c r="L704" s="75"/>
      <c r="M704" s="49"/>
      <c r="N704" s="76"/>
      <c r="O704" s="49"/>
      <c r="P704" s="77"/>
      <c r="Q704" s="53"/>
      <c r="R704" s="54"/>
      <c r="S704" s="55"/>
      <c r="T704" s="56"/>
      <c r="U704" s="56"/>
      <c r="V704" s="42"/>
      <c r="W704" s="57"/>
      <c r="X704" s="58"/>
      <c r="Y704" s="75"/>
      <c r="Z704" s="59"/>
      <c r="AA704" s="61"/>
      <c r="AB704" s="61"/>
      <c r="AC704" s="61"/>
      <c r="AD704" s="62"/>
      <c r="AE704" s="62"/>
      <c r="AF704" s="34"/>
      <c r="AG704" s="34"/>
      <c r="AH704" s="34"/>
      <c r="AI704" s="34"/>
      <c r="AJ704" s="34"/>
      <c r="AK704" s="34"/>
      <c r="AL704" s="34"/>
      <c r="AM704" s="34"/>
      <c r="AN704" s="34"/>
      <c r="AO704" s="34"/>
      <c r="AP704" s="34"/>
      <c r="AQ704" s="34"/>
      <c r="AR704" s="34"/>
      <c r="AS704" s="34"/>
      <c r="AT704" s="34"/>
      <c r="AU704" s="34"/>
      <c r="AV704" s="34"/>
      <c r="AW704" s="34"/>
      <c r="AX704" s="34"/>
      <c r="AY704" s="34"/>
      <c r="AZ704" s="34"/>
      <c r="BA704" s="34"/>
      <c r="BB704" s="34"/>
      <c r="BD704" s="34"/>
      <c r="BE704" s="34"/>
      <c r="BF704" s="34"/>
      <c r="BG704" s="34"/>
      <c r="BH704" s="34"/>
      <c r="BI704" s="34"/>
      <c r="BJ704" s="34"/>
      <c r="BK704" s="34"/>
      <c r="BL704" s="34"/>
      <c r="BM704" s="34"/>
      <c r="BN704" s="34"/>
      <c r="BO704" s="34"/>
      <c r="BP704" s="34"/>
      <c r="BQ704" s="34"/>
      <c r="BR704" s="34"/>
      <c r="BS704" s="34"/>
      <c r="BT704" s="34"/>
      <c r="BU704" s="34"/>
      <c r="BV704" s="34"/>
      <c r="BW704" s="34"/>
      <c r="BX704" s="34"/>
      <c r="BY704" s="34"/>
    </row>
    <row r="705" spans="1:77" x14ac:dyDescent="0.3">
      <c r="A705" s="39"/>
      <c r="B705" s="42"/>
      <c r="C705" s="42"/>
      <c r="D705" s="75"/>
      <c r="E705" s="75"/>
      <c r="F705" s="76"/>
      <c r="G705" s="47"/>
      <c r="H705" s="47"/>
      <c r="I705" s="75"/>
      <c r="J705" s="76"/>
      <c r="K705" s="76"/>
      <c r="L705" s="75"/>
      <c r="M705" s="49"/>
      <c r="N705" s="76"/>
      <c r="O705" s="49"/>
      <c r="P705" s="77"/>
      <c r="Q705" s="53"/>
      <c r="R705" s="54"/>
      <c r="S705" s="55"/>
      <c r="T705" s="56"/>
      <c r="U705" s="56"/>
      <c r="V705" s="42"/>
      <c r="W705" s="57"/>
      <c r="X705" s="58"/>
      <c r="Y705" s="75"/>
      <c r="Z705" s="59"/>
      <c r="AA705" s="61"/>
      <c r="AB705" s="61"/>
      <c r="AC705" s="61"/>
      <c r="AD705" s="62"/>
      <c r="AE705" s="62"/>
      <c r="AF705" s="34"/>
      <c r="AG705" s="34"/>
      <c r="AH705" s="34"/>
      <c r="AI705" s="34"/>
      <c r="AJ705" s="34"/>
      <c r="AK705" s="34"/>
      <c r="AL705" s="34"/>
      <c r="AM705" s="34"/>
      <c r="AN705" s="34"/>
      <c r="AO705" s="34"/>
      <c r="AP705" s="34"/>
      <c r="AQ705" s="34"/>
      <c r="AR705" s="34"/>
      <c r="AS705" s="34"/>
      <c r="AT705" s="34"/>
      <c r="AU705" s="34"/>
      <c r="AV705" s="34"/>
      <c r="AW705" s="34"/>
      <c r="AX705" s="34"/>
      <c r="AY705" s="34"/>
      <c r="AZ705" s="34"/>
      <c r="BA705" s="34"/>
      <c r="BB705" s="34"/>
      <c r="BD705" s="34"/>
      <c r="BE705" s="34"/>
      <c r="BF705" s="34"/>
      <c r="BG705" s="34"/>
      <c r="BH705" s="34"/>
      <c r="BI705" s="34"/>
      <c r="BJ705" s="34"/>
      <c r="BK705" s="34"/>
      <c r="BL705" s="34"/>
      <c r="BM705" s="34"/>
      <c r="BN705" s="34"/>
      <c r="BO705" s="34"/>
      <c r="BP705" s="34"/>
      <c r="BQ705" s="34"/>
      <c r="BR705" s="34"/>
      <c r="BS705" s="34"/>
      <c r="BT705" s="34"/>
      <c r="BU705" s="34"/>
      <c r="BV705" s="34"/>
      <c r="BW705" s="34"/>
      <c r="BX705" s="34"/>
      <c r="BY705" s="34"/>
    </row>
    <row r="706" spans="1:77" x14ac:dyDescent="0.3">
      <c r="A706" s="39"/>
      <c r="B706" s="42"/>
      <c r="C706" s="42"/>
      <c r="D706" s="75"/>
      <c r="E706" s="75"/>
      <c r="F706" s="76"/>
      <c r="G706" s="47"/>
      <c r="H706" s="47"/>
      <c r="I706" s="75"/>
      <c r="J706" s="76"/>
      <c r="K706" s="76"/>
      <c r="L706" s="75"/>
      <c r="M706" s="49"/>
      <c r="N706" s="76"/>
      <c r="O706" s="49"/>
      <c r="P706" s="77"/>
      <c r="Q706" s="53"/>
      <c r="R706" s="54"/>
      <c r="S706" s="55"/>
      <c r="T706" s="56"/>
      <c r="U706" s="56"/>
      <c r="V706" s="42"/>
      <c r="W706" s="57"/>
      <c r="X706" s="58"/>
      <c r="Y706" s="75"/>
      <c r="Z706" s="59"/>
      <c r="AA706" s="61"/>
      <c r="AB706" s="61"/>
      <c r="AC706" s="61"/>
      <c r="AD706" s="62"/>
      <c r="AE706" s="62"/>
      <c r="AF706" s="34"/>
      <c r="AG706" s="34"/>
      <c r="AH706" s="34"/>
      <c r="AI706" s="34"/>
      <c r="AJ706" s="34"/>
      <c r="AK706" s="34"/>
      <c r="AL706" s="34"/>
      <c r="AM706" s="34"/>
      <c r="AN706" s="34"/>
      <c r="AO706" s="34"/>
      <c r="AP706" s="34"/>
      <c r="AQ706" s="34"/>
      <c r="AR706" s="34"/>
      <c r="AS706" s="34"/>
      <c r="AT706" s="34"/>
      <c r="AU706" s="34"/>
      <c r="AV706" s="34"/>
      <c r="AW706" s="34"/>
      <c r="AX706" s="34"/>
      <c r="AY706" s="34"/>
      <c r="AZ706" s="34"/>
      <c r="BA706" s="34"/>
      <c r="BB706" s="34"/>
      <c r="BD706" s="34"/>
      <c r="BE706" s="34"/>
      <c r="BF706" s="34"/>
      <c r="BG706" s="34"/>
      <c r="BH706" s="34"/>
      <c r="BI706" s="34"/>
      <c r="BJ706" s="34"/>
      <c r="BK706" s="34"/>
      <c r="BL706" s="34"/>
      <c r="BM706" s="34"/>
      <c r="BN706" s="34"/>
      <c r="BO706" s="34"/>
      <c r="BP706" s="34"/>
      <c r="BQ706" s="34"/>
      <c r="BR706" s="34"/>
      <c r="BS706" s="34"/>
      <c r="BT706" s="34"/>
      <c r="BU706" s="34"/>
      <c r="BV706" s="34"/>
      <c r="BW706" s="34"/>
      <c r="BX706" s="34"/>
      <c r="BY706" s="34"/>
    </row>
    <row r="707" spans="1:77" x14ac:dyDescent="0.3">
      <c r="A707" s="39"/>
      <c r="B707" s="42"/>
      <c r="C707" s="42"/>
      <c r="D707" s="75"/>
      <c r="E707" s="75"/>
      <c r="F707" s="76"/>
      <c r="G707" s="47"/>
      <c r="H707" s="47"/>
      <c r="I707" s="75"/>
      <c r="J707" s="76"/>
      <c r="K707" s="76"/>
      <c r="L707" s="75"/>
      <c r="M707" s="49"/>
      <c r="N707" s="76"/>
      <c r="O707" s="49"/>
      <c r="P707" s="77"/>
      <c r="Q707" s="53"/>
      <c r="R707" s="54"/>
      <c r="S707" s="55"/>
      <c r="T707" s="56"/>
      <c r="U707" s="56"/>
      <c r="V707" s="42"/>
      <c r="W707" s="57"/>
      <c r="X707" s="58"/>
      <c r="Y707" s="75"/>
      <c r="Z707" s="59"/>
      <c r="AA707" s="61"/>
      <c r="AB707" s="61"/>
      <c r="AC707" s="61"/>
      <c r="AD707" s="62"/>
      <c r="AE707" s="62"/>
      <c r="AF707" s="34"/>
      <c r="AG707" s="34"/>
      <c r="AH707" s="34"/>
      <c r="AI707" s="34"/>
      <c r="AJ707" s="34"/>
      <c r="AK707" s="34"/>
      <c r="AL707" s="34"/>
      <c r="AM707" s="34"/>
      <c r="AN707" s="34"/>
      <c r="AO707" s="34"/>
      <c r="AP707" s="34"/>
      <c r="AQ707" s="34"/>
      <c r="AR707" s="34"/>
      <c r="AS707" s="34"/>
      <c r="AT707" s="34"/>
      <c r="AU707" s="34"/>
      <c r="AV707" s="34"/>
      <c r="AW707" s="34"/>
      <c r="AX707" s="34"/>
      <c r="AY707" s="34"/>
      <c r="AZ707" s="34"/>
      <c r="BA707" s="34"/>
      <c r="BB707" s="34"/>
      <c r="BD707" s="34"/>
      <c r="BE707" s="34"/>
      <c r="BF707" s="34"/>
      <c r="BG707" s="34"/>
      <c r="BH707" s="34"/>
      <c r="BI707" s="34"/>
      <c r="BJ707" s="34"/>
      <c r="BK707" s="34"/>
      <c r="BL707" s="34"/>
      <c r="BM707" s="34"/>
      <c r="BN707" s="34"/>
      <c r="BO707" s="34"/>
      <c r="BP707" s="34"/>
      <c r="BQ707" s="34"/>
      <c r="BR707" s="34"/>
      <c r="BS707" s="34"/>
      <c r="BT707" s="34"/>
      <c r="BU707" s="34"/>
      <c r="BV707" s="34"/>
      <c r="BW707" s="34"/>
      <c r="BX707" s="34"/>
      <c r="BY707" s="34"/>
    </row>
    <row r="708" spans="1:77" x14ac:dyDescent="0.3">
      <c r="A708" s="39"/>
      <c r="B708" s="42"/>
      <c r="C708" s="42"/>
      <c r="D708" s="75"/>
      <c r="E708" s="75"/>
      <c r="F708" s="76"/>
      <c r="G708" s="47"/>
      <c r="H708" s="47"/>
      <c r="I708" s="75"/>
      <c r="J708" s="76"/>
      <c r="K708" s="76"/>
      <c r="L708" s="75"/>
      <c r="M708" s="49"/>
      <c r="N708" s="76"/>
      <c r="O708" s="49"/>
      <c r="P708" s="77"/>
      <c r="Q708" s="53"/>
      <c r="R708" s="54"/>
      <c r="S708" s="55"/>
      <c r="T708" s="56"/>
      <c r="U708" s="56"/>
      <c r="V708" s="42"/>
      <c r="W708" s="57"/>
      <c r="X708" s="58"/>
      <c r="Y708" s="75"/>
      <c r="Z708" s="59"/>
      <c r="AA708" s="61"/>
      <c r="AB708" s="61"/>
      <c r="AC708" s="61"/>
      <c r="AD708" s="62"/>
      <c r="AE708" s="62"/>
      <c r="AF708" s="34"/>
      <c r="AG708" s="34"/>
      <c r="AH708" s="34"/>
      <c r="AI708" s="34"/>
      <c r="AJ708" s="34"/>
      <c r="AK708" s="34"/>
      <c r="AL708" s="34"/>
      <c r="AM708" s="34"/>
      <c r="AN708" s="34"/>
      <c r="AO708" s="34"/>
      <c r="AP708" s="34"/>
      <c r="AQ708" s="34"/>
      <c r="AR708" s="34"/>
      <c r="AS708" s="34"/>
      <c r="AT708" s="34"/>
      <c r="AU708" s="34"/>
      <c r="AV708" s="34"/>
      <c r="AW708" s="34"/>
      <c r="AX708" s="34"/>
      <c r="AY708" s="34"/>
      <c r="AZ708" s="34"/>
      <c r="BA708" s="34"/>
      <c r="BB708" s="34"/>
      <c r="BD708" s="34"/>
      <c r="BE708" s="34"/>
      <c r="BF708" s="34"/>
      <c r="BG708" s="34"/>
      <c r="BH708" s="34"/>
      <c r="BI708" s="34"/>
      <c r="BJ708" s="34"/>
      <c r="BK708" s="34"/>
      <c r="BL708" s="34"/>
      <c r="BM708" s="34"/>
      <c r="BN708" s="34"/>
      <c r="BO708" s="34"/>
      <c r="BP708" s="34"/>
      <c r="BQ708" s="34"/>
      <c r="BR708" s="34"/>
      <c r="BS708" s="34"/>
      <c r="BT708" s="34"/>
      <c r="BU708" s="34"/>
      <c r="BV708" s="34"/>
      <c r="BW708" s="34"/>
      <c r="BX708" s="34"/>
      <c r="BY708" s="34"/>
    </row>
    <row r="709" spans="1:77" x14ac:dyDescent="0.3">
      <c r="A709" s="39"/>
      <c r="B709" s="42"/>
      <c r="C709" s="42"/>
      <c r="D709" s="75"/>
      <c r="E709" s="75"/>
      <c r="F709" s="76"/>
      <c r="G709" s="47"/>
      <c r="H709" s="47"/>
      <c r="I709" s="75"/>
      <c r="J709" s="76"/>
      <c r="K709" s="76"/>
      <c r="L709" s="75"/>
      <c r="M709" s="49"/>
      <c r="N709" s="76"/>
      <c r="O709" s="49"/>
      <c r="P709" s="77"/>
      <c r="Q709" s="53"/>
      <c r="R709" s="54"/>
      <c r="S709" s="55"/>
      <c r="T709" s="56"/>
      <c r="U709" s="56"/>
      <c r="V709" s="42"/>
      <c r="W709" s="57"/>
      <c r="X709" s="58"/>
      <c r="Y709" s="75"/>
      <c r="Z709" s="59"/>
      <c r="AA709" s="61"/>
      <c r="AB709" s="61"/>
      <c r="AC709" s="61"/>
      <c r="AD709" s="62"/>
      <c r="AE709" s="62"/>
      <c r="AF709" s="34"/>
      <c r="AG709" s="34"/>
      <c r="AH709" s="34"/>
      <c r="AI709" s="34"/>
      <c r="AJ709" s="34"/>
      <c r="AK709" s="34"/>
      <c r="AL709" s="34"/>
      <c r="AM709" s="34"/>
      <c r="AN709" s="34"/>
      <c r="AO709" s="34"/>
      <c r="AP709" s="34"/>
      <c r="AQ709" s="34"/>
      <c r="AR709" s="34"/>
      <c r="AS709" s="34"/>
      <c r="AT709" s="34"/>
      <c r="AU709" s="34"/>
      <c r="AV709" s="34"/>
      <c r="AW709" s="34"/>
      <c r="AX709" s="34"/>
      <c r="AY709" s="34"/>
      <c r="AZ709" s="34"/>
      <c r="BA709" s="34"/>
      <c r="BB709" s="34"/>
      <c r="BD709" s="34"/>
      <c r="BE709" s="34"/>
      <c r="BF709" s="34"/>
      <c r="BG709" s="34"/>
      <c r="BH709" s="34"/>
      <c r="BI709" s="34"/>
      <c r="BJ709" s="34"/>
      <c r="BK709" s="34"/>
      <c r="BL709" s="34"/>
      <c r="BM709" s="34"/>
      <c r="BN709" s="34"/>
      <c r="BO709" s="34"/>
      <c r="BP709" s="34"/>
      <c r="BQ709" s="34"/>
      <c r="BR709" s="34"/>
      <c r="BS709" s="34"/>
      <c r="BT709" s="34"/>
      <c r="BU709" s="34"/>
      <c r="BV709" s="34"/>
      <c r="BW709" s="34"/>
      <c r="BX709" s="34"/>
      <c r="BY709" s="34"/>
    </row>
    <row r="710" spans="1:77" x14ac:dyDescent="0.3">
      <c r="A710" s="39"/>
      <c r="B710" s="42"/>
      <c r="C710" s="42"/>
      <c r="D710" s="75"/>
      <c r="E710" s="75"/>
      <c r="F710" s="76"/>
      <c r="G710" s="47"/>
      <c r="H710" s="47"/>
      <c r="I710" s="75"/>
      <c r="J710" s="76"/>
      <c r="K710" s="76"/>
      <c r="L710" s="75"/>
      <c r="M710" s="49"/>
      <c r="N710" s="76"/>
      <c r="O710" s="49"/>
      <c r="P710" s="77"/>
      <c r="Q710" s="53"/>
      <c r="R710" s="54"/>
      <c r="S710" s="55"/>
      <c r="T710" s="56"/>
      <c r="U710" s="56"/>
      <c r="V710" s="42"/>
      <c r="W710" s="57"/>
      <c r="X710" s="58"/>
      <c r="Y710" s="75"/>
      <c r="Z710" s="59"/>
      <c r="AA710" s="61"/>
      <c r="AB710" s="61"/>
      <c r="AC710" s="61"/>
      <c r="AD710" s="62"/>
      <c r="AE710" s="62"/>
      <c r="AF710" s="34"/>
      <c r="AG710" s="34"/>
      <c r="AH710" s="34"/>
      <c r="AI710" s="34"/>
      <c r="AJ710" s="34"/>
      <c r="AK710" s="34"/>
      <c r="AL710" s="34"/>
      <c r="AM710" s="34"/>
      <c r="AN710" s="34"/>
      <c r="AO710" s="34"/>
      <c r="AP710" s="34"/>
      <c r="AQ710" s="34"/>
      <c r="AR710" s="34"/>
      <c r="AS710" s="34"/>
      <c r="AT710" s="34"/>
      <c r="AU710" s="34"/>
      <c r="AV710" s="34"/>
      <c r="AW710" s="34"/>
      <c r="AX710" s="34"/>
      <c r="AY710" s="34"/>
      <c r="AZ710" s="34"/>
      <c r="BA710" s="34"/>
      <c r="BB710" s="34"/>
      <c r="BD710" s="34"/>
      <c r="BE710" s="34"/>
      <c r="BF710" s="34"/>
      <c r="BG710" s="34"/>
      <c r="BH710" s="34"/>
      <c r="BI710" s="34"/>
      <c r="BJ710" s="34"/>
      <c r="BK710" s="34"/>
      <c r="BL710" s="34"/>
      <c r="BM710" s="34"/>
      <c r="BN710" s="34"/>
      <c r="BO710" s="34"/>
      <c r="BP710" s="34"/>
      <c r="BQ710" s="34"/>
      <c r="BR710" s="34"/>
      <c r="BS710" s="34"/>
      <c r="BT710" s="34"/>
      <c r="BU710" s="34"/>
      <c r="BV710" s="34"/>
      <c r="BW710" s="34"/>
      <c r="BX710" s="34"/>
      <c r="BY710" s="34"/>
    </row>
    <row r="711" spans="1:77" x14ac:dyDescent="0.3">
      <c r="A711" s="39"/>
      <c r="B711" s="42"/>
      <c r="C711" s="42"/>
      <c r="D711" s="75"/>
      <c r="E711" s="75"/>
      <c r="F711" s="76"/>
      <c r="G711" s="47"/>
      <c r="H711" s="47"/>
      <c r="I711" s="75"/>
      <c r="J711" s="76"/>
      <c r="K711" s="76"/>
      <c r="L711" s="75"/>
      <c r="M711" s="49"/>
      <c r="N711" s="76"/>
      <c r="O711" s="49"/>
      <c r="P711" s="77"/>
      <c r="Q711" s="53"/>
      <c r="R711" s="54"/>
      <c r="S711" s="55"/>
      <c r="T711" s="56"/>
      <c r="U711" s="56"/>
      <c r="V711" s="42"/>
      <c r="W711" s="57"/>
      <c r="X711" s="58"/>
      <c r="Y711" s="75"/>
      <c r="Z711" s="59"/>
      <c r="AA711" s="61"/>
      <c r="AB711" s="61"/>
      <c r="AC711" s="61"/>
      <c r="AD711" s="62"/>
      <c r="AE711" s="62"/>
      <c r="AF711" s="34"/>
      <c r="AG711" s="34"/>
      <c r="AH711" s="34"/>
      <c r="AI711" s="34"/>
      <c r="AJ711" s="34"/>
      <c r="AK711" s="34"/>
      <c r="AL711" s="34"/>
      <c r="AM711" s="34"/>
      <c r="AN711" s="34"/>
      <c r="AO711" s="34"/>
      <c r="AP711" s="34"/>
      <c r="AQ711" s="34"/>
      <c r="AR711" s="34"/>
      <c r="AS711" s="34"/>
      <c r="AT711" s="34"/>
      <c r="AU711" s="34"/>
      <c r="AV711" s="34"/>
      <c r="AW711" s="34"/>
      <c r="AX711" s="34"/>
      <c r="AY711" s="34"/>
      <c r="AZ711" s="34"/>
      <c r="BA711" s="34"/>
      <c r="BB711" s="34"/>
      <c r="BD711" s="34"/>
      <c r="BE711" s="34"/>
      <c r="BF711" s="34"/>
      <c r="BG711" s="34"/>
      <c r="BH711" s="34"/>
      <c r="BI711" s="34"/>
      <c r="BJ711" s="34"/>
      <c r="BK711" s="34"/>
      <c r="BL711" s="34"/>
      <c r="BM711" s="34"/>
      <c r="BN711" s="34"/>
      <c r="BO711" s="34"/>
      <c r="BP711" s="34"/>
      <c r="BQ711" s="34"/>
      <c r="BR711" s="34"/>
      <c r="BS711" s="34"/>
      <c r="BT711" s="34"/>
      <c r="BU711" s="34"/>
      <c r="BV711" s="34"/>
      <c r="BW711" s="34"/>
      <c r="BX711" s="34"/>
      <c r="BY711" s="34"/>
    </row>
    <row r="712" spans="1:77" x14ac:dyDescent="0.3">
      <c r="A712" s="39"/>
      <c r="B712" s="42"/>
      <c r="C712" s="42"/>
      <c r="D712" s="75"/>
      <c r="E712" s="75"/>
      <c r="F712" s="76"/>
      <c r="G712" s="47"/>
      <c r="H712" s="47"/>
      <c r="I712" s="75"/>
      <c r="J712" s="76"/>
      <c r="K712" s="76"/>
      <c r="L712" s="75"/>
      <c r="M712" s="49"/>
      <c r="N712" s="76"/>
      <c r="O712" s="49"/>
      <c r="P712" s="77"/>
      <c r="Q712" s="53"/>
      <c r="R712" s="54"/>
      <c r="S712" s="55"/>
      <c r="T712" s="56"/>
      <c r="U712" s="56"/>
      <c r="V712" s="42"/>
      <c r="W712" s="57"/>
      <c r="X712" s="58"/>
      <c r="Y712" s="75"/>
      <c r="Z712" s="59"/>
      <c r="AA712" s="61"/>
      <c r="AB712" s="61"/>
      <c r="AC712" s="61"/>
      <c r="AD712" s="62"/>
      <c r="AE712" s="62"/>
      <c r="AF712" s="34"/>
      <c r="AG712" s="34"/>
      <c r="AH712" s="34"/>
      <c r="AI712" s="34"/>
      <c r="AJ712" s="34"/>
      <c r="AK712" s="34"/>
      <c r="AL712" s="34"/>
      <c r="AM712" s="34"/>
      <c r="AN712" s="34"/>
      <c r="AO712" s="34"/>
      <c r="AP712" s="34"/>
      <c r="AQ712" s="34"/>
      <c r="AR712" s="34"/>
      <c r="AS712" s="34"/>
      <c r="AT712" s="34"/>
      <c r="AU712" s="34"/>
      <c r="AV712" s="34"/>
      <c r="AW712" s="34"/>
      <c r="AX712" s="34"/>
      <c r="AY712" s="34"/>
      <c r="AZ712" s="34"/>
      <c r="BA712" s="34"/>
      <c r="BB712" s="34"/>
      <c r="BD712" s="34"/>
      <c r="BE712" s="34"/>
      <c r="BF712" s="34"/>
      <c r="BG712" s="34"/>
      <c r="BH712" s="34"/>
      <c r="BI712" s="34"/>
      <c r="BJ712" s="34"/>
      <c r="BK712" s="34"/>
      <c r="BL712" s="34"/>
      <c r="BM712" s="34"/>
      <c r="BN712" s="34"/>
      <c r="BO712" s="34"/>
      <c r="BP712" s="34"/>
      <c r="BQ712" s="34"/>
      <c r="BR712" s="34"/>
      <c r="BS712" s="34"/>
      <c r="BT712" s="34"/>
      <c r="BU712" s="34"/>
      <c r="BV712" s="34"/>
      <c r="BW712" s="34"/>
      <c r="BX712" s="34"/>
      <c r="BY712" s="34"/>
    </row>
    <row r="713" spans="1:77" x14ac:dyDescent="0.3">
      <c r="A713" s="39"/>
      <c r="B713" s="42"/>
      <c r="C713" s="42"/>
      <c r="D713" s="75"/>
      <c r="E713" s="75"/>
      <c r="F713" s="76"/>
      <c r="G713" s="47"/>
      <c r="H713" s="47"/>
      <c r="I713" s="75"/>
      <c r="J713" s="76"/>
      <c r="K713" s="76"/>
      <c r="L713" s="75"/>
      <c r="M713" s="49"/>
      <c r="N713" s="76"/>
      <c r="O713" s="49"/>
      <c r="P713" s="77"/>
      <c r="Q713" s="53"/>
      <c r="R713" s="54"/>
      <c r="S713" s="55"/>
      <c r="T713" s="56"/>
      <c r="U713" s="56"/>
      <c r="V713" s="42"/>
      <c r="W713" s="57"/>
      <c r="X713" s="58"/>
      <c r="Y713" s="75"/>
      <c r="Z713" s="59"/>
      <c r="AA713" s="61"/>
      <c r="AB713" s="61"/>
      <c r="AC713" s="61"/>
      <c r="AD713" s="62"/>
      <c r="AE713" s="62"/>
      <c r="AF713" s="34"/>
      <c r="AG713" s="34"/>
      <c r="AH713" s="34"/>
      <c r="AI713" s="34"/>
      <c r="AJ713" s="34"/>
      <c r="AK713" s="34"/>
      <c r="AL713" s="34"/>
      <c r="AM713" s="34"/>
      <c r="AN713" s="34"/>
      <c r="AO713" s="34"/>
      <c r="AP713" s="34"/>
      <c r="AQ713" s="34"/>
      <c r="AR713" s="34"/>
      <c r="AS713" s="34"/>
      <c r="AT713" s="34"/>
      <c r="AU713" s="34"/>
      <c r="AV713" s="34"/>
      <c r="AW713" s="34"/>
      <c r="AX713" s="34"/>
      <c r="AY713" s="34"/>
      <c r="AZ713" s="34"/>
      <c r="BA713" s="34"/>
      <c r="BB713" s="34"/>
      <c r="BD713" s="34"/>
      <c r="BE713" s="34"/>
      <c r="BF713" s="34"/>
      <c r="BG713" s="34"/>
      <c r="BH713" s="34"/>
      <c r="BI713" s="34"/>
      <c r="BJ713" s="34"/>
      <c r="BK713" s="34"/>
      <c r="BL713" s="34"/>
      <c r="BM713" s="34"/>
      <c r="BN713" s="34"/>
      <c r="BO713" s="34"/>
      <c r="BP713" s="34"/>
      <c r="BQ713" s="34"/>
      <c r="BR713" s="34"/>
      <c r="BS713" s="34"/>
      <c r="BT713" s="34"/>
      <c r="BU713" s="34"/>
      <c r="BV713" s="34"/>
      <c r="BW713" s="34"/>
      <c r="BX713" s="34"/>
      <c r="BY713" s="34"/>
    </row>
    <row r="714" spans="1:77" x14ac:dyDescent="0.3">
      <c r="A714" s="39"/>
      <c r="B714" s="42"/>
      <c r="C714" s="42"/>
      <c r="D714" s="75"/>
      <c r="E714" s="75"/>
      <c r="F714" s="76"/>
      <c r="G714" s="47"/>
      <c r="H714" s="47"/>
      <c r="I714" s="75"/>
      <c r="J714" s="76"/>
      <c r="K714" s="76"/>
      <c r="L714" s="75"/>
      <c r="M714" s="49"/>
      <c r="N714" s="76"/>
      <c r="O714" s="49"/>
      <c r="P714" s="77"/>
      <c r="Q714" s="53"/>
      <c r="R714" s="54"/>
      <c r="S714" s="55"/>
      <c r="T714" s="56"/>
      <c r="U714" s="56"/>
      <c r="V714" s="42"/>
      <c r="W714" s="57"/>
      <c r="X714" s="58"/>
      <c r="Y714" s="75"/>
      <c r="Z714" s="59"/>
      <c r="AA714" s="61"/>
      <c r="AB714" s="61"/>
      <c r="AC714" s="61"/>
      <c r="AD714" s="62"/>
      <c r="AE714" s="62"/>
      <c r="AF714" s="34"/>
      <c r="AG714" s="34"/>
      <c r="AH714" s="34"/>
      <c r="AI714" s="34"/>
      <c r="AJ714" s="34"/>
      <c r="AK714" s="34"/>
      <c r="AL714" s="34"/>
      <c r="AM714" s="34"/>
      <c r="AN714" s="34"/>
      <c r="AO714" s="34"/>
      <c r="AP714" s="34"/>
      <c r="AQ714" s="34"/>
      <c r="AR714" s="34"/>
      <c r="AS714" s="34"/>
      <c r="AT714" s="34"/>
      <c r="AU714" s="34"/>
      <c r="AV714" s="34"/>
      <c r="AW714" s="34"/>
      <c r="AX714" s="34"/>
      <c r="AY714" s="34"/>
      <c r="AZ714" s="34"/>
      <c r="BA714" s="34"/>
      <c r="BB714" s="34"/>
      <c r="BD714" s="34"/>
      <c r="BE714" s="34"/>
      <c r="BF714" s="34"/>
      <c r="BG714" s="34"/>
      <c r="BH714" s="34"/>
      <c r="BI714" s="34"/>
      <c r="BJ714" s="34"/>
      <c r="BK714" s="34"/>
      <c r="BL714" s="34"/>
      <c r="BM714" s="34"/>
      <c r="BN714" s="34"/>
      <c r="BO714" s="34"/>
      <c r="BP714" s="34"/>
      <c r="BQ714" s="34"/>
      <c r="BR714" s="34"/>
      <c r="BS714" s="34"/>
      <c r="BT714" s="34"/>
      <c r="BU714" s="34"/>
      <c r="BV714" s="34"/>
      <c r="BW714" s="34"/>
      <c r="BX714" s="34"/>
      <c r="BY714" s="34"/>
    </row>
    <row r="715" spans="1:77" x14ac:dyDescent="0.3">
      <c r="A715" s="39"/>
      <c r="B715" s="42"/>
      <c r="C715" s="42"/>
      <c r="D715" s="75"/>
      <c r="E715" s="75"/>
      <c r="F715" s="76"/>
      <c r="G715" s="47"/>
      <c r="H715" s="47"/>
      <c r="I715" s="75"/>
      <c r="J715" s="76"/>
      <c r="K715" s="76"/>
      <c r="L715" s="75"/>
      <c r="M715" s="49"/>
      <c r="N715" s="76"/>
      <c r="O715" s="49"/>
      <c r="P715" s="77"/>
      <c r="Q715" s="53"/>
      <c r="R715" s="54"/>
      <c r="S715" s="55"/>
      <c r="T715" s="56"/>
      <c r="U715" s="56"/>
      <c r="V715" s="42"/>
      <c r="W715" s="57"/>
      <c r="X715" s="58"/>
      <c r="Y715" s="75"/>
      <c r="Z715" s="59"/>
      <c r="AA715" s="61"/>
      <c r="AB715" s="61"/>
      <c r="AC715" s="61"/>
      <c r="AD715" s="62"/>
      <c r="AE715" s="62"/>
      <c r="AF715" s="34"/>
      <c r="AG715" s="34"/>
      <c r="AH715" s="34"/>
      <c r="AI715" s="34"/>
      <c r="AJ715" s="34"/>
      <c r="AK715" s="34"/>
      <c r="AL715" s="34"/>
      <c r="AM715" s="34"/>
      <c r="AN715" s="34"/>
      <c r="AO715" s="34"/>
      <c r="AP715" s="34"/>
      <c r="AQ715" s="34"/>
      <c r="AR715" s="34"/>
      <c r="AS715" s="34"/>
      <c r="AT715" s="34"/>
      <c r="AU715" s="34"/>
      <c r="AV715" s="34"/>
      <c r="AW715" s="34"/>
      <c r="AX715" s="34"/>
      <c r="AY715" s="34"/>
      <c r="AZ715" s="34"/>
      <c r="BA715" s="34"/>
      <c r="BB715" s="34"/>
      <c r="BD715" s="34"/>
      <c r="BE715" s="34"/>
      <c r="BF715" s="34"/>
      <c r="BG715" s="34"/>
      <c r="BH715" s="34"/>
      <c r="BI715" s="34"/>
      <c r="BJ715" s="34"/>
      <c r="BK715" s="34"/>
      <c r="BL715" s="34"/>
      <c r="BM715" s="34"/>
      <c r="BN715" s="34"/>
      <c r="BO715" s="34"/>
      <c r="BP715" s="34"/>
      <c r="BQ715" s="34"/>
      <c r="BR715" s="34"/>
      <c r="BS715" s="34"/>
      <c r="BT715" s="34"/>
      <c r="BU715" s="34"/>
      <c r="BV715" s="34"/>
      <c r="BW715" s="34"/>
      <c r="BX715" s="34"/>
      <c r="BY715" s="34"/>
    </row>
    <row r="716" spans="1:77" x14ac:dyDescent="0.3">
      <c r="A716" s="39"/>
      <c r="B716" s="42"/>
      <c r="C716" s="42"/>
      <c r="D716" s="75"/>
      <c r="E716" s="75"/>
      <c r="F716" s="76"/>
      <c r="G716" s="47"/>
      <c r="H716" s="47"/>
      <c r="I716" s="75"/>
      <c r="J716" s="76"/>
      <c r="K716" s="76"/>
      <c r="L716" s="75"/>
      <c r="M716" s="49"/>
      <c r="N716" s="76"/>
      <c r="O716" s="49"/>
      <c r="P716" s="77"/>
      <c r="Q716" s="53"/>
      <c r="R716" s="54"/>
      <c r="S716" s="55"/>
      <c r="T716" s="56"/>
      <c r="U716" s="56"/>
      <c r="V716" s="42"/>
      <c r="W716" s="57"/>
      <c r="X716" s="58"/>
      <c r="Y716" s="75"/>
      <c r="Z716" s="59"/>
      <c r="AA716" s="61"/>
      <c r="AB716" s="61"/>
      <c r="AC716" s="61"/>
      <c r="AD716" s="62"/>
      <c r="AE716" s="62"/>
      <c r="AF716" s="34"/>
      <c r="AG716" s="34"/>
      <c r="AH716" s="34"/>
      <c r="AI716" s="34"/>
      <c r="AJ716" s="34"/>
      <c r="AK716" s="34"/>
      <c r="AL716" s="34"/>
      <c r="AM716" s="34"/>
      <c r="AN716" s="34"/>
      <c r="AO716" s="34"/>
      <c r="AP716" s="34"/>
      <c r="AQ716" s="34"/>
      <c r="AR716" s="34"/>
      <c r="AS716" s="34"/>
      <c r="AT716" s="34"/>
      <c r="AU716" s="34"/>
      <c r="AV716" s="34"/>
      <c r="AW716" s="34"/>
      <c r="AX716" s="34"/>
      <c r="AY716" s="34"/>
      <c r="AZ716" s="34"/>
      <c r="BA716" s="34"/>
      <c r="BB716" s="34"/>
      <c r="BD716" s="34"/>
      <c r="BE716" s="34"/>
      <c r="BF716" s="34"/>
      <c r="BG716" s="34"/>
      <c r="BH716" s="34"/>
      <c r="BI716" s="34"/>
      <c r="BJ716" s="34"/>
      <c r="BK716" s="34"/>
      <c r="BL716" s="34"/>
      <c r="BM716" s="34"/>
      <c r="BN716" s="34"/>
      <c r="BO716" s="34"/>
      <c r="BP716" s="34"/>
      <c r="BQ716" s="34"/>
      <c r="BR716" s="34"/>
      <c r="BS716" s="34"/>
      <c r="BT716" s="34"/>
      <c r="BU716" s="34"/>
      <c r="BV716" s="34"/>
      <c r="BW716" s="34"/>
      <c r="BX716" s="34"/>
      <c r="BY716" s="34"/>
    </row>
    <row r="717" spans="1:77" x14ac:dyDescent="0.3">
      <c r="A717" s="39"/>
      <c r="B717" s="42"/>
      <c r="C717" s="42"/>
      <c r="D717" s="75"/>
      <c r="E717" s="75"/>
      <c r="F717" s="76"/>
      <c r="G717" s="47"/>
      <c r="H717" s="47"/>
      <c r="I717" s="75"/>
      <c r="J717" s="76"/>
      <c r="K717" s="76"/>
      <c r="L717" s="75"/>
      <c r="M717" s="49"/>
      <c r="N717" s="76"/>
      <c r="O717" s="49"/>
      <c r="P717" s="77"/>
      <c r="Q717" s="53"/>
      <c r="R717" s="54"/>
      <c r="S717" s="55"/>
      <c r="T717" s="56"/>
      <c r="U717" s="56"/>
      <c r="V717" s="42"/>
      <c r="W717" s="57"/>
      <c r="X717" s="58"/>
      <c r="Y717" s="75"/>
      <c r="Z717" s="59"/>
      <c r="AA717" s="61"/>
      <c r="AB717" s="61"/>
      <c r="AC717" s="61"/>
      <c r="AD717" s="62"/>
      <c r="AE717" s="62"/>
      <c r="AF717" s="34"/>
      <c r="AG717" s="34"/>
      <c r="AH717" s="34"/>
      <c r="AI717" s="34"/>
      <c r="AJ717" s="34"/>
      <c r="AK717" s="34"/>
      <c r="AL717" s="34"/>
      <c r="AM717" s="34"/>
      <c r="AN717" s="34"/>
      <c r="AO717" s="34"/>
      <c r="AP717" s="34"/>
      <c r="AQ717" s="34"/>
      <c r="AR717" s="34"/>
      <c r="AS717" s="34"/>
      <c r="AT717" s="34"/>
      <c r="AU717" s="34"/>
      <c r="AV717" s="34"/>
      <c r="AW717" s="34"/>
      <c r="AX717" s="34"/>
      <c r="AY717" s="34"/>
      <c r="AZ717" s="34"/>
      <c r="BA717" s="34"/>
      <c r="BB717" s="34"/>
      <c r="BD717" s="34"/>
      <c r="BE717" s="34"/>
      <c r="BF717" s="34"/>
      <c r="BG717" s="34"/>
      <c r="BH717" s="34"/>
      <c r="BI717" s="34"/>
      <c r="BJ717" s="34"/>
      <c r="BK717" s="34"/>
      <c r="BL717" s="34"/>
      <c r="BM717" s="34"/>
      <c r="BN717" s="34"/>
      <c r="BO717" s="34"/>
      <c r="BP717" s="34"/>
      <c r="BQ717" s="34"/>
      <c r="BR717" s="34"/>
      <c r="BS717" s="34"/>
      <c r="BT717" s="34"/>
      <c r="BU717" s="34"/>
      <c r="BV717" s="34"/>
      <c r="BW717" s="34"/>
      <c r="BX717" s="34"/>
      <c r="BY717" s="34"/>
    </row>
    <row r="718" spans="1:77" x14ac:dyDescent="0.3">
      <c r="A718" s="39"/>
      <c r="B718" s="42"/>
      <c r="C718" s="42"/>
      <c r="D718" s="75"/>
      <c r="E718" s="75"/>
      <c r="F718" s="76"/>
      <c r="G718" s="47"/>
      <c r="H718" s="47"/>
      <c r="I718" s="75"/>
      <c r="J718" s="76"/>
      <c r="K718" s="76"/>
      <c r="L718" s="75"/>
      <c r="M718" s="49"/>
      <c r="N718" s="76"/>
      <c r="O718" s="49"/>
      <c r="P718" s="77"/>
      <c r="Q718" s="53"/>
      <c r="R718" s="54"/>
      <c r="S718" s="55"/>
      <c r="T718" s="56"/>
      <c r="U718" s="56"/>
      <c r="V718" s="42"/>
      <c r="W718" s="57"/>
      <c r="X718" s="58"/>
      <c r="Y718" s="75"/>
      <c r="Z718" s="59"/>
      <c r="AA718" s="61"/>
      <c r="AB718" s="61"/>
      <c r="AC718" s="61"/>
      <c r="AD718" s="62"/>
      <c r="AE718" s="62"/>
      <c r="AF718" s="34"/>
      <c r="AG718" s="34"/>
      <c r="AH718" s="34"/>
      <c r="AI718" s="34"/>
      <c r="AJ718" s="34"/>
      <c r="AK718" s="34"/>
      <c r="AL718" s="34"/>
      <c r="AM718" s="34"/>
      <c r="AN718" s="34"/>
      <c r="AO718" s="34"/>
      <c r="AP718" s="34"/>
      <c r="AQ718" s="34"/>
      <c r="AR718" s="34"/>
      <c r="AS718" s="34"/>
      <c r="AT718" s="34"/>
      <c r="AU718" s="34"/>
      <c r="AV718" s="34"/>
      <c r="AW718" s="34"/>
      <c r="AX718" s="34"/>
      <c r="AY718" s="34"/>
      <c r="AZ718" s="34"/>
      <c r="BA718" s="34"/>
      <c r="BB718" s="34"/>
      <c r="BD718" s="34"/>
      <c r="BE718" s="34"/>
      <c r="BF718" s="34"/>
      <c r="BG718" s="34"/>
      <c r="BH718" s="34"/>
      <c r="BI718" s="34"/>
      <c r="BJ718" s="34"/>
      <c r="BK718" s="34"/>
      <c r="BL718" s="34"/>
      <c r="BM718" s="34"/>
      <c r="BN718" s="34"/>
      <c r="BO718" s="34"/>
      <c r="BP718" s="34"/>
      <c r="BQ718" s="34"/>
      <c r="BR718" s="34"/>
      <c r="BS718" s="34"/>
      <c r="BT718" s="34"/>
      <c r="BU718" s="34"/>
      <c r="BV718" s="34"/>
      <c r="BW718" s="34"/>
      <c r="BX718" s="34"/>
      <c r="BY718" s="34"/>
    </row>
    <row r="719" spans="1:77" x14ac:dyDescent="0.3">
      <c r="A719" s="39"/>
      <c r="B719" s="42"/>
      <c r="C719" s="42"/>
      <c r="D719" s="75"/>
      <c r="E719" s="75"/>
      <c r="F719" s="76"/>
      <c r="G719" s="47"/>
      <c r="H719" s="47"/>
      <c r="I719" s="75"/>
      <c r="J719" s="76"/>
      <c r="K719" s="76"/>
      <c r="L719" s="75"/>
      <c r="M719" s="49"/>
      <c r="N719" s="76"/>
      <c r="O719" s="49"/>
      <c r="P719" s="77"/>
      <c r="Q719" s="53"/>
      <c r="R719" s="54"/>
      <c r="S719" s="55"/>
      <c r="T719" s="56"/>
      <c r="U719" s="56"/>
      <c r="V719" s="42"/>
      <c r="W719" s="57"/>
      <c r="X719" s="58"/>
      <c r="Y719" s="75"/>
      <c r="Z719" s="59"/>
      <c r="AA719" s="61"/>
      <c r="AB719" s="61"/>
      <c r="AC719" s="61"/>
      <c r="AD719" s="62"/>
      <c r="AE719" s="62"/>
      <c r="AF719" s="34"/>
      <c r="AG719" s="34"/>
      <c r="AH719" s="34"/>
      <c r="AI719" s="34"/>
      <c r="AJ719" s="34"/>
      <c r="AK719" s="34"/>
      <c r="AL719" s="34"/>
      <c r="AM719" s="34"/>
      <c r="AN719" s="34"/>
      <c r="AO719" s="34"/>
      <c r="AP719" s="34"/>
      <c r="AQ719" s="34"/>
      <c r="AR719" s="34"/>
      <c r="AS719" s="34"/>
      <c r="AT719" s="34"/>
      <c r="AU719" s="34"/>
      <c r="AV719" s="34"/>
      <c r="AW719" s="34"/>
      <c r="AX719" s="34"/>
      <c r="AY719" s="34"/>
      <c r="AZ719" s="34"/>
      <c r="BA719" s="34"/>
      <c r="BB719" s="34"/>
      <c r="BD719" s="34"/>
      <c r="BE719" s="34"/>
      <c r="BF719" s="34"/>
      <c r="BG719" s="34"/>
      <c r="BH719" s="34"/>
      <c r="BI719" s="34"/>
      <c r="BJ719" s="34"/>
      <c r="BK719" s="34"/>
      <c r="BL719" s="34"/>
      <c r="BM719" s="34"/>
      <c r="BN719" s="34"/>
      <c r="BO719" s="34"/>
      <c r="BP719" s="34"/>
      <c r="BQ719" s="34"/>
      <c r="BR719" s="34"/>
      <c r="BS719" s="34"/>
      <c r="BT719" s="34"/>
      <c r="BU719" s="34"/>
      <c r="BV719" s="34"/>
      <c r="BW719" s="34"/>
      <c r="BX719" s="34"/>
      <c r="BY719" s="34"/>
    </row>
    <row r="720" spans="1:77" x14ac:dyDescent="0.3">
      <c r="A720" s="39"/>
      <c r="B720" s="42"/>
      <c r="C720" s="42"/>
      <c r="D720" s="75"/>
      <c r="E720" s="75"/>
      <c r="F720" s="76"/>
      <c r="G720" s="47"/>
      <c r="H720" s="47"/>
      <c r="I720" s="75"/>
      <c r="J720" s="76"/>
      <c r="K720" s="76"/>
      <c r="L720" s="75"/>
      <c r="M720" s="49"/>
      <c r="N720" s="76"/>
      <c r="O720" s="49"/>
      <c r="P720" s="77"/>
      <c r="Q720" s="53"/>
      <c r="R720" s="54"/>
      <c r="S720" s="55"/>
      <c r="T720" s="56"/>
      <c r="U720" s="56"/>
      <c r="V720" s="42"/>
      <c r="W720" s="57"/>
      <c r="X720" s="58"/>
      <c r="Y720" s="75"/>
      <c r="Z720" s="59"/>
      <c r="AA720" s="61"/>
      <c r="AB720" s="61"/>
      <c r="AC720" s="61"/>
      <c r="AD720" s="62"/>
      <c r="AE720" s="62"/>
      <c r="AF720" s="34"/>
      <c r="AG720" s="34"/>
      <c r="AH720" s="34"/>
      <c r="AI720" s="34"/>
      <c r="AJ720" s="34"/>
      <c r="AK720" s="34"/>
      <c r="AL720" s="34"/>
      <c r="AM720" s="34"/>
      <c r="AN720" s="34"/>
      <c r="AO720" s="34"/>
      <c r="AP720" s="34"/>
      <c r="AQ720" s="34"/>
      <c r="AR720" s="34"/>
      <c r="AS720" s="34"/>
      <c r="AT720" s="34"/>
      <c r="AU720" s="34"/>
      <c r="AV720" s="34"/>
      <c r="AW720" s="34"/>
      <c r="AX720" s="34"/>
      <c r="AY720" s="34"/>
      <c r="AZ720" s="34"/>
      <c r="BA720" s="34"/>
      <c r="BB720" s="34"/>
      <c r="BD720" s="34"/>
      <c r="BE720" s="34"/>
      <c r="BF720" s="34"/>
      <c r="BG720" s="34"/>
      <c r="BH720" s="34"/>
      <c r="BI720" s="34"/>
      <c r="BJ720" s="34"/>
      <c r="BK720" s="34"/>
      <c r="BL720" s="34"/>
      <c r="BM720" s="34"/>
      <c r="BN720" s="34"/>
      <c r="BO720" s="34"/>
      <c r="BP720" s="34"/>
      <c r="BQ720" s="34"/>
      <c r="BR720" s="34"/>
      <c r="BS720" s="34"/>
      <c r="BT720" s="34"/>
      <c r="BU720" s="34"/>
      <c r="BV720" s="34"/>
      <c r="BW720" s="34"/>
      <c r="BX720" s="34"/>
      <c r="BY720" s="34"/>
    </row>
    <row r="721" spans="1:77" x14ac:dyDescent="0.3">
      <c r="A721" s="39"/>
      <c r="B721" s="42"/>
      <c r="C721" s="42"/>
      <c r="D721" s="75"/>
      <c r="E721" s="75"/>
      <c r="F721" s="76"/>
      <c r="G721" s="47"/>
      <c r="H721" s="47"/>
      <c r="I721" s="75"/>
      <c r="J721" s="76"/>
      <c r="K721" s="76"/>
      <c r="L721" s="75"/>
      <c r="M721" s="49"/>
      <c r="N721" s="76"/>
      <c r="O721" s="49"/>
      <c r="P721" s="77"/>
      <c r="Q721" s="53"/>
      <c r="R721" s="54"/>
      <c r="S721" s="55"/>
      <c r="T721" s="56"/>
      <c r="U721" s="56"/>
      <c r="V721" s="42"/>
      <c r="W721" s="57"/>
      <c r="X721" s="58"/>
      <c r="Y721" s="75"/>
      <c r="Z721" s="59"/>
      <c r="AA721" s="61"/>
      <c r="AB721" s="61"/>
      <c r="AC721" s="61"/>
      <c r="AD721" s="62"/>
      <c r="AE721" s="62"/>
      <c r="AF721" s="34"/>
      <c r="AG721" s="34"/>
      <c r="AH721" s="34"/>
      <c r="AI721" s="34"/>
      <c r="AJ721" s="34"/>
      <c r="AK721" s="34"/>
      <c r="AL721" s="34"/>
      <c r="AM721" s="34"/>
      <c r="AN721" s="34"/>
      <c r="AO721" s="34"/>
      <c r="AP721" s="34"/>
      <c r="AQ721" s="34"/>
      <c r="AR721" s="34"/>
      <c r="AS721" s="34"/>
      <c r="AT721" s="34"/>
      <c r="AU721" s="34"/>
      <c r="AV721" s="34"/>
      <c r="AW721" s="34"/>
      <c r="AX721" s="34"/>
      <c r="AY721" s="34"/>
      <c r="AZ721" s="34"/>
      <c r="BA721" s="34"/>
      <c r="BB721" s="34"/>
      <c r="BD721" s="34"/>
      <c r="BE721" s="34"/>
      <c r="BF721" s="34"/>
      <c r="BG721" s="34"/>
      <c r="BH721" s="34"/>
      <c r="BI721" s="34"/>
      <c r="BJ721" s="34"/>
      <c r="BK721" s="34"/>
      <c r="BL721" s="34"/>
      <c r="BM721" s="34"/>
      <c r="BN721" s="34"/>
      <c r="BO721" s="34"/>
      <c r="BP721" s="34"/>
      <c r="BQ721" s="34"/>
      <c r="BR721" s="34"/>
      <c r="BS721" s="34"/>
      <c r="BT721" s="34"/>
      <c r="BU721" s="34"/>
      <c r="BV721" s="34"/>
      <c r="BW721" s="34"/>
      <c r="BX721" s="34"/>
      <c r="BY721" s="34"/>
    </row>
    <row r="722" spans="1:77" x14ac:dyDescent="0.3">
      <c r="A722" s="39"/>
      <c r="B722" s="42"/>
      <c r="C722" s="42"/>
      <c r="D722" s="75"/>
      <c r="E722" s="75"/>
      <c r="F722" s="76"/>
      <c r="G722" s="47"/>
      <c r="H722" s="47"/>
      <c r="I722" s="75"/>
      <c r="J722" s="76"/>
      <c r="K722" s="76"/>
      <c r="L722" s="75"/>
      <c r="M722" s="49"/>
      <c r="N722" s="76"/>
      <c r="O722" s="49"/>
      <c r="P722" s="77"/>
      <c r="Q722" s="53"/>
      <c r="R722" s="54"/>
      <c r="S722" s="55"/>
      <c r="T722" s="56"/>
      <c r="U722" s="56"/>
      <c r="V722" s="42"/>
      <c r="W722" s="57"/>
      <c r="X722" s="58"/>
      <c r="Y722" s="75"/>
      <c r="Z722" s="59"/>
      <c r="AA722" s="61"/>
      <c r="AB722" s="61"/>
      <c r="AC722" s="61"/>
      <c r="AD722" s="62"/>
      <c r="AE722" s="62"/>
      <c r="AF722" s="34"/>
      <c r="AG722" s="34"/>
      <c r="AH722" s="34"/>
      <c r="AI722" s="34"/>
      <c r="AJ722" s="34"/>
      <c r="AK722" s="34"/>
      <c r="AL722" s="34"/>
      <c r="AM722" s="34"/>
      <c r="AN722" s="34"/>
      <c r="AO722" s="34"/>
      <c r="AP722" s="34"/>
      <c r="AQ722" s="34"/>
      <c r="AR722" s="34"/>
      <c r="AS722" s="34"/>
      <c r="AT722" s="34"/>
      <c r="AU722" s="34"/>
      <c r="AV722" s="34"/>
      <c r="AW722" s="34"/>
      <c r="AX722" s="34"/>
      <c r="AY722" s="34"/>
      <c r="AZ722" s="34"/>
      <c r="BA722" s="34"/>
      <c r="BB722" s="34"/>
      <c r="BD722" s="34"/>
      <c r="BE722" s="34"/>
      <c r="BF722" s="34"/>
      <c r="BG722" s="34"/>
      <c r="BH722" s="34"/>
      <c r="BI722" s="34"/>
      <c r="BJ722" s="34"/>
      <c r="BK722" s="34"/>
      <c r="BL722" s="34"/>
      <c r="BM722" s="34"/>
      <c r="BN722" s="34"/>
      <c r="BO722" s="34"/>
      <c r="BP722" s="34"/>
      <c r="BQ722" s="34"/>
      <c r="BR722" s="34"/>
      <c r="BS722" s="34"/>
      <c r="BT722" s="34"/>
      <c r="BU722" s="34"/>
      <c r="BV722" s="34"/>
      <c r="BW722" s="34"/>
      <c r="BX722" s="34"/>
      <c r="BY722" s="34"/>
    </row>
    <row r="723" spans="1:77" x14ac:dyDescent="0.3">
      <c r="A723" s="39"/>
      <c r="B723" s="42"/>
      <c r="C723" s="42"/>
      <c r="D723" s="75"/>
      <c r="E723" s="75"/>
      <c r="F723" s="76"/>
      <c r="G723" s="47"/>
      <c r="H723" s="47"/>
      <c r="I723" s="75"/>
      <c r="J723" s="76"/>
      <c r="K723" s="76"/>
      <c r="L723" s="75"/>
      <c r="M723" s="49"/>
      <c r="N723" s="76"/>
      <c r="O723" s="49"/>
      <c r="P723" s="77"/>
      <c r="Q723" s="53"/>
      <c r="R723" s="54"/>
      <c r="S723" s="55"/>
      <c r="T723" s="56"/>
      <c r="U723" s="56"/>
      <c r="V723" s="42"/>
      <c r="W723" s="57"/>
      <c r="X723" s="58"/>
      <c r="Y723" s="75"/>
      <c r="Z723" s="59"/>
      <c r="AA723" s="61"/>
      <c r="AB723" s="61"/>
      <c r="AC723" s="61"/>
      <c r="AD723" s="62"/>
      <c r="AE723" s="62"/>
      <c r="AF723" s="34"/>
      <c r="AG723" s="34"/>
      <c r="AH723" s="34"/>
      <c r="AI723" s="34"/>
      <c r="AJ723" s="34"/>
      <c r="AK723" s="34"/>
      <c r="AL723" s="34"/>
      <c r="AM723" s="34"/>
      <c r="AN723" s="34"/>
      <c r="AO723" s="34"/>
      <c r="AP723" s="34"/>
      <c r="AQ723" s="34"/>
      <c r="AR723" s="34"/>
      <c r="AS723" s="34"/>
      <c r="AT723" s="34"/>
      <c r="AU723" s="34"/>
      <c r="AV723" s="34"/>
      <c r="AW723" s="34"/>
      <c r="AX723" s="34"/>
      <c r="AY723" s="34"/>
      <c r="AZ723" s="34"/>
      <c r="BA723" s="34"/>
      <c r="BB723" s="34"/>
      <c r="BD723" s="34"/>
      <c r="BE723" s="34"/>
      <c r="BF723" s="34"/>
      <c r="BG723" s="34"/>
      <c r="BH723" s="34"/>
      <c r="BI723" s="34"/>
      <c r="BJ723" s="34"/>
      <c r="BK723" s="34"/>
      <c r="BL723" s="34"/>
      <c r="BM723" s="34"/>
      <c r="BN723" s="34"/>
      <c r="BO723" s="34"/>
      <c r="BP723" s="34"/>
      <c r="BQ723" s="34"/>
      <c r="BR723" s="34"/>
      <c r="BS723" s="34"/>
      <c r="BT723" s="34"/>
      <c r="BU723" s="34"/>
      <c r="BV723" s="34"/>
      <c r="BW723" s="34"/>
      <c r="BX723" s="34"/>
      <c r="BY723" s="34"/>
    </row>
    <row r="724" spans="1:77" x14ac:dyDescent="0.3">
      <c r="A724" s="39"/>
      <c r="B724" s="42"/>
      <c r="C724" s="42"/>
      <c r="D724" s="75"/>
      <c r="E724" s="75"/>
      <c r="F724" s="76"/>
      <c r="G724" s="47"/>
      <c r="H724" s="47"/>
      <c r="I724" s="75"/>
      <c r="J724" s="76"/>
      <c r="K724" s="76"/>
      <c r="L724" s="75"/>
      <c r="M724" s="49"/>
      <c r="N724" s="76"/>
      <c r="O724" s="49"/>
      <c r="P724" s="77"/>
      <c r="Q724" s="53"/>
      <c r="R724" s="54"/>
      <c r="S724" s="55"/>
      <c r="T724" s="56"/>
      <c r="U724" s="56"/>
      <c r="V724" s="42"/>
      <c r="W724" s="57"/>
      <c r="X724" s="58"/>
      <c r="Y724" s="75"/>
      <c r="Z724" s="59"/>
      <c r="AA724" s="61"/>
      <c r="AB724" s="61"/>
      <c r="AC724" s="61"/>
      <c r="AD724" s="62"/>
      <c r="AE724" s="62"/>
      <c r="AF724" s="34"/>
      <c r="AG724" s="34"/>
      <c r="AH724" s="34"/>
      <c r="AI724" s="34"/>
      <c r="AJ724" s="34"/>
      <c r="AK724" s="34"/>
      <c r="AL724" s="34"/>
      <c r="AM724" s="34"/>
      <c r="AN724" s="34"/>
      <c r="AO724" s="34"/>
      <c r="AP724" s="34"/>
      <c r="AQ724" s="34"/>
      <c r="AR724" s="34"/>
      <c r="AS724" s="34"/>
      <c r="AT724" s="34"/>
      <c r="AU724" s="34"/>
      <c r="AV724" s="34"/>
      <c r="AW724" s="34"/>
      <c r="AX724" s="34"/>
      <c r="AY724" s="34"/>
      <c r="AZ724" s="34"/>
      <c r="BA724" s="34"/>
      <c r="BB724" s="34"/>
      <c r="BD724" s="34"/>
      <c r="BE724" s="34"/>
      <c r="BF724" s="34"/>
      <c r="BG724" s="34"/>
      <c r="BH724" s="34"/>
      <c r="BI724" s="34"/>
      <c r="BJ724" s="34"/>
      <c r="BK724" s="34"/>
      <c r="BL724" s="34"/>
      <c r="BM724" s="34"/>
      <c r="BN724" s="34"/>
      <c r="BO724" s="34"/>
      <c r="BP724" s="34"/>
      <c r="BQ724" s="34"/>
      <c r="BR724" s="34"/>
      <c r="BS724" s="34"/>
      <c r="BT724" s="34"/>
      <c r="BU724" s="34"/>
      <c r="BV724" s="34"/>
      <c r="BW724" s="34"/>
      <c r="BX724" s="34"/>
      <c r="BY724" s="34"/>
    </row>
    <row r="725" spans="1:77" x14ac:dyDescent="0.3">
      <c r="A725" s="39"/>
      <c r="B725" s="42"/>
      <c r="C725" s="42"/>
      <c r="D725" s="75"/>
      <c r="E725" s="75"/>
      <c r="F725" s="76"/>
      <c r="G725" s="47"/>
      <c r="H725" s="47"/>
      <c r="I725" s="75"/>
      <c r="J725" s="76"/>
      <c r="K725" s="76"/>
      <c r="L725" s="75"/>
      <c r="M725" s="49"/>
      <c r="N725" s="76"/>
      <c r="O725" s="49"/>
      <c r="P725" s="77"/>
      <c r="Q725" s="53"/>
      <c r="R725" s="54"/>
      <c r="S725" s="55"/>
      <c r="T725" s="56"/>
      <c r="U725" s="56"/>
      <c r="V725" s="42"/>
      <c r="W725" s="57"/>
      <c r="X725" s="58"/>
      <c r="Y725" s="75"/>
      <c r="Z725" s="59"/>
      <c r="AA725" s="61"/>
      <c r="AB725" s="61"/>
      <c r="AC725" s="61"/>
      <c r="AD725" s="62"/>
      <c r="AE725" s="62"/>
      <c r="AF725" s="34"/>
      <c r="AG725" s="34"/>
      <c r="AH725" s="34"/>
      <c r="AI725" s="34"/>
      <c r="AJ725" s="34"/>
      <c r="AK725" s="34"/>
      <c r="AL725" s="34"/>
      <c r="AM725" s="34"/>
      <c r="AN725" s="34"/>
      <c r="AO725" s="34"/>
      <c r="AP725" s="34"/>
      <c r="AQ725" s="34"/>
      <c r="AR725" s="34"/>
      <c r="AS725" s="34"/>
      <c r="AT725" s="34"/>
      <c r="AU725" s="34"/>
      <c r="AV725" s="34"/>
      <c r="AW725" s="34"/>
      <c r="AX725" s="34"/>
      <c r="AY725" s="34"/>
      <c r="AZ725" s="34"/>
      <c r="BA725" s="34"/>
      <c r="BB725" s="34"/>
      <c r="BD725" s="34"/>
      <c r="BE725" s="34"/>
      <c r="BF725" s="34"/>
      <c r="BG725" s="34"/>
      <c r="BH725" s="34"/>
      <c r="BI725" s="34"/>
      <c r="BJ725" s="34"/>
      <c r="BK725" s="34"/>
      <c r="BL725" s="34"/>
      <c r="BM725" s="34"/>
      <c r="BN725" s="34"/>
      <c r="BO725" s="34"/>
      <c r="BP725" s="34"/>
      <c r="BQ725" s="34"/>
      <c r="BR725" s="34"/>
      <c r="BS725" s="34"/>
      <c r="BT725" s="34"/>
      <c r="BU725" s="34"/>
      <c r="BV725" s="34"/>
      <c r="BW725" s="34"/>
      <c r="BX725" s="34"/>
      <c r="BY725" s="34"/>
    </row>
    <row r="726" spans="1:77" x14ac:dyDescent="0.3">
      <c r="A726" s="39"/>
      <c r="B726" s="42"/>
      <c r="C726" s="42"/>
      <c r="D726" s="75"/>
      <c r="E726" s="75"/>
      <c r="F726" s="76"/>
      <c r="G726" s="47"/>
      <c r="H726" s="47"/>
      <c r="I726" s="75"/>
      <c r="J726" s="76"/>
      <c r="K726" s="76"/>
      <c r="L726" s="75"/>
      <c r="M726" s="49"/>
      <c r="N726" s="76"/>
      <c r="O726" s="49"/>
      <c r="P726" s="77"/>
      <c r="Q726" s="53"/>
      <c r="R726" s="54"/>
      <c r="S726" s="55"/>
      <c r="T726" s="56"/>
      <c r="U726" s="56"/>
      <c r="V726" s="42"/>
      <c r="W726" s="57"/>
      <c r="X726" s="58"/>
      <c r="Y726" s="75"/>
      <c r="Z726" s="59"/>
      <c r="AA726" s="61"/>
      <c r="AB726" s="61"/>
      <c r="AC726" s="61"/>
      <c r="AD726" s="62"/>
      <c r="AE726" s="62"/>
      <c r="AF726" s="34"/>
      <c r="AG726" s="34"/>
      <c r="AH726" s="34"/>
      <c r="AI726" s="34"/>
      <c r="AJ726" s="34"/>
      <c r="AK726" s="34"/>
      <c r="AL726" s="34"/>
      <c r="AM726" s="34"/>
      <c r="AN726" s="34"/>
      <c r="AO726" s="34"/>
      <c r="AP726" s="34"/>
      <c r="AQ726" s="34"/>
      <c r="AR726" s="34"/>
      <c r="AS726" s="34"/>
      <c r="AT726" s="34"/>
      <c r="AU726" s="34"/>
      <c r="AV726" s="34"/>
      <c r="AW726" s="34"/>
      <c r="AX726" s="34"/>
      <c r="AY726" s="34"/>
      <c r="AZ726" s="34"/>
      <c r="BA726" s="34"/>
      <c r="BB726" s="34"/>
      <c r="BD726" s="34"/>
      <c r="BE726" s="34"/>
      <c r="BF726" s="34"/>
      <c r="BG726" s="34"/>
      <c r="BH726" s="34"/>
      <c r="BI726" s="34"/>
      <c r="BJ726" s="34"/>
      <c r="BK726" s="34"/>
      <c r="BL726" s="34"/>
      <c r="BM726" s="34"/>
      <c r="BN726" s="34"/>
      <c r="BO726" s="34"/>
      <c r="BP726" s="34"/>
      <c r="BQ726" s="34"/>
      <c r="BR726" s="34"/>
      <c r="BS726" s="34"/>
      <c r="BT726" s="34"/>
      <c r="BU726" s="34"/>
      <c r="BV726" s="34"/>
      <c r="BW726" s="34"/>
      <c r="BX726" s="34"/>
      <c r="BY726" s="34"/>
    </row>
    <row r="727" spans="1:77" x14ac:dyDescent="0.3">
      <c r="A727" s="39"/>
      <c r="B727" s="42"/>
      <c r="C727" s="42"/>
      <c r="D727" s="75"/>
      <c r="E727" s="75"/>
      <c r="F727" s="76"/>
      <c r="G727" s="47"/>
      <c r="H727" s="47"/>
      <c r="I727" s="75"/>
      <c r="J727" s="76"/>
      <c r="K727" s="76"/>
      <c r="L727" s="75"/>
      <c r="M727" s="49"/>
      <c r="N727" s="76"/>
      <c r="O727" s="49"/>
      <c r="P727" s="77"/>
      <c r="Q727" s="53"/>
      <c r="R727" s="54"/>
      <c r="S727" s="55"/>
      <c r="T727" s="56"/>
      <c r="U727" s="56"/>
      <c r="V727" s="42"/>
      <c r="W727" s="57"/>
      <c r="X727" s="58"/>
      <c r="Y727" s="75"/>
      <c r="Z727" s="59"/>
      <c r="AA727" s="61"/>
      <c r="AB727" s="61"/>
      <c r="AC727" s="61"/>
      <c r="AD727" s="62"/>
      <c r="AE727" s="62"/>
      <c r="AF727" s="34"/>
      <c r="AG727" s="34"/>
      <c r="AH727" s="34"/>
      <c r="AI727" s="34"/>
      <c r="AJ727" s="34"/>
      <c r="AK727" s="34"/>
      <c r="AL727" s="34"/>
      <c r="AM727" s="34"/>
      <c r="AN727" s="34"/>
      <c r="AO727" s="34"/>
      <c r="AP727" s="34"/>
      <c r="AQ727" s="34"/>
      <c r="AR727" s="34"/>
      <c r="AS727" s="34"/>
      <c r="AT727" s="34"/>
      <c r="AU727" s="34"/>
      <c r="AV727" s="34"/>
      <c r="AW727" s="34"/>
      <c r="AX727" s="34"/>
      <c r="AY727" s="34"/>
      <c r="AZ727" s="34"/>
      <c r="BA727" s="34"/>
      <c r="BB727" s="34"/>
      <c r="BD727" s="34"/>
      <c r="BE727" s="34"/>
      <c r="BF727" s="34"/>
      <c r="BG727" s="34"/>
      <c r="BH727" s="34"/>
      <c r="BI727" s="34"/>
      <c r="BJ727" s="34"/>
      <c r="BK727" s="34"/>
      <c r="BL727" s="34"/>
      <c r="BM727" s="34"/>
      <c r="BN727" s="34"/>
      <c r="BO727" s="34"/>
      <c r="BP727" s="34"/>
      <c r="BQ727" s="34"/>
      <c r="BR727" s="34"/>
      <c r="BS727" s="34"/>
      <c r="BT727" s="34"/>
      <c r="BU727" s="34"/>
      <c r="BV727" s="34"/>
      <c r="BW727" s="34"/>
      <c r="BX727" s="34"/>
      <c r="BY727" s="34"/>
    </row>
    <row r="728" spans="1:77" x14ac:dyDescent="0.3">
      <c r="A728" s="39"/>
      <c r="B728" s="42"/>
      <c r="C728" s="42"/>
      <c r="D728" s="75"/>
      <c r="E728" s="75"/>
      <c r="F728" s="76"/>
      <c r="G728" s="47"/>
      <c r="H728" s="47"/>
      <c r="I728" s="75"/>
      <c r="J728" s="76"/>
      <c r="K728" s="76"/>
      <c r="L728" s="75"/>
      <c r="M728" s="49"/>
      <c r="N728" s="76"/>
      <c r="O728" s="49"/>
      <c r="P728" s="77"/>
      <c r="Q728" s="53"/>
      <c r="R728" s="54"/>
      <c r="S728" s="55"/>
      <c r="T728" s="56"/>
      <c r="U728" s="56"/>
      <c r="V728" s="42"/>
      <c r="W728" s="57"/>
      <c r="X728" s="58"/>
      <c r="Y728" s="75"/>
      <c r="Z728" s="59"/>
      <c r="AA728" s="61"/>
      <c r="AB728" s="61"/>
      <c r="AC728" s="61"/>
      <c r="AD728" s="62"/>
      <c r="AE728" s="62"/>
      <c r="AF728" s="34"/>
      <c r="AG728" s="34"/>
      <c r="AH728" s="34"/>
      <c r="AI728" s="34"/>
      <c r="AJ728" s="34"/>
      <c r="AK728" s="34"/>
      <c r="AL728" s="34"/>
      <c r="AM728" s="34"/>
      <c r="AN728" s="34"/>
      <c r="AO728" s="34"/>
      <c r="AP728" s="34"/>
      <c r="AQ728" s="34"/>
      <c r="AR728" s="34"/>
      <c r="AS728" s="34"/>
      <c r="AT728" s="34"/>
      <c r="AU728" s="34"/>
      <c r="AV728" s="34"/>
      <c r="AW728" s="34"/>
      <c r="AX728" s="34"/>
      <c r="AY728" s="34"/>
      <c r="AZ728" s="34"/>
      <c r="BA728" s="34"/>
      <c r="BB728" s="34"/>
      <c r="BD728" s="34"/>
      <c r="BE728" s="34"/>
      <c r="BF728" s="34"/>
      <c r="BG728" s="34"/>
      <c r="BH728" s="34"/>
      <c r="BI728" s="34"/>
      <c r="BJ728" s="34"/>
      <c r="BK728" s="34"/>
      <c r="BL728" s="34"/>
      <c r="BM728" s="34"/>
      <c r="BN728" s="34"/>
      <c r="BO728" s="34"/>
      <c r="BP728" s="34"/>
      <c r="BQ728" s="34"/>
      <c r="BR728" s="34"/>
      <c r="BS728" s="34"/>
      <c r="BT728" s="34"/>
      <c r="BU728" s="34"/>
      <c r="BV728" s="34"/>
      <c r="BW728" s="34"/>
      <c r="BX728" s="34"/>
      <c r="BY728" s="34"/>
    </row>
    <row r="729" spans="1:77" x14ac:dyDescent="0.3">
      <c r="A729" s="39"/>
      <c r="B729" s="42"/>
      <c r="C729" s="42"/>
      <c r="D729" s="75"/>
      <c r="E729" s="75"/>
      <c r="F729" s="76"/>
      <c r="G729" s="47"/>
      <c r="H729" s="47"/>
      <c r="I729" s="75"/>
      <c r="J729" s="76"/>
      <c r="K729" s="76"/>
      <c r="L729" s="75"/>
      <c r="M729" s="49"/>
      <c r="N729" s="76"/>
      <c r="O729" s="49"/>
      <c r="P729" s="77"/>
      <c r="Q729" s="53"/>
      <c r="R729" s="54"/>
      <c r="S729" s="55"/>
      <c r="T729" s="56"/>
      <c r="U729" s="56"/>
      <c r="V729" s="42"/>
      <c r="W729" s="57"/>
      <c r="X729" s="58"/>
      <c r="Y729" s="75"/>
      <c r="Z729" s="59"/>
      <c r="AA729" s="61"/>
      <c r="AB729" s="61"/>
      <c r="AC729" s="61"/>
      <c r="AD729" s="62"/>
      <c r="AE729" s="62"/>
      <c r="AF729" s="34"/>
      <c r="AG729" s="34"/>
      <c r="AH729" s="34"/>
      <c r="AI729" s="34"/>
      <c r="AJ729" s="34"/>
      <c r="AK729" s="34"/>
      <c r="AL729" s="34"/>
      <c r="AM729" s="34"/>
      <c r="AN729" s="34"/>
      <c r="AO729" s="34"/>
      <c r="AP729" s="34"/>
      <c r="AQ729" s="34"/>
      <c r="AR729" s="34"/>
      <c r="AS729" s="34"/>
      <c r="AT729" s="34"/>
      <c r="AU729" s="34"/>
      <c r="AV729" s="34"/>
      <c r="AW729" s="34"/>
      <c r="AX729" s="34"/>
      <c r="AY729" s="34"/>
      <c r="AZ729" s="34"/>
      <c r="BA729" s="34"/>
      <c r="BB729" s="34"/>
      <c r="BD729" s="34"/>
      <c r="BE729" s="34"/>
      <c r="BF729" s="34"/>
      <c r="BG729" s="34"/>
      <c r="BH729" s="34"/>
      <c r="BI729" s="34"/>
      <c r="BJ729" s="34"/>
      <c r="BK729" s="34"/>
      <c r="BL729" s="34"/>
      <c r="BM729" s="34"/>
      <c r="BN729" s="34"/>
      <c r="BO729" s="34"/>
      <c r="BP729" s="34"/>
      <c r="BQ729" s="34"/>
      <c r="BR729" s="34"/>
      <c r="BS729" s="34"/>
      <c r="BT729" s="34"/>
      <c r="BU729" s="34"/>
      <c r="BV729" s="34"/>
      <c r="BW729" s="34"/>
      <c r="BX729" s="34"/>
      <c r="BY729" s="34"/>
    </row>
    <row r="730" spans="1:77" x14ac:dyDescent="0.3">
      <c r="A730" s="39"/>
      <c r="B730" s="42"/>
      <c r="C730" s="42"/>
      <c r="D730" s="75"/>
      <c r="E730" s="75"/>
      <c r="F730" s="76"/>
      <c r="G730" s="47"/>
      <c r="H730" s="47"/>
      <c r="I730" s="75"/>
      <c r="J730" s="76"/>
      <c r="K730" s="76"/>
      <c r="L730" s="75"/>
      <c r="M730" s="49"/>
      <c r="N730" s="76"/>
      <c r="O730" s="49"/>
      <c r="P730" s="77"/>
      <c r="Q730" s="53"/>
      <c r="R730" s="54"/>
      <c r="S730" s="55"/>
      <c r="T730" s="56"/>
      <c r="U730" s="56"/>
      <c r="V730" s="42"/>
      <c r="W730" s="57"/>
      <c r="X730" s="58"/>
      <c r="Y730" s="75"/>
      <c r="Z730" s="59"/>
      <c r="AA730" s="61"/>
      <c r="AB730" s="61"/>
      <c r="AC730" s="61"/>
      <c r="AD730" s="62"/>
      <c r="AE730" s="62"/>
      <c r="AF730" s="34"/>
      <c r="AG730" s="34"/>
      <c r="AH730" s="34"/>
      <c r="AI730" s="34"/>
      <c r="AJ730" s="34"/>
      <c r="AK730" s="34"/>
      <c r="AL730" s="34"/>
      <c r="AM730" s="34"/>
      <c r="AN730" s="34"/>
      <c r="AO730" s="34"/>
      <c r="AP730" s="34"/>
      <c r="AQ730" s="34"/>
      <c r="AR730" s="34"/>
      <c r="AS730" s="34"/>
      <c r="AT730" s="34"/>
      <c r="AU730" s="34"/>
      <c r="AV730" s="34"/>
      <c r="AW730" s="34"/>
      <c r="AX730" s="34"/>
      <c r="AY730" s="34"/>
      <c r="AZ730" s="34"/>
      <c r="BA730" s="34"/>
      <c r="BB730" s="34"/>
      <c r="BD730" s="34"/>
      <c r="BE730" s="34"/>
      <c r="BF730" s="34"/>
      <c r="BG730" s="34"/>
      <c r="BH730" s="34"/>
      <c r="BI730" s="34"/>
      <c r="BJ730" s="34"/>
      <c r="BK730" s="34"/>
      <c r="BL730" s="34"/>
      <c r="BM730" s="34"/>
      <c r="BN730" s="34"/>
      <c r="BO730" s="34"/>
      <c r="BP730" s="34"/>
      <c r="BQ730" s="34"/>
      <c r="BR730" s="34"/>
      <c r="BS730" s="34"/>
      <c r="BT730" s="34"/>
      <c r="BU730" s="34"/>
      <c r="BV730" s="34"/>
      <c r="BW730" s="34"/>
      <c r="BX730" s="34"/>
      <c r="BY730" s="34"/>
    </row>
    <row r="731" spans="1:77" x14ac:dyDescent="0.3">
      <c r="A731" s="39"/>
      <c r="B731" s="42"/>
      <c r="C731" s="42"/>
      <c r="D731" s="75"/>
      <c r="E731" s="75"/>
      <c r="F731" s="76"/>
      <c r="G731" s="47"/>
      <c r="H731" s="47"/>
      <c r="I731" s="75"/>
      <c r="J731" s="76"/>
      <c r="K731" s="76"/>
      <c r="L731" s="75"/>
      <c r="M731" s="49"/>
      <c r="N731" s="76"/>
      <c r="O731" s="49"/>
      <c r="P731" s="77"/>
      <c r="Q731" s="53"/>
      <c r="R731" s="54"/>
      <c r="S731" s="55"/>
      <c r="T731" s="56"/>
      <c r="U731" s="56"/>
      <c r="V731" s="42"/>
      <c r="W731" s="57"/>
      <c r="X731" s="58"/>
      <c r="Y731" s="75"/>
      <c r="Z731" s="59"/>
      <c r="AA731" s="61"/>
      <c r="AB731" s="61"/>
      <c r="AC731" s="61"/>
      <c r="AD731" s="62"/>
      <c r="AE731" s="62"/>
      <c r="AF731" s="34"/>
      <c r="AG731" s="34"/>
      <c r="AH731" s="34"/>
      <c r="AI731" s="34"/>
      <c r="AJ731" s="34"/>
      <c r="AK731" s="34"/>
      <c r="AL731" s="34"/>
      <c r="AM731" s="34"/>
      <c r="AN731" s="34"/>
      <c r="AO731" s="34"/>
      <c r="AP731" s="34"/>
      <c r="AQ731" s="34"/>
      <c r="AR731" s="34"/>
      <c r="AS731" s="34"/>
      <c r="AT731" s="34"/>
      <c r="AU731" s="34"/>
      <c r="AV731" s="34"/>
      <c r="AW731" s="34"/>
      <c r="AX731" s="34"/>
      <c r="AY731" s="34"/>
      <c r="AZ731" s="34"/>
      <c r="BA731" s="34"/>
      <c r="BB731" s="34"/>
      <c r="BD731" s="34"/>
      <c r="BE731" s="34"/>
      <c r="BF731" s="34"/>
      <c r="BG731" s="34"/>
      <c r="BH731" s="34"/>
      <c r="BI731" s="34"/>
      <c r="BJ731" s="34"/>
      <c r="BK731" s="34"/>
      <c r="BL731" s="34"/>
      <c r="BM731" s="34"/>
      <c r="BN731" s="34"/>
      <c r="BO731" s="34"/>
      <c r="BP731" s="34"/>
      <c r="BQ731" s="34"/>
      <c r="BR731" s="34"/>
      <c r="BS731" s="34"/>
      <c r="BT731" s="34"/>
      <c r="BU731" s="34"/>
      <c r="BV731" s="34"/>
      <c r="BW731" s="34"/>
      <c r="BX731" s="34"/>
      <c r="BY731" s="34"/>
    </row>
    <row r="732" spans="1:77" x14ac:dyDescent="0.3">
      <c r="A732" s="39"/>
      <c r="B732" s="42"/>
      <c r="C732" s="42"/>
      <c r="D732" s="75"/>
      <c r="E732" s="75"/>
      <c r="F732" s="76"/>
      <c r="G732" s="47"/>
      <c r="H732" s="47"/>
      <c r="I732" s="75"/>
      <c r="J732" s="76"/>
      <c r="K732" s="76"/>
      <c r="L732" s="75"/>
      <c r="M732" s="49"/>
      <c r="N732" s="76"/>
      <c r="O732" s="49"/>
      <c r="P732" s="77"/>
      <c r="Q732" s="53"/>
      <c r="R732" s="54"/>
      <c r="S732" s="55"/>
      <c r="T732" s="56"/>
      <c r="U732" s="56"/>
      <c r="V732" s="42"/>
      <c r="W732" s="57"/>
      <c r="X732" s="58"/>
      <c r="Y732" s="75"/>
      <c r="Z732" s="59"/>
      <c r="AA732" s="61"/>
      <c r="AB732" s="61"/>
      <c r="AC732" s="61"/>
      <c r="AD732" s="62"/>
      <c r="AE732" s="62"/>
      <c r="AF732" s="34"/>
      <c r="AG732" s="34"/>
      <c r="AH732" s="34"/>
      <c r="AI732" s="34"/>
      <c r="AJ732" s="34"/>
      <c r="AK732" s="34"/>
      <c r="AL732" s="34"/>
      <c r="AM732" s="34"/>
      <c r="AN732" s="34"/>
      <c r="AO732" s="34"/>
      <c r="AP732" s="34"/>
      <c r="AQ732" s="34"/>
      <c r="AR732" s="34"/>
      <c r="AS732" s="34"/>
      <c r="AT732" s="34"/>
      <c r="AU732" s="34"/>
      <c r="AV732" s="34"/>
      <c r="AW732" s="34"/>
      <c r="AX732" s="34"/>
      <c r="AY732" s="34"/>
      <c r="AZ732" s="34"/>
      <c r="BA732" s="34"/>
      <c r="BB732" s="34"/>
      <c r="BD732" s="34"/>
      <c r="BE732" s="34"/>
      <c r="BF732" s="34"/>
      <c r="BG732" s="34"/>
      <c r="BH732" s="34"/>
      <c r="BI732" s="34"/>
      <c r="BJ732" s="34"/>
      <c r="BK732" s="34"/>
      <c r="BL732" s="34"/>
      <c r="BM732" s="34"/>
      <c r="BN732" s="34"/>
      <c r="BO732" s="34"/>
      <c r="BP732" s="34"/>
      <c r="BQ732" s="34"/>
      <c r="BR732" s="34"/>
      <c r="BS732" s="34"/>
      <c r="BT732" s="34"/>
      <c r="BU732" s="34"/>
      <c r="BV732" s="34"/>
      <c r="BW732" s="34"/>
      <c r="BX732" s="34"/>
      <c r="BY732" s="34"/>
    </row>
    <row r="733" spans="1:77" x14ac:dyDescent="0.3">
      <c r="A733" s="39"/>
      <c r="B733" s="42"/>
      <c r="C733" s="42"/>
      <c r="D733" s="75"/>
      <c r="E733" s="75"/>
      <c r="F733" s="76"/>
      <c r="G733" s="47"/>
      <c r="H733" s="47"/>
      <c r="I733" s="75"/>
      <c r="J733" s="76"/>
      <c r="K733" s="76"/>
      <c r="L733" s="75"/>
      <c r="M733" s="49"/>
      <c r="N733" s="76"/>
      <c r="O733" s="49"/>
      <c r="P733" s="77"/>
      <c r="Q733" s="53"/>
      <c r="R733" s="54"/>
      <c r="S733" s="55"/>
      <c r="T733" s="56"/>
      <c r="U733" s="56"/>
      <c r="V733" s="42"/>
      <c r="W733" s="57"/>
      <c r="X733" s="58"/>
      <c r="Y733" s="75"/>
      <c r="Z733" s="59"/>
      <c r="AA733" s="61"/>
      <c r="AB733" s="61"/>
      <c r="AC733" s="61"/>
      <c r="AD733" s="62"/>
      <c r="AE733" s="62"/>
      <c r="AF733" s="34"/>
      <c r="AG733" s="34"/>
      <c r="AH733" s="34"/>
      <c r="AI733" s="34"/>
      <c r="AJ733" s="34"/>
      <c r="AK733" s="34"/>
      <c r="AL733" s="34"/>
      <c r="AM733" s="34"/>
      <c r="AN733" s="34"/>
      <c r="AO733" s="34"/>
      <c r="AP733" s="34"/>
      <c r="AQ733" s="34"/>
      <c r="AR733" s="34"/>
      <c r="AS733" s="34"/>
      <c r="AT733" s="34"/>
      <c r="AU733" s="34"/>
      <c r="AV733" s="34"/>
      <c r="AW733" s="34"/>
      <c r="AX733" s="34"/>
      <c r="AY733" s="34"/>
      <c r="AZ733" s="34"/>
      <c r="BA733" s="34"/>
      <c r="BB733" s="34"/>
      <c r="BD733" s="34"/>
      <c r="BE733" s="34"/>
      <c r="BF733" s="34"/>
      <c r="BG733" s="34"/>
      <c r="BH733" s="34"/>
      <c r="BI733" s="34"/>
      <c r="BJ733" s="34"/>
      <c r="BK733" s="34"/>
      <c r="BL733" s="34"/>
      <c r="BM733" s="34"/>
      <c r="BN733" s="34"/>
      <c r="BO733" s="34"/>
      <c r="BP733" s="34"/>
      <c r="BQ733" s="34"/>
      <c r="BR733" s="34"/>
      <c r="BS733" s="34"/>
      <c r="BT733" s="34"/>
      <c r="BU733" s="34"/>
      <c r="BV733" s="34"/>
      <c r="BW733" s="34"/>
      <c r="BX733" s="34"/>
      <c r="BY733" s="34"/>
    </row>
    <row r="734" spans="1:77" x14ac:dyDescent="0.3">
      <c r="A734" s="39"/>
      <c r="B734" s="42"/>
      <c r="C734" s="42"/>
      <c r="D734" s="75"/>
      <c r="E734" s="75"/>
      <c r="F734" s="76"/>
      <c r="G734" s="47"/>
      <c r="H734" s="47"/>
      <c r="I734" s="75"/>
      <c r="J734" s="76"/>
      <c r="K734" s="76"/>
      <c r="L734" s="75"/>
      <c r="M734" s="49"/>
      <c r="N734" s="76"/>
      <c r="O734" s="49"/>
      <c r="P734" s="77"/>
      <c r="Q734" s="53"/>
      <c r="R734" s="54"/>
      <c r="S734" s="55"/>
      <c r="T734" s="56"/>
      <c r="U734" s="56"/>
      <c r="V734" s="42"/>
      <c r="W734" s="57"/>
      <c r="X734" s="58"/>
      <c r="Y734" s="75"/>
      <c r="Z734" s="59"/>
      <c r="AA734" s="61"/>
      <c r="AB734" s="61"/>
      <c r="AC734" s="61"/>
      <c r="AD734" s="62"/>
      <c r="AE734" s="62"/>
      <c r="AF734" s="34"/>
      <c r="AG734" s="34"/>
      <c r="AH734" s="34"/>
      <c r="AI734" s="34"/>
      <c r="AJ734" s="34"/>
      <c r="AK734" s="34"/>
      <c r="AL734" s="34"/>
      <c r="AM734" s="34"/>
      <c r="AN734" s="34"/>
      <c r="AO734" s="34"/>
      <c r="AP734" s="34"/>
      <c r="AQ734" s="34"/>
      <c r="AR734" s="34"/>
      <c r="AS734" s="34"/>
      <c r="AT734" s="34"/>
      <c r="AU734" s="34"/>
      <c r="AV734" s="34"/>
      <c r="AW734" s="34"/>
      <c r="AX734" s="34"/>
      <c r="AY734" s="34"/>
      <c r="AZ734" s="34"/>
      <c r="BA734" s="34"/>
      <c r="BB734" s="34"/>
      <c r="BD734" s="34"/>
      <c r="BE734" s="34"/>
      <c r="BF734" s="34"/>
      <c r="BG734" s="34"/>
      <c r="BH734" s="34"/>
      <c r="BI734" s="34"/>
      <c r="BJ734" s="34"/>
      <c r="BK734" s="34"/>
      <c r="BL734" s="34"/>
      <c r="BM734" s="34"/>
      <c r="BN734" s="34"/>
      <c r="BO734" s="34"/>
      <c r="BP734" s="34"/>
      <c r="BQ734" s="34"/>
      <c r="BR734" s="34"/>
      <c r="BS734" s="34"/>
      <c r="BT734" s="34"/>
      <c r="BU734" s="34"/>
      <c r="BV734" s="34"/>
      <c r="BW734" s="34"/>
      <c r="BX734" s="34"/>
      <c r="BY734" s="34"/>
    </row>
    <row r="735" spans="1:77" x14ac:dyDescent="0.3">
      <c r="A735" s="39"/>
      <c r="B735" s="42"/>
      <c r="C735" s="42"/>
      <c r="D735" s="75"/>
      <c r="E735" s="75"/>
      <c r="F735" s="76"/>
      <c r="G735" s="47"/>
      <c r="H735" s="47"/>
      <c r="I735" s="75"/>
      <c r="J735" s="76"/>
      <c r="K735" s="76"/>
      <c r="L735" s="75"/>
      <c r="M735" s="49"/>
      <c r="N735" s="76"/>
      <c r="O735" s="49"/>
      <c r="P735" s="77"/>
      <c r="Q735" s="53"/>
      <c r="R735" s="54"/>
      <c r="S735" s="55"/>
      <c r="T735" s="56"/>
      <c r="U735" s="56"/>
      <c r="V735" s="42"/>
      <c r="W735" s="57"/>
      <c r="X735" s="58"/>
      <c r="Y735" s="75"/>
      <c r="Z735" s="59"/>
      <c r="AA735" s="61"/>
      <c r="AB735" s="61"/>
      <c r="AC735" s="61"/>
      <c r="AD735" s="62"/>
      <c r="AE735" s="62"/>
      <c r="AF735" s="34"/>
      <c r="AG735" s="34"/>
      <c r="AH735" s="34"/>
      <c r="AI735" s="34"/>
      <c r="AJ735" s="34"/>
      <c r="AK735" s="34"/>
      <c r="AL735" s="34"/>
      <c r="AM735" s="34"/>
      <c r="AN735" s="34"/>
      <c r="AO735" s="34"/>
      <c r="AP735" s="34"/>
      <c r="AQ735" s="34"/>
      <c r="AR735" s="34"/>
      <c r="AS735" s="34"/>
      <c r="AT735" s="34"/>
      <c r="AU735" s="34"/>
      <c r="AV735" s="34"/>
      <c r="AW735" s="34"/>
      <c r="AX735" s="34"/>
      <c r="AY735" s="34"/>
      <c r="AZ735" s="34"/>
      <c r="BA735" s="34"/>
      <c r="BB735" s="34"/>
      <c r="BD735" s="34"/>
      <c r="BE735" s="34"/>
      <c r="BF735" s="34"/>
      <c r="BG735" s="34"/>
      <c r="BH735" s="34"/>
      <c r="BI735" s="34"/>
      <c r="BJ735" s="34"/>
      <c r="BK735" s="34"/>
      <c r="BL735" s="34"/>
      <c r="BM735" s="34"/>
      <c r="BN735" s="34"/>
      <c r="BO735" s="34"/>
      <c r="BP735" s="34"/>
      <c r="BQ735" s="34"/>
      <c r="BR735" s="34"/>
      <c r="BS735" s="34"/>
      <c r="BT735" s="34"/>
      <c r="BU735" s="34"/>
      <c r="BV735" s="34"/>
      <c r="BW735" s="34"/>
      <c r="BX735" s="34"/>
      <c r="BY735" s="34"/>
    </row>
    <row r="736" spans="1:77" x14ac:dyDescent="0.3">
      <c r="A736" s="39"/>
      <c r="B736" s="42"/>
      <c r="C736" s="42"/>
      <c r="D736" s="75"/>
      <c r="E736" s="75"/>
      <c r="F736" s="76"/>
      <c r="G736" s="47"/>
      <c r="H736" s="47"/>
      <c r="I736" s="75"/>
      <c r="J736" s="76"/>
      <c r="K736" s="76"/>
      <c r="L736" s="75"/>
      <c r="M736" s="49"/>
      <c r="N736" s="76"/>
      <c r="O736" s="49"/>
      <c r="P736" s="77"/>
      <c r="Q736" s="53"/>
      <c r="R736" s="54"/>
      <c r="S736" s="55"/>
      <c r="T736" s="56"/>
      <c r="U736" s="56"/>
      <c r="V736" s="42"/>
      <c r="W736" s="57"/>
      <c r="X736" s="58"/>
      <c r="Y736" s="75"/>
      <c r="Z736" s="59"/>
      <c r="AA736" s="61"/>
      <c r="AB736" s="61"/>
      <c r="AC736" s="61"/>
      <c r="AD736" s="62"/>
      <c r="AE736" s="62"/>
      <c r="AF736" s="34"/>
      <c r="AG736" s="34"/>
      <c r="AH736" s="34"/>
      <c r="AI736" s="34"/>
      <c r="AJ736" s="34"/>
      <c r="AK736" s="34"/>
      <c r="AL736" s="34"/>
      <c r="AM736" s="34"/>
      <c r="AN736" s="34"/>
      <c r="AO736" s="34"/>
      <c r="AP736" s="34"/>
      <c r="AQ736" s="34"/>
      <c r="AR736" s="34"/>
      <c r="AS736" s="34"/>
      <c r="AT736" s="34"/>
      <c r="AU736" s="34"/>
      <c r="AV736" s="34"/>
      <c r="AW736" s="34"/>
      <c r="AX736" s="34"/>
      <c r="AY736" s="34"/>
      <c r="AZ736" s="34"/>
      <c r="BA736" s="34"/>
      <c r="BB736" s="34"/>
      <c r="BD736" s="34"/>
      <c r="BE736" s="34"/>
      <c r="BF736" s="34"/>
      <c r="BG736" s="34"/>
      <c r="BH736" s="34"/>
      <c r="BI736" s="34"/>
      <c r="BJ736" s="34"/>
      <c r="BK736" s="34"/>
      <c r="BL736" s="34"/>
      <c r="BM736" s="34"/>
      <c r="BN736" s="34"/>
      <c r="BO736" s="34"/>
      <c r="BP736" s="34"/>
      <c r="BQ736" s="34"/>
      <c r="BR736" s="34"/>
      <c r="BS736" s="34"/>
      <c r="BT736" s="34"/>
      <c r="BU736" s="34"/>
      <c r="BV736" s="34"/>
      <c r="BW736" s="34"/>
      <c r="BX736" s="34"/>
      <c r="BY736" s="34"/>
    </row>
    <row r="737" spans="1:77" x14ac:dyDescent="0.3">
      <c r="A737" s="39"/>
      <c r="B737" s="42"/>
      <c r="C737" s="42"/>
      <c r="D737" s="75"/>
      <c r="E737" s="75"/>
      <c r="F737" s="76"/>
      <c r="G737" s="47"/>
      <c r="H737" s="47"/>
      <c r="I737" s="75"/>
      <c r="J737" s="76"/>
      <c r="K737" s="76"/>
      <c r="L737" s="75"/>
      <c r="M737" s="49"/>
      <c r="N737" s="76"/>
      <c r="O737" s="49"/>
      <c r="P737" s="77"/>
      <c r="Q737" s="53"/>
      <c r="R737" s="54"/>
      <c r="S737" s="55"/>
      <c r="T737" s="56"/>
      <c r="U737" s="56"/>
      <c r="V737" s="42"/>
      <c r="W737" s="57"/>
      <c r="X737" s="58"/>
      <c r="Y737" s="75"/>
      <c r="Z737" s="59"/>
      <c r="AA737" s="61"/>
      <c r="AB737" s="61"/>
      <c r="AC737" s="61"/>
      <c r="AD737" s="62"/>
      <c r="AE737" s="62"/>
      <c r="AF737" s="34"/>
      <c r="AG737" s="34"/>
      <c r="AH737" s="34"/>
      <c r="AI737" s="34"/>
      <c r="AJ737" s="34"/>
      <c r="AK737" s="34"/>
      <c r="AL737" s="34"/>
      <c r="AM737" s="34"/>
      <c r="AN737" s="34"/>
      <c r="AO737" s="34"/>
      <c r="AP737" s="34"/>
      <c r="AQ737" s="34"/>
      <c r="AR737" s="34"/>
      <c r="AS737" s="34"/>
      <c r="AT737" s="34"/>
      <c r="AU737" s="34"/>
      <c r="AV737" s="34"/>
      <c r="AW737" s="34"/>
      <c r="AX737" s="34"/>
      <c r="AY737" s="34"/>
      <c r="AZ737" s="34"/>
      <c r="BA737" s="34"/>
      <c r="BB737" s="34"/>
      <c r="BD737" s="34"/>
      <c r="BE737" s="34"/>
      <c r="BF737" s="34"/>
      <c r="BG737" s="34"/>
      <c r="BH737" s="34"/>
      <c r="BI737" s="34"/>
      <c r="BJ737" s="34"/>
      <c r="BK737" s="34"/>
      <c r="BL737" s="34"/>
      <c r="BM737" s="34"/>
      <c r="BN737" s="34"/>
      <c r="BO737" s="34"/>
      <c r="BP737" s="34"/>
      <c r="BQ737" s="34"/>
      <c r="BR737" s="34"/>
      <c r="BS737" s="34"/>
      <c r="BT737" s="34"/>
      <c r="BU737" s="34"/>
      <c r="BV737" s="34"/>
      <c r="BW737" s="34"/>
      <c r="BX737" s="34"/>
      <c r="BY737" s="34"/>
    </row>
    <row r="738" spans="1:77" x14ac:dyDescent="0.3">
      <c r="A738" s="39"/>
      <c r="B738" s="42"/>
      <c r="C738" s="42"/>
      <c r="D738" s="75"/>
      <c r="E738" s="75"/>
      <c r="F738" s="76"/>
      <c r="G738" s="47"/>
      <c r="H738" s="47"/>
      <c r="I738" s="75"/>
      <c r="J738" s="76"/>
      <c r="K738" s="76"/>
      <c r="L738" s="75"/>
      <c r="M738" s="49"/>
      <c r="N738" s="76"/>
      <c r="O738" s="49"/>
      <c r="P738" s="77"/>
      <c r="Q738" s="53"/>
      <c r="R738" s="54"/>
      <c r="S738" s="55"/>
      <c r="T738" s="56"/>
      <c r="U738" s="56"/>
      <c r="V738" s="42"/>
      <c r="W738" s="57"/>
      <c r="X738" s="58"/>
      <c r="Y738" s="75"/>
      <c r="Z738" s="59"/>
      <c r="AA738" s="61"/>
      <c r="AB738" s="61"/>
      <c r="AC738" s="61"/>
      <c r="AD738" s="62"/>
      <c r="AE738" s="62"/>
      <c r="AF738" s="34"/>
      <c r="AG738" s="34"/>
      <c r="AH738" s="34"/>
      <c r="AI738" s="34"/>
      <c r="AJ738" s="34"/>
      <c r="AK738" s="34"/>
      <c r="AL738" s="34"/>
      <c r="AM738" s="34"/>
      <c r="AN738" s="34"/>
      <c r="AO738" s="34"/>
      <c r="AP738" s="34"/>
      <c r="AQ738" s="34"/>
      <c r="AR738" s="34"/>
      <c r="AS738" s="34"/>
      <c r="AT738" s="34"/>
      <c r="AU738" s="34"/>
      <c r="AV738" s="34"/>
      <c r="AW738" s="34"/>
      <c r="AX738" s="34"/>
      <c r="AY738" s="34"/>
      <c r="AZ738" s="34"/>
      <c r="BA738" s="34"/>
      <c r="BB738" s="34"/>
      <c r="BD738" s="34"/>
      <c r="BE738" s="34"/>
      <c r="BF738" s="34"/>
      <c r="BG738" s="34"/>
      <c r="BH738" s="34"/>
      <c r="BI738" s="34"/>
      <c r="BJ738" s="34"/>
      <c r="BK738" s="34"/>
      <c r="BL738" s="34"/>
      <c r="BM738" s="34"/>
      <c r="BN738" s="34"/>
      <c r="BO738" s="34"/>
      <c r="BP738" s="34"/>
      <c r="BQ738" s="34"/>
      <c r="BR738" s="34"/>
      <c r="BS738" s="34"/>
      <c r="BT738" s="34"/>
      <c r="BU738" s="34"/>
      <c r="BV738" s="34"/>
      <c r="BW738" s="34"/>
      <c r="BX738" s="34"/>
      <c r="BY738" s="34"/>
    </row>
    <row r="739" spans="1:77" x14ac:dyDescent="0.3">
      <c r="A739" s="39"/>
      <c r="B739" s="42"/>
      <c r="C739" s="42"/>
      <c r="D739" s="75"/>
      <c r="E739" s="75"/>
      <c r="F739" s="76"/>
      <c r="G739" s="47"/>
      <c r="H739" s="47"/>
      <c r="I739" s="75"/>
      <c r="J739" s="76"/>
      <c r="K739" s="76"/>
      <c r="L739" s="75"/>
      <c r="M739" s="49"/>
      <c r="N739" s="76"/>
      <c r="O739" s="49"/>
      <c r="P739" s="77"/>
      <c r="Q739" s="53"/>
      <c r="R739" s="54"/>
      <c r="S739" s="55"/>
      <c r="T739" s="56"/>
      <c r="U739" s="56"/>
      <c r="V739" s="42"/>
      <c r="W739" s="57"/>
      <c r="X739" s="58"/>
      <c r="Y739" s="75"/>
      <c r="Z739" s="59"/>
      <c r="AA739" s="61"/>
      <c r="AB739" s="61"/>
      <c r="AC739" s="61"/>
      <c r="AD739" s="62"/>
      <c r="AE739" s="62"/>
      <c r="AF739" s="34"/>
      <c r="AG739" s="34"/>
      <c r="AH739" s="34"/>
      <c r="AI739" s="34"/>
      <c r="AJ739" s="34"/>
      <c r="AK739" s="34"/>
      <c r="AL739" s="34"/>
      <c r="AM739" s="34"/>
      <c r="AN739" s="34"/>
      <c r="AO739" s="34"/>
      <c r="AP739" s="34"/>
      <c r="AQ739" s="34"/>
      <c r="AR739" s="34"/>
      <c r="AS739" s="34"/>
      <c r="AT739" s="34"/>
      <c r="AU739" s="34"/>
      <c r="AV739" s="34"/>
      <c r="AW739" s="34"/>
      <c r="AX739" s="34"/>
      <c r="AY739" s="34"/>
      <c r="AZ739" s="34"/>
      <c r="BA739" s="34"/>
      <c r="BB739" s="34"/>
      <c r="BD739" s="34"/>
      <c r="BE739" s="34"/>
      <c r="BF739" s="34"/>
      <c r="BG739" s="34"/>
      <c r="BH739" s="34"/>
      <c r="BI739" s="34"/>
      <c r="BJ739" s="34"/>
      <c r="BK739" s="34"/>
      <c r="BL739" s="34"/>
      <c r="BM739" s="34"/>
      <c r="BN739" s="34"/>
      <c r="BO739" s="34"/>
      <c r="BP739" s="34"/>
      <c r="BQ739" s="34"/>
      <c r="BR739" s="34"/>
      <c r="BS739" s="34"/>
      <c r="BT739" s="34"/>
      <c r="BU739" s="34"/>
      <c r="BV739" s="34"/>
      <c r="BW739" s="34"/>
      <c r="BX739" s="34"/>
      <c r="BY739" s="34"/>
    </row>
    <row r="740" spans="1:77" x14ac:dyDescent="0.3">
      <c r="A740" s="39"/>
      <c r="B740" s="42"/>
      <c r="C740" s="42"/>
      <c r="D740" s="75"/>
      <c r="E740" s="75"/>
      <c r="F740" s="76"/>
      <c r="G740" s="47"/>
      <c r="H740" s="47"/>
      <c r="I740" s="75"/>
      <c r="J740" s="76"/>
      <c r="K740" s="76"/>
      <c r="L740" s="75"/>
      <c r="M740" s="49"/>
      <c r="N740" s="76"/>
      <c r="O740" s="49"/>
      <c r="P740" s="77"/>
      <c r="Q740" s="53"/>
      <c r="R740" s="54"/>
      <c r="S740" s="55"/>
      <c r="T740" s="56"/>
      <c r="U740" s="56"/>
      <c r="V740" s="42"/>
      <c r="W740" s="57"/>
      <c r="X740" s="58"/>
      <c r="Y740" s="75"/>
      <c r="Z740" s="59"/>
      <c r="AA740" s="61"/>
      <c r="AB740" s="61"/>
      <c r="AC740" s="61"/>
      <c r="AD740" s="62"/>
      <c r="AE740" s="62"/>
      <c r="AF740" s="34"/>
      <c r="AG740" s="34"/>
      <c r="AH740" s="34"/>
      <c r="AI740" s="34"/>
      <c r="AJ740" s="34"/>
      <c r="AK740" s="34"/>
      <c r="AL740" s="34"/>
      <c r="AM740" s="34"/>
      <c r="AN740" s="34"/>
      <c r="AO740" s="34"/>
      <c r="AP740" s="34"/>
      <c r="AQ740" s="34"/>
      <c r="AR740" s="34"/>
      <c r="AS740" s="34"/>
      <c r="AT740" s="34"/>
      <c r="AU740" s="34"/>
      <c r="AV740" s="34"/>
      <c r="AW740" s="34"/>
      <c r="AX740" s="34"/>
      <c r="AY740" s="34"/>
      <c r="AZ740" s="34"/>
      <c r="BA740" s="34"/>
      <c r="BB740" s="34"/>
      <c r="BD740" s="34"/>
      <c r="BE740" s="34"/>
      <c r="BF740" s="34"/>
      <c r="BG740" s="34"/>
      <c r="BH740" s="34"/>
      <c r="BI740" s="34"/>
      <c r="BJ740" s="34"/>
      <c r="BK740" s="34"/>
      <c r="BL740" s="34"/>
      <c r="BM740" s="34"/>
      <c r="BN740" s="34"/>
      <c r="BO740" s="34"/>
      <c r="BP740" s="34"/>
      <c r="BQ740" s="34"/>
      <c r="BR740" s="34"/>
      <c r="BS740" s="34"/>
      <c r="BT740" s="34"/>
      <c r="BU740" s="34"/>
      <c r="BV740" s="34"/>
      <c r="BW740" s="34"/>
      <c r="BX740" s="34"/>
      <c r="BY740" s="34"/>
    </row>
    <row r="741" spans="1:77" x14ac:dyDescent="0.3">
      <c r="A741" s="39"/>
      <c r="B741" s="42"/>
      <c r="C741" s="42"/>
      <c r="D741" s="75"/>
      <c r="E741" s="75"/>
      <c r="F741" s="76"/>
      <c r="G741" s="47"/>
      <c r="H741" s="47"/>
      <c r="I741" s="75"/>
      <c r="J741" s="76"/>
      <c r="K741" s="76"/>
      <c r="L741" s="75"/>
      <c r="M741" s="49"/>
      <c r="N741" s="76"/>
      <c r="O741" s="49"/>
      <c r="P741" s="77"/>
      <c r="Q741" s="53"/>
      <c r="R741" s="54"/>
      <c r="S741" s="55"/>
      <c r="T741" s="56"/>
      <c r="U741" s="56"/>
      <c r="V741" s="42"/>
      <c r="W741" s="57"/>
      <c r="X741" s="58"/>
      <c r="Y741" s="75"/>
      <c r="Z741" s="59"/>
      <c r="AA741" s="61"/>
      <c r="AB741" s="61"/>
      <c r="AC741" s="61"/>
      <c r="AD741" s="62"/>
      <c r="AE741" s="62"/>
      <c r="AF741" s="34"/>
      <c r="AG741" s="34"/>
      <c r="AH741" s="34"/>
      <c r="AI741" s="34"/>
      <c r="AJ741" s="34"/>
      <c r="AK741" s="34"/>
      <c r="AL741" s="34"/>
      <c r="AM741" s="34"/>
      <c r="AN741" s="34"/>
      <c r="AO741" s="34"/>
      <c r="AP741" s="34"/>
      <c r="AQ741" s="34"/>
      <c r="AR741" s="34"/>
      <c r="AS741" s="34"/>
      <c r="AT741" s="34"/>
      <c r="AU741" s="34"/>
      <c r="AV741" s="34"/>
      <c r="AW741" s="34"/>
      <c r="AX741" s="34"/>
      <c r="AY741" s="34"/>
      <c r="AZ741" s="34"/>
      <c r="BA741" s="34"/>
      <c r="BB741" s="34"/>
      <c r="BD741" s="34"/>
      <c r="BE741" s="34"/>
      <c r="BF741" s="34"/>
      <c r="BG741" s="34"/>
      <c r="BH741" s="34"/>
      <c r="BI741" s="34"/>
      <c r="BJ741" s="34"/>
      <c r="BK741" s="34"/>
      <c r="BL741" s="34"/>
      <c r="BM741" s="34"/>
      <c r="BN741" s="34"/>
      <c r="BO741" s="34"/>
      <c r="BP741" s="34"/>
      <c r="BQ741" s="34"/>
      <c r="BR741" s="34"/>
      <c r="BS741" s="34"/>
      <c r="BT741" s="34"/>
      <c r="BU741" s="34"/>
      <c r="BV741" s="34"/>
      <c r="BW741" s="34"/>
      <c r="BX741" s="34"/>
      <c r="BY741" s="34"/>
    </row>
    <row r="742" spans="1:77" x14ac:dyDescent="0.3">
      <c r="A742" s="39"/>
      <c r="B742" s="42"/>
      <c r="C742" s="42"/>
      <c r="D742" s="75"/>
      <c r="E742" s="75"/>
      <c r="F742" s="76"/>
      <c r="G742" s="47"/>
      <c r="H742" s="47"/>
      <c r="I742" s="75"/>
      <c r="J742" s="76"/>
      <c r="K742" s="76"/>
      <c r="L742" s="75"/>
      <c r="M742" s="49"/>
      <c r="N742" s="76"/>
      <c r="O742" s="49"/>
      <c r="P742" s="77"/>
      <c r="Q742" s="53"/>
      <c r="R742" s="54"/>
      <c r="S742" s="55"/>
      <c r="T742" s="56"/>
      <c r="U742" s="56"/>
      <c r="V742" s="42"/>
      <c r="W742" s="57"/>
      <c r="X742" s="58"/>
      <c r="Y742" s="75"/>
      <c r="Z742" s="59"/>
      <c r="AA742" s="61"/>
      <c r="AB742" s="61"/>
      <c r="AC742" s="61"/>
      <c r="AD742" s="62"/>
      <c r="AE742" s="62"/>
      <c r="AF742" s="34"/>
      <c r="AG742" s="34"/>
      <c r="AH742" s="34"/>
      <c r="AI742" s="34"/>
      <c r="AJ742" s="34"/>
      <c r="AK742" s="34"/>
      <c r="AL742" s="34"/>
      <c r="AM742" s="34"/>
      <c r="AN742" s="34"/>
      <c r="AO742" s="34"/>
      <c r="AP742" s="34"/>
      <c r="AQ742" s="34"/>
      <c r="AR742" s="34"/>
      <c r="AS742" s="34"/>
      <c r="AT742" s="34"/>
      <c r="AU742" s="34"/>
      <c r="AV742" s="34"/>
      <c r="AW742" s="34"/>
      <c r="AX742" s="34"/>
      <c r="AY742" s="34"/>
      <c r="AZ742" s="34"/>
      <c r="BA742" s="34"/>
      <c r="BB742" s="34"/>
      <c r="BD742" s="34"/>
      <c r="BE742" s="34"/>
      <c r="BF742" s="34"/>
      <c r="BG742" s="34"/>
      <c r="BH742" s="34"/>
      <c r="BI742" s="34"/>
      <c r="BJ742" s="34"/>
      <c r="BK742" s="34"/>
      <c r="BL742" s="34"/>
      <c r="BM742" s="34"/>
      <c r="BN742" s="34"/>
      <c r="BO742" s="34"/>
      <c r="BP742" s="34"/>
      <c r="BQ742" s="34"/>
      <c r="BR742" s="34"/>
      <c r="BS742" s="34"/>
      <c r="BT742" s="34"/>
      <c r="BU742" s="34"/>
      <c r="BV742" s="34"/>
      <c r="BW742" s="34"/>
      <c r="BX742" s="34"/>
      <c r="BY742" s="34"/>
    </row>
    <row r="743" spans="1:77" x14ac:dyDescent="0.3">
      <c r="A743" s="39"/>
      <c r="B743" s="42"/>
      <c r="C743" s="42"/>
      <c r="D743" s="75"/>
      <c r="E743" s="75"/>
      <c r="F743" s="76"/>
      <c r="G743" s="47"/>
      <c r="H743" s="47"/>
      <c r="I743" s="75"/>
      <c r="J743" s="76"/>
      <c r="K743" s="76"/>
      <c r="L743" s="75"/>
      <c r="M743" s="49"/>
      <c r="N743" s="76"/>
      <c r="O743" s="49"/>
      <c r="P743" s="77"/>
      <c r="Q743" s="53"/>
      <c r="R743" s="54"/>
      <c r="S743" s="55"/>
      <c r="T743" s="56"/>
      <c r="U743" s="56"/>
      <c r="V743" s="42"/>
      <c r="W743" s="57"/>
      <c r="X743" s="58"/>
      <c r="Y743" s="75"/>
      <c r="Z743" s="59"/>
      <c r="AA743" s="61"/>
      <c r="AB743" s="61"/>
      <c r="AC743" s="61"/>
      <c r="AD743" s="62"/>
      <c r="AE743" s="62"/>
      <c r="AF743" s="34"/>
      <c r="AG743" s="34"/>
      <c r="AH743" s="34"/>
      <c r="AI743" s="34"/>
      <c r="AJ743" s="34"/>
      <c r="AK743" s="34"/>
      <c r="AL743" s="34"/>
      <c r="AM743" s="34"/>
      <c r="AN743" s="34"/>
      <c r="AO743" s="34"/>
      <c r="AP743" s="34"/>
      <c r="AQ743" s="34"/>
      <c r="AR743" s="34"/>
      <c r="AS743" s="34"/>
      <c r="AT743" s="34"/>
      <c r="AU743" s="34"/>
      <c r="AV743" s="34"/>
      <c r="AW743" s="34"/>
      <c r="AX743" s="34"/>
      <c r="AY743" s="34"/>
      <c r="AZ743" s="34"/>
      <c r="BA743" s="34"/>
      <c r="BB743" s="34"/>
      <c r="BD743" s="34"/>
      <c r="BE743" s="34"/>
      <c r="BF743" s="34"/>
      <c r="BG743" s="34"/>
      <c r="BH743" s="34"/>
      <c r="BI743" s="34"/>
      <c r="BJ743" s="34"/>
      <c r="BK743" s="34"/>
      <c r="BL743" s="34"/>
      <c r="BM743" s="34"/>
      <c r="BN743" s="34"/>
      <c r="BO743" s="34"/>
      <c r="BP743" s="34"/>
      <c r="BQ743" s="34"/>
      <c r="BR743" s="34"/>
      <c r="BS743" s="34"/>
      <c r="BT743" s="34"/>
      <c r="BU743" s="34"/>
      <c r="BV743" s="34"/>
      <c r="BW743" s="34"/>
      <c r="BX743" s="34"/>
      <c r="BY743" s="34"/>
    </row>
    <row r="744" spans="1:77" x14ac:dyDescent="0.3">
      <c r="A744" s="39"/>
      <c r="B744" s="42"/>
      <c r="C744" s="42"/>
      <c r="D744" s="75"/>
      <c r="E744" s="75"/>
      <c r="F744" s="76"/>
      <c r="G744" s="47"/>
      <c r="H744" s="47"/>
      <c r="I744" s="75"/>
      <c r="J744" s="76"/>
      <c r="K744" s="76"/>
      <c r="L744" s="75"/>
      <c r="M744" s="49"/>
      <c r="N744" s="76"/>
      <c r="O744" s="49"/>
      <c r="P744" s="77"/>
      <c r="Q744" s="53"/>
      <c r="R744" s="54"/>
      <c r="S744" s="55"/>
      <c r="T744" s="56"/>
      <c r="U744" s="56"/>
      <c r="V744" s="42"/>
      <c r="W744" s="57"/>
      <c r="X744" s="58"/>
      <c r="Y744" s="75"/>
      <c r="Z744" s="59"/>
      <c r="AA744" s="61"/>
      <c r="AB744" s="61"/>
      <c r="AC744" s="61"/>
      <c r="AD744" s="62"/>
      <c r="AE744" s="62"/>
      <c r="AF744" s="34"/>
      <c r="AG744" s="34"/>
      <c r="AH744" s="34"/>
      <c r="AI744" s="34"/>
      <c r="AJ744" s="34"/>
      <c r="AK744" s="34"/>
      <c r="AL744" s="34"/>
      <c r="AM744" s="34"/>
      <c r="AN744" s="34"/>
      <c r="AO744" s="34"/>
      <c r="AP744" s="34"/>
      <c r="AQ744" s="34"/>
      <c r="AR744" s="34"/>
      <c r="AS744" s="34"/>
      <c r="AT744" s="34"/>
      <c r="AU744" s="34"/>
      <c r="AV744" s="34"/>
      <c r="AW744" s="34"/>
      <c r="AX744" s="34"/>
      <c r="AY744" s="34"/>
      <c r="AZ744" s="34"/>
      <c r="BA744" s="34"/>
      <c r="BB744" s="34"/>
      <c r="BD744" s="34"/>
      <c r="BE744" s="34"/>
      <c r="BF744" s="34"/>
      <c r="BG744" s="34"/>
      <c r="BH744" s="34"/>
      <c r="BI744" s="34"/>
      <c r="BJ744" s="34"/>
      <c r="BK744" s="34"/>
      <c r="BL744" s="34"/>
      <c r="BM744" s="34"/>
      <c r="BN744" s="34"/>
      <c r="BO744" s="34"/>
      <c r="BP744" s="34"/>
      <c r="BQ744" s="34"/>
      <c r="BR744" s="34"/>
      <c r="BS744" s="34"/>
      <c r="BT744" s="34"/>
      <c r="BU744" s="34"/>
      <c r="BV744" s="34"/>
      <c r="BW744" s="34"/>
      <c r="BX744" s="34"/>
      <c r="BY744" s="34"/>
    </row>
    <row r="745" spans="1:77" x14ac:dyDescent="0.3">
      <c r="A745" s="39"/>
      <c r="B745" s="42"/>
      <c r="C745" s="42"/>
      <c r="D745" s="75"/>
      <c r="E745" s="75"/>
      <c r="F745" s="76"/>
      <c r="G745" s="47"/>
      <c r="H745" s="47"/>
      <c r="I745" s="75"/>
      <c r="J745" s="76"/>
      <c r="K745" s="76"/>
      <c r="L745" s="75"/>
      <c r="M745" s="49"/>
      <c r="N745" s="76"/>
      <c r="O745" s="49"/>
      <c r="P745" s="77"/>
      <c r="Q745" s="53"/>
      <c r="R745" s="54"/>
      <c r="S745" s="55"/>
      <c r="T745" s="56"/>
      <c r="U745" s="56"/>
      <c r="V745" s="42"/>
      <c r="W745" s="57"/>
      <c r="X745" s="58"/>
      <c r="Y745" s="75"/>
      <c r="Z745" s="59"/>
      <c r="AA745" s="61"/>
      <c r="AB745" s="61"/>
      <c r="AC745" s="61"/>
      <c r="AD745" s="62"/>
      <c r="AE745" s="62"/>
      <c r="AF745" s="34"/>
      <c r="AG745" s="34"/>
      <c r="AH745" s="34"/>
      <c r="AI745" s="34"/>
      <c r="AJ745" s="34"/>
      <c r="AK745" s="34"/>
      <c r="AL745" s="34"/>
      <c r="AM745" s="34"/>
      <c r="AN745" s="34"/>
      <c r="AO745" s="34"/>
      <c r="AP745" s="34"/>
      <c r="AQ745" s="34"/>
      <c r="AR745" s="34"/>
      <c r="AS745" s="34"/>
      <c r="AT745" s="34"/>
      <c r="AU745" s="34"/>
      <c r="AV745" s="34"/>
      <c r="AW745" s="34"/>
      <c r="AX745" s="34"/>
      <c r="AY745" s="34"/>
      <c r="AZ745" s="34"/>
      <c r="BA745" s="34"/>
      <c r="BB745" s="34"/>
      <c r="BD745" s="34"/>
      <c r="BE745" s="34"/>
      <c r="BF745" s="34"/>
      <c r="BG745" s="34"/>
      <c r="BH745" s="34"/>
      <c r="BI745" s="34"/>
      <c r="BJ745" s="34"/>
      <c r="BK745" s="34"/>
      <c r="BL745" s="34"/>
      <c r="BM745" s="34"/>
      <c r="BN745" s="34"/>
      <c r="BO745" s="34"/>
      <c r="BP745" s="34"/>
      <c r="BQ745" s="34"/>
      <c r="BR745" s="34"/>
      <c r="BS745" s="34"/>
      <c r="BT745" s="34"/>
      <c r="BU745" s="34"/>
      <c r="BV745" s="34"/>
      <c r="BW745" s="34"/>
      <c r="BX745" s="34"/>
      <c r="BY745" s="34"/>
    </row>
    <row r="746" spans="1:77" x14ac:dyDescent="0.3">
      <c r="A746" s="39"/>
      <c r="B746" s="42"/>
      <c r="C746" s="42"/>
      <c r="D746" s="75"/>
      <c r="E746" s="75"/>
      <c r="F746" s="76"/>
      <c r="G746" s="47"/>
      <c r="H746" s="47"/>
      <c r="I746" s="75"/>
      <c r="J746" s="76"/>
      <c r="K746" s="76"/>
      <c r="L746" s="75"/>
      <c r="M746" s="49"/>
      <c r="N746" s="76"/>
      <c r="O746" s="49"/>
      <c r="P746" s="77"/>
      <c r="Q746" s="53"/>
      <c r="R746" s="54"/>
      <c r="S746" s="55"/>
      <c r="T746" s="56"/>
      <c r="U746" s="56"/>
      <c r="V746" s="42"/>
      <c r="W746" s="57"/>
      <c r="X746" s="58"/>
      <c r="Y746" s="75"/>
      <c r="Z746" s="59"/>
      <c r="AA746" s="61"/>
      <c r="AB746" s="61"/>
      <c r="AC746" s="61"/>
      <c r="AD746" s="62"/>
      <c r="AE746" s="62"/>
      <c r="AF746" s="34"/>
      <c r="AG746" s="34"/>
      <c r="AH746" s="34"/>
      <c r="AI746" s="34"/>
      <c r="AJ746" s="34"/>
      <c r="AK746" s="34"/>
      <c r="AL746" s="34"/>
      <c r="AM746" s="34"/>
      <c r="AN746" s="34"/>
      <c r="AO746" s="34"/>
      <c r="AP746" s="34"/>
      <c r="AQ746" s="34"/>
      <c r="AR746" s="34"/>
      <c r="AS746" s="34"/>
      <c r="AT746" s="34"/>
      <c r="AU746" s="34"/>
      <c r="AV746" s="34"/>
      <c r="AW746" s="34"/>
      <c r="AX746" s="34"/>
      <c r="AY746" s="34"/>
      <c r="AZ746" s="34"/>
      <c r="BA746" s="34"/>
      <c r="BB746" s="34"/>
      <c r="BD746" s="34"/>
      <c r="BE746" s="34"/>
      <c r="BF746" s="34"/>
      <c r="BG746" s="34"/>
      <c r="BH746" s="34"/>
      <c r="BI746" s="34"/>
      <c r="BJ746" s="34"/>
      <c r="BK746" s="34"/>
      <c r="BL746" s="34"/>
      <c r="BM746" s="34"/>
      <c r="BN746" s="34"/>
      <c r="BO746" s="34"/>
      <c r="BP746" s="34"/>
      <c r="BQ746" s="34"/>
      <c r="BR746" s="34"/>
      <c r="BS746" s="34"/>
      <c r="BT746" s="34"/>
      <c r="BU746" s="34"/>
      <c r="BV746" s="34"/>
      <c r="BW746" s="34"/>
      <c r="BX746" s="34"/>
      <c r="BY746" s="34"/>
    </row>
    <row r="747" spans="1:77" x14ac:dyDescent="0.3">
      <c r="A747" s="39"/>
      <c r="B747" s="42"/>
      <c r="C747" s="42"/>
      <c r="D747" s="75"/>
      <c r="E747" s="75"/>
      <c r="F747" s="76"/>
      <c r="G747" s="47"/>
      <c r="H747" s="47"/>
      <c r="I747" s="75"/>
      <c r="J747" s="76"/>
      <c r="K747" s="76"/>
      <c r="L747" s="75"/>
      <c r="M747" s="49"/>
      <c r="N747" s="76"/>
      <c r="O747" s="49"/>
      <c r="P747" s="77"/>
      <c r="Q747" s="53"/>
      <c r="R747" s="54"/>
      <c r="S747" s="55"/>
      <c r="T747" s="56"/>
      <c r="U747" s="56"/>
      <c r="V747" s="42"/>
      <c r="W747" s="57"/>
      <c r="X747" s="58"/>
      <c r="Y747" s="75"/>
      <c r="Z747" s="59"/>
      <c r="AA747" s="61"/>
      <c r="AB747" s="61"/>
      <c r="AC747" s="61"/>
      <c r="AD747" s="62"/>
      <c r="AE747" s="62"/>
      <c r="AF747" s="34"/>
      <c r="AG747" s="34"/>
      <c r="AH747" s="34"/>
      <c r="AI747" s="34"/>
      <c r="AJ747" s="34"/>
      <c r="AK747" s="34"/>
      <c r="AL747" s="34"/>
      <c r="AM747" s="34"/>
      <c r="AN747" s="34"/>
      <c r="AO747" s="34"/>
      <c r="AP747" s="34"/>
      <c r="AQ747" s="34"/>
      <c r="AR747" s="34"/>
      <c r="AS747" s="34"/>
      <c r="AT747" s="34"/>
      <c r="AU747" s="34"/>
      <c r="AV747" s="34"/>
      <c r="AW747" s="34"/>
      <c r="AX747" s="34"/>
      <c r="AY747" s="34"/>
      <c r="AZ747" s="34"/>
      <c r="BA747" s="34"/>
      <c r="BB747" s="34"/>
      <c r="BD747" s="34"/>
      <c r="BE747" s="34"/>
      <c r="BF747" s="34"/>
      <c r="BG747" s="34"/>
      <c r="BH747" s="34"/>
      <c r="BI747" s="34"/>
      <c r="BJ747" s="34"/>
      <c r="BK747" s="34"/>
      <c r="BL747" s="34"/>
      <c r="BM747" s="34"/>
      <c r="BN747" s="34"/>
      <c r="BO747" s="34"/>
      <c r="BP747" s="34"/>
      <c r="BQ747" s="34"/>
      <c r="BR747" s="34"/>
      <c r="BS747" s="34"/>
      <c r="BT747" s="34"/>
      <c r="BU747" s="34"/>
      <c r="BV747" s="34"/>
      <c r="BW747" s="34"/>
      <c r="BX747" s="34"/>
      <c r="BY747" s="34"/>
    </row>
    <row r="748" spans="1:77" x14ac:dyDescent="0.3">
      <c r="A748" s="39"/>
      <c r="B748" s="42"/>
      <c r="C748" s="42"/>
      <c r="D748" s="75"/>
      <c r="E748" s="75"/>
      <c r="F748" s="76"/>
      <c r="G748" s="47"/>
      <c r="H748" s="47"/>
      <c r="I748" s="75"/>
      <c r="J748" s="76"/>
      <c r="K748" s="76"/>
      <c r="L748" s="75"/>
      <c r="M748" s="49"/>
      <c r="N748" s="76"/>
      <c r="O748" s="49"/>
      <c r="P748" s="77"/>
      <c r="Q748" s="53"/>
      <c r="R748" s="54"/>
      <c r="S748" s="55"/>
      <c r="T748" s="56"/>
      <c r="U748" s="56"/>
      <c r="V748" s="42"/>
      <c r="W748" s="57"/>
      <c r="X748" s="58"/>
      <c r="Y748" s="75"/>
      <c r="Z748" s="59"/>
      <c r="AA748" s="61"/>
      <c r="AB748" s="61"/>
      <c r="AC748" s="61"/>
      <c r="AD748" s="62"/>
      <c r="AE748" s="62"/>
      <c r="AF748" s="34"/>
      <c r="AG748" s="34"/>
      <c r="AH748" s="34"/>
      <c r="AI748" s="34"/>
      <c r="AJ748" s="34"/>
      <c r="AK748" s="34"/>
      <c r="AL748" s="34"/>
      <c r="AM748" s="34"/>
      <c r="AN748" s="34"/>
      <c r="AO748" s="34"/>
      <c r="AP748" s="34"/>
      <c r="AQ748" s="34"/>
      <c r="AR748" s="34"/>
      <c r="AS748" s="34"/>
      <c r="AT748" s="34"/>
      <c r="AU748" s="34"/>
      <c r="AV748" s="34"/>
      <c r="AW748" s="34"/>
      <c r="AX748" s="34"/>
      <c r="AY748" s="34"/>
      <c r="AZ748" s="34"/>
      <c r="BA748" s="34"/>
      <c r="BB748" s="34"/>
      <c r="BD748" s="34"/>
      <c r="BE748" s="34"/>
      <c r="BF748" s="34"/>
      <c r="BG748" s="34"/>
      <c r="BH748" s="34"/>
      <c r="BI748" s="34"/>
      <c r="BJ748" s="34"/>
      <c r="BK748" s="34"/>
      <c r="BL748" s="34"/>
      <c r="BM748" s="34"/>
      <c r="BN748" s="34"/>
      <c r="BO748" s="34"/>
      <c r="BP748" s="34"/>
      <c r="BQ748" s="34"/>
      <c r="BR748" s="34"/>
      <c r="BS748" s="34"/>
      <c r="BT748" s="34"/>
      <c r="BU748" s="34"/>
      <c r="BV748" s="34"/>
      <c r="BW748" s="34"/>
      <c r="BX748" s="34"/>
      <c r="BY748" s="34"/>
    </row>
    <row r="749" spans="1:77" x14ac:dyDescent="0.3">
      <c r="A749" s="39"/>
      <c r="B749" s="42"/>
      <c r="C749" s="42"/>
      <c r="D749" s="75"/>
      <c r="E749" s="75"/>
      <c r="F749" s="76"/>
      <c r="G749" s="47"/>
      <c r="H749" s="47"/>
      <c r="I749" s="75"/>
      <c r="J749" s="76"/>
      <c r="K749" s="76"/>
      <c r="L749" s="75"/>
      <c r="M749" s="49"/>
      <c r="N749" s="76"/>
      <c r="O749" s="49"/>
      <c r="P749" s="77"/>
      <c r="Q749" s="53"/>
      <c r="R749" s="54"/>
      <c r="S749" s="55"/>
      <c r="T749" s="56"/>
      <c r="U749" s="56"/>
      <c r="V749" s="42"/>
      <c r="W749" s="57"/>
      <c r="X749" s="58"/>
      <c r="Y749" s="75"/>
      <c r="Z749" s="59"/>
      <c r="AA749" s="61"/>
      <c r="AB749" s="61"/>
      <c r="AC749" s="61"/>
      <c r="AD749" s="62"/>
      <c r="AE749" s="62"/>
      <c r="AF749" s="34"/>
      <c r="AG749" s="34"/>
      <c r="AH749" s="34"/>
      <c r="AI749" s="34"/>
      <c r="AJ749" s="34"/>
      <c r="AK749" s="34"/>
      <c r="AL749" s="34"/>
      <c r="AM749" s="34"/>
      <c r="AN749" s="34"/>
      <c r="AO749" s="34"/>
      <c r="AP749" s="34"/>
      <c r="AQ749" s="34"/>
      <c r="AR749" s="34"/>
      <c r="AS749" s="34"/>
      <c r="AT749" s="34"/>
      <c r="AU749" s="34"/>
      <c r="AV749" s="34"/>
      <c r="AW749" s="34"/>
      <c r="AX749" s="34"/>
      <c r="AY749" s="34"/>
      <c r="AZ749" s="34"/>
      <c r="BA749" s="34"/>
      <c r="BB749" s="34"/>
      <c r="BD749" s="34"/>
      <c r="BE749" s="34"/>
      <c r="BF749" s="34"/>
      <c r="BG749" s="34"/>
      <c r="BH749" s="34"/>
      <c r="BI749" s="34"/>
      <c r="BJ749" s="34"/>
      <c r="BK749" s="34"/>
      <c r="BL749" s="34"/>
      <c r="BM749" s="34"/>
      <c r="BN749" s="34"/>
      <c r="BO749" s="34"/>
      <c r="BP749" s="34"/>
      <c r="BQ749" s="34"/>
      <c r="BR749" s="34"/>
      <c r="BS749" s="34"/>
      <c r="BT749" s="34"/>
      <c r="BU749" s="34"/>
      <c r="BV749" s="34"/>
      <c r="BW749" s="34"/>
      <c r="BX749" s="34"/>
      <c r="BY749" s="34"/>
    </row>
    <row r="750" spans="1:77" x14ac:dyDescent="0.3">
      <c r="A750" s="39"/>
      <c r="B750" s="42"/>
      <c r="C750" s="42"/>
      <c r="D750" s="75"/>
      <c r="E750" s="75"/>
      <c r="F750" s="76"/>
      <c r="G750" s="47"/>
      <c r="H750" s="47"/>
      <c r="I750" s="75"/>
      <c r="J750" s="76"/>
      <c r="K750" s="76"/>
      <c r="L750" s="75"/>
      <c r="M750" s="49"/>
      <c r="N750" s="76"/>
      <c r="O750" s="49"/>
      <c r="P750" s="77"/>
      <c r="Q750" s="53"/>
      <c r="R750" s="54"/>
      <c r="S750" s="55"/>
      <c r="T750" s="56"/>
      <c r="U750" s="56"/>
      <c r="V750" s="42"/>
      <c r="W750" s="57"/>
      <c r="X750" s="58"/>
      <c r="Y750" s="75"/>
      <c r="Z750" s="59"/>
      <c r="AA750" s="61"/>
      <c r="AB750" s="61"/>
      <c r="AC750" s="61"/>
      <c r="AD750" s="62"/>
      <c r="AE750" s="62"/>
      <c r="AF750" s="34"/>
      <c r="AG750" s="34"/>
      <c r="AH750" s="34"/>
      <c r="AI750" s="34"/>
      <c r="AJ750" s="34"/>
      <c r="AK750" s="34"/>
      <c r="AL750" s="34"/>
      <c r="AM750" s="34"/>
      <c r="AN750" s="34"/>
      <c r="AO750" s="34"/>
      <c r="AP750" s="34"/>
      <c r="AQ750" s="34"/>
      <c r="AR750" s="34"/>
      <c r="AS750" s="34"/>
      <c r="AT750" s="34"/>
      <c r="AU750" s="34"/>
      <c r="AV750" s="34"/>
      <c r="AW750" s="34"/>
      <c r="AX750" s="34"/>
      <c r="AY750" s="34"/>
      <c r="AZ750" s="34"/>
      <c r="BA750" s="34"/>
      <c r="BB750" s="34"/>
      <c r="BD750" s="34"/>
      <c r="BE750" s="34"/>
      <c r="BF750" s="34"/>
      <c r="BG750" s="34"/>
      <c r="BH750" s="34"/>
      <c r="BI750" s="34"/>
      <c r="BJ750" s="34"/>
      <c r="BK750" s="34"/>
      <c r="BL750" s="34"/>
      <c r="BM750" s="34"/>
      <c r="BN750" s="34"/>
      <c r="BO750" s="34"/>
      <c r="BP750" s="34"/>
      <c r="BQ750" s="34"/>
      <c r="BR750" s="34"/>
      <c r="BS750" s="34"/>
      <c r="BT750" s="34"/>
      <c r="BU750" s="34"/>
      <c r="BV750" s="34"/>
      <c r="BW750" s="34"/>
      <c r="BX750" s="34"/>
      <c r="BY750" s="34"/>
    </row>
    <row r="751" spans="1:77" x14ac:dyDescent="0.3">
      <c r="A751" s="39"/>
      <c r="B751" s="42"/>
      <c r="C751" s="42"/>
      <c r="D751" s="75"/>
      <c r="E751" s="75"/>
      <c r="F751" s="76"/>
      <c r="G751" s="47"/>
      <c r="H751" s="47"/>
      <c r="I751" s="75"/>
      <c r="J751" s="76"/>
      <c r="K751" s="76"/>
      <c r="L751" s="75"/>
      <c r="M751" s="49"/>
      <c r="N751" s="76"/>
      <c r="O751" s="49"/>
      <c r="P751" s="77"/>
      <c r="Q751" s="53"/>
      <c r="R751" s="54"/>
      <c r="S751" s="55"/>
      <c r="T751" s="56"/>
      <c r="U751" s="56"/>
      <c r="V751" s="42"/>
      <c r="W751" s="57"/>
      <c r="X751" s="58"/>
      <c r="Y751" s="75"/>
      <c r="Z751" s="59"/>
      <c r="AA751" s="61"/>
      <c r="AB751" s="61"/>
      <c r="AC751" s="61"/>
      <c r="AD751" s="62"/>
      <c r="AE751" s="62"/>
      <c r="AF751" s="34"/>
      <c r="AG751" s="34"/>
      <c r="AH751" s="34"/>
      <c r="AI751" s="34"/>
      <c r="AJ751" s="34"/>
      <c r="AK751" s="34"/>
      <c r="AL751" s="34"/>
      <c r="AM751" s="34"/>
      <c r="AN751" s="34"/>
      <c r="AO751" s="34"/>
      <c r="AP751" s="34"/>
      <c r="AQ751" s="34"/>
      <c r="AR751" s="34"/>
      <c r="AS751" s="34"/>
      <c r="AT751" s="34"/>
      <c r="AU751" s="34"/>
      <c r="AV751" s="34"/>
      <c r="AW751" s="34"/>
      <c r="AX751" s="34"/>
      <c r="AY751" s="34"/>
      <c r="AZ751" s="34"/>
      <c r="BA751" s="34"/>
      <c r="BB751" s="34"/>
      <c r="BD751" s="34"/>
      <c r="BE751" s="34"/>
      <c r="BF751" s="34"/>
      <c r="BG751" s="34"/>
      <c r="BH751" s="34"/>
      <c r="BI751" s="34"/>
      <c r="BJ751" s="34"/>
      <c r="BK751" s="34"/>
      <c r="BL751" s="34"/>
      <c r="BM751" s="34"/>
      <c r="BN751" s="34"/>
      <c r="BO751" s="34"/>
      <c r="BP751" s="34"/>
      <c r="BQ751" s="34"/>
      <c r="BR751" s="34"/>
      <c r="BS751" s="34"/>
      <c r="BT751" s="34"/>
      <c r="BU751" s="34"/>
      <c r="BV751" s="34"/>
      <c r="BW751" s="34"/>
      <c r="BX751" s="34"/>
      <c r="BY751" s="34"/>
    </row>
    <row r="752" spans="1:77" x14ac:dyDescent="0.3">
      <c r="A752" s="39"/>
      <c r="B752" s="42"/>
      <c r="C752" s="42"/>
      <c r="D752" s="75"/>
      <c r="E752" s="75"/>
      <c r="F752" s="76"/>
      <c r="G752" s="47"/>
      <c r="H752" s="47"/>
      <c r="I752" s="75"/>
      <c r="J752" s="76"/>
      <c r="K752" s="76"/>
      <c r="L752" s="75"/>
      <c r="M752" s="49"/>
      <c r="N752" s="76"/>
      <c r="O752" s="49"/>
      <c r="P752" s="77"/>
      <c r="Q752" s="53"/>
      <c r="R752" s="54"/>
      <c r="S752" s="55"/>
      <c r="T752" s="56"/>
      <c r="U752" s="56"/>
      <c r="V752" s="42"/>
      <c r="W752" s="57"/>
      <c r="X752" s="58"/>
      <c r="Y752" s="75"/>
      <c r="Z752" s="59"/>
      <c r="AA752" s="61"/>
      <c r="AB752" s="61"/>
      <c r="AC752" s="61"/>
      <c r="AD752" s="62"/>
      <c r="AE752" s="62"/>
      <c r="AF752" s="34"/>
      <c r="AG752" s="34"/>
      <c r="AH752" s="34"/>
      <c r="AI752" s="34"/>
      <c r="AJ752" s="34"/>
      <c r="AK752" s="34"/>
      <c r="AL752" s="34"/>
      <c r="AM752" s="34"/>
      <c r="AN752" s="34"/>
      <c r="AO752" s="34"/>
      <c r="AP752" s="34"/>
      <c r="AQ752" s="34"/>
      <c r="AR752" s="34"/>
      <c r="AS752" s="34"/>
      <c r="AT752" s="34"/>
      <c r="AU752" s="34"/>
      <c r="AV752" s="34"/>
      <c r="AW752" s="34"/>
      <c r="AX752" s="34"/>
      <c r="AY752" s="34"/>
      <c r="AZ752" s="34"/>
      <c r="BA752" s="34"/>
      <c r="BB752" s="34"/>
      <c r="BD752" s="34"/>
      <c r="BE752" s="34"/>
      <c r="BF752" s="34"/>
      <c r="BG752" s="34"/>
      <c r="BH752" s="34"/>
      <c r="BI752" s="34"/>
      <c r="BJ752" s="34"/>
      <c r="BK752" s="34"/>
      <c r="BL752" s="34"/>
      <c r="BM752" s="34"/>
      <c r="BN752" s="34"/>
      <c r="BO752" s="34"/>
      <c r="BP752" s="34"/>
      <c r="BQ752" s="34"/>
      <c r="BR752" s="34"/>
      <c r="BS752" s="34"/>
      <c r="BT752" s="34"/>
      <c r="BU752" s="34"/>
      <c r="BV752" s="34"/>
      <c r="BW752" s="34"/>
      <c r="BX752" s="34"/>
      <c r="BY752" s="34"/>
    </row>
    <row r="753" spans="1:77" x14ac:dyDescent="0.3">
      <c r="A753" s="39"/>
      <c r="B753" s="42"/>
      <c r="C753" s="42"/>
      <c r="D753" s="75"/>
      <c r="E753" s="75"/>
      <c r="F753" s="76"/>
      <c r="G753" s="47"/>
      <c r="H753" s="47"/>
      <c r="I753" s="75"/>
      <c r="J753" s="76"/>
      <c r="K753" s="76"/>
      <c r="L753" s="75"/>
      <c r="M753" s="49"/>
      <c r="N753" s="76"/>
      <c r="O753" s="49"/>
      <c r="P753" s="77"/>
      <c r="Q753" s="53"/>
      <c r="R753" s="54"/>
      <c r="S753" s="55"/>
      <c r="T753" s="56"/>
      <c r="U753" s="56"/>
      <c r="V753" s="42"/>
      <c r="W753" s="57"/>
      <c r="X753" s="58"/>
      <c r="Y753" s="75"/>
      <c r="Z753" s="59"/>
      <c r="AA753" s="61"/>
      <c r="AB753" s="61"/>
      <c r="AC753" s="61"/>
      <c r="AD753" s="62"/>
      <c r="AE753" s="62"/>
      <c r="AF753" s="34"/>
      <c r="AG753" s="34"/>
      <c r="AH753" s="34"/>
      <c r="AI753" s="34"/>
      <c r="AJ753" s="34"/>
      <c r="AK753" s="34"/>
      <c r="AL753" s="34"/>
      <c r="AM753" s="34"/>
      <c r="AN753" s="34"/>
      <c r="AO753" s="34"/>
      <c r="AP753" s="34"/>
      <c r="AQ753" s="34"/>
      <c r="AR753" s="34"/>
      <c r="AS753" s="34"/>
      <c r="AT753" s="34"/>
      <c r="AU753" s="34"/>
      <c r="AV753" s="34"/>
      <c r="AW753" s="34"/>
      <c r="AX753" s="34"/>
      <c r="AY753" s="34"/>
      <c r="AZ753" s="34"/>
      <c r="BA753" s="34"/>
      <c r="BB753" s="34"/>
      <c r="BD753" s="34"/>
      <c r="BE753" s="34"/>
      <c r="BF753" s="34"/>
      <c r="BG753" s="34"/>
      <c r="BH753" s="34"/>
      <c r="BI753" s="34"/>
      <c r="BJ753" s="34"/>
      <c r="BK753" s="34"/>
      <c r="BL753" s="34"/>
      <c r="BM753" s="34"/>
      <c r="BN753" s="34"/>
      <c r="BO753" s="34"/>
      <c r="BP753" s="34"/>
      <c r="BQ753" s="34"/>
      <c r="BR753" s="34"/>
      <c r="BS753" s="34"/>
      <c r="BT753" s="34"/>
      <c r="BU753" s="34"/>
      <c r="BV753" s="34"/>
      <c r="BW753" s="34"/>
      <c r="BX753" s="34"/>
      <c r="BY753" s="34"/>
    </row>
    <row r="754" spans="1:77" x14ac:dyDescent="0.3">
      <c r="A754" s="39"/>
      <c r="B754" s="42"/>
      <c r="C754" s="42"/>
      <c r="D754" s="75"/>
      <c r="E754" s="75"/>
      <c r="F754" s="76"/>
      <c r="G754" s="47"/>
      <c r="H754" s="47"/>
      <c r="I754" s="75"/>
      <c r="J754" s="76"/>
      <c r="K754" s="76"/>
      <c r="L754" s="75"/>
      <c r="M754" s="49"/>
      <c r="N754" s="76"/>
      <c r="O754" s="49"/>
      <c r="P754" s="77"/>
      <c r="Q754" s="53"/>
      <c r="R754" s="54"/>
      <c r="S754" s="55"/>
      <c r="T754" s="56"/>
      <c r="U754" s="56"/>
      <c r="V754" s="42"/>
      <c r="W754" s="57"/>
      <c r="X754" s="58"/>
      <c r="Y754" s="75"/>
      <c r="Z754" s="59"/>
      <c r="AA754" s="61"/>
      <c r="AB754" s="61"/>
      <c r="AC754" s="61"/>
      <c r="AD754" s="62"/>
      <c r="AE754" s="62"/>
      <c r="AF754" s="34"/>
      <c r="AG754" s="34"/>
      <c r="AH754" s="34"/>
      <c r="AI754" s="34"/>
      <c r="AJ754" s="34"/>
      <c r="AK754" s="34"/>
      <c r="AL754" s="34"/>
      <c r="AM754" s="34"/>
      <c r="AN754" s="34"/>
      <c r="AO754" s="34"/>
      <c r="AP754" s="34"/>
      <c r="AQ754" s="34"/>
      <c r="AR754" s="34"/>
      <c r="AS754" s="34"/>
      <c r="AT754" s="34"/>
      <c r="AU754" s="34"/>
      <c r="AV754" s="34"/>
      <c r="AW754" s="34"/>
      <c r="AX754" s="34"/>
      <c r="AY754" s="34"/>
      <c r="AZ754" s="34"/>
      <c r="BA754" s="34"/>
      <c r="BB754" s="34"/>
      <c r="BD754" s="34"/>
      <c r="BE754" s="34"/>
      <c r="BF754" s="34"/>
      <c r="BG754" s="34"/>
      <c r="BH754" s="34"/>
      <c r="BI754" s="34"/>
      <c r="BJ754" s="34"/>
      <c r="BK754" s="34"/>
      <c r="BL754" s="34"/>
      <c r="BM754" s="34"/>
      <c r="BN754" s="34"/>
      <c r="BO754" s="34"/>
      <c r="BP754" s="34"/>
      <c r="BQ754" s="34"/>
      <c r="BR754" s="34"/>
      <c r="BS754" s="34"/>
      <c r="BT754" s="34"/>
      <c r="BU754" s="34"/>
      <c r="BV754" s="34"/>
      <c r="BW754" s="34"/>
      <c r="BX754" s="34"/>
      <c r="BY754" s="34"/>
    </row>
    <row r="755" spans="1:77" x14ac:dyDescent="0.3">
      <c r="A755" s="39"/>
      <c r="B755" s="42"/>
      <c r="C755" s="42"/>
      <c r="D755" s="75"/>
      <c r="E755" s="75"/>
      <c r="F755" s="76"/>
      <c r="G755" s="47"/>
      <c r="H755" s="47"/>
      <c r="I755" s="75"/>
      <c r="J755" s="76"/>
      <c r="K755" s="76"/>
      <c r="L755" s="75"/>
      <c r="M755" s="49"/>
      <c r="N755" s="76"/>
      <c r="O755" s="49"/>
      <c r="P755" s="77"/>
      <c r="Q755" s="53"/>
      <c r="R755" s="54"/>
      <c r="S755" s="55"/>
      <c r="T755" s="56"/>
      <c r="U755" s="56"/>
      <c r="V755" s="42"/>
      <c r="W755" s="57"/>
      <c r="X755" s="58"/>
      <c r="Y755" s="75"/>
      <c r="Z755" s="59"/>
      <c r="AA755" s="61"/>
      <c r="AB755" s="61"/>
      <c r="AC755" s="61"/>
      <c r="AD755" s="62"/>
      <c r="AE755" s="62"/>
      <c r="AF755" s="34"/>
      <c r="AG755" s="34"/>
      <c r="AH755" s="34"/>
      <c r="AI755" s="34"/>
      <c r="AJ755" s="34"/>
      <c r="AK755" s="34"/>
      <c r="AL755" s="34"/>
      <c r="AM755" s="34"/>
      <c r="AN755" s="34"/>
      <c r="AO755" s="34"/>
      <c r="AP755" s="34"/>
      <c r="AQ755" s="34"/>
      <c r="AR755" s="34"/>
      <c r="AS755" s="34"/>
      <c r="AT755" s="34"/>
      <c r="AU755" s="34"/>
      <c r="AV755" s="34"/>
      <c r="AW755" s="34"/>
      <c r="AX755" s="34"/>
      <c r="AY755" s="34"/>
      <c r="AZ755" s="34"/>
      <c r="BA755" s="34"/>
      <c r="BB755" s="34"/>
      <c r="BD755" s="34"/>
      <c r="BE755" s="34"/>
      <c r="BF755" s="34"/>
      <c r="BG755" s="34"/>
      <c r="BH755" s="34"/>
      <c r="BI755" s="34"/>
      <c r="BJ755" s="34"/>
      <c r="BK755" s="34"/>
      <c r="BL755" s="34"/>
      <c r="BM755" s="34"/>
      <c r="BN755" s="34"/>
      <c r="BO755" s="34"/>
      <c r="BP755" s="34"/>
      <c r="BQ755" s="34"/>
      <c r="BR755" s="34"/>
      <c r="BS755" s="34"/>
      <c r="BT755" s="34"/>
      <c r="BU755" s="34"/>
      <c r="BV755" s="34"/>
      <c r="BW755" s="34"/>
      <c r="BX755" s="34"/>
      <c r="BY755" s="34"/>
    </row>
    <row r="756" spans="1:77" x14ac:dyDescent="0.3">
      <c r="A756" s="39"/>
      <c r="B756" s="42"/>
      <c r="C756" s="42"/>
      <c r="D756" s="75"/>
      <c r="E756" s="75"/>
      <c r="F756" s="76"/>
      <c r="G756" s="47"/>
      <c r="H756" s="47"/>
      <c r="I756" s="75"/>
      <c r="J756" s="76"/>
      <c r="K756" s="76"/>
      <c r="L756" s="75"/>
      <c r="M756" s="49"/>
      <c r="N756" s="76"/>
      <c r="O756" s="49"/>
      <c r="P756" s="77"/>
      <c r="Q756" s="53"/>
      <c r="R756" s="54"/>
      <c r="S756" s="55"/>
      <c r="T756" s="56"/>
      <c r="U756" s="56"/>
      <c r="V756" s="42"/>
      <c r="W756" s="57"/>
      <c r="X756" s="58"/>
      <c r="Y756" s="75"/>
      <c r="Z756" s="59"/>
      <c r="AA756" s="61"/>
      <c r="AB756" s="61"/>
      <c r="AC756" s="61"/>
      <c r="AD756" s="62"/>
      <c r="AE756" s="62"/>
      <c r="AF756" s="34"/>
      <c r="AG756" s="34"/>
      <c r="AH756" s="34"/>
      <c r="AI756" s="34"/>
      <c r="AJ756" s="34"/>
      <c r="AK756" s="34"/>
      <c r="AL756" s="34"/>
      <c r="AM756" s="34"/>
      <c r="AN756" s="34"/>
      <c r="AO756" s="34"/>
      <c r="AP756" s="34"/>
      <c r="AQ756" s="34"/>
      <c r="AR756" s="34"/>
      <c r="AS756" s="34"/>
      <c r="AT756" s="34"/>
      <c r="AU756" s="34"/>
      <c r="AV756" s="34"/>
      <c r="AW756" s="34"/>
      <c r="AX756" s="34"/>
      <c r="AY756" s="34"/>
      <c r="AZ756" s="34"/>
      <c r="BA756" s="34"/>
      <c r="BB756" s="34"/>
      <c r="BD756" s="34"/>
      <c r="BE756" s="34"/>
      <c r="BF756" s="34"/>
      <c r="BG756" s="34"/>
      <c r="BH756" s="34"/>
      <c r="BI756" s="34"/>
      <c r="BJ756" s="34"/>
      <c r="BK756" s="34"/>
      <c r="BL756" s="34"/>
      <c r="BM756" s="34"/>
      <c r="BN756" s="34"/>
      <c r="BO756" s="34"/>
      <c r="BP756" s="34"/>
      <c r="BQ756" s="34"/>
      <c r="BR756" s="34"/>
      <c r="BS756" s="34"/>
      <c r="BT756" s="34"/>
      <c r="BU756" s="34"/>
      <c r="BV756" s="34"/>
      <c r="BW756" s="34"/>
      <c r="BX756" s="34"/>
      <c r="BY756" s="34"/>
    </row>
    <row r="757" spans="1:77" x14ac:dyDescent="0.3">
      <c r="A757" s="39"/>
      <c r="B757" s="42"/>
      <c r="C757" s="42"/>
      <c r="D757" s="75"/>
      <c r="E757" s="75"/>
      <c r="F757" s="76"/>
      <c r="G757" s="47"/>
      <c r="H757" s="47"/>
      <c r="I757" s="75"/>
      <c r="J757" s="76"/>
      <c r="K757" s="76"/>
      <c r="L757" s="75"/>
      <c r="M757" s="49"/>
      <c r="N757" s="76"/>
      <c r="O757" s="49"/>
      <c r="P757" s="77"/>
      <c r="Q757" s="53"/>
      <c r="R757" s="54"/>
      <c r="S757" s="55"/>
      <c r="T757" s="56"/>
      <c r="U757" s="56"/>
      <c r="V757" s="42"/>
      <c r="W757" s="57"/>
      <c r="X757" s="58"/>
      <c r="Y757" s="75"/>
      <c r="Z757" s="59"/>
      <c r="AA757" s="61"/>
      <c r="AB757" s="61"/>
      <c r="AC757" s="61"/>
      <c r="AD757" s="62"/>
      <c r="AE757" s="62"/>
      <c r="AF757" s="34"/>
      <c r="AG757" s="34"/>
      <c r="AH757" s="34"/>
      <c r="AI757" s="34"/>
      <c r="AJ757" s="34"/>
      <c r="AK757" s="34"/>
      <c r="AL757" s="34"/>
      <c r="AM757" s="34"/>
      <c r="AN757" s="34"/>
      <c r="AO757" s="34"/>
      <c r="AP757" s="34"/>
      <c r="AQ757" s="34"/>
      <c r="AR757" s="34"/>
      <c r="AS757" s="34"/>
      <c r="AT757" s="34"/>
      <c r="AU757" s="34"/>
      <c r="AV757" s="34"/>
      <c r="AW757" s="34"/>
      <c r="AX757" s="34"/>
      <c r="AY757" s="34"/>
      <c r="AZ757" s="34"/>
      <c r="BA757" s="34"/>
      <c r="BB757" s="34"/>
      <c r="BD757" s="34"/>
      <c r="BE757" s="34"/>
      <c r="BF757" s="34"/>
      <c r="BG757" s="34"/>
      <c r="BH757" s="34"/>
      <c r="BI757" s="34"/>
      <c r="BJ757" s="34"/>
      <c r="BK757" s="34"/>
      <c r="BL757" s="34"/>
      <c r="BM757" s="34"/>
      <c r="BN757" s="34"/>
      <c r="BO757" s="34"/>
      <c r="BP757" s="34"/>
      <c r="BQ757" s="34"/>
      <c r="BR757" s="34"/>
      <c r="BS757" s="34"/>
      <c r="BT757" s="34"/>
      <c r="BU757" s="34"/>
      <c r="BV757" s="34"/>
      <c r="BW757" s="34"/>
      <c r="BX757" s="34"/>
      <c r="BY757" s="34"/>
    </row>
    <row r="758" spans="1:77" x14ac:dyDescent="0.3">
      <c r="A758" s="39"/>
      <c r="B758" s="42"/>
      <c r="C758" s="42"/>
      <c r="D758" s="75"/>
      <c r="E758" s="75"/>
      <c r="F758" s="76"/>
      <c r="G758" s="47"/>
      <c r="H758" s="47"/>
      <c r="I758" s="75"/>
      <c r="J758" s="76"/>
      <c r="K758" s="76"/>
      <c r="L758" s="75"/>
      <c r="M758" s="49"/>
      <c r="N758" s="76"/>
      <c r="O758" s="49"/>
      <c r="P758" s="77"/>
      <c r="Q758" s="53"/>
      <c r="R758" s="54"/>
      <c r="S758" s="55"/>
      <c r="T758" s="56"/>
      <c r="U758" s="56"/>
      <c r="V758" s="42"/>
      <c r="W758" s="57"/>
      <c r="X758" s="58"/>
      <c r="Y758" s="75"/>
      <c r="Z758" s="59"/>
      <c r="AA758" s="61"/>
      <c r="AB758" s="61"/>
      <c r="AC758" s="61"/>
      <c r="AD758" s="62"/>
      <c r="AE758" s="62"/>
      <c r="AF758" s="34"/>
      <c r="AG758" s="34"/>
      <c r="AH758" s="34"/>
      <c r="AI758" s="34"/>
      <c r="AJ758" s="34"/>
      <c r="AK758" s="34"/>
      <c r="AL758" s="34"/>
      <c r="AM758" s="34"/>
      <c r="AN758" s="34"/>
      <c r="AO758" s="34"/>
      <c r="AP758" s="34"/>
      <c r="AQ758" s="34"/>
      <c r="AR758" s="34"/>
      <c r="AS758" s="34"/>
      <c r="AT758" s="34"/>
      <c r="AU758" s="34"/>
      <c r="AV758" s="34"/>
      <c r="AW758" s="34"/>
      <c r="AX758" s="34"/>
      <c r="AY758" s="34"/>
      <c r="AZ758" s="34"/>
      <c r="BA758" s="34"/>
      <c r="BB758" s="34"/>
      <c r="BD758" s="34"/>
      <c r="BE758" s="34"/>
      <c r="BF758" s="34"/>
      <c r="BG758" s="34"/>
      <c r="BH758" s="34"/>
      <c r="BI758" s="34"/>
      <c r="BJ758" s="34"/>
      <c r="BK758" s="34"/>
      <c r="BL758" s="34"/>
      <c r="BM758" s="34"/>
      <c r="BN758" s="34"/>
      <c r="BO758" s="34"/>
      <c r="BP758" s="34"/>
      <c r="BQ758" s="34"/>
      <c r="BR758" s="34"/>
      <c r="BS758" s="34"/>
      <c r="BT758" s="34"/>
      <c r="BU758" s="34"/>
      <c r="BV758" s="34"/>
      <c r="BW758" s="34"/>
      <c r="BX758" s="34"/>
      <c r="BY758" s="34"/>
    </row>
    <row r="759" spans="1:77" x14ac:dyDescent="0.3">
      <c r="A759" s="39"/>
      <c r="B759" s="42"/>
      <c r="C759" s="42"/>
      <c r="D759" s="75"/>
      <c r="E759" s="75"/>
      <c r="F759" s="76"/>
      <c r="G759" s="47"/>
      <c r="H759" s="47"/>
      <c r="I759" s="75"/>
      <c r="J759" s="76"/>
      <c r="K759" s="76"/>
      <c r="L759" s="75"/>
      <c r="M759" s="49"/>
      <c r="N759" s="76"/>
      <c r="O759" s="49"/>
      <c r="P759" s="77"/>
      <c r="Q759" s="53"/>
      <c r="R759" s="54"/>
      <c r="S759" s="55"/>
      <c r="T759" s="56"/>
      <c r="U759" s="56"/>
      <c r="V759" s="42"/>
      <c r="W759" s="57"/>
      <c r="X759" s="58"/>
      <c r="Y759" s="75"/>
      <c r="Z759" s="59"/>
      <c r="AA759" s="61"/>
      <c r="AB759" s="61"/>
      <c r="AC759" s="61"/>
      <c r="AD759" s="62"/>
      <c r="AE759" s="62"/>
      <c r="AF759" s="34"/>
      <c r="AG759" s="34"/>
      <c r="AH759" s="34"/>
      <c r="AI759" s="34"/>
      <c r="AJ759" s="34"/>
      <c r="AK759" s="34"/>
      <c r="AL759" s="34"/>
      <c r="AM759" s="34"/>
      <c r="AN759" s="34"/>
      <c r="AO759" s="34"/>
      <c r="AP759" s="34"/>
      <c r="AQ759" s="34"/>
      <c r="AR759" s="34"/>
      <c r="AS759" s="34"/>
      <c r="AT759" s="34"/>
      <c r="AU759" s="34"/>
      <c r="AV759" s="34"/>
      <c r="AW759" s="34"/>
      <c r="AX759" s="34"/>
      <c r="AY759" s="34"/>
      <c r="AZ759" s="34"/>
      <c r="BA759" s="34"/>
      <c r="BB759" s="34"/>
      <c r="BD759" s="34"/>
      <c r="BE759" s="34"/>
      <c r="BF759" s="34"/>
      <c r="BG759" s="34"/>
      <c r="BH759" s="34"/>
      <c r="BI759" s="34"/>
      <c r="BJ759" s="34"/>
      <c r="BK759" s="34"/>
      <c r="BL759" s="34"/>
      <c r="BM759" s="34"/>
      <c r="BN759" s="34"/>
      <c r="BO759" s="34"/>
      <c r="BP759" s="34"/>
      <c r="BQ759" s="34"/>
      <c r="BR759" s="34"/>
      <c r="BS759" s="34"/>
      <c r="BT759" s="34"/>
      <c r="BU759" s="34"/>
      <c r="BV759" s="34"/>
      <c r="BW759" s="34"/>
      <c r="BX759" s="34"/>
      <c r="BY759" s="34"/>
    </row>
    <row r="760" spans="1:77" x14ac:dyDescent="0.3">
      <c r="A760" s="39"/>
      <c r="B760" s="42"/>
      <c r="C760" s="42"/>
      <c r="D760" s="75"/>
      <c r="E760" s="75"/>
      <c r="F760" s="76"/>
      <c r="G760" s="47"/>
      <c r="H760" s="47"/>
      <c r="I760" s="75"/>
      <c r="J760" s="76"/>
      <c r="K760" s="76"/>
      <c r="L760" s="75"/>
      <c r="M760" s="49"/>
      <c r="N760" s="76"/>
      <c r="O760" s="49"/>
      <c r="P760" s="77"/>
      <c r="Q760" s="53"/>
      <c r="R760" s="54"/>
      <c r="S760" s="55"/>
      <c r="T760" s="56"/>
      <c r="U760" s="56"/>
      <c r="V760" s="42"/>
      <c r="W760" s="57"/>
      <c r="X760" s="58"/>
      <c r="Y760" s="75"/>
      <c r="Z760" s="59"/>
      <c r="AA760" s="61"/>
      <c r="AB760" s="61"/>
      <c r="AC760" s="61"/>
      <c r="AD760" s="62"/>
      <c r="AE760" s="62"/>
      <c r="AF760" s="34"/>
      <c r="AG760" s="34"/>
      <c r="AH760" s="34"/>
      <c r="AI760" s="34"/>
      <c r="AJ760" s="34"/>
      <c r="AK760" s="34"/>
      <c r="AL760" s="34"/>
      <c r="AM760" s="34"/>
      <c r="AN760" s="34"/>
      <c r="AO760" s="34"/>
      <c r="AP760" s="34"/>
      <c r="AQ760" s="34"/>
      <c r="AR760" s="34"/>
      <c r="AS760" s="34"/>
      <c r="AT760" s="34"/>
      <c r="AU760" s="34"/>
      <c r="AV760" s="34"/>
      <c r="AW760" s="34"/>
      <c r="AX760" s="34"/>
      <c r="AY760" s="34"/>
      <c r="AZ760" s="34"/>
      <c r="BA760" s="34"/>
      <c r="BB760" s="34"/>
      <c r="BD760" s="34"/>
      <c r="BE760" s="34"/>
      <c r="BF760" s="34"/>
      <c r="BG760" s="34"/>
      <c r="BH760" s="34"/>
      <c r="BI760" s="34"/>
      <c r="BJ760" s="34"/>
      <c r="BK760" s="34"/>
      <c r="BL760" s="34"/>
      <c r="BM760" s="34"/>
      <c r="BN760" s="34"/>
      <c r="BO760" s="34"/>
      <c r="BP760" s="34"/>
      <c r="BQ760" s="34"/>
      <c r="BR760" s="34"/>
      <c r="BS760" s="34"/>
      <c r="BT760" s="34"/>
      <c r="BU760" s="34"/>
      <c r="BV760" s="34"/>
      <c r="BW760" s="34"/>
      <c r="BX760" s="34"/>
      <c r="BY760" s="34"/>
    </row>
    <row r="761" spans="1:77" x14ac:dyDescent="0.3">
      <c r="A761" s="39"/>
      <c r="B761" s="42"/>
      <c r="C761" s="42"/>
      <c r="D761" s="75"/>
      <c r="E761" s="75"/>
      <c r="F761" s="76"/>
      <c r="G761" s="47"/>
      <c r="H761" s="47"/>
      <c r="I761" s="75"/>
      <c r="J761" s="76"/>
      <c r="K761" s="76"/>
      <c r="L761" s="75"/>
      <c r="M761" s="49"/>
      <c r="N761" s="76"/>
      <c r="O761" s="49"/>
      <c r="P761" s="77"/>
      <c r="Q761" s="53"/>
      <c r="R761" s="54"/>
      <c r="S761" s="55"/>
      <c r="T761" s="56"/>
      <c r="U761" s="56"/>
      <c r="V761" s="42"/>
      <c r="W761" s="57"/>
      <c r="X761" s="58"/>
      <c r="Y761" s="75"/>
      <c r="Z761" s="59"/>
      <c r="AA761" s="61"/>
      <c r="AB761" s="61"/>
      <c r="AC761" s="61"/>
      <c r="AD761" s="62"/>
      <c r="AE761" s="62"/>
      <c r="AF761" s="34"/>
      <c r="AG761" s="34"/>
      <c r="AH761" s="34"/>
      <c r="AI761" s="34"/>
      <c r="AJ761" s="34"/>
      <c r="AK761" s="34"/>
      <c r="AL761" s="34"/>
      <c r="AM761" s="34"/>
      <c r="AN761" s="34"/>
      <c r="AO761" s="34"/>
      <c r="AP761" s="34"/>
      <c r="AQ761" s="34"/>
      <c r="AR761" s="34"/>
      <c r="AS761" s="34"/>
      <c r="AT761" s="34"/>
      <c r="AU761" s="34"/>
      <c r="AV761" s="34"/>
      <c r="AW761" s="34"/>
      <c r="AX761" s="34"/>
      <c r="AY761" s="34"/>
      <c r="AZ761" s="34"/>
      <c r="BA761" s="34"/>
      <c r="BB761" s="34"/>
      <c r="BD761" s="34"/>
      <c r="BE761" s="34"/>
      <c r="BF761" s="34"/>
      <c r="BG761" s="34"/>
      <c r="BH761" s="34"/>
      <c r="BI761" s="34"/>
      <c r="BJ761" s="34"/>
      <c r="BK761" s="34"/>
      <c r="BL761" s="34"/>
      <c r="BM761" s="34"/>
      <c r="BN761" s="34"/>
      <c r="BO761" s="34"/>
      <c r="BP761" s="34"/>
      <c r="BQ761" s="34"/>
      <c r="BR761" s="34"/>
      <c r="BS761" s="34"/>
      <c r="BT761" s="34"/>
      <c r="BU761" s="34"/>
      <c r="BV761" s="34"/>
      <c r="BW761" s="34"/>
      <c r="BX761" s="34"/>
      <c r="BY761" s="34"/>
    </row>
    <row r="762" spans="1:77" x14ac:dyDescent="0.3">
      <c r="A762" s="39"/>
      <c r="B762" s="42"/>
      <c r="C762" s="42"/>
      <c r="D762" s="75"/>
      <c r="E762" s="75"/>
      <c r="F762" s="76"/>
      <c r="G762" s="47"/>
      <c r="H762" s="47"/>
      <c r="I762" s="75"/>
      <c r="J762" s="76"/>
      <c r="K762" s="76"/>
      <c r="L762" s="75"/>
      <c r="M762" s="49"/>
      <c r="N762" s="76"/>
      <c r="O762" s="49"/>
      <c r="P762" s="77"/>
      <c r="Q762" s="53"/>
      <c r="R762" s="54"/>
      <c r="S762" s="55"/>
      <c r="T762" s="56"/>
      <c r="U762" s="56"/>
      <c r="V762" s="42"/>
      <c r="W762" s="57"/>
      <c r="X762" s="58"/>
      <c r="Y762" s="75"/>
      <c r="Z762" s="59"/>
      <c r="AA762" s="61"/>
      <c r="AB762" s="61"/>
      <c r="AC762" s="61"/>
      <c r="AD762" s="62"/>
      <c r="AE762" s="62"/>
      <c r="AF762" s="34"/>
      <c r="AG762" s="34"/>
      <c r="AH762" s="34"/>
      <c r="AI762" s="34"/>
      <c r="AJ762" s="34"/>
      <c r="AK762" s="34"/>
      <c r="AL762" s="34"/>
      <c r="AM762" s="34"/>
      <c r="AN762" s="34"/>
      <c r="AO762" s="34"/>
      <c r="AP762" s="34"/>
      <c r="AQ762" s="34"/>
      <c r="AR762" s="34"/>
      <c r="AS762" s="34"/>
      <c r="AT762" s="34"/>
      <c r="AU762" s="34"/>
      <c r="AV762" s="34"/>
      <c r="AW762" s="34"/>
      <c r="AX762" s="34"/>
      <c r="AY762" s="34"/>
      <c r="AZ762" s="34"/>
      <c r="BA762" s="34"/>
      <c r="BB762" s="34"/>
      <c r="BD762" s="34"/>
      <c r="BE762" s="34"/>
      <c r="BF762" s="34"/>
      <c r="BG762" s="34"/>
      <c r="BH762" s="34"/>
      <c r="BI762" s="34"/>
      <c r="BJ762" s="34"/>
      <c r="BK762" s="34"/>
      <c r="BL762" s="34"/>
      <c r="BM762" s="34"/>
      <c r="BN762" s="34"/>
      <c r="BO762" s="34"/>
      <c r="BP762" s="34"/>
      <c r="BQ762" s="34"/>
      <c r="BR762" s="34"/>
      <c r="BS762" s="34"/>
      <c r="BT762" s="34"/>
      <c r="BU762" s="34"/>
      <c r="BV762" s="34"/>
      <c r="BW762" s="34"/>
      <c r="BX762" s="34"/>
      <c r="BY762" s="34"/>
    </row>
    <row r="763" spans="1:77" x14ac:dyDescent="0.3">
      <c r="A763" s="39"/>
      <c r="B763" s="42"/>
      <c r="C763" s="42"/>
      <c r="D763" s="75"/>
      <c r="E763" s="75"/>
      <c r="F763" s="76"/>
      <c r="G763" s="47"/>
      <c r="H763" s="47"/>
      <c r="I763" s="75"/>
      <c r="J763" s="76"/>
      <c r="K763" s="76"/>
      <c r="L763" s="75"/>
      <c r="M763" s="49"/>
      <c r="N763" s="76"/>
      <c r="O763" s="49"/>
      <c r="P763" s="77"/>
      <c r="Q763" s="53"/>
      <c r="R763" s="54"/>
      <c r="S763" s="55"/>
      <c r="T763" s="56"/>
      <c r="U763" s="56"/>
      <c r="V763" s="42"/>
      <c r="W763" s="57"/>
      <c r="X763" s="58"/>
      <c r="Y763" s="75"/>
      <c r="Z763" s="59"/>
      <c r="AA763" s="61"/>
      <c r="AB763" s="61"/>
      <c r="AC763" s="61"/>
      <c r="AD763" s="62"/>
      <c r="AE763" s="62"/>
      <c r="AF763" s="34"/>
      <c r="AG763" s="34"/>
      <c r="AH763" s="34"/>
      <c r="AI763" s="34"/>
      <c r="AJ763" s="34"/>
      <c r="AK763" s="34"/>
      <c r="AL763" s="34"/>
      <c r="AM763" s="34"/>
      <c r="AN763" s="34"/>
      <c r="AO763" s="34"/>
      <c r="AP763" s="34"/>
      <c r="AQ763" s="34"/>
      <c r="AR763" s="34"/>
      <c r="AS763" s="34"/>
      <c r="AT763" s="34"/>
      <c r="AU763" s="34"/>
      <c r="AV763" s="34"/>
      <c r="AW763" s="34"/>
      <c r="AX763" s="34"/>
      <c r="AY763" s="34"/>
      <c r="AZ763" s="34"/>
      <c r="BA763" s="34"/>
      <c r="BB763" s="34"/>
      <c r="BD763" s="34"/>
      <c r="BE763" s="34"/>
      <c r="BF763" s="34"/>
      <c r="BG763" s="34"/>
      <c r="BH763" s="34"/>
      <c r="BI763" s="34"/>
      <c r="BJ763" s="34"/>
      <c r="BK763" s="34"/>
      <c r="BL763" s="34"/>
      <c r="BM763" s="34"/>
      <c r="BN763" s="34"/>
      <c r="BO763" s="34"/>
      <c r="BP763" s="34"/>
      <c r="BQ763" s="34"/>
      <c r="BR763" s="34"/>
      <c r="BS763" s="34"/>
      <c r="BT763" s="34"/>
      <c r="BU763" s="34"/>
      <c r="BV763" s="34"/>
      <c r="BW763" s="34"/>
      <c r="BX763" s="34"/>
      <c r="BY763" s="34"/>
    </row>
    <row r="764" spans="1:77" x14ac:dyDescent="0.3">
      <c r="A764" s="39"/>
      <c r="B764" s="42"/>
      <c r="C764" s="42"/>
      <c r="D764" s="75"/>
      <c r="E764" s="75"/>
      <c r="F764" s="76"/>
      <c r="G764" s="47"/>
      <c r="H764" s="47"/>
      <c r="I764" s="75"/>
      <c r="J764" s="76"/>
      <c r="K764" s="76"/>
      <c r="L764" s="75"/>
      <c r="M764" s="49"/>
      <c r="N764" s="76"/>
      <c r="O764" s="49"/>
      <c r="P764" s="77"/>
      <c r="Q764" s="53"/>
      <c r="R764" s="54"/>
      <c r="S764" s="55"/>
      <c r="T764" s="56"/>
      <c r="U764" s="56"/>
      <c r="V764" s="42"/>
      <c r="W764" s="57"/>
      <c r="X764" s="58"/>
      <c r="Y764" s="75"/>
      <c r="Z764" s="59"/>
      <c r="AA764" s="61"/>
      <c r="AB764" s="61"/>
      <c r="AC764" s="61"/>
      <c r="AD764" s="62"/>
      <c r="AE764" s="62"/>
      <c r="AF764" s="34"/>
      <c r="AG764" s="34"/>
      <c r="AH764" s="34"/>
      <c r="AI764" s="34"/>
      <c r="AJ764" s="34"/>
      <c r="AK764" s="34"/>
      <c r="AL764" s="34"/>
      <c r="AM764" s="34"/>
      <c r="AN764" s="34"/>
      <c r="AO764" s="34"/>
      <c r="AP764" s="34"/>
      <c r="AQ764" s="34"/>
      <c r="AR764" s="34"/>
      <c r="AS764" s="34"/>
      <c r="AT764" s="34"/>
      <c r="AU764" s="34"/>
      <c r="AV764" s="34"/>
      <c r="AW764" s="34"/>
      <c r="AX764" s="34"/>
      <c r="AY764" s="34"/>
      <c r="AZ764" s="34"/>
      <c r="BA764" s="34"/>
      <c r="BB764" s="34"/>
      <c r="BD764" s="34"/>
      <c r="BE764" s="34"/>
      <c r="BF764" s="34"/>
      <c r="BG764" s="34"/>
      <c r="BH764" s="34"/>
      <c r="BI764" s="34"/>
      <c r="BJ764" s="34"/>
      <c r="BK764" s="34"/>
      <c r="BL764" s="34"/>
      <c r="BM764" s="34"/>
      <c r="BN764" s="34"/>
      <c r="BO764" s="34"/>
      <c r="BP764" s="34"/>
      <c r="BQ764" s="34"/>
      <c r="BR764" s="34"/>
      <c r="BS764" s="34"/>
      <c r="BT764" s="34"/>
      <c r="BU764" s="34"/>
      <c r="BV764" s="34"/>
      <c r="BW764" s="34"/>
      <c r="BX764" s="34"/>
      <c r="BY764" s="34"/>
    </row>
    <row r="765" spans="1:77" x14ac:dyDescent="0.3">
      <c r="A765" s="39"/>
      <c r="B765" s="42"/>
      <c r="C765" s="42"/>
      <c r="D765" s="75"/>
      <c r="E765" s="75"/>
      <c r="F765" s="76"/>
      <c r="G765" s="47"/>
      <c r="H765" s="47"/>
      <c r="I765" s="75"/>
      <c r="J765" s="76"/>
      <c r="K765" s="76"/>
      <c r="L765" s="75"/>
      <c r="M765" s="49"/>
      <c r="N765" s="76"/>
      <c r="O765" s="49"/>
      <c r="P765" s="77"/>
      <c r="Q765" s="53"/>
      <c r="R765" s="54"/>
      <c r="S765" s="55"/>
      <c r="T765" s="56"/>
      <c r="U765" s="56"/>
      <c r="V765" s="42"/>
      <c r="W765" s="57"/>
      <c r="X765" s="58"/>
      <c r="Y765" s="75"/>
      <c r="Z765" s="59"/>
      <c r="AA765" s="61"/>
      <c r="AB765" s="61"/>
      <c r="AC765" s="61"/>
      <c r="AD765" s="62"/>
      <c r="AE765" s="62"/>
      <c r="AF765" s="34"/>
      <c r="AG765" s="34"/>
      <c r="AH765" s="34"/>
      <c r="AI765" s="34"/>
      <c r="AJ765" s="34"/>
      <c r="AK765" s="34"/>
      <c r="AL765" s="34"/>
      <c r="AM765" s="34"/>
      <c r="AN765" s="34"/>
      <c r="AO765" s="34"/>
      <c r="AP765" s="34"/>
      <c r="AQ765" s="34"/>
      <c r="AR765" s="34"/>
      <c r="AS765" s="34"/>
      <c r="AT765" s="34"/>
      <c r="AU765" s="34"/>
      <c r="AV765" s="34"/>
      <c r="AW765" s="34"/>
      <c r="AX765" s="34"/>
      <c r="AY765" s="34"/>
      <c r="AZ765" s="34"/>
      <c r="BA765" s="34"/>
      <c r="BB765" s="34"/>
      <c r="BD765" s="34"/>
      <c r="BE765" s="34"/>
      <c r="BF765" s="34"/>
      <c r="BG765" s="34"/>
      <c r="BH765" s="34"/>
      <c r="BI765" s="34"/>
      <c r="BJ765" s="34"/>
      <c r="BK765" s="34"/>
      <c r="BL765" s="34"/>
      <c r="BM765" s="34"/>
      <c r="BN765" s="34"/>
      <c r="BO765" s="34"/>
      <c r="BP765" s="34"/>
      <c r="BQ765" s="34"/>
      <c r="BR765" s="34"/>
      <c r="BS765" s="34"/>
      <c r="BT765" s="34"/>
      <c r="BU765" s="34"/>
      <c r="BV765" s="34"/>
      <c r="BW765" s="34"/>
      <c r="BX765" s="34"/>
      <c r="BY765" s="34"/>
    </row>
    <row r="766" spans="1:77" x14ac:dyDescent="0.3">
      <c r="A766" s="39"/>
      <c r="B766" s="42"/>
      <c r="C766" s="42"/>
      <c r="D766" s="75"/>
      <c r="E766" s="75"/>
      <c r="F766" s="76"/>
      <c r="G766" s="47"/>
      <c r="H766" s="47"/>
      <c r="I766" s="75"/>
      <c r="J766" s="76"/>
      <c r="K766" s="76"/>
      <c r="L766" s="75"/>
      <c r="M766" s="49"/>
      <c r="N766" s="76"/>
      <c r="O766" s="49"/>
      <c r="P766" s="77"/>
      <c r="Q766" s="53"/>
      <c r="R766" s="54"/>
      <c r="S766" s="55"/>
      <c r="T766" s="56"/>
      <c r="U766" s="56"/>
      <c r="V766" s="42"/>
      <c r="W766" s="57"/>
      <c r="X766" s="58"/>
      <c r="Y766" s="75"/>
      <c r="Z766" s="59"/>
      <c r="AA766" s="61"/>
      <c r="AB766" s="61"/>
      <c r="AC766" s="61"/>
      <c r="AD766" s="62"/>
      <c r="AE766" s="62"/>
      <c r="AF766" s="34"/>
      <c r="AG766" s="34"/>
      <c r="AH766" s="34"/>
      <c r="AI766" s="34"/>
      <c r="AJ766" s="34"/>
      <c r="AK766" s="34"/>
      <c r="AL766" s="34"/>
      <c r="AM766" s="34"/>
      <c r="AN766" s="34"/>
      <c r="AO766" s="34"/>
      <c r="AP766" s="34"/>
      <c r="AQ766" s="34"/>
      <c r="AR766" s="34"/>
      <c r="AS766" s="34"/>
      <c r="AT766" s="34"/>
      <c r="AU766" s="34"/>
      <c r="AV766" s="34"/>
      <c r="AW766" s="34"/>
      <c r="AX766" s="34"/>
      <c r="AY766" s="34"/>
      <c r="AZ766" s="34"/>
      <c r="BA766" s="34"/>
      <c r="BB766" s="34"/>
      <c r="BD766" s="34"/>
      <c r="BE766" s="34"/>
      <c r="BF766" s="34"/>
      <c r="BG766" s="34"/>
      <c r="BH766" s="34"/>
      <c r="BI766" s="34"/>
      <c r="BJ766" s="34"/>
      <c r="BK766" s="34"/>
      <c r="BL766" s="34"/>
      <c r="BM766" s="34"/>
      <c r="BN766" s="34"/>
      <c r="BO766" s="34"/>
      <c r="BP766" s="34"/>
      <c r="BQ766" s="34"/>
      <c r="BR766" s="34"/>
      <c r="BS766" s="34"/>
      <c r="BT766" s="34"/>
      <c r="BU766" s="34"/>
      <c r="BV766" s="34"/>
      <c r="BW766" s="34"/>
      <c r="BX766" s="34"/>
      <c r="BY766" s="34"/>
    </row>
    <row r="767" spans="1:77" x14ac:dyDescent="0.3">
      <c r="A767" s="39"/>
      <c r="B767" s="42"/>
      <c r="C767" s="42"/>
      <c r="D767" s="75"/>
      <c r="E767" s="75"/>
      <c r="F767" s="76"/>
      <c r="G767" s="47"/>
      <c r="H767" s="47"/>
      <c r="I767" s="75"/>
      <c r="J767" s="76"/>
      <c r="K767" s="76"/>
      <c r="L767" s="75"/>
      <c r="M767" s="49"/>
      <c r="N767" s="76"/>
      <c r="O767" s="49"/>
      <c r="P767" s="77"/>
      <c r="Q767" s="53"/>
      <c r="R767" s="54"/>
      <c r="S767" s="55"/>
      <c r="T767" s="56"/>
      <c r="U767" s="56"/>
      <c r="V767" s="42"/>
      <c r="W767" s="57"/>
      <c r="X767" s="58"/>
      <c r="Y767" s="75"/>
      <c r="Z767" s="59"/>
      <c r="AA767" s="61"/>
      <c r="AB767" s="61"/>
      <c r="AC767" s="61"/>
      <c r="AD767" s="62"/>
      <c r="AE767" s="62"/>
      <c r="AF767" s="34"/>
      <c r="AG767" s="34"/>
      <c r="AH767" s="34"/>
      <c r="AI767" s="34"/>
      <c r="AJ767" s="34"/>
      <c r="AK767" s="34"/>
      <c r="AL767" s="34"/>
      <c r="AM767" s="34"/>
      <c r="AN767" s="34"/>
      <c r="AO767" s="34"/>
      <c r="AP767" s="34"/>
      <c r="AQ767" s="34"/>
      <c r="AR767" s="34"/>
      <c r="AS767" s="34"/>
      <c r="AT767" s="34"/>
      <c r="AU767" s="34"/>
      <c r="AV767" s="34"/>
      <c r="AW767" s="34"/>
      <c r="AX767" s="34"/>
      <c r="AY767" s="34"/>
      <c r="AZ767" s="34"/>
      <c r="BA767" s="34"/>
      <c r="BB767" s="34"/>
      <c r="BD767" s="34"/>
      <c r="BE767" s="34"/>
      <c r="BF767" s="34"/>
      <c r="BG767" s="34"/>
      <c r="BH767" s="34"/>
      <c r="BI767" s="34"/>
      <c r="BJ767" s="34"/>
      <c r="BK767" s="34"/>
      <c r="BL767" s="34"/>
      <c r="BM767" s="34"/>
      <c r="BN767" s="34"/>
      <c r="BO767" s="34"/>
      <c r="BP767" s="34"/>
      <c r="BQ767" s="34"/>
      <c r="BR767" s="34"/>
      <c r="BS767" s="34"/>
      <c r="BT767" s="34"/>
      <c r="BU767" s="34"/>
      <c r="BV767" s="34"/>
      <c r="BW767" s="34"/>
      <c r="BX767" s="34"/>
      <c r="BY767" s="34"/>
    </row>
    <row r="768" spans="1:77" x14ac:dyDescent="0.3">
      <c r="A768" s="39"/>
      <c r="B768" s="42"/>
      <c r="C768" s="42"/>
      <c r="D768" s="75"/>
      <c r="E768" s="75"/>
      <c r="F768" s="76"/>
      <c r="G768" s="47"/>
      <c r="H768" s="47"/>
      <c r="I768" s="75"/>
      <c r="J768" s="76"/>
      <c r="K768" s="76"/>
      <c r="L768" s="75"/>
      <c r="M768" s="49"/>
      <c r="N768" s="76"/>
      <c r="O768" s="49"/>
      <c r="P768" s="77"/>
      <c r="Q768" s="53"/>
      <c r="R768" s="54"/>
      <c r="S768" s="55"/>
      <c r="T768" s="56"/>
      <c r="U768" s="56"/>
      <c r="V768" s="42"/>
      <c r="W768" s="57"/>
      <c r="X768" s="58"/>
      <c r="Y768" s="75"/>
      <c r="Z768" s="59"/>
      <c r="AA768" s="61"/>
      <c r="AB768" s="61"/>
      <c r="AC768" s="61"/>
      <c r="AD768" s="62"/>
      <c r="AE768" s="62"/>
      <c r="AF768" s="34"/>
      <c r="AG768" s="34"/>
      <c r="AH768" s="34"/>
      <c r="AI768" s="34"/>
      <c r="AJ768" s="34"/>
      <c r="AK768" s="34"/>
      <c r="AL768" s="34"/>
      <c r="AM768" s="34"/>
      <c r="AN768" s="34"/>
      <c r="AO768" s="34"/>
      <c r="AP768" s="34"/>
      <c r="AQ768" s="34"/>
      <c r="AR768" s="34"/>
      <c r="AS768" s="34"/>
      <c r="AT768" s="34"/>
      <c r="AU768" s="34"/>
      <c r="AV768" s="34"/>
      <c r="AW768" s="34"/>
      <c r="AX768" s="34"/>
      <c r="AY768" s="34"/>
      <c r="AZ768" s="34"/>
      <c r="BA768" s="34"/>
      <c r="BB768" s="34"/>
      <c r="BD768" s="34"/>
      <c r="BE768" s="34"/>
      <c r="BF768" s="34"/>
      <c r="BG768" s="34"/>
      <c r="BH768" s="34"/>
      <c r="BI768" s="34"/>
      <c r="BJ768" s="34"/>
      <c r="BK768" s="34"/>
      <c r="BL768" s="34"/>
      <c r="BM768" s="34"/>
      <c r="BN768" s="34"/>
      <c r="BO768" s="34"/>
      <c r="BP768" s="34"/>
      <c r="BQ768" s="34"/>
      <c r="BR768" s="34"/>
      <c r="BS768" s="34"/>
      <c r="BT768" s="34"/>
      <c r="BU768" s="34"/>
      <c r="BV768" s="34"/>
      <c r="BW768" s="34"/>
      <c r="BX768" s="34"/>
      <c r="BY768" s="34"/>
    </row>
    <row r="769" spans="1:77" x14ac:dyDescent="0.3">
      <c r="A769" s="39"/>
      <c r="B769" s="42"/>
      <c r="C769" s="42"/>
      <c r="D769" s="75"/>
      <c r="E769" s="75"/>
      <c r="F769" s="76"/>
      <c r="G769" s="47"/>
      <c r="H769" s="47"/>
      <c r="I769" s="75"/>
      <c r="J769" s="76"/>
      <c r="K769" s="76"/>
      <c r="L769" s="75"/>
      <c r="M769" s="49"/>
      <c r="N769" s="76"/>
      <c r="O769" s="49"/>
      <c r="P769" s="77"/>
      <c r="Q769" s="53"/>
      <c r="R769" s="54"/>
      <c r="S769" s="55"/>
      <c r="T769" s="56"/>
      <c r="U769" s="56"/>
      <c r="V769" s="42"/>
      <c r="W769" s="57"/>
      <c r="X769" s="58"/>
      <c r="Y769" s="75"/>
      <c r="Z769" s="59"/>
      <c r="AA769" s="61"/>
      <c r="AB769" s="61"/>
      <c r="AC769" s="61"/>
      <c r="AD769" s="62"/>
      <c r="AE769" s="62"/>
      <c r="AF769" s="34"/>
      <c r="AG769" s="34"/>
      <c r="AH769" s="34"/>
      <c r="AI769" s="34"/>
      <c r="AJ769" s="34"/>
      <c r="AK769" s="34"/>
      <c r="AL769" s="34"/>
      <c r="AM769" s="34"/>
      <c r="AN769" s="34"/>
      <c r="AO769" s="34"/>
      <c r="AP769" s="34"/>
      <c r="AQ769" s="34"/>
      <c r="AR769" s="34"/>
      <c r="AS769" s="34"/>
      <c r="AT769" s="34"/>
      <c r="AU769" s="34"/>
      <c r="AV769" s="34"/>
      <c r="AW769" s="34"/>
      <c r="AX769" s="34"/>
      <c r="AY769" s="34"/>
      <c r="AZ769" s="34"/>
      <c r="BA769" s="34"/>
      <c r="BB769" s="34"/>
      <c r="BD769" s="34"/>
      <c r="BE769" s="34"/>
      <c r="BF769" s="34"/>
      <c r="BG769" s="34"/>
      <c r="BH769" s="34"/>
      <c r="BI769" s="34"/>
      <c r="BJ769" s="34"/>
      <c r="BK769" s="34"/>
      <c r="BL769" s="34"/>
      <c r="BM769" s="34"/>
      <c r="BN769" s="34"/>
      <c r="BO769" s="34"/>
      <c r="BP769" s="34"/>
      <c r="BQ769" s="34"/>
      <c r="BR769" s="34"/>
      <c r="BS769" s="34"/>
      <c r="BT769" s="34"/>
      <c r="BU769" s="34"/>
      <c r="BV769" s="34"/>
      <c r="BW769" s="34"/>
      <c r="BX769" s="34"/>
      <c r="BY769" s="34"/>
    </row>
    <row r="770" spans="1:77" x14ac:dyDescent="0.3">
      <c r="A770" s="39"/>
      <c r="B770" s="42"/>
      <c r="C770" s="42"/>
      <c r="D770" s="75"/>
      <c r="E770" s="75"/>
      <c r="F770" s="76"/>
      <c r="G770" s="47"/>
      <c r="H770" s="47"/>
      <c r="I770" s="75"/>
      <c r="J770" s="76"/>
      <c r="K770" s="76"/>
      <c r="L770" s="75"/>
      <c r="M770" s="49"/>
      <c r="N770" s="76"/>
      <c r="O770" s="49"/>
      <c r="P770" s="77"/>
      <c r="Q770" s="53"/>
      <c r="R770" s="54"/>
      <c r="S770" s="55"/>
      <c r="T770" s="56"/>
      <c r="U770" s="56"/>
      <c r="V770" s="42"/>
      <c r="W770" s="57"/>
      <c r="X770" s="58"/>
      <c r="Y770" s="75"/>
      <c r="Z770" s="59"/>
      <c r="AA770" s="61"/>
      <c r="AB770" s="61"/>
      <c r="AC770" s="61"/>
      <c r="AD770" s="62"/>
      <c r="AE770" s="62"/>
      <c r="AF770" s="34"/>
      <c r="AG770" s="34"/>
      <c r="AH770" s="34"/>
      <c r="AI770" s="34"/>
      <c r="AJ770" s="34"/>
      <c r="AK770" s="34"/>
      <c r="AL770" s="34"/>
      <c r="AM770" s="34"/>
      <c r="AN770" s="34"/>
      <c r="AO770" s="34"/>
      <c r="AP770" s="34"/>
      <c r="AQ770" s="34"/>
      <c r="AR770" s="34"/>
      <c r="AS770" s="34"/>
      <c r="AT770" s="34"/>
      <c r="AU770" s="34"/>
      <c r="AV770" s="34"/>
      <c r="AW770" s="34"/>
      <c r="AX770" s="34"/>
      <c r="AY770" s="34"/>
      <c r="AZ770" s="34"/>
      <c r="BA770" s="34"/>
      <c r="BB770" s="34"/>
      <c r="BD770" s="34"/>
      <c r="BE770" s="34"/>
      <c r="BF770" s="34"/>
      <c r="BG770" s="34"/>
      <c r="BH770" s="34"/>
      <c r="BI770" s="34"/>
      <c r="BJ770" s="34"/>
      <c r="BK770" s="34"/>
      <c r="BL770" s="34"/>
      <c r="BM770" s="34"/>
      <c r="BN770" s="34"/>
      <c r="BO770" s="34"/>
      <c r="BP770" s="34"/>
      <c r="BQ770" s="34"/>
      <c r="BR770" s="34"/>
      <c r="BS770" s="34"/>
      <c r="BT770" s="34"/>
      <c r="BU770" s="34"/>
      <c r="BV770" s="34"/>
      <c r="BW770" s="34"/>
      <c r="BX770" s="34"/>
      <c r="BY770" s="34"/>
    </row>
    <row r="771" spans="1:77" x14ac:dyDescent="0.3">
      <c r="A771" s="39"/>
      <c r="B771" s="42"/>
      <c r="C771" s="42"/>
      <c r="D771" s="75"/>
      <c r="E771" s="75"/>
      <c r="F771" s="76"/>
      <c r="G771" s="47"/>
      <c r="H771" s="47"/>
      <c r="I771" s="75"/>
      <c r="J771" s="76"/>
      <c r="K771" s="76"/>
      <c r="L771" s="75"/>
      <c r="M771" s="49"/>
      <c r="N771" s="76"/>
      <c r="O771" s="49"/>
      <c r="P771" s="77"/>
      <c r="Q771" s="53"/>
      <c r="R771" s="54"/>
      <c r="S771" s="55"/>
      <c r="T771" s="56"/>
      <c r="U771" s="56"/>
      <c r="V771" s="42"/>
      <c r="W771" s="57"/>
      <c r="X771" s="58"/>
      <c r="Y771" s="75"/>
      <c r="Z771" s="59"/>
      <c r="AA771" s="61"/>
      <c r="AB771" s="61"/>
      <c r="AC771" s="61"/>
      <c r="AD771" s="62"/>
      <c r="AE771" s="62"/>
      <c r="AF771" s="34"/>
      <c r="AG771" s="34"/>
      <c r="AH771" s="34"/>
      <c r="AI771" s="34"/>
      <c r="AJ771" s="34"/>
      <c r="AK771" s="34"/>
      <c r="AL771" s="34"/>
      <c r="AM771" s="34"/>
      <c r="AN771" s="34"/>
      <c r="AO771" s="34"/>
      <c r="AP771" s="34"/>
      <c r="AQ771" s="34"/>
      <c r="AR771" s="34"/>
      <c r="AS771" s="34"/>
      <c r="AT771" s="34"/>
      <c r="AU771" s="34"/>
      <c r="AV771" s="34"/>
      <c r="AW771" s="34"/>
      <c r="AX771" s="34"/>
      <c r="AY771" s="34"/>
      <c r="AZ771" s="34"/>
      <c r="BA771" s="34"/>
      <c r="BB771" s="34"/>
      <c r="BD771" s="34"/>
      <c r="BE771" s="34"/>
      <c r="BF771" s="34"/>
      <c r="BG771" s="34"/>
      <c r="BH771" s="34"/>
      <c r="BI771" s="34"/>
      <c r="BJ771" s="34"/>
      <c r="BK771" s="34"/>
      <c r="BL771" s="34"/>
      <c r="BM771" s="34"/>
      <c r="BN771" s="34"/>
      <c r="BO771" s="34"/>
      <c r="BP771" s="34"/>
      <c r="BQ771" s="34"/>
      <c r="BR771" s="34"/>
      <c r="BS771" s="34"/>
      <c r="BT771" s="34"/>
      <c r="BU771" s="34"/>
      <c r="BV771" s="34"/>
      <c r="BW771" s="34"/>
      <c r="BX771" s="34"/>
      <c r="BY771" s="34"/>
    </row>
    <row r="772" spans="1:77" x14ac:dyDescent="0.3">
      <c r="A772" s="39"/>
      <c r="B772" s="42"/>
      <c r="C772" s="42"/>
      <c r="D772" s="75"/>
      <c r="E772" s="75"/>
      <c r="F772" s="76"/>
      <c r="G772" s="47"/>
      <c r="H772" s="47"/>
      <c r="I772" s="75"/>
      <c r="J772" s="76"/>
      <c r="K772" s="76"/>
      <c r="L772" s="75"/>
      <c r="M772" s="49"/>
      <c r="N772" s="76"/>
      <c r="O772" s="49"/>
      <c r="P772" s="77"/>
      <c r="Q772" s="53"/>
      <c r="R772" s="54"/>
      <c r="S772" s="55"/>
      <c r="T772" s="56"/>
      <c r="U772" s="56"/>
      <c r="V772" s="42"/>
      <c r="W772" s="57"/>
      <c r="X772" s="58"/>
      <c r="Y772" s="75"/>
      <c r="Z772" s="59"/>
      <c r="AA772" s="61"/>
      <c r="AB772" s="61"/>
      <c r="AC772" s="61"/>
      <c r="AD772" s="62"/>
      <c r="AE772" s="62"/>
      <c r="AF772" s="34"/>
      <c r="AG772" s="34"/>
      <c r="AH772" s="34"/>
      <c r="AI772" s="34"/>
      <c r="AJ772" s="34"/>
      <c r="AK772" s="34"/>
      <c r="AL772" s="34"/>
      <c r="AM772" s="34"/>
      <c r="AN772" s="34"/>
      <c r="AO772" s="34"/>
      <c r="AP772" s="34"/>
      <c r="AQ772" s="34"/>
      <c r="AR772" s="34"/>
      <c r="AS772" s="34"/>
      <c r="AT772" s="34"/>
      <c r="AU772" s="34"/>
      <c r="AV772" s="34"/>
      <c r="AW772" s="34"/>
      <c r="AX772" s="34"/>
      <c r="AY772" s="34"/>
      <c r="AZ772" s="34"/>
      <c r="BA772" s="34"/>
      <c r="BB772" s="34"/>
      <c r="BD772" s="34"/>
      <c r="BE772" s="34"/>
      <c r="BF772" s="34"/>
      <c r="BG772" s="34"/>
      <c r="BH772" s="34"/>
      <c r="BI772" s="34"/>
      <c r="BJ772" s="34"/>
      <c r="BK772" s="34"/>
      <c r="BL772" s="34"/>
      <c r="BM772" s="34"/>
      <c r="BN772" s="34"/>
      <c r="BO772" s="34"/>
      <c r="BP772" s="34"/>
      <c r="BQ772" s="34"/>
      <c r="BR772" s="34"/>
      <c r="BS772" s="34"/>
      <c r="BT772" s="34"/>
      <c r="BU772" s="34"/>
      <c r="BV772" s="34"/>
      <c r="BW772" s="34"/>
      <c r="BX772" s="34"/>
      <c r="BY772" s="34"/>
    </row>
    <row r="773" spans="1:77" x14ac:dyDescent="0.3">
      <c r="A773" s="39"/>
      <c r="B773" s="42"/>
      <c r="C773" s="42"/>
      <c r="D773" s="75"/>
      <c r="E773" s="75"/>
      <c r="F773" s="76"/>
      <c r="G773" s="47"/>
      <c r="H773" s="47"/>
      <c r="I773" s="75"/>
      <c r="J773" s="76"/>
      <c r="K773" s="76"/>
      <c r="L773" s="75"/>
      <c r="M773" s="49"/>
      <c r="N773" s="76"/>
      <c r="O773" s="49"/>
      <c r="P773" s="77"/>
      <c r="Q773" s="53"/>
      <c r="R773" s="54"/>
      <c r="S773" s="55"/>
      <c r="T773" s="56"/>
      <c r="U773" s="56"/>
      <c r="V773" s="42"/>
      <c r="W773" s="57"/>
      <c r="X773" s="58"/>
      <c r="Y773" s="75"/>
      <c r="Z773" s="59"/>
      <c r="AA773" s="61"/>
      <c r="AB773" s="61"/>
      <c r="AC773" s="61"/>
      <c r="AD773" s="62"/>
      <c r="AE773" s="62"/>
      <c r="AF773" s="34"/>
      <c r="AG773" s="34"/>
      <c r="AH773" s="34"/>
      <c r="AI773" s="34"/>
      <c r="AJ773" s="34"/>
      <c r="AK773" s="34"/>
      <c r="AL773" s="34"/>
      <c r="AM773" s="34"/>
      <c r="AN773" s="34"/>
      <c r="AO773" s="34"/>
      <c r="AP773" s="34"/>
      <c r="AQ773" s="34"/>
      <c r="AR773" s="34"/>
      <c r="AS773" s="34"/>
      <c r="AT773" s="34"/>
      <c r="AU773" s="34"/>
      <c r="AV773" s="34"/>
      <c r="AW773" s="34"/>
      <c r="AX773" s="34"/>
      <c r="AY773" s="34"/>
      <c r="AZ773" s="34"/>
      <c r="BA773" s="34"/>
      <c r="BB773" s="34"/>
      <c r="BD773" s="34"/>
      <c r="BE773" s="34"/>
      <c r="BF773" s="34"/>
      <c r="BG773" s="34"/>
      <c r="BH773" s="34"/>
      <c r="BI773" s="34"/>
      <c r="BJ773" s="34"/>
      <c r="BK773" s="34"/>
      <c r="BL773" s="34"/>
      <c r="BM773" s="34"/>
      <c r="BN773" s="34"/>
      <c r="BO773" s="34"/>
      <c r="BP773" s="34"/>
      <c r="BQ773" s="34"/>
      <c r="BR773" s="34"/>
      <c r="BS773" s="34"/>
      <c r="BT773" s="34"/>
      <c r="BU773" s="34"/>
      <c r="BV773" s="34"/>
      <c r="BW773" s="34"/>
      <c r="BX773" s="34"/>
      <c r="BY773" s="34"/>
    </row>
    <row r="774" spans="1:77" x14ac:dyDescent="0.3">
      <c r="A774" s="39"/>
      <c r="B774" s="42"/>
      <c r="C774" s="42"/>
      <c r="D774" s="75"/>
      <c r="E774" s="75"/>
      <c r="F774" s="76"/>
      <c r="G774" s="47"/>
      <c r="H774" s="47"/>
      <c r="I774" s="75"/>
      <c r="J774" s="76"/>
      <c r="K774" s="76"/>
      <c r="L774" s="75"/>
      <c r="M774" s="49"/>
      <c r="N774" s="76"/>
      <c r="O774" s="49"/>
      <c r="P774" s="77"/>
      <c r="Q774" s="53"/>
      <c r="R774" s="54"/>
      <c r="S774" s="55"/>
      <c r="T774" s="56"/>
      <c r="U774" s="56"/>
      <c r="V774" s="42"/>
      <c r="W774" s="57"/>
      <c r="X774" s="58"/>
      <c r="Y774" s="75"/>
      <c r="Z774" s="59"/>
      <c r="AA774" s="61"/>
      <c r="AB774" s="61"/>
      <c r="AC774" s="61"/>
      <c r="AD774" s="62"/>
      <c r="AE774" s="62"/>
      <c r="AF774" s="34"/>
      <c r="AG774" s="34"/>
      <c r="AH774" s="34"/>
      <c r="AI774" s="34"/>
      <c r="AJ774" s="34"/>
      <c r="AK774" s="34"/>
      <c r="AL774" s="34"/>
      <c r="AM774" s="34"/>
      <c r="AN774" s="34"/>
      <c r="AO774" s="34"/>
      <c r="AP774" s="34"/>
      <c r="AQ774" s="34"/>
      <c r="AR774" s="34"/>
      <c r="AS774" s="34"/>
      <c r="AT774" s="34"/>
      <c r="AU774" s="34"/>
      <c r="AV774" s="34"/>
      <c r="AW774" s="34"/>
      <c r="AX774" s="34"/>
      <c r="AY774" s="34"/>
      <c r="AZ774" s="34"/>
      <c r="BA774" s="34"/>
      <c r="BB774" s="34"/>
      <c r="BD774" s="34"/>
      <c r="BE774" s="34"/>
      <c r="BF774" s="34"/>
      <c r="BG774" s="34"/>
      <c r="BH774" s="34"/>
      <c r="BI774" s="34"/>
      <c r="BJ774" s="34"/>
      <c r="BK774" s="34"/>
      <c r="BL774" s="34"/>
      <c r="BM774" s="34"/>
      <c r="BN774" s="34"/>
      <c r="BO774" s="34"/>
      <c r="BP774" s="34"/>
      <c r="BQ774" s="34"/>
      <c r="BR774" s="34"/>
      <c r="BS774" s="34"/>
      <c r="BT774" s="34"/>
      <c r="BU774" s="34"/>
      <c r="BV774" s="34"/>
      <c r="BW774" s="34"/>
      <c r="BX774" s="34"/>
      <c r="BY774" s="34"/>
    </row>
    <row r="775" spans="1:77" x14ac:dyDescent="0.3">
      <c r="A775" s="39"/>
      <c r="B775" s="42"/>
      <c r="C775" s="42"/>
      <c r="D775" s="75"/>
      <c r="E775" s="75"/>
      <c r="F775" s="76"/>
      <c r="G775" s="47"/>
      <c r="H775" s="47"/>
      <c r="I775" s="75"/>
      <c r="J775" s="76"/>
      <c r="K775" s="76"/>
      <c r="L775" s="75"/>
      <c r="M775" s="49"/>
      <c r="N775" s="76"/>
      <c r="O775" s="49"/>
      <c r="P775" s="77"/>
      <c r="Q775" s="53"/>
      <c r="R775" s="54"/>
      <c r="S775" s="55"/>
      <c r="T775" s="56"/>
      <c r="U775" s="56"/>
      <c r="V775" s="42"/>
      <c r="W775" s="57"/>
      <c r="X775" s="58"/>
      <c r="Y775" s="75"/>
      <c r="Z775" s="59"/>
      <c r="AA775" s="61"/>
      <c r="AB775" s="61"/>
      <c r="AC775" s="61"/>
      <c r="AD775" s="62"/>
      <c r="AE775" s="62"/>
      <c r="AF775" s="34"/>
      <c r="AG775" s="34"/>
      <c r="AH775" s="34"/>
      <c r="AI775" s="34"/>
      <c r="AJ775" s="34"/>
      <c r="AK775" s="34"/>
      <c r="AL775" s="34"/>
      <c r="AM775" s="34"/>
      <c r="AN775" s="34"/>
      <c r="AO775" s="34"/>
      <c r="AP775" s="34"/>
      <c r="AQ775" s="34"/>
      <c r="AR775" s="34"/>
      <c r="AS775" s="34"/>
      <c r="AT775" s="34"/>
      <c r="AU775" s="34"/>
      <c r="AV775" s="34"/>
      <c r="AW775" s="34"/>
      <c r="AX775" s="34"/>
      <c r="AY775" s="34"/>
      <c r="AZ775" s="34"/>
      <c r="BA775" s="34"/>
      <c r="BB775" s="34"/>
      <c r="BD775" s="34"/>
      <c r="BE775" s="34"/>
      <c r="BF775" s="34"/>
      <c r="BG775" s="34"/>
      <c r="BH775" s="34"/>
      <c r="BI775" s="34"/>
      <c r="BJ775" s="34"/>
      <c r="BK775" s="34"/>
      <c r="BL775" s="34"/>
      <c r="BM775" s="34"/>
      <c r="BN775" s="34"/>
      <c r="BO775" s="34"/>
      <c r="BP775" s="34"/>
      <c r="BQ775" s="34"/>
      <c r="BR775" s="34"/>
      <c r="BS775" s="34"/>
      <c r="BT775" s="34"/>
      <c r="BU775" s="34"/>
      <c r="BV775" s="34"/>
      <c r="BW775" s="34"/>
      <c r="BX775" s="34"/>
      <c r="BY775" s="34"/>
    </row>
    <row r="776" spans="1:77" x14ac:dyDescent="0.3">
      <c r="A776" s="39"/>
      <c r="B776" s="42"/>
      <c r="C776" s="42"/>
      <c r="D776" s="75"/>
      <c r="E776" s="75"/>
      <c r="F776" s="76"/>
      <c r="G776" s="47"/>
      <c r="H776" s="47"/>
      <c r="I776" s="75"/>
      <c r="J776" s="76"/>
      <c r="K776" s="76"/>
      <c r="L776" s="75"/>
      <c r="M776" s="49"/>
      <c r="N776" s="76"/>
      <c r="O776" s="49"/>
      <c r="P776" s="77"/>
      <c r="Q776" s="53"/>
      <c r="R776" s="54"/>
      <c r="S776" s="55"/>
      <c r="T776" s="56"/>
      <c r="U776" s="56"/>
      <c r="V776" s="42"/>
      <c r="W776" s="57"/>
      <c r="X776" s="58"/>
      <c r="Y776" s="75"/>
      <c r="Z776" s="59"/>
      <c r="AA776" s="61"/>
      <c r="AB776" s="61"/>
      <c r="AC776" s="61"/>
      <c r="AD776" s="62"/>
      <c r="AE776" s="62"/>
      <c r="AF776" s="34"/>
      <c r="AG776" s="34"/>
      <c r="AH776" s="34"/>
      <c r="AI776" s="34"/>
      <c r="AJ776" s="34"/>
      <c r="AK776" s="34"/>
      <c r="AL776" s="34"/>
      <c r="AM776" s="34"/>
      <c r="AN776" s="34"/>
      <c r="AO776" s="34"/>
      <c r="AP776" s="34"/>
      <c r="AQ776" s="34"/>
      <c r="AR776" s="34"/>
      <c r="AS776" s="34"/>
      <c r="AT776" s="34"/>
      <c r="AU776" s="34"/>
      <c r="AV776" s="34"/>
      <c r="AW776" s="34"/>
      <c r="AX776" s="34"/>
      <c r="AY776" s="34"/>
      <c r="AZ776" s="34"/>
      <c r="BA776" s="34"/>
      <c r="BB776" s="34"/>
      <c r="BD776" s="34"/>
      <c r="BE776" s="34"/>
      <c r="BF776" s="34"/>
      <c r="BG776" s="34"/>
      <c r="BH776" s="34"/>
      <c r="BI776" s="34"/>
      <c r="BJ776" s="34"/>
      <c r="BK776" s="34"/>
      <c r="BL776" s="34"/>
      <c r="BM776" s="34"/>
      <c r="BN776" s="34"/>
      <c r="BO776" s="34"/>
      <c r="BP776" s="34"/>
      <c r="BQ776" s="34"/>
      <c r="BR776" s="34"/>
      <c r="BS776" s="34"/>
      <c r="BT776" s="34"/>
      <c r="BU776" s="34"/>
      <c r="BV776" s="34"/>
      <c r="BW776" s="34"/>
      <c r="BX776" s="34"/>
      <c r="BY776" s="34"/>
    </row>
    <row r="777" spans="1:77" x14ac:dyDescent="0.3">
      <c r="A777" s="39"/>
      <c r="B777" s="42"/>
      <c r="C777" s="42"/>
      <c r="D777" s="75"/>
      <c r="E777" s="75"/>
      <c r="F777" s="76"/>
      <c r="G777" s="47"/>
      <c r="H777" s="47"/>
      <c r="I777" s="75"/>
      <c r="J777" s="76"/>
      <c r="K777" s="76"/>
      <c r="L777" s="75"/>
      <c r="M777" s="49"/>
      <c r="N777" s="76"/>
      <c r="O777" s="49"/>
      <c r="P777" s="77"/>
      <c r="Q777" s="53"/>
      <c r="R777" s="54"/>
      <c r="S777" s="55"/>
      <c r="T777" s="56"/>
      <c r="U777" s="56"/>
      <c r="V777" s="42"/>
      <c r="W777" s="57"/>
      <c r="X777" s="58"/>
      <c r="Y777" s="75"/>
      <c r="Z777" s="59"/>
      <c r="AA777" s="61"/>
      <c r="AB777" s="61"/>
      <c r="AC777" s="61"/>
      <c r="AD777" s="62"/>
      <c r="AE777" s="62"/>
      <c r="AF777" s="34"/>
      <c r="AG777" s="34"/>
      <c r="AH777" s="34"/>
      <c r="AI777" s="34"/>
      <c r="AJ777" s="34"/>
      <c r="AK777" s="34"/>
      <c r="AL777" s="34"/>
      <c r="AM777" s="34"/>
      <c r="AN777" s="34"/>
      <c r="AO777" s="34"/>
      <c r="AP777" s="34"/>
      <c r="AQ777" s="34"/>
      <c r="AR777" s="34"/>
      <c r="AS777" s="34"/>
      <c r="AT777" s="34"/>
      <c r="AU777" s="34"/>
      <c r="AV777" s="34"/>
      <c r="AW777" s="34"/>
      <c r="AX777" s="34"/>
      <c r="AY777" s="34"/>
      <c r="AZ777" s="34"/>
      <c r="BA777" s="34"/>
      <c r="BB777" s="34"/>
      <c r="BD777" s="34"/>
      <c r="BE777" s="34"/>
      <c r="BF777" s="34"/>
      <c r="BG777" s="34"/>
      <c r="BH777" s="34"/>
      <c r="BI777" s="34"/>
      <c r="BJ777" s="34"/>
      <c r="BK777" s="34"/>
      <c r="BL777" s="34"/>
      <c r="BM777" s="34"/>
      <c r="BN777" s="34"/>
      <c r="BO777" s="34"/>
      <c r="BP777" s="34"/>
      <c r="BQ777" s="34"/>
      <c r="BR777" s="34"/>
      <c r="BS777" s="34"/>
      <c r="BT777" s="34"/>
      <c r="BU777" s="34"/>
      <c r="BV777" s="34"/>
      <c r="BW777" s="34"/>
      <c r="BX777" s="34"/>
      <c r="BY777" s="34"/>
    </row>
    <row r="778" spans="1:77" x14ac:dyDescent="0.3">
      <c r="A778" s="39"/>
      <c r="B778" s="42"/>
      <c r="C778" s="42"/>
      <c r="D778" s="75"/>
      <c r="E778" s="75"/>
      <c r="F778" s="76"/>
      <c r="G778" s="47"/>
      <c r="H778" s="47"/>
      <c r="I778" s="75"/>
      <c r="J778" s="76"/>
      <c r="K778" s="76"/>
      <c r="L778" s="75"/>
      <c r="M778" s="49"/>
      <c r="N778" s="76"/>
      <c r="O778" s="49"/>
      <c r="P778" s="77"/>
      <c r="Q778" s="53"/>
      <c r="R778" s="54"/>
      <c r="S778" s="55"/>
      <c r="T778" s="56"/>
      <c r="U778" s="56"/>
      <c r="V778" s="42"/>
      <c r="W778" s="57"/>
      <c r="X778" s="58"/>
      <c r="Y778" s="75"/>
      <c r="Z778" s="59"/>
      <c r="AA778" s="61"/>
      <c r="AB778" s="61"/>
      <c r="AC778" s="61"/>
      <c r="AD778" s="62"/>
      <c r="AE778" s="62"/>
      <c r="AF778" s="34"/>
      <c r="AG778" s="34"/>
      <c r="AH778" s="34"/>
      <c r="AI778" s="34"/>
      <c r="AJ778" s="34"/>
      <c r="AK778" s="34"/>
      <c r="AL778" s="34"/>
      <c r="AM778" s="34"/>
      <c r="AN778" s="34"/>
      <c r="AO778" s="34"/>
      <c r="AP778" s="34"/>
      <c r="AQ778" s="34"/>
      <c r="AR778" s="34"/>
      <c r="AS778" s="34"/>
      <c r="AT778" s="34"/>
      <c r="AU778" s="34"/>
      <c r="AV778" s="34"/>
      <c r="AW778" s="34"/>
      <c r="AX778" s="34"/>
      <c r="AY778" s="34"/>
      <c r="AZ778" s="34"/>
      <c r="BA778" s="34"/>
      <c r="BB778" s="34"/>
      <c r="BD778" s="34"/>
      <c r="BE778" s="34"/>
      <c r="BF778" s="34"/>
      <c r="BG778" s="34"/>
      <c r="BH778" s="34"/>
      <c r="BI778" s="34"/>
      <c r="BJ778" s="34"/>
      <c r="BK778" s="34"/>
      <c r="BL778" s="34"/>
      <c r="BM778" s="34"/>
      <c r="BN778" s="34"/>
      <c r="BO778" s="34"/>
      <c r="BP778" s="34"/>
      <c r="BQ778" s="34"/>
      <c r="BR778" s="34"/>
      <c r="BS778" s="34"/>
      <c r="BT778" s="34"/>
      <c r="BU778" s="34"/>
      <c r="BV778" s="34"/>
      <c r="BW778" s="34"/>
      <c r="BX778" s="34"/>
      <c r="BY778" s="34"/>
    </row>
    <row r="779" spans="1:77" x14ac:dyDescent="0.3">
      <c r="A779" s="39"/>
      <c r="B779" s="42"/>
      <c r="C779" s="42"/>
      <c r="D779" s="75"/>
      <c r="E779" s="75"/>
      <c r="F779" s="76"/>
      <c r="G779" s="47"/>
      <c r="H779" s="47"/>
      <c r="I779" s="75"/>
      <c r="J779" s="76"/>
      <c r="K779" s="76"/>
      <c r="L779" s="75"/>
      <c r="M779" s="49"/>
      <c r="N779" s="76"/>
      <c r="O779" s="49"/>
      <c r="P779" s="77"/>
      <c r="Q779" s="53"/>
      <c r="R779" s="54"/>
      <c r="S779" s="55"/>
      <c r="T779" s="56"/>
      <c r="U779" s="56"/>
      <c r="V779" s="42"/>
      <c r="W779" s="57"/>
      <c r="X779" s="58"/>
      <c r="Y779" s="75"/>
      <c r="Z779" s="59"/>
      <c r="AA779" s="61"/>
      <c r="AB779" s="61"/>
      <c r="AC779" s="61"/>
      <c r="AD779" s="62"/>
      <c r="AE779" s="62"/>
      <c r="AF779" s="34"/>
      <c r="AG779" s="34"/>
      <c r="AH779" s="34"/>
      <c r="AI779" s="34"/>
      <c r="AJ779" s="34"/>
      <c r="AK779" s="34"/>
      <c r="AL779" s="34"/>
      <c r="AM779" s="34"/>
      <c r="AN779" s="34"/>
      <c r="AO779" s="34"/>
      <c r="AP779" s="34"/>
      <c r="AQ779" s="34"/>
      <c r="AR779" s="34"/>
      <c r="AS779" s="34"/>
      <c r="AT779" s="34"/>
      <c r="AU779" s="34"/>
      <c r="AV779" s="34"/>
      <c r="AW779" s="34"/>
      <c r="AX779" s="34"/>
      <c r="AY779" s="34"/>
      <c r="AZ779" s="34"/>
      <c r="BA779" s="34"/>
      <c r="BB779" s="34"/>
      <c r="BD779" s="34"/>
      <c r="BE779" s="34"/>
      <c r="BF779" s="34"/>
      <c r="BG779" s="34"/>
      <c r="BH779" s="34"/>
      <c r="BI779" s="34"/>
      <c r="BJ779" s="34"/>
      <c r="BK779" s="34"/>
      <c r="BL779" s="34"/>
      <c r="BM779" s="34"/>
      <c r="BN779" s="34"/>
      <c r="BO779" s="34"/>
      <c r="BP779" s="34"/>
      <c r="BQ779" s="34"/>
      <c r="BR779" s="34"/>
      <c r="BS779" s="34"/>
      <c r="BT779" s="34"/>
      <c r="BU779" s="34"/>
      <c r="BV779" s="34"/>
      <c r="BW779" s="34"/>
      <c r="BX779" s="34"/>
      <c r="BY779" s="34"/>
    </row>
    <row r="780" spans="1:77" x14ac:dyDescent="0.3">
      <c r="A780" s="39"/>
      <c r="B780" s="42"/>
      <c r="C780" s="42"/>
      <c r="D780" s="75"/>
      <c r="E780" s="75"/>
      <c r="F780" s="76"/>
      <c r="G780" s="47"/>
      <c r="H780" s="47"/>
      <c r="I780" s="75"/>
      <c r="J780" s="76"/>
      <c r="K780" s="76"/>
      <c r="L780" s="75"/>
      <c r="M780" s="49"/>
      <c r="N780" s="76"/>
      <c r="O780" s="49"/>
      <c r="P780" s="77"/>
      <c r="Q780" s="53"/>
      <c r="R780" s="54"/>
      <c r="S780" s="55"/>
      <c r="T780" s="56"/>
      <c r="U780" s="56"/>
      <c r="V780" s="42"/>
      <c r="W780" s="57"/>
      <c r="X780" s="58"/>
      <c r="Y780" s="75"/>
      <c r="Z780" s="59"/>
      <c r="AA780" s="61"/>
      <c r="AB780" s="61"/>
      <c r="AC780" s="61"/>
      <c r="AD780" s="62"/>
      <c r="AE780" s="62"/>
      <c r="AF780" s="34"/>
      <c r="AG780" s="34"/>
      <c r="AH780" s="34"/>
      <c r="AI780" s="34"/>
      <c r="AJ780" s="34"/>
      <c r="AK780" s="34"/>
      <c r="AL780" s="34"/>
      <c r="AM780" s="34"/>
      <c r="AN780" s="34"/>
      <c r="AO780" s="34"/>
      <c r="AP780" s="34"/>
      <c r="AQ780" s="34"/>
      <c r="AR780" s="34"/>
      <c r="AS780" s="34"/>
      <c r="AT780" s="34"/>
      <c r="AU780" s="34"/>
      <c r="AV780" s="34"/>
      <c r="AW780" s="34"/>
      <c r="AX780" s="34"/>
      <c r="AY780" s="34"/>
      <c r="AZ780" s="34"/>
      <c r="BA780" s="34"/>
      <c r="BB780" s="34"/>
      <c r="BD780" s="34"/>
      <c r="BE780" s="34"/>
      <c r="BF780" s="34"/>
      <c r="BG780" s="34"/>
      <c r="BH780" s="34"/>
      <c r="BI780" s="34"/>
      <c r="BJ780" s="34"/>
      <c r="BK780" s="34"/>
      <c r="BL780" s="34"/>
      <c r="BM780" s="34"/>
      <c r="BN780" s="34"/>
      <c r="BO780" s="34"/>
      <c r="BP780" s="34"/>
      <c r="BQ780" s="34"/>
      <c r="BR780" s="34"/>
      <c r="BS780" s="34"/>
      <c r="BT780" s="34"/>
      <c r="BU780" s="34"/>
      <c r="BV780" s="34"/>
      <c r="BW780" s="34"/>
      <c r="BX780" s="34"/>
      <c r="BY780" s="34"/>
    </row>
    <row r="781" spans="1:77" x14ac:dyDescent="0.3">
      <c r="A781" s="39"/>
      <c r="B781" s="42"/>
      <c r="C781" s="42"/>
      <c r="D781" s="75"/>
      <c r="E781" s="75"/>
      <c r="F781" s="76"/>
      <c r="G781" s="47"/>
      <c r="H781" s="47"/>
      <c r="I781" s="75"/>
      <c r="J781" s="76"/>
      <c r="K781" s="76"/>
      <c r="L781" s="75"/>
      <c r="M781" s="49"/>
      <c r="N781" s="76"/>
      <c r="O781" s="49"/>
      <c r="P781" s="77"/>
      <c r="Q781" s="53"/>
      <c r="R781" s="54"/>
      <c r="S781" s="55"/>
      <c r="T781" s="56"/>
      <c r="U781" s="56"/>
      <c r="V781" s="42"/>
      <c r="W781" s="57"/>
      <c r="X781" s="58"/>
      <c r="Y781" s="75"/>
      <c r="Z781" s="59"/>
      <c r="AA781" s="61"/>
      <c r="AB781" s="61"/>
      <c r="AC781" s="61"/>
      <c r="AD781" s="62"/>
      <c r="AE781" s="62"/>
      <c r="AF781" s="34"/>
      <c r="AG781" s="34"/>
      <c r="AH781" s="34"/>
      <c r="AI781" s="34"/>
      <c r="AJ781" s="34"/>
      <c r="AK781" s="34"/>
      <c r="AL781" s="34"/>
      <c r="AM781" s="34"/>
      <c r="AN781" s="34"/>
      <c r="AO781" s="34"/>
      <c r="AP781" s="34"/>
      <c r="AQ781" s="34"/>
      <c r="AR781" s="34"/>
      <c r="AS781" s="34"/>
      <c r="AT781" s="34"/>
      <c r="AU781" s="34"/>
      <c r="AV781" s="34"/>
      <c r="AW781" s="34"/>
      <c r="AX781" s="34"/>
      <c r="AY781" s="34"/>
      <c r="AZ781" s="34"/>
      <c r="BA781" s="34"/>
      <c r="BB781" s="34"/>
      <c r="BD781" s="34"/>
      <c r="BE781" s="34"/>
      <c r="BF781" s="34"/>
      <c r="BG781" s="34"/>
      <c r="BH781" s="34"/>
      <c r="BI781" s="34"/>
      <c r="BJ781" s="34"/>
      <c r="BK781" s="34"/>
      <c r="BL781" s="34"/>
      <c r="BM781" s="34"/>
      <c r="BN781" s="34"/>
      <c r="BO781" s="34"/>
      <c r="BP781" s="34"/>
      <c r="BQ781" s="34"/>
      <c r="BR781" s="34"/>
      <c r="BS781" s="34"/>
      <c r="BT781" s="34"/>
      <c r="BU781" s="34"/>
      <c r="BV781" s="34"/>
      <c r="BW781" s="34"/>
      <c r="BX781" s="34"/>
      <c r="BY781" s="34"/>
    </row>
    <row r="782" spans="1:77" x14ac:dyDescent="0.3">
      <c r="A782" s="39"/>
      <c r="B782" s="42"/>
      <c r="C782" s="42"/>
      <c r="D782" s="75"/>
      <c r="E782" s="75"/>
      <c r="F782" s="76"/>
      <c r="G782" s="47"/>
      <c r="H782" s="47"/>
      <c r="I782" s="75"/>
      <c r="J782" s="76"/>
      <c r="K782" s="76"/>
      <c r="L782" s="75"/>
      <c r="M782" s="49"/>
      <c r="N782" s="76"/>
      <c r="O782" s="49"/>
      <c r="P782" s="77"/>
      <c r="Q782" s="53"/>
      <c r="R782" s="54"/>
      <c r="S782" s="55"/>
      <c r="T782" s="56"/>
      <c r="U782" s="56"/>
      <c r="V782" s="42"/>
      <c r="W782" s="57"/>
      <c r="X782" s="58"/>
      <c r="Y782" s="75"/>
      <c r="Z782" s="59"/>
      <c r="AA782" s="61"/>
      <c r="AB782" s="61"/>
      <c r="AC782" s="61"/>
      <c r="AD782" s="62"/>
      <c r="AE782" s="62"/>
      <c r="AF782" s="34"/>
      <c r="AG782" s="34"/>
      <c r="AH782" s="34"/>
      <c r="AI782" s="34"/>
      <c r="AJ782" s="34"/>
      <c r="AK782" s="34"/>
      <c r="AL782" s="34"/>
      <c r="AM782" s="34"/>
      <c r="AN782" s="34"/>
      <c r="AO782" s="34"/>
      <c r="AP782" s="34"/>
      <c r="AQ782" s="34"/>
      <c r="AR782" s="34"/>
      <c r="AS782" s="34"/>
      <c r="AT782" s="34"/>
      <c r="AU782" s="34"/>
      <c r="AV782" s="34"/>
      <c r="AW782" s="34"/>
      <c r="AX782" s="34"/>
      <c r="AY782" s="34"/>
      <c r="AZ782" s="34"/>
      <c r="BA782" s="34"/>
      <c r="BB782" s="34"/>
      <c r="BD782" s="34"/>
      <c r="BE782" s="34"/>
      <c r="BF782" s="34"/>
      <c r="BG782" s="34"/>
      <c r="BH782" s="34"/>
      <c r="BI782" s="34"/>
      <c r="BJ782" s="34"/>
      <c r="BK782" s="34"/>
      <c r="BL782" s="34"/>
      <c r="BM782" s="34"/>
      <c r="BN782" s="34"/>
      <c r="BO782" s="34"/>
      <c r="BP782" s="34"/>
      <c r="BQ782" s="34"/>
      <c r="BR782" s="34"/>
      <c r="BS782" s="34"/>
      <c r="BT782" s="34"/>
      <c r="BU782" s="34"/>
      <c r="BV782" s="34"/>
      <c r="BW782" s="34"/>
      <c r="BX782" s="34"/>
      <c r="BY782" s="34"/>
    </row>
    <row r="783" spans="1:77" x14ac:dyDescent="0.3">
      <c r="A783" s="39"/>
      <c r="B783" s="42"/>
      <c r="C783" s="42"/>
      <c r="D783" s="75"/>
      <c r="E783" s="75"/>
      <c r="F783" s="76"/>
      <c r="G783" s="47"/>
      <c r="H783" s="47"/>
      <c r="I783" s="75"/>
      <c r="J783" s="76"/>
      <c r="K783" s="76"/>
      <c r="L783" s="75"/>
      <c r="M783" s="49"/>
      <c r="N783" s="76"/>
      <c r="O783" s="49"/>
      <c r="P783" s="77"/>
      <c r="Q783" s="53"/>
      <c r="R783" s="54"/>
      <c r="S783" s="55"/>
      <c r="T783" s="56"/>
      <c r="U783" s="56"/>
      <c r="V783" s="42"/>
      <c r="W783" s="57"/>
      <c r="X783" s="58"/>
      <c r="Y783" s="75"/>
      <c r="Z783" s="59"/>
      <c r="AA783" s="61"/>
      <c r="AB783" s="61"/>
      <c r="AC783" s="61"/>
      <c r="AD783" s="62"/>
      <c r="AE783" s="62"/>
      <c r="AF783" s="34"/>
      <c r="AG783" s="34"/>
      <c r="AH783" s="34"/>
      <c r="AI783" s="34"/>
      <c r="AJ783" s="34"/>
      <c r="AK783" s="34"/>
      <c r="AL783" s="34"/>
      <c r="AM783" s="34"/>
      <c r="AN783" s="34"/>
      <c r="AO783" s="34"/>
      <c r="AP783" s="34"/>
      <c r="AQ783" s="34"/>
      <c r="AR783" s="34"/>
      <c r="AS783" s="34"/>
      <c r="AT783" s="34"/>
      <c r="AU783" s="34"/>
      <c r="AV783" s="34"/>
      <c r="AW783" s="34"/>
      <c r="AX783" s="34"/>
      <c r="AY783" s="34"/>
      <c r="AZ783" s="34"/>
      <c r="BA783" s="34"/>
      <c r="BB783" s="34"/>
      <c r="BD783" s="34"/>
      <c r="BE783" s="34"/>
      <c r="BF783" s="34"/>
      <c r="BG783" s="34"/>
      <c r="BH783" s="34"/>
      <c r="BI783" s="34"/>
      <c r="BJ783" s="34"/>
      <c r="BK783" s="34"/>
      <c r="BL783" s="34"/>
      <c r="BM783" s="34"/>
      <c r="BN783" s="34"/>
      <c r="BO783" s="34"/>
      <c r="BP783" s="34"/>
      <c r="BQ783" s="34"/>
      <c r="BR783" s="34"/>
      <c r="BS783" s="34"/>
      <c r="BT783" s="34"/>
      <c r="BU783" s="34"/>
      <c r="BV783" s="34"/>
      <c r="BW783" s="34"/>
      <c r="BX783" s="34"/>
      <c r="BY783" s="34"/>
    </row>
    <row r="784" spans="1:77" x14ac:dyDescent="0.3">
      <c r="A784" s="39"/>
      <c r="B784" s="42"/>
      <c r="C784" s="42"/>
      <c r="D784" s="75"/>
      <c r="E784" s="75"/>
      <c r="F784" s="76"/>
      <c r="G784" s="47"/>
      <c r="H784" s="47"/>
      <c r="I784" s="75"/>
      <c r="J784" s="76"/>
      <c r="K784" s="76"/>
      <c r="L784" s="75"/>
      <c r="M784" s="49"/>
      <c r="N784" s="76"/>
      <c r="O784" s="49"/>
      <c r="P784" s="77"/>
      <c r="Q784" s="53"/>
      <c r="R784" s="54"/>
      <c r="S784" s="55"/>
      <c r="T784" s="56"/>
      <c r="U784" s="56"/>
      <c r="V784" s="42"/>
      <c r="W784" s="57"/>
      <c r="X784" s="58"/>
      <c r="Y784" s="75"/>
      <c r="Z784" s="59"/>
      <c r="AA784" s="61"/>
      <c r="AB784" s="61"/>
      <c r="AC784" s="61"/>
      <c r="AD784" s="62"/>
      <c r="AE784" s="62"/>
      <c r="AF784" s="34"/>
      <c r="AG784" s="34"/>
      <c r="AH784" s="34"/>
      <c r="AI784" s="34"/>
      <c r="AJ784" s="34"/>
      <c r="AK784" s="34"/>
      <c r="AL784" s="34"/>
      <c r="AM784" s="34"/>
      <c r="AN784" s="34"/>
      <c r="AO784" s="34"/>
      <c r="AP784" s="34"/>
      <c r="AQ784" s="34"/>
      <c r="AR784" s="34"/>
      <c r="AS784" s="34"/>
      <c r="AT784" s="34"/>
      <c r="AU784" s="34"/>
      <c r="AV784" s="34"/>
      <c r="AW784" s="34"/>
      <c r="AX784" s="34"/>
      <c r="AY784" s="34"/>
      <c r="AZ784" s="34"/>
      <c r="BA784" s="34"/>
      <c r="BB784" s="34"/>
      <c r="BD784" s="34"/>
      <c r="BE784" s="34"/>
      <c r="BF784" s="34"/>
      <c r="BG784" s="34"/>
      <c r="BH784" s="34"/>
      <c r="BI784" s="34"/>
      <c r="BJ784" s="34"/>
      <c r="BK784" s="34"/>
      <c r="BL784" s="34"/>
      <c r="BM784" s="34"/>
      <c r="BN784" s="34"/>
      <c r="BO784" s="34"/>
      <c r="BP784" s="34"/>
      <c r="BQ784" s="34"/>
      <c r="BR784" s="34"/>
      <c r="BS784" s="34"/>
      <c r="BT784" s="34"/>
      <c r="BU784" s="34"/>
      <c r="BV784" s="34"/>
      <c r="BW784" s="34"/>
      <c r="BX784" s="34"/>
      <c r="BY784" s="34"/>
    </row>
    <row r="785" spans="1:77" x14ac:dyDescent="0.3">
      <c r="A785" s="39"/>
      <c r="B785" s="42"/>
      <c r="C785" s="42"/>
      <c r="D785" s="75"/>
      <c r="E785" s="75"/>
      <c r="F785" s="76"/>
      <c r="G785" s="47"/>
      <c r="H785" s="47"/>
      <c r="I785" s="75"/>
      <c r="J785" s="76"/>
      <c r="K785" s="76"/>
      <c r="L785" s="75"/>
      <c r="M785" s="49"/>
      <c r="N785" s="76"/>
      <c r="O785" s="49"/>
      <c r="P785" s="77"/>
      <c r="Q785" s="53"/>
      <c r="R785" s="54"/>
      <c r="S785" s="55"/>
      <c r="T785" s="56"/>
      <c r="U785" s="56"/>
      <c r="V785" s="42"/>
      <c r="W785" s="57"/>
      <c r="X785" s="58"/>
      <c r="Y785" s="75"/>
      <c r="Z785" s="59"/>
      <c r="AA785" s="61"/>
      <c r="AB785" s="61"/>
      <c r="AC785" s="61"/>
      <c r="AD785" s="62"/>
      <c r="AE785" s="62"/>
      <c r="AF785" s="34"/>
      <c r="AG785" s="34"/>
      <c r="AH785" s="34"/>
      <c r="AI785" s="34"/>
      <c r="AJ785" s="34"/>
      <c r="AK785" s="34"/>
      <c r="AL785" s="34"/>
      <c r="AM785" s="34"/>
      <c r="AN785" s="34"/>
      <c r="AO785" s="34"/>
      <c r="AP785" s="34"/>
      <c r="AQ785" s="34"/>
      <c r="AR785" s="34"/>
      <c r="AS785" s="34"/>
      <c r="AT785" s="34"/>
      <c r="AU785" s="34"/>
      <c r="AV785" s="34"/>
      <c r="AW785" s="34"/>
      <c r="AX785" s="34"/>
      <c r="AY785" s="34"/>
      <c r="AZ785" s="34"/>
      <c r="BA785" s="34"/>
      <c r="BB785" s="34"/>
      <c r="BD785" s="34"/>
      <c r="BE785" s="34"/>
      <c r="BF785" s="34"/>
      <c r="BG785" s="34"/>
      <c r="BH785" s="34"/>
      <c r="BI785" s="34"/>
      <c r="BJ785" s="34"/>
      <c r="BK785" s="34"/>
      <c r="BL785" s="34"/>
      <c r="BM785" s="34"/>
      <c r="BN785" s="34"/>
      <c r="BO785" s="34"/>
      <c r="BP785" s="34"/>
      <c r="BQ785" s="34"/>
      <c r="BR785" s="34"/>
      <c r="BS785" s="34"/>
      <c r="BT785" s="34"/>
      <c r="BU785" s="34"/>
      <c r="BV785" s="34"/>
      <c r="BW785" s="34"/>
      <c r="BX785" s="34"/>
      <c r="BY785" s="34"/>
    </row>
    <row r="786" spans="1:77" x14ac:dyDescent="0.3">
      <c r="A786" s="39"/>
      <c r="B786" s="42"/>
      <c r="C786" s="42"/>
      <c r="D786" s="75"/>
      <c r="E786" s="75"/>
      <c r="F786" s="76"/>
      <c r="G786" s="47"/>
      <c r="H786" s="47"/>
      <c r="I786" s="75"/>
      <c r="J786" s="76"/>
      <c r="K786" s="76"/>
      <c r="L786" s="75"/>
      <c r="M786" s="49"/>
      <c r="N786" s="76"/>
      <c r="O786" s="49"/>
      <c r="P786" s="77"/>
      <c r="Q786" s="53"/>
      <c r="R786" s="54"/>
      <c r="S786" s="55"/>
      <c r="T786" s="56"/>
      <c r="U786" s="56"/>
      <c r="V786" s="42"/>
      <c r="W786" s="57"/>
      <c r="X786" s="58"/>
      <c r="Y786" s="75"/>
      <c r="Z786" s="59"/>
      <c r="AA786" s="61"/>
      <c r="AB786" s="61"/>
      <c r="AC786" s="61"/>
      <c r="AD786" s="62"/>
      <c r="AE786" s="62"/>
      <c r="AF786" s="34"/>
      <c r="AG786" s="34"/>
      <c r="AH786" s="34"/>
      <c r="AI786" s="34"/>
      <c r="AJ786" s="34"/>
      <c r="AK786" s="34"/>
      <c r="AL786" s="34"/>
      <c r="AM786" s="34"/>
      <c r="AN786" s="34"/>
      <c r="AO786" s="34"/>
      <c r="AP786" s="34"/>
      <c r="AQ786" s="34"/>
      <c r="AR786" s="34"/>
      <c r="AS786" s="34"/>
      <c r="AT786" s="34"/>
      <c r="AU786" s="34"/>
      <c r="AV786" s="34"/>
      <c r="AW786" s="34"/>
      <c r="AX786" s="34"/>
      <c r="AY786" s="34"/>
      <c r="AZ786" s="34"/>
      <c r="BA786" s="34"/>
      <c r="BB786" s="34"/>
      <c r="BD786" s="34"/>
      <c r="BE786" s="34"/>
      <c r="BF786" s="34"/>
      <c r="BG786" s="34"/>
      <c r="BH786" s="34"/>
      <c r="BI786" s="34"/>
      <c r="BJ786" s="34"/>
      <c r="BK786" s="34"/>
      <c r="BL786" s="34"/>
      <c r="BM786" s="34"/>
      <c r="BN786" s="34"/>
      <c r="BO786" s="34"/>
      <c r="BP786" s="34"/>
      <c r="BQ786" s="34"/>
      <c r="BR786" s="34"/>
      <c r="BS786" s="34"/>
      <c r="BT786" s="34"/>
      <c r="BU786" s="34"/>
      <c r="BV786" s="34"/>
      <c r="BW786" s="34"/>
      <c r="BX786" s="34"/>
      <c r="BY786" s="34"/>
    </row>
    <row r="787" spans="1:77" x14ac:dyDescent="0.3">
      <c r="A787" s="39"/>
      <c r="B787" s="42"/>
      <c r="C787" s="42"/>
      <c r="D787" s="75"/>
      <c r="E787" s="75"/>
      <c r="F787" s="76"/>
      <c r="G787" s="47"/>
      <c r="H787" s="47"/>
      <c r="I787" s="75"/>
      <c r="J787" s="76"/>
      <c r="K787" s="76"/>
      <c r="L787" s="75"/>
      <c r="M787" s="49"/>
      <c r="N787" s="76"/>
      <c r="O787" s="49"/>
      <c r="P787" s="77"/>
      <c r="Q787" s="53"/>
      <c r="R787" s="54"/>
      <c r="S787" s="55"/>
      <c r="T787" s="56"/>
      <c r="U787" s="56"/>
      <c r="V787" s="42"/>
      <c r="W787" s="57"/>
      <c r="X787" s="58"/>
      <c r="Y787" s="75"/>
      <c r="Z787" s="59"/>
      <c r="AA787" s="61"/>
      <c r="AB787" s="61"/>
      <c r="AC787" s="61"/>
      <c r="AD787" s="62"/>
      <c r="AE787" s="62"/>
      <c r="AF787" s="34"/>
      <c r="AG787" s="34"/>
      <c r="AH787" s="34"/>
      <c r="AI787" s="34"/>
      <c r="AJ787" s="34"/>
      <c r="AK787" s="34"/>
      <c r="AL787" s="34"/>
      <c r="AM787" s="34"/>
      <c r="AN787" s="34"/>
      <c r="AO787" s="34"/>
      <c r="AP787" s="34"/>
      <c r="AQ787" s="34"/>
      <c r="AR787" s="34"/>
      <c r="AS787" s="34"/>
      <c r="AT787" s="34"/>
      <c r="AU787" s="34"/>
      <c r="AV787" s="34"/>
      <c r="AW787" s="34"/>
      <c r="AX787" s="34"/>
      <c r="AY787" s="34"/>
      <c r="AZ787" s="34"/>
      <c r="BA787" s="34"/>
      <c r="BB787" s="34"/>
      <c r="BD787" s="34"/>
      <c r="BE787" s="34"/>
      <c r="BF787" s="34"/>
      <c r="BG787" s="34"/>
      <c r="BH787" s="34"/>
      <c r="BI787" s="34"/>
      <c r="BJ787" s="34"/>
      <c r="BK787" s="34"/>
      <c r="BL787" s="34"/>
      <c r="BM787" s="34"/>
      <c r="BN787" s="34"/>
      <c r="BO787" s="34"/>
      <c r="BP787" s="34"/>
      <c r="BQ787" s="34"/>
      <c r="BR787" s="34"/>
      <c r="BS787" s="34"/>
      <c r="BT787" s="34"/>
      <c r="BU787" s="34"/>
      <c r="BV787" s="34"/>
      <c r="BW787" s="34"/>
      <c r="BX787" s="34"/>
      <c r="BY787" s="34"/>
    </row>
    <row r="788" spans="1:77" x14ac:dyDescent="0.3">
      <c r="A788" s="39"/>
      <c r="B788" s="42"/>
      <c r="C788" s="42"/>
      <c r="D788" s="75"/>
      <c r="E788" s="75"/>
      <c r="F788" s="76"/>
      <c r="G788" s="47"/>
      <c r="H788" s="47"/>
      <c r="I788" s="75"/>
      <c r="J788" s="76"/>
      <c r="K788" s="76"/>
      <c r="L788" s="75"/>
      <c r="M788" s="49"/>
      <c r="N788" s="76"/>
      <c r="O788" s="49"/>
      <c r="P788" s="77"/>
      <c r="Q788" s="53"/>
      <c r="R788" s="54"/>
      <c r="S788" s="55"/>
      <c r="T788" s="56"/>
      <c r="U788" s="56"/>
      <c r="V788" s="42"/>
      <c r="W788" s="57"/>
      <c r="X788" s="58"/>
      <c r="Y788" s="75"/>
      <c r="Z788" s="59"/>
      <c r="AA788" s="61"/>
      <c r="AB788" s="61"/>
      <c r="AC788" s="61"/>
      <c r="AD788" s="62"/>
      <c r="AE788" s="62"/>
      <c r="AF788" s="34"/>
      <c r="AG788" s="34"/>
      <c r="AH788" s="34"/>
      <c r="AI788" s="34"/>
      <c r="AJ788" s="34"/>
      <c r="AK788" s="34"/>
      <c r="AL788" s="34"/>
      <c r="AM788" s="34"/>
      <c r="AN788" s="34"/>
      <c r="AO788" s="34"/>
      <c r="AP788" s="34"/>
      <c r="AQ788" s="34"/>
      <c r="AR788" s="34"/>
      <c r="AS788" s="34"/>
      <c r="AT788" s="34"/>
      <c r="AU788" s="34"/>
      <c r="AV788" s="34"/>
      <c r="AW788" s="34"/>
      <c r="AX788" s="34"/>
      <c r="AY788" s="34"/>
      <c r="AZ788" s="34"/>
      <c r="BA788" s="34"/>
      <c r="BB788" s="34"/>
      <c r="BD788" s="34"/>
      <c r="BE788" s="34"/>
      <c r="BF788" s="34"/>
      <c r="BG788" s="34"/>
      <c r="BH788" s="34"/>
      <c r="BI788" s="34"/>
      <c r="BJ788" s="34"/>
      <c r="BK788" s="34"/>
      <c r="BL788" s="34"/>
      <c r="BM788" s="34"/>
      <c r="BN788" s="34"/>
      <c r="BO788" s="34"/>
      <c r="BP788" s="34"/>
      <c r="BQ788" s="34"/>
      <c r="BR788" s="34"/>
      <c r="BS788" s="34"/>
      <c r="BT788" s="34"/>
      <c r="BU788" s="34"/>
      <c r="BV788" s="34"/>
      <c r="BW788" s="34"/>
      <c r="BX788" s="34"/>
      <c r="BY788" s="34"/>
    </row>
    <row r="789" spans="1:77" x14ac:dyDescent="0.3">
      <c r="A789" s="39"/>
      <c r="B789" s="42"/>
      <c r="C789" s="42"/>
      <c r="D789" s="75"/>
      <c r="E789" s="75"/>
      <c r="F789" s="76"/>
      <c r="G789" s="47"/>
      <c r="H789" s="47"/>
      <c r="I789" s="75"/>
      <c r="J789" s="76"/>
      <c r="K789" s="76"/>
      <c r="L789" s="75"/>
      <c r="M789" s="49"/>
      <c r="N789" s="76"/>
      <c r="O789" s="49"/>
      <c r="P789" s="77"/>
      <c r="Q789" s="53"/>
      <c r="R789" s="54"/>
      <c r="S789" s="55"/>
      <c r="T789" s="56"/>
      <c r="U789" s="56"/>
      <c r="V789" s="42"/>
      <c r="W789" s="57"/>
      <c r="X789" s="58"/>
      <c r="Y789" s="75"/>
      <c r="Z789" s="59"/>
      <c r="AA789" s="61"/>
      <c r="AB789" s="61"/>
      <c r="AC789" s="61"/>
      <c r="AD789" s="62"/>
      <c r="AE789" s="62"/>
      <c r="AF789" s="34"/>
      <c r="AG789" s="34"/>
      <c r="AH789" s="34"/>
      <c r="AI789" s="34"/>
      <c r="AJ789" s="34"/>
      <c r="AK789" s="34"/>
      <c r="AL789" s="34"/>
      <c r="AM789" s="34"/>
      <c r="AN789" s="34"/>
      <c r="AO789" s="34"/>
      <c r="AP789" s="34"/>
      <c r="AQ789" s="34"/>
      <c r="AR789" s="34"/>
      <c r="AS789" s="34"/>
      <c r="AT789" s="34"/>
      <c r="AU789" s="34"/>
      <c r="AV789" s="34"/>
      <c r="AW789" s="34"/>
      <c r="AX789" s="34"/>
      <c r="AY789" s="34"/>
      <c r="AZ789" s="34"/>
      <c r="BA789" s="34"/>
      <c r="BB789" s="34"/>
      <c r="BD789" s="34"/>
      <c r="BE789" s="34"/>
      <c r="BF789" s="34"/>
      <c r="BG789" s="34"/>
      <c r="BH789" s="34"/>
      <c r="BI789" s="34"/>
      <c r="BJ789" s="34"/>
      <c r="BK789" s="34"/>
      <c r="BL789" s="34"/>
      <c r="BM789" s="34"/>
      <c r="BN789" s="34"/>
      <c r="BO789" s="34"/>
      <c r="BP789" s="34"/>
      <c r="BQ789" s="34"/>
      <c r="BR789" s="34"/>
      <c r="BS789" s="34"/>
      <c r="BT789" s="34"/>
      <c r="BU789" s="34"/>
      <c r="BV789" s="34"/>
      <c r="BW789" s="34"/>
      <c r="BX789" s="34"/>
      <c r="BY789" s="34"/>
    </row>
    <row r="790" spans="1:77" x14ac:dyDescent="0.3">
      <c r="A790" s="39"/>
      <c r="B790" s="42"/>
      <c r="C790" s="42"/>
      <c r="D790" s="75"/>
      <c r="E790" s="75"/>
      <c r="F790" s="76"/>
      <c r="G790" s="47"/>
      <c r="H790" s="47"/>
      <c r="I790" s="75"/>
      <c r="J790" s="76"/>
      <c r="K790" s="76"/>
      <c r="L790" s="75"/>
      <c r="M790" s="49"/>
      <c r="N790" s="76"/>
      <c r="O790" s="49"/>
      <c r="P790" s="77"/>
      <c r="Q790" s="53"/>
      <c r="R790" s="54"/>
      <c r="S790" s="55"/>
      <c r="T790" s="56"/>
      <c r="U790" s="56"/>
      <c r="V790" s="42"/>
      <c r="W790" s="57"/>
      <c r="X790" s="58"/>
      <c r="Y790" s="75"/>
      <c r="Z790" s="59"/>
      <c r="AA790" s="61"/>
      <c r="AB790" s="61"/>
      <c r="AC790" s="61"/>
      <c r="AD790" s="62"/>
      <c r="AE790" s="62"/>
      <c r="AF790" s="34"/>
      <c r="AG790" s="34"/>
      <c r="AH790" s="34"/>
      <c r="AI790" s="34"/>
      <c r="AJ790" s="34"/>
      <c r="AK790" s="34"/>
      <c r="AL790" s="34"/>
      <c r="AM790" s="34"/>
      <c r="AN790" s="34"/>
      <c r="AO790" s="34"/>
      <c r="AP790" s="34"/>
      <c r="AQ790" s="34"/>
      <c r="AR790" s="34"/>
      <c r="AS790" s="34"/>
      <c r="AT790" s="34"/>
      <c r="AU790" s="34"/>
      <c r="AV790" s="34"/>
      <c r="AW790" s="34"/>
      <c r="AX790" s="34"/>
      <c r="AY790" s="34"/>
      <c r="AZ790" s="34"/>
      <c r="BA790" s="34"/>
      <c r="BB790" s="34"/>
      <c r="BD790" s="34"/>
      <c r="BE790" s="34"/>
      <c r="BF790" s="34"/>
      <c r="BG790" s="34"/>
      <c r="BH790" s="34"/>
      <c r="BI790" s="34"/>
      <c r="BJ790" s="34"/>
      <c r="BK790" s="34"/>
      <c r="BL790" s="34"/>
      <c r="BM790" s="34"/>
      <c r="BN790" s="34"/>
      <c r="BO790" s="34"/>
      <c r="BP790" s="34"/>
      <c r="BQ790" s="34"/>
      <c r="BR790" s="34"/>
      <c r="BS790" s="34"/>
      <c r="BT790" s="34"/>
      <c r="BU790" s="34"/>
      <c r="BV790" s="34"/>
      <c r="BW790" s="34"/>
      <c r="BX790" s="34"/>
      <c r="BY790" s="34"/>
    </row>
    <row r="791" spans="1:77" x14ac:dyDescent="0.3">
      <c r="A791" s="39"/>
      <c r="B791" s="42"/>
      <c r="C791" s="42"/>
      <c r="D791" s="75"/>
      <c r="E791" s="75"/>
      <c r="F791" s="76"/>
      <c r="G791" s="47"/>
      <c r="H791" s="47"/>
      <c r="I791" s="75"/>
      <c r="J791" s="76"/>
      <c r="K791" s="76"/>
      <c r="L791" s="75"/>
      <c r="M791" s="49"/>
      <c r="N791" s="76"/>
      <c r="O791" s="49"/>
      <c r="P791" s="77"/>
      <c r="Q791" s="53"/>
      <c r="R791" s="54"/>
      <c r="S791" s="55"/>
      <c r="T791" s="56"/>
      <c r="U791" s="56"/>
      <c r="V791" s="42"/>
      <c r="W791" s="57"/>
      <c r="X791" s="58"/>
      <c r="Y791" s="75"/>
      <c r="Z791" s="59"/>
      <c r="AA791" s="61"/>
      <c r="AB791" s="61"/>
      <c r="AC791" s="61"/>
      <c r="AD791" s="62"/>
      <c r="AE791" s="62"/>
      <c r="AF791" s="34"/>
      <c r="AG791" s="34"/>
      <c r="AH791" s="34"/>
      <c r="AI791" s="34"/>
      <c r="AJ791" s="34"/>
      <c r="AK791" s="34"/>
      <c r="AL791" s="34"/>
      <c r="AM791" s="34"/>
      <c r="AN791" s="34"/>
      <c r="AO791" s="34"/>
      <c r="AP791" s="34"/>
      <c r="AQ791" s="34"/>
      <c r="AR791" s="34"/>
      <c r="AS791" s="34"/>
      <c r="AT791" s="34"/>
      <c r="AU791" s="34"/>
      <c r="AV791" s="34"/>
      <c r="AW791" s="34"/>
      <c r="AX791" s="34"/>
      <c r="AY791" s="34"/>
      <c r="AZ791" s="34"/>
      <c r="BA791" s="34"/>
      <c r="BB791" s="34"/>
      <c r="BD791" s="34"/>
      <c r="BE791" s="34"/>
      <c r="BF791" s="34"/>
      <c r="BG791" s="34"/>
      <c r="BH791" s="34"/>
      <c r="BI791" s="34"/>
      <c r="BJ791" s="34"/>
      <c r="BK791" s="34"/>
      <c r="BL791" s="34"/>
      <c r="BM791" s="34"/>
      <c r="BN791" s="34"/>
      <c r="BO791" s="34"/>
      <c r="BP791" s="34"/>
      <c r="BQ791" s="34"/>
      <c r="BR791" s="34"/>
      <c r="BS791" s="34"/>
      <c r="BT791" s="34"/>
      <c r="BU791" s="34"/>
      <c r="BV791" s="34"/>
      <c r="BW791" s="34"/>
      <c r="BX791" s="34"/>
      <c r="BY791" s="34"/>
    </row>
    <row r="792" spans="1:77" x14ac:dyDescent="0.3">
      <c r="A792" s="39"/>
      <c r="B792" s="42"/>
      <c r="C792" s="42"/>
      <c r="D792" s="75"/>
      <c r="E792" s="75"/>
      <c r="F792" s="76"/>
      <c r="G792" s="47"/>
      <c r="H792" s="47"/>
      <c r="I792" s="75"/>
      <c r="J792" s="76"/>
      <c r="K792" s="76"/>
      <c r="L792" s="75"/>
      <c r="M792" s="49"/>
      <c r="N792" s="76"/>
      <c r="O792" s="49"/>
      <c r="P792" s="77"/>
      <c r="Q792" s="53"/>
      <c r="R792" s="54"/>
      <c r="S792" s="55"/>
      <c r="T792" s="56"/>
      <c r="U792" s="56"/>
      <c r="V792" s="42"/>
      <c r="W792" s="57"/>
      <c r="X792" s="58"/>
      <c r="Y792" s="75"/>
      <c r="Z792" s="59"/>
      <c r="AA792" s="61"/>
      <c r="AB792" s="61"/>
      <c r="AC792" s="61"/>
      <c r="AD792" s="62"/>
      <c r="AE792" s="62"/>
      <c r="AF792" s="34"/>
      <c r="AG792" s="34"/>
      <c r="AH792" s="34"/>
      <c r="AI792" s="34"/>
      <c r="AJ792" s="34"/>
      <c r="AK792" s="34"/>
      <c r="AL792" s="34"/>
      <c r="AM792" s="34"/>
      <c r="AN792" s="34"/>
      <c r="AO792" s="34"/>
      <c r="AP792" s="34"/>
      <c r="AQ792" s="34"/>
      <c r="AR792" s="34"/>
      <c r="AS792" s="34"/>
      <c r="AT792" s="34"/>
      <c r="AU792" s="34"/>
      <c r="AV792" s="34"/>
      <c r="AW792" s="34"/>
      <c r="AX792" s="34"/>
      <c r="AY792" s="34"/>
      <c r="AZ792" s="34"/>
      <c r="BA792" s="34"/>
      <c r="BB792" s="34"/>
      <c r="BD792" s="34"/>
      <c r="BE792" s="34"/>
      <c r="BF792" s="34"/>
      <c r="BG792" s="34"/>
      <c r="BH792" s="34"/>
      <c r="BI792" s="34"/>
      <c r="BJ792" s="34"/>
      <c r="BK792" s="34"/>
      <c r="BL792" s="34"/>
      <c r="BM792" s="34"/>
      <c r="BN792" s="34"/>
      <c r="BO792" s="34"/>
      <c r="BP792" s="34"/>
      <c r="BQ792" s="34"/>
      <c r="BR792" s="34"/>
      <c r="BS792" s="34"/>
      <c r="BT792" s="34"/>
      <c r="BU792" s="34"/>
      <c r="BV792" s="34"/>
      <c r="BW792" s="34"/>
      <c r="BX792" s="34"/>
      <c r="BY792" s="34"/>
    </row>
    <row r="793" spans="1:77" x14ac:dyDescent="0.3">
      <c r="A793" s="39"/>
      <c r="B793" s="42"/>
      <c r="C793" s="42"/>
      <c r="D793" s="75"/>
      <c r="E793" s="75"/>
      <c r="F793" s="76"/>
      <c r="G793" s="47"/>
      <c r="H793" s="47"/>
      <c r="I793" s="75"/>
      <c r="J793" s="76"/>
      <c r="K793" s="76"/>
      <c r="L793" s="75"/>
      <c r="M793" s="49"/>
      <c r="N793" s="76"/>
      <c r="O793" s="49"/>
      <c r="P793" s="77"/>
      <c r="Q793" s="53"/>
      <c r="R793" s="54"/>
      <c r="S793" s="55"/>
      <c r="T793" s="56"/>
      <c r="U793" s="56"/>
      <c r="V793" s="42"/>
      <c r="W793" s="57"/>
      <c r="X793" s="58"/>
      <c r="Y793" s="75"/>
      <c r="Z793" s="59"/>
      <c r="AA793" s="61"/>
      <c r="AB793" s="61"/>
      <c r="AC793" s="61"/>
      <c r="AD793" s="62"/>
      <c r="AE793" s="62"/>
      <c r="AF793" s="34"/>
      <c r="AG793" s="34"/>
      <c r="AH793" s="34"/>
      <c r="AI793" s="34"/>
      <c r="AJ793" s="34"/>
      <c r="AK793" s="34"/>
      <c r="AL793" s="34"/>
      <c r="AM793" s="34"/>
      <c r="AN793" s="34"/>
      <c r="AO793" s="34"/>
      <c r="AP793" s="34"/>
      <c r="AQ793" s="34"/>
      <c r="AR793" s="34"/>
      <c r="AS793" s="34"/>
      <c r="AT793" s="34"/>
      <c r="AU793" s="34"/>
      <c r="AV793" s="34"/>
      <c r="AW793" s="34"/>
      <c r="AX793" s="34"/>
      <c r="AY793" s="34"/>
      <c r="AZ793" s="34"/>
      <c r="BA793" s="34"/>
      <c r="BB793" s="34"/>
      <c r="BD793" s="34"/>
      <c r="BE793" s="34"/>
      <c r="BF793" s="34"/>
      <c r="BG793" s="34"/>
      <c r="BH793" s="34"/>
      <c r="BI793" s="34"/>
      <c r="BJ793" s="34"/>
      <c r="BK793" s="34"/>
      <c r="BL793" s="34"/>
      <c r="BM793" s="34"/>
      <c r="BN793" s="34"/>
      <c r="BO793" s="34"/>
      <c r="BP793" s="34"/>
      <c r="BQ793" s="34"/>
      <c r="BR793" s="34"/>
      <c r="BS793" s="34"/>
      <c r="BT793" s="34"/>
      <c r="BU793" s="34"/>
      <c r="BV793" s="34"/>
      <c r="BW793" s="34"/>
      <c r="BX793" s="34"/>
      <c r="BY793" s="34"/>
    </row>
    <row r="794" spans="1:77" x14ac:dyDescent="0.3">
      <c r="A794" s="39"/>
      <c r="B794" s="42"/>
      <c r="C794" s="42"/>
      <c r="D794" s="75"/>
      <c r="E794" s="75"/>
      <c r="F794" s="76"/>
      <c r="G794" s="47"/>
      <c r="H794" s="47"/>
      <c r="I794" s="75"/>
      <c r="J794" s="76"/>
      <c r="K794" s="76"/>
      <c r="L794" s="75"/>
      <c r="M794" s="49"/>
      <c r="N794" s="76"/>
      <c r="O794" s="49"/>
      <c r="P794" s="77"/>
      <c r="Q794" s="53"/>
      <c r="R794" s="54"/>
      <c r="S794" s="55"/>
      <c r="T794" s="56"/>
      <c r="U794" s="56"/>
      <c r="V794" s="42"/>
      <c r="W794" s="57"/>
      <c r="X794" s="58"/>
      <c r="Y794" s="75"/>
      <c r="Z794" s="59"/>
      <c r="AA794" s="61"/>
      <c r="AB794" s="61"/>
      <c r="AC794" s="61"/>
      <c r="AD794" s="62"/>
      <c r="AE794" s="62"/>
      <c r="AF794" s="34"/>
      <c r="AG794" s="34"/>
      <c r="AH794" s="34"/>
      <c r="AI794" s="34"/>
      <c r="AJ794" s="34"/>
      <c r="AK794" s="34"/>
      <c r="AL794" s="34"/>
      <c r="AM794" s="34"/>
      <c r="AN794" s="34"/>
      <c r="AO794" s="34"/>
      <c r="AP794" s="34"/>
      <c r="AQ794" s="34"/>
      <c r="AR794" s="34"/>
      <c r="AS794" s="34"/>
      <c r="AT794" s="34"/>
      <c r="AU794" s="34"/>
      <c r="AV794" s="34"/>
      <c r="AW794" s="34"/>
      <c r="AX794" s="34"/>
      <c r="AY794" s="34"/>
      <c r="AZ794" s="34"/>
      <c r="BA794" s="34"/>
      <c r="BB794" s="34"/>
      <c r="BD794" s="34"/>
      <c r="BE794" s="34"/>
      <c r="BF794" s="34"/>
      <c r="BG794" s="34"/>
      <c r="BH794" s="34"/>
      <c r="BI794" s="34"/>
      <c r="BJ794" s="34"/>
      <c r="BK794" s="34"/>
      <c r="BL794" s="34"/>
      <c r="BM794" s="34"/>
      <c r="BN794" s="34"/>
      <c r="BO794" s="34"/>
      <c r="BP794" s="34"/>
      <c r="BQ794" s="34"/>
      <c r="BR794" s="34"/>
      <c r="BS794" s="34"/>
      <c r="BT794" s="34"/>
      <c r="BU794" s="34"/>
      <c r="BV794" s="34"/>
      <c r="BW794" s="34"/>
      <c r="BX794" s="34"/>
      <c r="BY794" s="34"/>
    </row>
    <row r="795" spans="1:77" x14ac:dyDescent="0.3">
      <c r="A795" s="39"/>
      <c r="B795" s="42"/>
      <c r="C795" s="42"/>
      <c r="D795" s="75"/>
      <c r="E795" s="75"/>
      <c r="F795" s="76"/>
      <c r="G795" s="47"/>
      <c r="H795" s="47"/>
      <c r="I795" s="75"/>
      <c r="J795" s="76"/>
      <c r="K795" s="76"/>
      <c r="L795" s="75"/>
      <c r="M795" s="49"/>
      <c r="N795" s="76"/>
      <c r="O795" s="49"/>
      <c r="P795" s="77"/>
      <c r="Q795" s="53"/>
      <c r="R795" s="54"/>
      <c r="S795" s="55"/>
      <c r="T795" s="56"/>
      <c r="U795" s="56"/>
      <c r="V795" s="42"/>
      <c r="W795" s="57"/>
      <c r="X795" s="58"/>
      <c r="Y795" s="75"/>
      <c r="Z795" s="59"/>
      <c r="AA795" s="61"/>
      <c r="AB795" s="61"/>
      <c r="AC795" s="61"/>
      <c r="AD795" s="62"/>
      <c r="AE795" s="62"/>
      <c r="AF795" s="34"/>
      <c r="AG795" s="34"/>
      <c r="AH795" s="34"/>
      <c r="AI795" s="34"/>
      <c r="AJ795" s="34"/>
      <c r="AK795" s="34"/>
      <c r="AL795" s="34"/>
      <c r="AM795" s="34"/>
      <c r="AN795" s="34"/>
      <c r="AO795" s="34"/>
      <c r="AP795" s="34"/>
      <c r="AQ795" s="34"/>
      <c r="AR795" s="34"/>
      <c r="AS795" s="34"/>
      <c r="AT795" s="34"/>
      <c r="AU795" s="34"/>
      <c r="AV795" s="34"/>
      <c r="AW795" s="34"/>
      <c r="AX795" s="34"/>
      <c r="AY795" s="34"/>
      <c r="AZ795" s="34"/>
      <c r="BA795" s="34"/>
      <c r="BB795" s="34"/>
      <c r="BD795" s="34"/>
      <c r="BE795" s="34"/>
      <c r="BF795" s="34"/>
      <c r="BG795" s="34"/>
      <c r="BH795" s="34"/>
      <c r="BI795" s="34"/>
      <c r="BJ795" s="34"/>
      <c r="BK795" s="34"/>
      <c r="BL795" s="34"/>
      <c r="BM795" s="34"/>
      <c r="BN795" s="34"/>
      <c r="BO795" s="34"/>
      <c r="BP795" s="34"/>
      <c r="BQ795" s="34"/>
      <c r="BR795" s="34"/>
      <c r="BS795" s="34"/>
      <c r="BT795" s="34"/>
      <c r="BU795" s="34"/>
      <c r="BV795" s="34"/>
      <c r="BW795" s="34"/>
      <c r="BX795" s="34"/>
      <c r="BY795" s="34"/>
    </row>
    <row r="796" spans="1:77" x14ac:dyDescent="0.3">
      <c r="A796" s="39"/>
      <c r="B796" s="42"/>
      <c r="C796" s="42"/>
      <c r="D796" s="75"/>
      <c r="E796" s="75"/>
      <c r="F796" s="76"/>
      <c r="G796" s="47"/>
      <c r="H796" s="47"/>
      <c r="I796" s="75"/>
      <c r="J796" s="76"/>
      <c r="K796" s="76"/>
      <c r="L796" s="75"/>
      <c r="M796" s="49"/>
      <c r="N796" s="76"/>
      <c r="O796" s="49"/>
      <c r="P796" s="77"/>
      <c r="Q796" s="53"/>
      <c r="R796" s="54"/>
      <c r="S796" s="55"/>
      <c r="T796" s="56"/>
      <c r="U796" s="56"/>
      <c r="V796" s="42"/>
      <c r="W796" s="57"/>
      <c r="X796" s="58"/>
      <c r="Y796" s="75"/>
      <c r="Z796" s="59"/>
      <c r="AA796" s="61"/>
      <c r="AB796" s="61"/>
      <c r="AC796" s="61"/>
      <c r="AD796" s="62"/>
      <c r="AE796" s="62"/>
      <c r="AF796" s="34"/>
      <c r="AG796" s="34"/>
      <c r="AH796" s="34"/>
      <c r="AI796" s="34"/>
      <c r="AJ796" s="34"/>
      <c r="AK796" s="34"/>
      <c r="AL796" s="34"/>
      <c r="AM796" s="34"/>
      <c r="AN796" s="34"/>
      <c r="AO796" s="34"/>
      <c r="AP796" s="34"/>
      <c r="AQ796" s="34"/>
      <c r="AR796" s="34"/>
      <c r="AS796" s="34"/>
      <c r="AT796" s="34"/>
      <c r="AU796" s="34"/>
      <c r="AV796" s="34"/>
      <c r="AW796" s="34"/>
      <c r="AX796" s="34"/>
      <c r="AY796" s="34"/>
      <c r="AZ796" s="34"/>
      <c r="BA796" s="34"/>
      <c r="BB796" s="34"/>
      <c r="BD796" s="34"/>
      <c r="BE796" s="34"/>
      <c r="BF796" s="34"/>
      <c r="BG796" s="34"/>
      <c r="BH796" s="34"/>
      <c r="BI796" s="34"/>
      <c r="BJ796" s="34"/>
      <c r="BK796" s="34"/>
      <c r="BL796" s="34"/>
      <c r="BM796" s="34"/>
      <c r="BN796" s="34"/>
      <c r="BO796" s="34"/>
      <c r="BP796" s="34"/>
      <c r="BQ796" s="34"/>
      <c r="BR796" s="34"/>
      <c r="BS796" s="34"/>
      <c r="BT796" s="34"/>
      <c r="BU796" s="34"/>
      <c r="BV796" s="34"/>
      <c r="BW796" s="34"/>
      <c r="BX796" s="34"/>
      <c r="BY796" s="34"/>
    </row>
    <row r="797" spans="1:77" x14ac:dyDescent="0.3">
      <c r="A797" s="39"/>
      <c r="B797" s="42"/>
      <c r="C797" s="42"/>
      <c r="D797" s="75"/>
      <c r="E797" s="75"/>
      <c r="F797" s="76"/>
      <c r="G797" s="47"/>
      <c r="H797" s="47"/>
      <c r="I797" s="75"/>
      <c r="J797" s="76"/>
      <c r="K797" s="76"/>
      <c r="L797" s="75"/>
      <c r="M797" s="49"/>
      <c r="N797" s="76"/>
      <c r="O797" s="49"/>
      <c r="P797" s="77"/>
      <c r="Q797" s="53"/>
      <c r="R797" s="54"/>
      <c r="S797" s="55"/>
      <c r="T797" s="56"/>
      <c r="U797" s="56"/>
      <c r="V797" s="42"/>
      <c r="W797" s="57"/>
      <c r="X797" s="58"/>
      <c r="Y797" s="75"/>
      <c r="Z797" s="59"/>
      <c r="AA797" s="61"/>
      <c r="AB797" s="61"/>
      <c r="AC797" s="61"/>
      <c r="AD797" s="62"/>
      <c r="AE797" s="62"/>
      <c r="AF797" s="34"/>
      <c r="AG797" s="34"/>
      <c r="AH797" s="34"/>
      <c r="AI797" s="34"/>
      <c r="AJ797" s="34"/>
      <c r="AK797" s="34"/>
      <c r="AL797" s="34"/>
      <c r="AM797" s="34"/>
      <c r="AN797" s="34"/>
      <c r="AO797" s="34"/>
      <c r="AP797" s="34"/>
      <c r="AQ797" s="34"/>
      <c r="AR797" s="34"/>
      <c r="AS797" s="34"/>
      <c r="AT797" s="34"/>
      <c r="AU797" s="34"/>
      <c r="AV797" s="34"/>
      <c r="AW797" s="34"/>
      <c r="AX797" s="34"/>
      <c r="AY797" s="34"/>
      <c r="AZ797" s="34"/>
      <c r="BA797" s="34"/>
      <c r="BB797" s="34"/>
      <c r="BD797" s="34"/>
      <c r="BE797" s="34"/>
      <c r="BF797" s="34"/>
      <c r="BG797" s="34"/>
      <c r="BH797" s="34"/>
      <c r="BI797" s="34"/>
      <c r="BJ797" s="34"/>
      <c r="BK797" s="34"/>
      <c r="BL797" s="34"/>
      <c r="BM797" s="34"/>
      <c r="BN797" s="34"/>
      <c r="BO797" s="34"/>
      <c r="BP797" s="34"/>
      <c r="BQ797" s="34"/>
      <c r="BR797" s="34"/>
      <c r="BS797" s="34"/>
      <c r="BT797" s="34"/>
      <c r="BU797" s="34"/>
      <c r="BV797" s="34"/>
      <c r="BW797" s="34"/>
      <c r="BX797" s="34"/>
      <c r="BY797" s="34"/>
    </row>
    <row r="798" spans="1:77" x14ac:dyDescent="0.3">
      <c r="A798" s="39"/>
      <c r="B798" s="42"/>
      <c r="C798" s="42"/>
      <c r="D798" s="75"/>
      <c r="E798" s="75"/>
      <c r="F798" s="76"/>
      <c r="G798" s="47"/>
      <c r="H798" s="47"/>
      <c r="I798" s="75"/>
      <c r="J798" s="76"/>
      <c r="K798" s="76"/>
      <c r="L798" s="75"/>
      <c r="M798" s="49"/>
      <c r="N798" s="76"/>
      <c r="O798" s="49"/>
      <c r="P798" s="77"/>
      <c r="Q798" s="53"/>
      <c r="R798" s="54"/>
      <c r="S798" s="55"/>
      <c r="T798" s="56"/>
      <c r="U798" s="56"/>
      <c r="V798" s="42"/>
      <c r="W798" s="57"/>
      <c r="X798" s="58"/>
      <c r="Y798" s="75"/>
      <c r="Z798" s="59"/>
      <c r="AA798" s="61"/>
      <c r="AB798" s="61"/>
      <c r="AC798" s="61"/>
      <c r="AD798" s="62"/>
      <c r="AE798" s="62"/>
      <c r="AF798" s="34"/>
      <c r="AG798" s="34"/>
      <c r="AH798" s="34"/>
      <c r="AI798" s="34"/>
      <c r="AJ798" s="34"/>
      <c r="AK798" s="34"/>
      <c r="AL798" s="34"/>
      <c r="AM798" s="34"/>
      <c r="AN798" s="34"/>
      <c r="AO798" s="34"/>
      <c r="AP798" s="34"/>
      <c r="AQ798" s="34"/>
      <c r="AR798" s="34"/>
      <c r="AS798" s="34"/>
      <c r="AT798" s="34"/>
      <c r="AU798" s="34"/>
      <c r="AV798" s="34"/>
      <c r="AW798" s="34"/>
      <c r="AX798" s="34"/>
      <c r="AY798" s="34"/>
      <c r="AZ798" s="34"/>
      <c r="BA798" s="34"/>
      <c r="BB798" s="34"/>
      <c r="BD798" s="34"/>
      <c r="BE798" s="34"/>
      <c r="BF798" s="34"/>
      <c r="BG798" s="34"/>
      <c r="BH798" s="34"/>
      <c r="BI798" s="34"/>
      <c r="BJ798" s="34"/>
      <c r="BK798" s="34"/>
      <c r="BL798" s="34"/>
      <c r="BM798" s="34"/>
      <c r="BN798" s="34"/>
      <c r="BO798" s="34"/>
      <c r="BP798" s="34"/>
      <c r="BQ798" s="34"/>
      <c r="BR798" s="34"/>
      <c r="BS798" s="34"/>
      <c r="BT798" s="34"/>
      <c r="BU798" s="34"/>
      <c r="BV798" s="34"/>
      <c r="BW798" s="34"/>
      <c r="BX798" s="34"/>
      <c r="BY798" s="34"/>
    </row>
    <row r="799" spans="1:77" x14ac:dyDescent="0.3">
      <c r="A799" s="39"/>
      <c r="B799" s="42"/>
      <c r="C799" s="42"/>
      <c r="D799" s="75"/>
      <c r="E799" s="75"/>
      <c r="F799" s="76"/>
      <c r="G799" s="47"/>
      <c r="H799" s="47"/>
      <c r="I799" s="75"/>
      <c r="J799" s="76"/>
      <c r="K799" s="76"/>
      <c r="L799" s="75"/>
      <c r="M799" s="49"/>
      <c r="N799" s="76"/>
      <c r="O799" s="49"/>
      <c r="P799" s="77"/>
      <c r="Q799" s="53"/>
      <c r="R799" s="54"/>
      <c r="S799" s="55"/>
      <c r="T799" s="56"/>
      <c r="U799" s="56"/>
      <c r="V799" s="42"/>
      <c r="W799" s="57"/>
      <c r="X799" s="58"/>
      <c r="Y799" s="75"/>
      <c r="Z799" s="59"/>
      <c r="AA799" s="61"/>
      <c r="AB799" s="61"/>
      <c r="AC799" s="61"/>
      <c r="AD799" s="62"/>
      <c r="AE799" s="62"/>
      <c r="AF799" s="34"/>
      <c r="AG799" s="34"/>
      <c r="AH799" s="34"/>
      <c r="AI799" s="34"/>
      <c r="AJ799" s="34"/>
      <c r="AK799" s="34"/>
      <c r="AL799" s="34"/>
      <c r="AM799" s="34"/>
      <c r="AN799" s="34"/>
      <c r="AO799" s="34"/>
      <c r="AP799" s="34"/>
      <c r="AQ799" s="34"/>
      <c r="AR799" s="34"/>
      <c r="AS799" s="34"/>
      <c r="AT799" s="34"/>
      <c r="AU799" s="34"/>
      <c r="AV799" s="34"/>
      <c r="AW799" s="34"/>
      <c r="AX799" s="34"/>
      <c r="AY799" s="34"/>
      <c r="AZ799" s="34"/>
      <c r="BA799" s="34"/>
      <c r="BB799" s="34"/>
      <c r="BD799" s="34"/>
      <c r="BE799" s="34"/>
      <c r="BF799" s="34"/>
      <c r="BG799" s="34"/>
      <c r="BH799" s="34"/>
      <c r="BI799" s="34"/>
      <c r="BJ799" s="34"/>
      <c r="BK799" s="34"/>
      <c r="BL799" s="34"/>
      <c r="BM799" s="34"/>
      <c r="BN799" s="34"/>
      <c r="BO799" s="34"/>
      <c r="BP799" s="34"/>
      <c r="BQ799" s="34"/>
      <c r="BR799" s="34"/>
      <c r="BS799" s="34"/>
      <c r="BT799" s="34"/>
      <c r="BU799" s="34"/>
      <c r="BV799" s="34"/>
      <c r="BW799" s="34"/>
      <c r="BX799" s="34"/>
      <c r="BY799" s="34"/>
    </row>
    <row r="800" spans="1:77" x14ac:dyDescent="0.3">
      <c r="A800" s="39"/>
      <c r="B800" s="42"/>
      <c r="C800" s="42"/>
      <c r="D800" s="75"/>
      <c r="E800" s="75"/>
      <c r="F800" s="76"/>
      <c r="G800" s="47"/>
      <c r="H800" s="47"/>
      <c r="I800" s="75"/>
      <c r="J800" s="76"/>
      <c r="K800" s="76"/>
      <c r="L800" s="75"/>
      <c r="M800" s="49"/>
      <c r="N800" s="76"/>
      <c r="O800" s="49"/>
      <c r="P800" s="77"/>
      <c r="Q800" s="53"/>
      <c r="R800" s="54"/>
      <c r="S800" s="55"/>
      <c r="T800" s="56"/>
      <c r="U800" s="56"/>
      <c r="V800" s="42"/>
      <c r="W800" s="57"/>
      <c r="X800" s="58"/>
      <c r="Y800" s="75"/>
      <c r="Z800" s="59"/>
      <c r="AA800" s="61"/>
      <c r="AB800" s="61"/>
      <c r="AC800" s="61"/>
      <c r="AD800" s="62"/>
      <c r="AE800" s="62"/>
      <c r="AF800" s="34"/>
      <c r="AG800" s="34"/>
      <c r="AH800" s="34"/>
      <c r="AI800" s="34"/>
      <c r="AJ800" s="34"/>
      <c r="AK800" s="34"/>
      <c r="AL800" s="34"/>
      <c r="AM800" s="34"/>
      <c r="AN800" s="34"/>
      <c r="AO800" s="34"/>
      <c r="AP800" s="34"/>
      <c r="AQ800" s="34"/>
      <c r="AR800" s="34"/>
      <c r="AS800" s="34"/>
      <c r="AT800" s="34"/>
      <c r="AU800" s="34"/>
      <c r="AV800" s="34"/>
      <c r="AW800" s="34"/>
      <c r="AX800" s="34"/>
      <c r="AY800" s="34"/>
      <c r="AZ800" s="34"/>
      <c r="BA800" s="34"/>
      <c r="BB800" s="34"/>
      <c r="BD800" s="34"/>
      <c r="BE800" s="34"/>
      <c r="BF800" s="34"/>
      <c r="BG800" s="34"/>
      <c r="BH800" s="34"/>
      <c r="BI800" s="34"/>
      <c r="BJ800" s="34"/>
      <c r="BK800" s="34"/>
      <c r="BL800" s="34"/>
      <c r="BM800" s="34"/>
      <c r="BN800" s="34"/>
      <c r="BO800" s="34"/>
      <c r="BP800" s="34"/>
      <c r="BQ800" s="34"/>
      <c r="BR800" s="34"/>
      <c r="BS800" s="34"/>
      <c r="BT800" s="34"/>
      <c r="BU800" s="34"/>
      <c r="BV800" s="34"/>
      <c r="BW800" s="34"/>
      <c r="BX800" s="34"/>
      <c r="BY800" s="34"/>
    </row>
    <row r="801" spans="1:77" x14ac:dyDescent="0.3">
      <c r="A801" s="39"/>
      <c r="B801" s="42"/>
      <c r="C801" s="42"/>
      <c r="D801" s="75"/>
      <c r="E801" s="75"/>
      <c r="F801" s="76"/>
      <c r="G801" s="47"/>
      <c r="H801" s="47"/>
      <c r="I801" s="75"/>
      <c r="J801" s="76"/>
      <c r="K801" s="76"/>
      <c r="L801" s="75"/>
      <c r="M801" s="49"/>
      <c r="N801" s="76"/>
      <c r="O801" s="49"/>
      <c r="P801" s="77"/>
      <c r="Q801" s="53"/>
      <c r="R801" s="54"/>
      <c r="S801" s="55"/>
      <c r="T801" s="56"/>
      <c r="U801" s="56"/>
      <c r="V801" s="42"/>
      <c r="W801" s="57"/>
      <c r="X801" s="58"/>
      <c r="Y801" s="75"/>
      <c r="Z801" s="59"/>
      <c r="AA801" s="61"/>
      <c r="AB801" s="61"/>
      <c r="AC801" s="61"/>
      <c r="AD801" s="62"/>
      <c r="AE801" s="62"/>
      <c r="AF801" s="34"/>
      <c r="AG801" s="34"/>
      <c r="AH801" s="34"/>
      <c r="AI801" s="34"/>
      <c r="AJ801" s="34"/>
      <c r="AK801" s="34"/>
      <c r="AL801" s="34"/>
      <c r="AM801" s="34"/>
      <c r="AN801" s="34"/>
      <c r="AO801" s="34"/>
      <c r="AP801" s="34"/>
      <c r="AQ801" s="34"/>
      <c r="AR801" s="34"/>
      <c r="AS801" s="34"/>
      <c r="AT801" s="34"/>
      <c r="AU801" s="34"/>
      <c r="AV801" s="34"/>
      <c r="AW801" s="34"/>
      <c r="AX801" s="34"/>
      <c r="AY801" s="34"/>
      <c r="AZ801" s="34"/>
      <c r="BA801" s="34"/>
      <c r="BB801" s="34"/>
      <c r="BD801" s="34"/>
      <c r="BE801" s="34"/>
      <c r="BF801" s="34"/>
      <c r="BG801" s="34"/>
      <c r="BH801" s="34"/>
      <c r="BI801" s="34"/>
      <c r="BJ801" s="34"/>
      <c r="BK801" s="34"/>
      <c r="BL801" s="34"/>
      <c r="BM801" s="34"/>
      <c r="BN801" s="34"/>
      <c r="BO801" s="34"/>
      <c r="BP801" s="34"/>
      <c r="BQ801" s="34"/>
      <c r="BR801" s="34"/>
      <c r="BS801" s="34"/>
      <c r="BT801" s="34"/>
      <c r="BU801" s="34"/>
      <c r="BV801" s="34"/>
      <c r="BW801" s="34"/>
      <c r="BX801" s="34"/>
      <c r="BY801" s="34"/>
    </row>
    <row r="802" spans="1:77" x14ac:dyDescent="0.3">
      <c r="A802" s="39"/>
      <c r="B802" s="42"/>
      <c r="C802" s="42"/>
      <c r="D802" s="75"/>
      <c r="E802" s="75"/>
      <c r="F802" s="76"/>
      <c r="G802" s="47"/>
      <c r="H802" s="47"/>
      <c r="I802" s="75"/>
      <c r="J802" s="76"/>
      <c r="K802" s="76"/>
      <c r="L802" s="75"/>
      <c r="M802" s="49"/>
      <c r="N802" s="76"/>
      <c r="O802" s="49"/>
      <c r="P802" s="77"/>
      <c r="Q802" s="53"/>
      <c r="R802" s="54"/>
      <c r="S802" s="55"/>
      <c r="T802" s="56"/>
      <c r="U802" s="56"/>
      <c r="V802" s="42"/>
      <c r="W802" s="57"/>
      <c r="X802" s="58"/>
      <c r="Y802" s="75"/>
      <c r="Z802" s="59"/>
      <c r="AA802" s="61"/>
      <c r="AB802" s="61"/>
      <c r="AC802" s="61"/>
      <c r="AD802" s="62"/>
      <c r="AE802" s="62"/>
      <c r="AF802" s="34"/>
      <c r="AG802" s="34"/>
      <c r="AH802" s="34"/>
      <c r="AI802" s="34"/>
      <c r="AJ802" s="34"/>
      <c r="AK802" s="34"/>
      <c r="AL802" s="34"/>
      <c r="AM802" s="34"/>
      <c r="AN802" s="34"/>
      <c r="AO802" s="34"/>
      <c r="AP802" s="34"/>
      <c r="AQ802" s="34"/>
      <c r="AR802" s="34"/>
      <c r="AS802" s="34"/>
      <c r="AT802" s="34"/>
      <c r="AU802" s="34"/>
      <c r="AV802" s="34"/>
      <c r="AW802" s="34"/>
      <c r="AX802" s="34"/>
      <c r="AY802" s="34"/>
      <c r="AZ802" s="34"/>
      <c r="BA802" s="34"/>
      <c r="BB802" s="34"/>
      <c r="BD802" s="34"/>
      <c r="BE802" s="34"/>
      <c r="BF802" s="34"/>
      <c r="BG802" s="34"/>
      <c r="BH802" s="34"/>
      <c r="BI802" s="34"/>
      <c r="BJ802" s="34"/>
      <c r="BK802" s="34"/>
      <c r="BL802" s="34"/>
      <c r="BM802" s="34"/>
      <c r="BN802" s="34"/>
      <c r="BO802" s="34"/>
      <c r="BP802" s="34"/>
      <c r="BQ802" s="34"/>
      <c r="BR802" s="34"/>
      <c r="BS802" s="34"/>
      <c r="BT802" s="34"/>
      <c r="BU802" s="34"/>
      <c r="BV802" s="34"/>
      <c r="BW802" s="34"/>
      <c r="BX802" s="34"/>
      <c r="BY802" s="34"/>
    </row>
    <row r="803" spans="1:77" x14ac:dyDescent="0.3">
      <c r="A803" s="39"/>
      <c r="B803" s="42"/>
      <c r="C803" s="42"/>
      <c r="D803" s="75"/>
      <c r="E803" s="75"/>
      <c r="F803" s="76"/>
      <c r="G803" s="47"/>
      <c r="H803" s="47"/>
      <c r="I803" s="75"/>
      <c r="J803" s="76"/>
      <c r="K803" s="76"/>
      <c r="L803" s="75"/>
      <c r="M803" s="49"/>
      <c r="N803" s="76"/>
      <c r="O803" s="49"/>
      <c r="P803" s="77"/>
      <c r="Q803" s="53"/>
      <c r="R803" s="54"/>
      <c r="S803" s="55"/>
      <c r="T803" s="56"/>
      <c r="U803" s="56"/>
      <c r="V803" s="42"/>
      <c r="W803" s="57"/>
      <c r="X803" s="58"/>
      <c r="Y803" s="75"/>
      <c r="Z803" s="59"/>
      <c r="AA803" s="61"/>
      <c r="AB803" s="61"/>
      <c r="AC803" s="61"/>
      <c r="AD803" s="62"/>
      <c r="AE803" s="62"/>
      <c r="AF803" s="34"/>
      <c r="AG803" s="34"/>
      <c r="AH803" s="34"/>
      <c r="AI803" s="34"/>
      <c r="AJ803" s="34"/>
      <c r="AK803" s="34"/>
      <c r="AL803" s="34"/>
      <c r="AM803" s="34"/>
      <c r="AN803" s="34"/>
      <c r="AO803" s="34"/>
      <c r="AP803" s="34"/>
      <c r="AQ803" s="34"/>
      <c r="AR803" s="34"/>
      <c r="AS803" s="34"/>
      <c r="AT803" s="34"/>
      <c r="AU803" s="34"/>
      <c r="AV803" s="34"/>
      <c r="AW803" s="34"/>
      <c r="AX803" s="34"/>
      <c r="AY803" s="34"/>
      <c r="AZ803" s="34"/>
      <c r="BA803" s="34"/>
      <c r="BB803" s="34"/>
      <c r="BD803" s="34"/>
      <c r="BE803" s="34"/>
      <c r="BF803" s="34"/>
      <c r="BG803" s="34"/>
      <c r="BH803" s="34"/>
      <c r="BI803" s="34"/>
      <c r="BJ803" s="34"/>
      <c r="BK803" s="34"/>
      <c r="BL803" s="34"/>
      <c r="BM803" s="34"/>
      <c r="BN803" s="34"/>
      <c r="BO803" s="34"/>
      <c r="BP803" s="34"/>
      <c r="BQ803" s="34"/>
      <c r="BR803" s="34"/>
      <c r="BS803" s="34"/>
      <c r="BT803" s="34"/>
      <c r="BU803" s="34"/>
      <c r="BV803" s="34"/>
      <c r="BW803" s="34"/>
      <c r="BX803" s="34"/>
      <c r="BY803" s="34"/>
    </row>
    <row r="804" spans="1:77" x14ac:dyDescent="0.3">
      <c r="A804" s="39"/>
      <c r="B804" s="42"/>
      <c r="C804" s="42"/>
      <c r="D804" s="75"/>
      <c r="E804" s="75"/>
      <c r="F804" s="76"/>
      <c r="G804" s="47"/>
      <c r="H804" s="47"/>
      <c r="I804" s="75"/>
      <c r="J804" s="76"/>
      <c r="K804" s="76"/>
      <c r="L804" s="75"/>
      <c r="M804" s="49"/>
      <c r="N804" s="76"/>
      <c r="O804" s="49"/>
      <c r="P804" s="77"/>
      <c r="Q804" s="53"/>
      <c r="R804" s="54"/>
      <c r="S804" s="55"/>
      <c r="T804" s="56"/>
      <c r="U804" s="56"/>
      <c r="V804" s="42"/>
      <c r="W804" s="57"/>
      <c r="X804" s="58"/>
      <c r="Y804" s="75"/>
      <c r="Z804" s="59"/>
      <c r="AA804" s="61"/>
      <c r="AB804" s="61"/>
      <c r="AC804" s="61"/>
      <c r="AD804" s="62"/>
      <c r="AE804" s="62"/>
      <c r="AF804" s="34"/>
      <c r="AG804" s="34"/>
      <c r="AH804" s="34"/>
      <c r="AI804" s="34"/>
      <c r="AJ804" s="34"/>
      <c r="AK804" s="34"/>
      <c r="AL804" s="34"/>
      <c r="AM804" s="34"/>
      <c r="AN804" s="34"/>
      <c r="AO804" s="34"/>
      <c r="AP804" s="34"/>
      <c r="AQ804" s="34"/>
      <c r="AR804" s="34"/>
      <c r="AS804" s="34"/>
      <c r="AT804" s="34"/>
      <c r="AU804" s="34"/>
      <c r="AV804" s="34"/>
      <c r="AW804" s="34"/>
      <c r="AX804" s="34"/>
      <c r="AY804" s="34"/>
      <c r="AZ804" s="34"/>
      <c r="BA804" s="34"/>
      <c r="BB804" s="34"/>
      <c r="BD804" s="34"/>
      <c r="BE804" s="34"/>
      <c r="BF804" s="34"/>
      <c r="BG804" s="34"/>
      <c r="BH804" s="34"/>
      <c r="BI804" s="34"/>
      <c r="BJ804" s="34"/>
      <c r="BK804" s="34"/>
      <c r="BL804" s="34"/>
      <c r="BM804" s="34"/>
      <c r="BN804" s="34"/>
      <c r="BO804" s="34"/>
      <c r="BP804" s="34"/>
      <c r="BQ804" s="34"/>
      <c r="BR804" s="34"/>
      <c r="BS804" s="34"/>
      <c r="BT804" s="34"/>
      <c r="BU804" s="34"/>
      <c r="BV804" s="34"/>
      <c r="BW804" s="34"/>
      <c r="BX804" s="34"/>
      <c r="BY804" s="34"/>
    </row>
    <row r="805" spans="1:77" x14ac:dyDescent="0.3">
      <c r="A805" s="39"/>
      <c r="B805" s="42"/>
      <c r="C805" s="42"/>
      <c r="D805" s="75"/>
      <c r="E805" s="75"/>
      <c r="F805" s="76"/>
      <c r="G805" s="47"/>
      <c r="H805" s="47"/>
      <c r="I805" s="75"/>
      <c r="J805" s="76"/>
      <c r="K805" s="76"/>
      <c r="L805" s="75"/>
      <c r="M805" s="49"/>
      <c r="N805" s="76"/>
      <c r="O805" s="49"/>
      <c r="P805" s="77"/>
      <c r="Q805" s="53"/>
      <c r="R805" s="54"/>
      <c r="S805" s="55"/>
      <c r="T805" s="56"/>
      <c r="U805" s="56"/>
      <c r="V805" s="42"/>
      <c r="W805" s="57"/>
      <c r="X805" s="58"/>
      <c r="Y805" s="75"/>
      <c r="Z805" s="59"/>
      <c r="AA805" s="61"/>
      <c r="AB805" s="61"/>
      <c r="AC805" s="61"/>
      <c r="AD805" s="62"/>
      <c r="AE805" s="62"/>
      <c r="AF805" s="34"/>
      <c r="AG805" s="34"/>
      <c r="AH805" s="34"/>
      <c r="AI805" s="34"/>
      <c r="AJ805" s="34"/>
      <c r="AK805" s="34"/>
      <c r="AL805" s="34"/>
      <c r="AM805" s="34"/>
      <c r="AN805" s="34"/>
      <c r="AO805" s="34"/>
      <c r="AP805" s="34"/>
      <c r="AQ805" s="34"/>
      <c r="AR805" s="34"/>
      <c r="AS805" s="34"/>
      <c r="AT805" s="34"/>
      <c r="AU805" s="34"/>
      <c r="AV805" s="34"/>
      <c r="AW805" s="34"/>
      <c r="AX805" s="34"/>
      <c r="AY805" s="34"/>
      <c r="AZ805" s="34"/>
      <c r="BA805" s="34"/>
      <c r="BB805" s="34"/>
      <c r="BD805" s="34"/>
      <c r="BE805" s="34"/>
      <c r="BF805" s="34"/>
      <c r="BG805" s="34"/>
      <c r="BH805" s="34"/>
      <c r="BI805" s="34"/>
      <c r="BJ805" s="34"/>
      <c r="BK805" s="34"/>
      <c r="BL805" s="34"/>
      <c r="BM805" s="34"/>
      <c r="BN805" s="34"/>
      <c r="BO805" s="34"/>
      <c r="BP805" s="34"/>
      <c r="BQ805" s="34"/>
      <c r="BR805" s="34"/>
      <c r="BS805" s="34"/>
      <c r="BT805" s="34"/>
      <c r="BU805" s="34"/>
      <c r="BV805" s="34"/>
      <c r="BW805" s="34"/>
      <c r="BX805" s="34"/>
      <c r="BY805" s="34"/>
    </row>
    <row r="806" spans="1:77" x14ac:dyDescent="0.3">
      <c r="A806" s="39"/>
      <c r="B806" s="42"/>
      <c r="C806" s="42"/>
      <c r="D806" s="75"/>
      <c r="E806" s="75"/>
      <c r="F806" s="76"/>
      <c r="G806" s="47"/>
      <c r="H806" s="47"/>
      <c r="I806" s="75"/>
      <c r="J806" s="76"/>
      <c r="K806" s="76"/>
      <c r="L806" s="75"/>
      <c r="M806" s="49"/>
      <c r="N806" s="76"/>
      <c r="O806" s="49"/>
      <c r="P806" s="77"/>
      <c r="Q806" s="53"/>
      <c r="R806" s="54"/>
      <c r="S806" s="55"/>
      <c r="T806" s="56"/>
      <c r="U806" s="56"/>
      <c r="V806" s="42"/>
      <c r="W806" s="57"/>
      <c r="X806" s="58"/>
      <c r="Y806" s="75"/>
      <c r="Z806" s="59"/>
      <c r="AA806" s="61"/>
      <c r="AB806" s="61"/>
      <c r="AC806" s="61"/>
      <c r="AD806" s="62"/>
      <c r="AE806" s="62"/>
      <c r="AF806" s="34"/>
      <c r="AG806" s="34"/>
      <c r="AH806" s="34"/>
      <c r="AI806" s="34"/>
      <c r="AJ806" s="34"/>
      <c r="AK806" s="34"/>
      <c r="AL806" s="34"/>
      <c r="AM806" s="34"/>
      <c r="AN806" s="34"/>
      <c r="AO806" s="34"/>
      <c r="AP806" s="34"/>
      <c r="AQ806" s="34"/>
      <c r="AR806" s="34"/>
      <c r="AS806" s="34"/>
      <c r="AT806" s="34"/>
      <c r="AU806" s="34"/>
      <c r="AV806" s="34"/>
      <c r="AW806" s="34"/>
      <c r="AX806" s="34"/>
      <c r="AY806" s="34"/>
      <c r="AZ806" s="34"/>
      <c r="BA806" s="34"/>
      <c r="BB806" s="34"/>
      <c r="BD806" s="34"/>
      <c r="BE806" s="34"/>
      <c r="BF806" s="34"/>
      <c r="BG806" s="34"/>
      <c r="BH806" s="34"/>
      <c r="BI806" s="34"/>
      <c r="BJ806" s="34"/>
      <c r="BK806" s="34"/>
      <c r="BL806" s="34"/>
      <c r="BM806" s="34"/>
      <c r="BN806" s="34"/>
      <c r="BO806" s="34"/>
      <c r="BP806" s="34"/>
      <c r="BQ806" s="34"/>
      <c r="BR806" s="34"/>
      <c r="BS806" s="34"/>
      <c r="BT806" s="34"/>
      <c r="BU806" s="34"/>
      <c r="BV806" s="34"/>
      <c r="BW806" s="34"/>
      <c r="BX806" s="34"/>
      <c r="BY806" s="34"/>
    </row>
    <row r="807" spans="1:77" x14ac:dyDescent="0.3">
      <c r="A807" s="39"/>
      <c r="B807" s="42"/>
      <c r="C807" s="42"/>
      <c r="D807" s="75"/>
      <c r="E807" s="75"/>
      <c r="F807" s="76"/>
      <c r="G807" s="47"/>
      <c r="H807" s="47"/>
      <c r="I807" s="75"/>
      <c r="J807" s="76"/>
      <c r="K807" s="76"/>
      <c r="L807" s="75"/>
      <c r="M807" s="49"/>
      <c r="N807" s="76"/>
      <c r="O807" s="49"/>
      <c r="P807" s="77"/>
      <c r="Q807" s="53"/>
      <c r="R807" s="54"/>
      <c r="S807" s="55"/>
      <c r="T807" s="56"/>
      <c r="U807" s="56"/>
      <c r="V807" s="42"/>
      <c r="W807" s="57"/>
      <c r="X807" s="58"/>
      <c r="Y807" s="75"/>
      <c r="Z807" s="59"/>
      <c r="AA807" s="61"/>
      <c r="AB807" s="61"/>
      <c r="AC807" s="61"/>
      <c r="AD807" s="62"/>
      <c r="AE807" s="62"/>
      <c r="AF807" s="34"/>
      <c r="AG807" s="34"/>
      <c r="AH807" s="34"/>
      <c r="AI807" s="34"/>
      <c r="AJ807" s="34"/>
      <c r="AK807" s="34"/>
      <c r="AL807" s="34"/>
      <c r="AM807" s="34"/>
      <c r="AN807" s="34"/>
      <c r="AO807" s="34"/>
      <c r="AP807" s="34"/>
      <c r="AQ807" s="34"/>
      <c r="AR807" s="34"/>
      <c r="AS807" s="34"/>
      <c r="AT807" s="34"/>
      <c r="AU807" s="34"/>
      <c r="AV807" s="34"/>
      <c r="AW807" s="34"/>
      <c r="AX807" s="34"/>
      <c r="AY807" s="34"/>
      <c r="AZ807" s="34"/>
      <c r="BA807" s="34"/>
      <c r="BB807" s="34"/>
      <c r="BD807" s="34"/>
      <c r="BE807" s="34"/>
      <c r="BF807" s="34"/>
      <c r="BG807" s="34"/>
      <c r="BH807" s="34"/>
      <c r="BI807" s="34"/>
      <c r="BJ807" s="34"/>
      <c r="BK807" s="34"/>
      <c r="BL807" s="34"/>
      <c r="BM807" s="34"/>
      <c r="BN807" s="34"/>
      <c r="BO807" s="34"/>
      <c r="BP807" s="34"/>
      <c r="BQ807" s="34"/>
      <c r="BR807" s="34"/>
      <c r="BS807" s="34"/>
      <c r="BT807" s="34"/>
      <c r="BU807" s="34"/>
      <c r="BV807" s="34"/>
      <c r="BW807" s="34"/>
      <c r="BX807" s="34"/>
      <c r="BY807" s="34"/>
    </row>
    <row r="808" spans="1:77" x14ac:dyDescent="0.3">
      <c r="A808" s="39"/>
      <c r="B808" s="42"/>
      <c r="C808" s="42"/>
      <c r="D808" s="75"/>
      <c r="E808" s="75"/>
      <c r="F808" s="76"/>
      <c r="G808" s="47"/>
      <c r="H808" s="47"/>
      <c r="I808" s="75"/>
      <c r="J808" s="76"/>
      <c r="K808" s="76"/>
      <c r="L808" s="75"/>
      <c r="M808" s="49"/>
      <c r="N808" s="76"/>
      <c r="O808" s="49"/>
      <c r="P808" s="77"/>
      <c r="Q808" s="53"/>
      <c r="R808" s="54"/>
      <c r="S808" s="55"/>
      <c r="T808" s="56"/>
      <c r="U808" s="56"/>
      <c r="V808" s="42"/>
      <c r="W808" s="57"/>
      <c r="X808" s="58"/>
      <c r="Y808" s="75"/>
      <c r="Z808" s="59"/>
      <c r="AA808" s="61"/>
      <c r="AB808" s="61"/>
      <c r="AC808" s="61"/>
      <c r="AD808" s="62"/>
      <c r="AE808" s="62"/>
      <c r="AF808" s="34"/>
      <c r="AG808" s="34"/>
      <c r="AH808" s="34"/>
      <c r="AI808" s="34"/>
      <c r="AJ808" s="34"/>
      <c r="AK808" s="34"/>
      <c r="AL808" s="34"/>
      <c r="AM808" s="34"/>
      <c r="AN808" s="34"/>
      <c r="AO808" s="34"/>
      <c r="AP808" s="34"/>
      <c r="AQ808" s="34"/>
      <c r="AR808" s="34"/>
      <c r="AS808" s="34"/>
      <c r="AT808" s="34"/>
      <c r="AU808" s="34"/>
      <c r="AV808" s="34"/>
      <c r="AW808" s="34"/>
      <c r="AX808" s="34"/>
      <c r="AY808" s="34"/>
      <c r="AZ808" s="34"/>
      <c r="BA808" s="34"/>
      <c r="BB808" s="34"/>
      <c r="BD808" s="34"/>
      <c r="BE808" s="34"/>
      <c r="BF808" s="34"/>
      <c r="BG808" s="34"/>
      <c r="BH808" s="34"/>
      <c r="BI808" s="34"/>
      <c r="BJ808" s="34"/>
      <c r="BK808" s="34"/>
      <c r="BL808" s="34"/>
      <c r="BM808" s="34"/>
      <c r="BN808" s="34"/>
      <c r="BO808" s="34"/>
      <c r="BP808" s="34"/>
      <c r="BQ808" s="34"/>
      <c r="BR808" s="34"/>
      <c r="BS808" s="34"/>
      <c r="BT808" s="34"/>
      <c r="BU808" s="34"/>
      <c r="BV808" s="34"/>
      <c r="BW808" s="34"/>
      <c r="BX808" s="34"/>
      <c r="BY808" s="34"/>
    </row>
    <row r="809" spans="1:77" x14ac:dyDescent="0.3">
      <c r="A809" s="39"/>
      <c r="B809" s="42"/>
      <c r="C809" s="42"/>
      <c r="D809" s="75"/>
      <c r="E809" s="75"/>
      <c r="F809" s="76"/>
      <c r="G809" s="47"/>
      <c r="H809" s="47"/>
      <c r="I809" s="75"/>
      <c r="J809" s="76"/>
      <c r="K809" s="76"/>
      <c r="L809" s="75"/>
      <c r="M809" s="49"/>
      <c r="N809" s="76"/>
      <c r="O809" s="49"/>
      <c r="P809" s="77"/>
      <c r="Q809" s="53"/>
      <c r="R809" s="54"/>
      <c r="S809" s="55"/>
      <c r="T809" s="56"/>
      <c r="U809" s="56"/>
      <c r="V809" s="42"/>
      <c r="W809" s="57"/>
      <c r="X809" s="58"/>
      <c r="Y809" s="75"/>
      <c r="Z809" s="59"/>
      <c r="AA809" s="61"/>
      <c r="AB809" s="61"/>
      <c r="AC809" s="61"/>
      <c r="AD809" s="62"/>
      <c r="AE809" s="62"/>
      <c r="AF809" s="34"/>
      <c r="AG809" s="34"/>
      <c r="AH809" s="34"/>
      <c r="AI809" s="34"/>
      <c r="AJ809" s="34"/>
      <c r="AK809" s="34"/>
      <c r="AL809" s="34"/>
      <c r="AM809" s="34"/>
      <c r="AN809" s="34"/>
      <c r="AO809" s="34"/>
      <c r="AP809" s="34"/>
      <c r="AQ809" s="34"/>
      <c r="AR809" s="34"/>
      <c r="AS809" s="34"/>
      <c r="AT809" s="34"/>
      <c r="AU809" s="34"/>
      <c r="AV809" s="34"/>
      <c r="AW809" s="34"/>
      <c r="AX809" s="34"/>
      <c r="AY809" s="34"/>
      <c r="AZ809" s="34"/>
      <c r="BA809" s="34"/>
      <c r="BB809" s="34"/>
      <c r="BD809" s="34"/>
      <c r="BE809" s="34"/>
      <c r="BF809" s="34"/>
      <c r="BG809" s="34"/>
      <c r="BH809" s="34"/>
      <c r="BI809" s="34"/>
      <c r="BJ809" s="34"/>
      <c r="BK809" s="34"/>
      <c r="BL809" s="34"/>
      <c r="BM809" s="34"/>
      <c r="BN809" s="34"/>
      <c r="BO809" s="34"/>
      <c r="BP809" s="34"/>
      <c r="BQ809" s="34"/>
      <c r="BR809" s="34"/>
      <c r="BS809" s="34"/>
      <c r="BT809" s="34"/>
      <c r="BU809" s="34"/>
      <c r="BV809" s="34"/>
      <c r="BW809" s="34"/>
      <c r="BX809" s="34"/>
      <c r="BY809" s="34"/>
    </row>
    <row r="810" spans="1:77" x14ac:dyDescent="0.3">
      <c r="A810" s="39"/>
      <c r="B810" s="42"/>
      <c r="C810" s="42"/>
      <c r="D810" s="75"/>
      <c r="E810" s="75"/>
      <c r="F810" s="76"/>
      <c r="G810" s="47"/>
      <c r="H810" s="47"/>
      <c r="I810" s="75"/>
      <c r="J810" s="76"/>
      <c r="K810" s="76"/>
      <c r="L810" s="75"/>
      <c r="M810" s="49"/>
      <c r="N810" s="76"/>
      <c r="O810" s="49"/>
      <c r="P810" s="77"/>
      <c r="Q810" s="53"/>
      <c r="R810" s="54"/>
      <c r="S810" s="55"/>
      <c r="T810" s="56"/>
      <c r="U810" s="56"/>
      <c r="V810" s="42"/>
      <c r="W810" s="57"/>
      <c r="X810" s="58"/>
      <c r="Y810" s="75"/>
      <c r="Z810" s="59"/>
      <c r="AA810" s="61"/>
      <c r="AB810" s="61"/>
      <c r="AC810" s="61"/>
      <c r="AD810" s="62"/>
      <c r="AE810" s="62"/>
      <c r="AF810" s="34"/>
      <c r="AG810" s="34"/>
      <c r="AH810" s="34"/>
      <c r="AI810" s="34"/>
      <c r="AJ810" s="34"/>
      <c r="AK810" s="34"/>
      <c r="AL810" s="34"/>
      <c r="AM810" s="34"/>
      <c r="AN810" s="34"/>
      <c r="AO810" s="34"/>
      <c r="AP810" s="34"/>
      <c r="AQ810" s="34"/>
      <c r="AR810" s="34"/>
      <c r="AS810" s="34"/>
      <c r="AT810" s="34"/>
      <c r="AU810" s="34"/>
      <c r="AV810" s="34"/>
      <c r="AW810" s="34"/>
      <c r="AX810" s="34"/>
      <c r="AY810" s="34"/>
      <c r="AZ810" s="34"/>
      <c r="BA810" s="34"/>
      <c r="BB810" s="34"/>
      <c r="BD810" s="34"/>
      <c r="BE810" s="34"/>
      <c r="BF810" s="34"/>
      <c r="BG810" s="34"/>
      <c r="BH810" s="34"/>
      <c r="BI810" s="34"/>
      <c r="BJ810" s="34"/>
      <c r="BK810" s="34"/>
      <c r="BL810" s="34"/>
      <c r="BM810" s="34"/>
      <c r="BN810" s="34"/>
      <c r="BO810" s="34"/>
      <c r="BP810" s="34"/>
      <c r="BQ810" s="34"/>
      <c r="BR810" s="34"/>
      <c r="BS810" s="34"/>
      <c r="BT810" s="34"/>
      <c r="BU810" s="34"/>
      <c r="BV810" s="34"/>
      <c r="BW810" s="34"/>
      <c r="BX810" s="34"/>
      <c r="BY810" s="34"/>
    </row>
    <row r="811" spans="1:77" x14ac:dyDescent="0.3">
      <c r="A811" s="39"/>
      <c r="B811" s="42"/>
      <c r="C811" s="42"/>
      <c r="D811" s="75"/>
      <c r="E811" s="75"/>
      <c r="F811" s="76"/>
      <c r="G811" s="47"/>
      <c r="H811" s="47"/>
      <c r="I811" s="75"/>
      <c r="J811" s="76"/>
      <c r="K811" s="76"/>
      <c r="L811" s="75"/>
      <c r="M811" s="49"/>
      <c r="N811" s="76"/>
      <c r="O811" s="49"/>
      <c r="P811" s="77"/>
      <c r="Q811" s="53"/>
      <c r="R811" s="54"/>
      <c r="S811" s="55"/>
      <c r="T811" s="56"/>
      <c r="U811" s="56"/>
      <c r="V811" s="42"/>
      <c r="W811" s="57"/>
      <c r="X811" s="58"/>
      <c r="Y811" s="75"/>
      <c r="Z811" s="59"/>
      <c r="AA811" s="61"/>
      <c r="AB811" s="61"/>
      <c r="AC811" s="61"/>
      <c r="AD811" s="62"/>
      <c r="AE811" s="62"/>
      <c r="AF811" s="34"/>
      <c r="AG811" s="34"/>
      <c r="AH811" s="34"/>
      <c r="AI811" s="34"/>
      <c r="AJ811" s="34"/>
      <c r="AK811" s="34"/>
      <c r="AL811" s="34"/>
      <c r="AM811" s="34"/>
      <c r="AN811" s="34"/>
      <c r="AO811" s="34"/>
      <c r="AP811" s="34"/>
      <c r="AQ811" s="34"/>
      <c r="AR811" s="34"/>
      <c r="AS811" s="34"/>
      <c r="AT811" s="34"/>
      <c r="AU811" s="34"/>
      <c r="AV811" s="34"/>
      <c r="AW811" s="34"/>
      <c r="AX811" s="34"/>
      <c r="AY811" s="34"/>
      <c r="AZ811" s="34"/>
      <c r="BA811" s="34"/>
      <c r="BB811" s="34"/>
      <c r="BD811" s="34"/>
      <c r="BE811" s="34"/>
      <c r="BF811" s="34"/>
      <c r="BG811" s="34"/>
      <c r="BH811" s="34"/>
      <c r="BI811" s="34"/>
      <c r="BJ811" s="34"/>
      <c r="BK811" s="34"/>
      <c r="BL811" s="34"/>
      <c r="BM811" s="34"/>
      <c r="BN811" s="34"/>
      <c r="BO811" s="34"/>
      <c r="BP811" s="34"/>
      <c r="BQ811" s="34"/>
      <c r="BR811" s="34"/>
      <c r="BS811" s="34"/>
      <c r="BT811" s="34"/>
      <c r="BU811" s="34"/>
      <c r="BV811" s="34"/>
      <c r="BW811" s="34"/>
      <c r="BX811" s="34"/>
      <c r="BY811" s="34"/>
    </row>
    <row r="812" spans="1:77" x14ac:dyDescent="0.3">
      <c r="A812" s="39"/>
      <c r="B812" s="42"/>
      <c r="C812" s="42"/>
      <c r="D812" s="75"/>
      <c r="E812" s="75"/>
      <c r="F812" s="76"/>
      <c r="G812" s="47"/>
      <c r="H812" s="47"/>
      <c r="I812" s="75"/>
      <c r="J812" s="76"/>
      <c r="K812" s="76"/>
      <c r="L812" s="75"/>
      <c r="M812" s="49"/>
      <c r="N812" s="76"/>
      <c r="O812" s="49"/>
      <c r="P812" s="77"/>
      <c r="Q812" s="53"/>
      <c r="R812" s="54"/>
      <c r="S812" s="55"/>
      <c r="T812" s="56"/>
      <c r="U812" s="56"/>
      <c r="V812" s="42"/>
      <c r="W812" s="57"/>
      <c r="X812" s="58"/>
      <c r="Y812" s="75"/>
      <c r="Z812" s="59"/>
      <c r="AA812" s="61"/>
      <c r="AB812" s="61"/>
      <c r="AC812" s="61"/>
      <c r="AD812" s="62"/>
      <c r="AE812" s="62"/>
      <c r="AF812" s="34"/>
      <c r="AG812" s="34"/>
      <c r="AH812" s="34"/>
      <c r="AI812" s="34"/>
      <c r="AJ812" s="34"/>
      <c r="AK812" s="34"/>
      <c r="AL812" s="34"/>
      <c r="AM812" s="34"/>
      <c r="AN812" s="34"/>
      <c r="AO812" s="34"/>
      <c r="AP812" s="34"/>
      <c r="AQ812" s="34"/>
      <c r="AR812" s="34"/>
      <c r="AS812" s="34"/>
      <c r="AT812" s="34"/>
      <c r="AU812" s="34"/>
      <c r="AV812" s="34"/>
      <c r="AW812" s="34"/>
      <c r="AX812" s="34"/>
      <c r="AY812" s="34"/>
      <c r="AZ812" s="34"/>
      <c r="BA812" s="34"/>
      <c r="BB812" s="34"/>
      <c r="BD812" s="34"/>
      <c r="BE812" s="34"/>
      <c r="BF812" s="34"/>
      <c r="BG812" s="34"/>
      <c r="BH812" s="34"/>
      <c r="BI812" s="34"/>
      <c r="BJ812" s="34"/>
      <c r="BK812" s="34"/>
      <c r="BL812" s="34"/>
      <c r="BM812" s="34"/>
      <c r="BN812" s="34"/>
      <c r="BO812" s="34"/>
      <c r="BP812" s="34"/>
      <c r="BQ812" s="34"/>
      <c r="BR812" s="34"/>
      <c r="BS812" s="34"/>
      <c r="BT812" s="34"/>
      <c r="BU812" s="34"/>
      <c r="BV812" s="34"/>
      <c r="BW812" s="34"/>
      <c r="BX812" s="34"/>
      <c r="BY812" s="34"/>
    </row>
    <row r="813" spans="1:77" x14ac:dyDescent="0.3">
      <c r="A813" s="39"/>
      <c r="B813" s="42"/>
      <c r="C813" s="42"/>
      <c r="D813" s="75"/>
      <c r="E813" s="75"/>
      <c r="F813" s="76"/>
      <c r="G813" s="47"/>
      <c r="H813" s="47"/>
      <c r="I813" s="75"/>
      <c r="J813" s="76"/>
      <c r="K813" s="76"/>
      <c r="L813" s="75"/>
      <c r="M813" s="49"/>
      <c r="N813" s="76"/>
      <c r="O813" s="49"/>
      <c r="P813" s="77"/>
      <c r="Q813" s="53"/>
      <c r="R813" s="54"/>
      <c r="S813" s="55"/>
      <c r="T813" s="56"/>
      <c r="U813" s="56"/>
      <c r="V813" s="42"/>
      <c r="W813" s="57"/>
      <c r="X813" s="58"/>
      <c r="Y813" s="75"/>
      <c r="Z813" s="59"/>
      <c r="AA813" s="61"/>
      <c r="AB813" s="61"/>
      <c r="AC813" s="61"/>
      <c r="AD813" s="62"/>
      <c r="AE813" s="62"/>
      <c r="AF813" s="34"/>
      <c r="AG813" s="34"/>
      <c r="AH813" s="34"/>
      <c r="AI813" s="34"/>
      <c r="AJ813" s="34"/>
      <c r="AK813" s="34"/>
      <c r="AL813" s="34"/>
      <c r="AM813" s="34"/>
      <c r="AN813" s="34"/>
      <c r="AO813" s="34"/>
      <c r="AP813" s="34"/>
      <c r="AQ813" s="34"/>
      <c r="AR813" s="34"/>
      <c r="AS813" s="34"/>
      <c r="AT813" s="34"/>
      <c r="AU813" s="34"/>
      <c r="AV813" s="34"/>
      <c r="AW813" s="34"/>
      <c r="AX813" s="34"/>
      <c r="AY813" s="34"/>
      <c r="AZ813" s="34"/>
      <c r="BA813" s="34"/>
      <c r="BB813" s="34"/>
      <c r="BD813" s="34"/>
      <c r="BE813" s="34"/>
      <c r="BF813" s="34"/>
      <c r="BG813" s="34"/>
      <c r="BH813" s="34"/>
      <c r="BI813" s="34"/>
      <c r="BJ813" s="34"/>
      <c r="BK813" s="34"/>
      <c r="BL813" s="34"/>
      <c r="BM813" s="34"/>
      <c r="BN813" s="34"/>
      <c r="BO813" s="34"/>
      <c r="BP813" s="34"/>
      <c r="BQ813" s="34"/>
      <c r="BR813" s="34"/>
      <c r="BS813" s="34"/>
      <c r="BT813" s="34"/>
      <c r="BU813" s="34"/>
      <c r="BV813" s="34"/>
      <c r="BW813" s="34"/>
      <c r="BX813" s="34"/>
      <c r="BY813" s="34"/>
    </row>
    <row r="814" spans="1:77" x14ac:dyDescent="0.3">
      <c r="A814" s="39"/>
      <c r="B814" s="42"/>
      <c r="C814" s="42"/>
      <c r="D814" s="75"/>
      <c r="E814" s="75"/>
      <c r="F814" s="76"/>
      <c r="G814" s="47"/>
      <c r="H814" s="47"/>
      <c r="I814" s="75"/>
      <c r="J814" s="76"/>
      <c r="K814" s="76"/>
      <c r="L814" s="75"/>
      <c r="M814" s="49"/>
      <c r="N814" s="76"/>
      <c r="O814" s="49"/>
      <c r="P814" s="77"/>
      <c r="Q814" s="53"/>
      <c r="R814" s="54"/>
      <c r="S814" s="55"/>
      <c r="T814" s="56"/>
      <c r="U814" s="56"/>
      <c r="V814" s="42"/>
      <c r="W814" s="57"/>
      <c r="X814" s="58"/>
      <c r="Y814" s="75"/>
      <c r="Z814" s="59"/>
      <c r="AA814" s="61"/>
      <c r="AB814" s="61"/>
      <c r="AC814" s="61"/>
      <c r="AD814" s="62"/>
      <c r="AE814" s="62"/>
      <c r="AF814" s="34"/>
      <c r="AG814" s="34"/>
      <c r="AH814" s="34"/>
      <c r="AI814" s="34"/>
      <c r="AJ814" s="34"/>
      <c r="AK814" s="34"/>
      <c r="AL814" s="34"/>
      <c r="AM814" s="34"/>
      <c r="AN814" s="34"/>
      <c r="AO814" s="34"/>
      <c r="AP814" s="34"/>
      <c r="AQ814" s="34"/>
      <c r="AR814" s="34"/>
      <c r="AS814" s="34"/>
      <c r="AT814" s="34"/>
      <c r="AU814" s="34"/>
      <c r="AV814" s="34"/>
      <c r="AW814" s="34"/>
      <c r="AX814" s="34"/>
      <c r="AY814" s="34"/>
      <c r="AZ814" s="34"/>
      <c r="BA814" s="34"/>
      <c r="BB814" s="34"/>
      <c r="BD814" s="34"/>
      <c r="BE814" s="34"/>
      <c r="BF814" s="34"/>
      <c r="BG814" s="34"/>
      <c r="BH814" s="34"/>
      <c r="BI814" s="34"/>
      <c r="BJ814" s="34"/>
      <c r="BK814" s="34"/>
      <c r="BL814" s="34"/>
      <c r="BM814" s="34"/>
      <c r="BN814" s="34"/>
      <c r="BO814" s="34"/>
      <c r="BP814" s="34"/>
      <c r="BQ814" s="34"/>
      <c r="BR814" s="34"/>
      <c r="BS814" s="34"/>
      <c r="BT814" s="34"/>
      <c r="BU814" s="34"/>
      <c r="BV814" s="34"/>
      <c r="BW814" s="34"/>
      <c r="BX814" s="34"/>
      <c r="BY814" s="34"/>
    </row>
    <row r="815" spans="1:77" x14ac:dyDescent="0.3">
      <c r="A815" s="39"/>
      <c r="B815" s="42"/>
      <c r="C815" s="42"/>
      <c r="D815" s="75"/>
      <c r="E815" s="75"/>
      <c r="F815" s="76"/>
      <c r="G815" s="47"/>
      <c r="H815" s="47"/>
      <c r="I815" s="75"/>
      <c r="J815" s="76"/>
      <c r="K815" s="76"/>
      <c r="L815" s="75"/>
      <c r="M815" s="49"/>
      <c r="N815" s="76"/>
      <c r="O815" s="49"/>
      <c r="P815" s="77"/>
      <c r="Q815" s="53"/>
      <c r="R815" s="54"/>
      <c r="S815" s="55"/>
      <c r="T815" s="56"/>
      <c r="U815" s="56"/>
      <c r="V815" s="42"/>
      <c r="W815" s="57"/>
      <c r="X815" s="58"/>
      <c r="Y815" s="75"/>
      <c r="Z815" s="59"/>
      <c r="AA815" s="61"/>
      <c r="AB815" s="61"/>
      <c r="AC815" s="61"/>
      <c r="AD815" s="62"/>
      <c r="AE815" s="62"/>
      <c r="AF815" s="34"/>
      <c r="AG815" s="34"/>
      <c r="AH815" s="34"/>
      <c r="AI815" s="34"/>
      <c r="AJ815" s="34"/>
      <c r="AK815" s="34"/>
      <c r="AL815" s="34"/>
      <c r="AM815" s="34"/>
      <c r="AN815" s="34"/>
      <c r="AO815" s="34"/>
      <c r="AP815" s="34"/>
      <c r="AQ815" s="34"/>
      <c r="AR815" s="34"/>
      <c r="AS815" s="34"/>
      <c r="AT815" s="34"/>
      <c r="AU815" s="34"/>
      <c r="AV815" s="34"/>
      <c r="AW815" s="34"/>
      <c r="AX815" s="34"/>
      <c r="AY815" s="34"/>
      <c r="AZ815" s="34"/>
      <c r="BA815" s="34"/>
      <c r="BB815" s="34"/>
      <c r="BD815" s="34"/>
      <c r="BE815" s="34"/>
      <c r="BF815" s="34"/>
      <c r="BG815" s="34"/>
      <c r="BH815" s="34"/>
      <c r="BI815" s="34"/>
      <c r="BJ815" s="34"/>
      <c r="BK815" s="34"/>
      <c r="BL815" s="34"/>
      <c r="BM815" s="34"/>
      <c r="BN815" s="34"/>
      <c r="BO815" s="34"/>
      <c r="BP815" s="34"/>
      <c r="BQ815" s="34"/>
      <c r="BR815" s="34"/>
      <c r="BS815" s="34"/>
      <c r="BT815" s="34"/>
      <c r="BU815" s="34"/>
      <c r="BV815" s="34"/>
      <c r="BW815" s="34"/>
      <c r="BX815" s="34"/>
      <c r="BY815" s="34"/>
    </row>
    <row r="816" spans="1:77" x14ac:dyDescent="0.3">
      <c r="A816" s="39"/>
      <c r="B816" s="42"/>
      <c r="C816" s="42"/>
      <c r="D816" s="75"/>
      <c r="E816" s="75"/>
      <c r="F816" s="76"/>
      <c r="G816" s="47"/>
      <c r="H816" s="47"/>
      <c r="I816" s="75"/>
      <c r="J816" s="76"/>
      <c r="K816" s="76"/>
      <c r="L816" s="75"/>
      <c r="M816" s="49"/>
      <c r="N816" s="76"/>
      <c r="O816" s="49"/>
      <c r="P816" s="77"/>
      <c r="Q816" s="53"/>
      <c r="R816" s="54"/>
      <c r="S816" s="55"/>
      <c r="T816" s="56"/>
      <c r="U816" s="56"/>
      <c r="V816" s="42"/>
      <c r="W816" s="57"/>
      <c r="X816" s="58"/>
      <c r="Y816" s="75"/>
      <c r="Z816" s="59"/>
      <c r="AA816" s="61"/>
      <c r="AB816" s="61"/>
      <c r="AC816" s="61"/>
      <c r="AD816" s="62"/>
      <c r="AE816" s="62"/>
      <c r="AF816" s="34"/>
      <c r="AG816" s="34"/>
      <c r="AH816" s="34"/>
      <c r="AI816" s="34"/>
      <c r="AJ816" s="34"/>
      <c r="AK816" s="34"/>
      <c r="AL816" s="34"/>
      <c r="AM816" s="34"/>
      <c r="AN816" s="34"/>
      <c r="AO816" s="34"/>
      <c r="AP816" s="34"/>
      <c r="AQ816" s="34"/>
      <c r="AR816" s="34"/>
      <c r="AS816" s="34"/>
      <c r="AT816" s="34"/>
      <c r="AU816" s="34"/>
      <c r="AV816" s="34"/>
      <c r="AW816" s="34"/>
      <c r="AX816" s="34"/>
      <c r="AY816" s="34"/>
      <c r="AZ816" s="34"/>
      <c r="BA816" s="34"/>
      <c r="BB816" s="34"/>
      <c r="BD816" s="34"/>
      <c r="BE816" s="34"/>
      <c r="BF816" s="34"/>
      <c r="BG816" s="34"/>
      <c r="BH816" s="34"/>
      <c r="BI816" s="34"/>
      <c r="BJ816" s="34"/>
      <c r="BK816" s="34"/>
      <c r="BL816" s="34"/>
      <c r="BM816" s="34"/>
      <c r="BN816" s="34"/>
      <c r="BO816" s="34"/>
      <c r="BP816" s="34"/>
      <c r="BQ816" s="34"/>
      <c r="BR816" s="34"/>
      <c r="BS816" s="34"/>
      <c r="BT816" s="34"/>
      <c r="BU816" s="34"/>
      <c r="BV816" s="34"/>
      <c r="BW816" s="34"/>
      <c r="BX816" s="34"/>
      <c r="BY816" s="34"/>
    </row>
    <row r="817" spans="1:77" x14ac:dyDescent="0.3">
      <c r="A817" s="39"/>
      <c r="B817" s="42"/>
      <c r="C817" s="42"/>
      <c r="D817" s="75"/>
      <c r="E817" s="75"/>
      <c r="F817" s="76"/>
      <c r="G817" s="47"/>
      <c r="H817" s="47"/>
      <c r="I817" s="75"/>
      <c r="J817" s="76"/>
      <c r="K817" s="76"/>
      <c r="L817" s="75"/>
      <c r="M817" s="49"/>
      <c r="N817" s="76"/>
      <c r="O817" s="49"/>
      <c r="P817" s="77"/>
      <c r="Q817" s="53"/>
      <c r="R817" s="54"/>
      <c r="S817" s="55"/>
      <c r="T817" s="56"/>
      <c r="U817" s="56"/>
      <c r="V817" s="42"/>
      <c r="W817" s="57"/>
      <c r="X817" s="58"/>
      <c r="Y817" s="75"/>
      <c r="Z817" s="59"/>
      <c r="AA817" s="61"/>
      <c r="AB817" s="61"/>
      <c r="AC817" s="61"/>
      <c r="AD817" s="62"/>
      <c r="AE817" s="62"/>
      <c r="AF817" s="34"/>
      <c r="AG817" s="34"/>
      <c r="AH817" s="34"/>
      <c r="AI817" s="34"/>
      <c r="AJ817" s="34"/>
      <c r="AK817" s="34"/>
      <c r="AL817" s="34"/>
      <c r="AM817" s="34"/>
      <c r="AN817" s="34"/>
      <c r="AO817" s="34"/>
      <c r="AP817" s="34"/>
      <c r="AQ817" s="34"/>
      <c r="AR817" s="34"/>
      <c r="AS817" s="34"/>
      <c r="AT817" s="34"/>
      <c r="AU817" s="34"/>
      <c r="AV817" s="34"/>
      <c r="AW817" s="34"/>
      <c r="AX817" s="34"/>
      <c r="AY817" s="34"/>
      <c r="AZ817" s="34"/>
      <c r="BA817" s="34"/>
      <c r="BB817" s="34"/>
      <c r="BD817" s="34"/>
      <c r="BE817" s="34"/>
      <c r="BF817" s="34"/>
      <c r="BG817" s="34"/>
      <c r="BH817" s="34"/>
      <c r="BI817" s="34"/>
      <c r="BJ817" s="34"/>
      <c r="BK817" s="34"/>
      <c r="BL817" s="34"/>
      <c r="BM817" s="34"/>
      <c r="BN817" s="34"/>
      <c r="BO817" s="34"/>
      <c r="BP817" s="34"/>
      <c r="BQ817" s="34"/>
      <c r="BR817" s="34"/>
      <c r="BS817" s="34"/>
      <c r="BT817" s="34"/>
      <c r="BU817" s="34"/>
      <c r="BV817" s="34"/>
      <c r="BW817" s="34"/>
      <c r="BX817" s="34"/>
      <c r="BY817" s="34"/>
    </row>
    <row r="818" spans="1:77" x14ac:dyDescent="0.3">
      <c r="A818" s="39"/>
      <c r="B818" s="42"/>
      <c r="C818" s="42"/>
      <c r="D818" s="75"/>
      <c r="E818" s="75"/>
      <c r="F818" s="76"/>
      <c r="G818" s="47"/>
      <c r="H818" s="47"/>
      <c r="I818" s="75"/>
      <c r="J818" s="76"/>
      <c r="K818" s="76"/>
      <c r="L818" s="75"/>
      <c r="M818" s="49"/>
      <c r="N818" s="76"/>
      <c r="O818" s="49"/>
      <c r="P818" s="77"/>
      <c r="Q818" s="53"/>
      <c r="R818" s="54"/>
      <c r="S818" s="55"/>
      <c r="T818" s="56"/>
      <c r="U818" s="56"/>
      <c r="V818" s="42"/>
      <c r="W818" s="57"/>
      <c r="X818" s="58"/>
      <c r="Y818" s="75"/>
      <c r="Z818" s="59"/>
      <c r="AA818" s="61"/>
      <c r="AB818" s="61"/>
      <c r="AC818" s="61"/>
      <c r="AD818" s="62"/>
      <c r="AE818" s="62"/>
      <c r="AF818" s="34"/>
      <c r="AG818" s="34"/>
      <c r="AH818" s="34"/>
      <c r="AI818" s="34"/>
      <c r="AJ818" s="34"/>
      <c r="AK818" s="34"/>
      <c r="AL818" s="34"/>
      <c r="AM818" s="34"/>
      <c r="AN818" s="34"/>
      <c r="AO818" s="34"/>
      <c r="AP818" s="34"/>
      <c r="AQ818" s="34"/>
      <c r="AR818" s="34"/>
      <c r="AS818" s="34"/>
      <c r="AT818" s="34"/>
      <c r="AU818" s="34"/>
      <c r="AV818" s="34"/>
      <c r="AW818" s="34"/>
      <c r="AX818" s="34"/>
      <c r="AY818" s="34"/>
      <c r="AZ818" s="34"/>
      <c r="BA818" s="34"/>
      <c r="BB818" s="34"/>
      <c r="BD818" s="34"/>
      <c r="BE818" s="34"/>
      <c r="BF818" s="34"/>
      <c r="BG818" s="34"/>
      <c r="BH818" s="34"/>
      <c r="BI818" s="34"/>
      <c r="BJ818" s="34"/>
      <c r="BK818" s="34"/>
      <c r="BL818" s="34"/>
      <c r="BM818" s="34"/>
      <c r="BN818" s="34"/>
      <c r="BO818" s="34"/>
      <c r="BP818" s="34"/>
      <c r="BQ818" s="34"/>
      <c r="BR818" s="34"/>
      <c r="BS818" s="34"/>
      <c r="BT818" s="34"/>
      <c r="BU818" s="34"/>
      <c r="BV818" s="34"/>
      <c r="BW818" s="34"/>
      <c r="BX818" s="34"/>
      <c r="BY818" s="34"/>
    </row>
    <row r="819" spans="1:77" x14ac:dyDescent="0.3">
      <c r="A819" s="39"/>
      <c r="B819" s="42"/>
      <c r="C819" s="42"/>
      <c r="D819" s="75"/>
      <c r="E819" s="75"/>
      <c r="F819" s="76"/>
      <c r="G819" s="47"/>
      <c r="H819" s="47"/>
      <c r="I819" s="75"/>
      <c r="J819" s="76"/>
      <c r="K819" s="76"/>
      <c r="L819" s="75"/>
      <c r="M819" s="49"/>
      <c r="N819" s="76"/>
      <c r="O819" s="49"/>
      <c r="P819" s="77"/>
      <c r="Q819" s="53"/>
      <c r="R819" s="54"/>
      <c r="S819" s="55"/>
      <c r="T819" s="56"/>
      <c r="U819" s="56"/>
      <c r="V819" s="42"/>
      <c r="W819" s="57"/>
      <c r="X819" s="58"/>
      <c r="Y819" s="75"/>
      <c r="Z819" s="59"/>
      <c r="AA819" s="61"/>
      <c r="AB819" s="61"/>
      <c r="AC819" s="61"/>
      <c r="AD819" s="62"/>
      <c r="AE819" s="62"/>
      <c r="AF819" s="34"/>
      <c r="AG819" s="34"/>
      <c r="AH819" s="34"/>
      <c r="AI819" s="34"/>
      <c r="AJ819" s="34"/>
      <c r="AK819" s="34"/>
      <c r="AL819" s="34"/>
      <c r="AM819" s="34"/>
      <c r="AN819" s="34"/>
      <c r="AO819" s="34"/>
      <c r="AP819" s="34"/>
      <c r="AQ819" s="34"/>
      <c r="AR819" s="34"/>
      <c r="AS819" s="34"/>
      <c r="AT819" s="34"/>
      <c r="AU819" s="34"/>
      <c r="AV819" s="34"/>
      <c r="AW819" s="34"/>
      <c r="AX819" s="34"/>
      <c r="AY819" s="34"/>
      <c r="AZ819" s="34"/>
      <c r="BA819" s="34"/>
      <c r="BB819" s="34"/>
      <c r="BD819" s="34"/>
      <c r="BE819" s="34"/>
      <c r="BF819" s="34"/>
      <c r="BG819" s="34"/>
      <c r="BH819" s="34"/>
      <c r="BI819" s="34"/>
      <c r="BJ819" s="34"/>
      <c r="BK819" s="34"/>
      <c r="BL819" s="34"/>
      <c r="BM819" s="34"/>
      <c r="BN819" s="34"/>
      <c r="BO819" s="34"/>
      <c r="BP819" s="34"/>
      <c r="BQ819" s="34"/>
      <c r="BR819" s="34"/>
      <c r="BS819" s="34"/>
      <c r="BT819" s="34"/>
      <c r="BU819" s="34"/>
      <c r="BV819" s="34"/>
      <c r="BW819" s="34"/>
      <c r="BX819" s="34"/>
      <c r="BY819" s="34"/>
    </row>
    <row r="820" spans="1:77" x14ac:dyDescent="0.3">
      <c r="A820" s="39"/>
      <c r="B820" s="42"/>
      <c r="C820" s="42"/>
      <c r="D820" s="75"/>
      <c r="E820" s="75"/>
      <c r="F820" s="76"/>
      <c r="G820" s="47"/>
      <c r="H820" s="47"/>
      <c r="I820" s="75"/>
      <c r="J820" s="76"/>
      <c r="K820" s="76"/>
      <c r="L820" s="75"/>
      <c r="M820" s="49"/>
      <c r="N820" s="76"/>
      <c r="O820" s="49"/>
      <c r="P820" s="77"/>
      <c r="Q820" s="53"/>
      <c r="R820" s="54"/>
      <c r="S820" s="55"/>
      <c r="T820" s="56"/>
      <c r="U820" s="56"/>
      <c r="V820" s="42"/>
      <c r="W820" s="57"/>
      <c r="X820" s="58"/>
      <c r="Y820" s="75"/>
      <c r="Z820" s="59"/>
      <c r="AA820" s="61"/>
      <c r="AB820" s="61"/>
      <c r="AC820" s="61"/>
      <c r="AD820" s="62"/>
      <c r="AE820" s="62"/>
      <c r="AF820" s="34"/>
      <c r="AG820" s="34"/>
      <c r="AH820" s="34"/>
      <c r="AI820" s="34"/>
      <c r="AJ820" s="34"/>
      <c r="AK820" s="34"/>
      <c r="AL820" s="34"/>
      <c r="AM820" s="34"/>
      <c r="AN820" s="34"/>
      <c r="AO820" s="34"/>
      <c r="AP820" s="34"/>
      <c r="AQ820" s="34"/>
      <c r="AR820" s="34"/>
      <c r="AS820" s="34"/>
      <c r="AT820" s="34"/>
      <c r="AU820" s="34"/>
      <c r="AV820" s="34"/>
      <c r="AW820" s="34"/>
      <c r="AX820" s="34"/>
      <c r="AY820" s="34"/>
      <c r="AZ820" s="34"/>
      <c r="BA820" s="34"/>
      <c r="BB820" s="34"/>
      <c r="BD820" s="34"/>
      <c r="BE820" s="34"/>
      <c r="BF820" s="34"/>
      <c r="BG820" s="34"/>
      <c r="BH820" s="34"/>
      <c r="BI820" s="34"/>
      <c r="BJ820" s="34"/>
      <c r="BK820" s="34"/>
      <c r="BL820" s="34"/>
      <c r="BM820" s="34"/>
      <c r="BN820" s="34"/>
      <c r="BO820" s="34"/>
      <c r="BP820" s="34"/>
      <c r="BQ820" s="34"/>
      <c r="BR820" s="34"/>
      <c r="BS820" s="34"/>
      <c r="BT820" s="34"/>
      <c r="BU820" s="34"/>
      <c r="BV820" s="34"/>
      <c r="BW820" s="34"/>
      <c r="BX820" s="34"/>
      <c r="BY820" s="34"/>
    </row>
    <row r="821" spans="1:77" x14ac:dyDescent="0.3">
      <c r="A821" s="39"/>
      <c r="B821" s="42"/>
      <c r="C821" s="42"/>
      <c r="D821" s="75"/>
      <c r="E821" s="75"/>
      <c r="F821" s="76"/>
      <c r="G821" s="47"/>
      <c r="H821" s="47"/>
      <c r="I821" s="75"/>
      <c r="J821" s="76"/>
      <c r="K821" s="76"/>
      <c r="L821" s="75"/>
      <c r="M821" s="49"/>
      <c r="N821" s="76"/>
      <c r="O821" s="49"/>
      <c r="P821" s="77"/>
      <c r="Q821" s="53"/>
      <c r="R821" s="54"/>
      <c r="S821" s="55"/>
      <c r="T821" s="56"/>
      <c r="U821" s="56"/>
      <c r="V821" s="42"/>
      <c r="W821" s="57"/>
      <c r="X821" s="58"/>
      <c r="Y821" s="75"/>
      <c r="Z821" s="59"/>
      <c r="AA821" s="61"/>
      <c r="AB821" s="61"/>
      <c r="AC821" s="61"/>
      <c r="AD821" s="62"/>
      <c r="AE821" s="62"/>
      <c r="AF821" s="34"/>
      <c r="AG821" s="34"/>
      <c r="AH821" s="34"/>
      <c r="AI821" s="34"/>
      <c r="AJ821" s="34"/>
      <c r="AK821" s="34"/>
      <c r="AL821" s="34"/>
      <c r="AM821" s="34"/>
      <c r="AN821" s="34"/>
      <c r="AO821" s="34"/>
      <c r="AP821" s="34"/>
      <c r="AQ821" s="34"/>
      <c r="AR821" s="34"/>
      <c r="AS821" s="34"/>
      <c r="AT821" s="34"/>
      <c r="AU821" s="34"/>
      <c r="AV821" s="34"/>
      <c r="AW821" s="34"/>
      <c r="AX821" s="34"/>
      <c r="AY821" s="34"/>
      <c r="AZ821" s="34"/>
      <c r="BA821" s="34"/>
      <c r="BB821" s="34"/>
      <c r="BD821" s="34"/>
      <c r="BE821" s="34"/>
      <c r="BF821" s="34"/>
      <c r="BG821" s="34"/>
      <c r="BH821" s="34"/>
      <c r="BI821" s="34"/>
      <c r="BJ821" s="34"/>
      <c r="BK821" s="34"/>
      <c r="BL821" s="34"/>
      <c r="BM821" s="34"/>
      <c r="BN821" s="34"/>
      <c r="BO821" s="34"/>
      <c r="BP821" s="34"/>
      <c r="BQ821" s="34"/>
      <c r="BR821" s="34"/>
      <c r="BS821" s="34"/>
      <c r="BT821" s="34"/>
      <c r="BU821" s="34"/>
      <c r="BV821" s="34"/>
      <c r="BW821" s="34"/>
      <c r="BX821" s="34"/>
      <c r="BY821" s="34"/>
    </row>
    <row r="822" spans="1:77" x14ac:dyDescent="0.3">
      <c r="A822" s="39"/>
      <c r="B822" s="42"/>
      <c r="C822" s="42"/>
      <c r="D822" s="75"/>
      <c r="E822" s="75"/>
      <c r="F822" s="76"/>
      <c r="G822" s="47"/>
      <c r="H822" s="47"/>
      <c r="I822" s="75"/>
      <c r="J822" s="76"/>
      <c r="K822" s="76"/>
      <c r="L822" s="75"/>
      <c r="M822" s="49"/>
      <c r="N822" s="76"/>
      <c r="O822" s="49"/>
      <c r="P822" s="77"/>
      <c r="Q822" s="53"/>
      <c r="R822" s="54"/>
      <c r="S822" s="55"/>
      <c r="T822" s="56"/>
      <c r="U822" s="56"/>
      <c r="V822" s="42"/>
      <c r="W822" s="57"/>
      <c r="X822" s="58"/>
      <c r="Y822" s="75"/>
      <c r="Z822" s="59"/>
      <c r="AA822" s="61"/>
      <c r="AB822" s="61"/>
      <c r="AC822" s="61"/>
      <c r="AD822" s="62"/>
      <c r="AE822" s="62"/>
      <c r="AF822" s="34"/>
      <c r="AG822" s="34"/>
      <c r="AH822" s="34"/>
      <c r="AI822" s="34"/>
      <c r="AJ822" s="34"/>
      <c r="AK822" s="34"/>
      <c r="AL822" s="34"/>
      <c r="AM822" s="34"/>
      <c r="AN822" s="34"/>
      <c r="AO822" s="34"/>
      <c r="AP822" s="34"/>
      <c r="AQ822" s="34"/>
      <c r="AR822" s="34"/>
      <c r="AS822" s="34"/>
      <c r="AT822" s="34"/>
      <c r="AU822" s="34"/>
      <c r="AV822" s="34"/>
      <c r="AW822" s="34"/>
      <c r="AX822" s="34"/>
      <c r="AY822" s="34"/>
      <c r="AZ822" s="34"/>
      <c r="BA822" s="34"/>
      <c r="BB822" s="34"/>
      <c r="BD822" s="34"/>
      <c r="BE822" s="34"/>
      <c r="BF822" s="34"/>
      <c r="BG822" s="34"/>
      <c r="BH822" s="34"/>
      <c r="BI822" s="34"/>
      <c r="BJ822" s="34"/>
      <c r="BK822" s="34"/>
      <c r="BL822" s="34"/>
      <c r="BM822" s="34"/>
      <c r="BN822" s="34"/>
      <c r="BO822" s="34"/>
      <c r="BP822" s="34"/>
      <c r="BQ822" s="34"/>
      <c r="BR822" s="34"/>
      <c r="BS822" s="34"/>
      <c r="BT822" s="34"/>
      <c r="BU822" s="34"/>
      <c r="BV822" s="34"/>
      <c r="BW822" s="34"/>
      <c r="BX822" s="34"/>
      <c r="BY822" s="34"/>
    </row>
    <row r="823" spans="1:77" x14ac:dyDescent="0.3">
      <c r="A823" s="39"/>
      <c r="B823" s="42"/>
      <c r="C823" s="42"/>
      <c r="D823" s="75"/>
      <c r="E823" s="75"/>
      <c r="F823" s="76"/>
      <c r="G823" s="47"/>
      <c r="H823" s="47"/>
      <c r="I823" s="75"/>
      <c r="J823" s="76"/>
      <c r="K823" s="76"/>
      <c r="L823" s="75"/>
      <c r="M823" s="49"/>
      <c r="N823" s="76"/>
      <c r="O823" s="49"/>
      <c r="P823" s="77"/>
      <c r="Q823" s="53"/>
      <c r="R823" s="54"/>
      <c r="S823" s="55"/>
      <c r="T823" s="56"/>
      <c r="U823" s="56"/>
      <c r="V823" s="42"/>
      <c r="W823" s="57"/>
      <c r="X823" s="58"/>
      <c r="Y823" s="75"/>
      <c r="Z823" s="59"/>
      <c r="AA823" s="61"/>
      <c r="AB823" s="61"/>
      <c r="AC823" s="61"/>
      <c r="AD823" s="62"/>
      <c r="AE823" s="62"/>
      <c r="AF823" s="34"/>
      <c r="AG823" s="34"/>
      <c r="AH823" s="34"/>
      <c r="AI823" s="34"/>
      <c r="AJ823" s="34"/>
      <c r="AK823" s="34"/>
      <c r="AL823" s="34"/>
      <c r="AM823" s="34"/>
      <c r="AN823" s="34"/>
      <c r="AO823" s="34"/>
      <c r="AP823" s="34"/>
      <c r="AQ823" s="34"/>
      <c r="AR823" s="34"/>
      <c r="AS823" s="34"/>
      <c r="AT823" s="34"/>
      <c r="AU823" s="34"/>
      <c r="AV823" s="34"/>
      <c r="AW823" s="34"/>
      <c r="AX823" s="34"/>
      <c r="AY823" s="34"/>
      <c r="AZ823" s="34"/>
      <c r="BA823" s="34"/>
      <c r="BB823" s="34"/>
      <c r="BD823" s="34"/>
      <c r="BE823" s="34"/>
      <c r="BF823" s="34"/>
      <c r="BG823" s="34"/>
      <c r="BH823" s="34"/>
      <c r="BI823" s="34"/>
      <c r="BJ823" s="34"/>
      <c r="BK823" s="34"/>
      <c r="BL823" s="34"/>
      <c r="BM823" s="34"/>
      <c r="BN823" s="34"/>
      <c r="BO823" s="34"/>
      <c r="BP823" s="34"/>
      <c r="BQ823" s="34"/>
      <c r="BR823" s="34"/>
      <c r="BS823" s="34"/>
      <c r="BT823" s="34"/>
      <c r="BU823" s="34"/>
      <c r="BV823" s="34"/>
      <c r="BW823" s="34"/>
      <c r="BX823" s="34"/>
      <c r="BY823" s="34"/>
    </row>
    <row r="824" spans="1:77" x14ac:dyDescent="0.3">
      <c r="A824" s="39"/>
      <c r="B824" s="42"/>
      <c r="C824" s="42"/>
      <c r="D824" s="75"/>
      <c r="E824" s="75"/>
      <c r="F824" s="76"/>
      <c r="G824" s="47"/>
      <c r="H824" s="47"/>
      <c r="I824" s="75"/>
      <c r="J824" s="76"/>
      <c r="K824" s="76"/>
      <c r="L824" s="75"/>
      <c r="M824" s="49"/>
      <c r="N824" s="76"/>
      <c r="O824" s="49"/>
      <c r="P824" s="77"/>
      <c r="Q824" s="53"/>
      <c r="R824" s="54"/>
      <c r="S824" s="55"/>
      <c r="T824" s="56"/>
      <c r="U824" s="56"/>
      <c r="V824" s="42"/>
      <c r="W824" s="57"/>
      <c r="X824" s="58"/>
      <c r="Y824" s="75"/>
      <c r="Z824" s="59"/>
      <c r="AA824" s="61"/>
      <c r="AB824" s="61"/>
      <c r="AC824" s="61"/>
      <c r="AD824" s="62"/>
      <c r="AE824" s="62"/>
      <c r="AF824" s="34"/>
      <c r="AG824" s="34"/>
      <c r="AH824" s="34"/>
      <c r="AI824" s="34"/>
      <c r="AJ824" s="34"/>
      <c r="AK824" s="34"/>
      <c r="AL824" s="34"/>
      <c r="AM824" s="34"/>
      <c r="AN824" s="34"/>
      <c r="AO824" s="34"/>
      <c r="AP824" s="34"/>
      <c r="AQ824" s="34"/>
      <c r="AR824" s="34"/>
      <c r="AS824" s="34"/>
      <c r="AT824" s="34"/>
      <c r="AU824" s="34"/>
      <c r="AV824" s="34"/>
      <c r="AW824" s="34"/>
      <c r="AX824" s="34"/>
      <c r="AY824" s="34"/>
      <c r="AZ824" s="34"/>
      <c r="BA824" s="34"/>
      <c r="BB824" s="34"/>
      <c r="BD824" s="34"/>
      <c r="BE824" s="34"/>
      <c r="BF824" s="34"/>
      <c r="BG824" s="34"/>
      <c r="BH824" s="34"/>
      <c r="BI824" s="34"/>
      <c r="BJ824" s="34"/>
      <c r="BK824" s="34"/>
      <c r="BL824" s="34"/>
      <c r="BM824" s="34"/>
      <c r="BN824" s="34"/>
      <c r="BO824" s="34"/>
      <c r="BP824" s="34"/>
      <c r="BQ824" s="34"/>
      <c r="BR824" s="34"/>
      <c r="BS824" s="34"/>
      <c r="BT824" s="34"/>
      <c r="BU824" s="34"/>
      <c r="BV824" s="34"/>
      <c r="BW824" s="34"/>
      <c r="BX824" s="34"/>
      <c r="BY824" s="34"/>
    </row>
    <row r="825" spans="1:77" x14ac:dyDescent="0.3">
      <c r="A825" s="39"/>
      <c r="B825" s="42"/>
      <c r="C825" s="42"/>
      <c r="D825" s="75"/>
      <c r="E825" s="75"/>
      <c r="F825" s="76"/>
      <c r="G825" s="47"/>
      <c r="H825" s="47"/>
      <c r="I825" s="75"/>
      <c r="J825" s="76"/>
      <c r="K825" s="76"/>
      <c r="L825" s="75"/>
      <c r="M825" s="49"/>
      <c r="N825" s="76"/>
      <c r="O825" s="49"/>
      <c r="P825" s="77"/>
      <c r="Q825" s="53"/>
      <c r="R825" s="54"/>
      <c r="S825" s="55"/>
      <c r="T825" s="56"/>
      <c r="U825" s="56"/>
      <c r="V825" s="42"/>
      <c r="W825" s="57"/>
      <c r="X825" s="58"/>
      <c r="Y825" s="75"/>
      <c r="Z825" s="59"/>
      <c r="AA825" s="61"/>
      <c r="AB825" s="61"/>
      <c r="AC825" s="61"/>
      <c r="AD825" s="62"/>
      <c r="AE825" s="62"/>
      <c r="AF825" s="34"/>
      <c r="AG825" s="34"/>
      <c r="AH825" s="34"/>
      <c r="AI825" s="34"/>
      <c r="AJ825" s="34"/>
      <c r="AK825" s="34"/>
      <c r="AL825" s="34"/>
      <c r="AM825" s="34"/>
      <c r="AN825" s="34"/>
      <c r="AO825" s="34"/>
      <c r="AP825" s="34"/>
      <c r="AQ825" s="34"/>
      <c r="AR825" s="34"/>
      <c r="AS825" s="34"/>
      <c r="AT825" s="34"/>
      <c r="AU825" s="34"/>
      <c r="AV825" s="34"/>
      <c r="AW825" s="34"/>
      <c r="AX825" s="34"/>
      <c r="AY825" s="34"/>
      <c r="AZ825" s="34"/>
      <c r="BA825" s="34"/>
      <c r="BB825" s="34"/>
      <c r="BD825" s="34"/>
      <c r="BE825" s="34"/>
      <c r="BF825" s="34"/>
      <c r="BG825" s="34"/>
      <c r="BH825" s="34"/>
      <c r="BI825" s="34"/>
      <c r="BJ825" s="34"/>
      <c r="BK825" s="34"/>
      <c r="BL825" s="34"/>
      <c r="BM825" s="34"/>
      <c r="BN825" s="34"/>
      <c r="BO825" s="34"/>
      <c r="BP825" s="34"/>
      <c r="BQ825" s="34"/>
      <c r="BR825" s="34"/>
      <c r="BS825" s="34"/>
      <c r="BT825" s="34"/>
      <c r="BU825" s="34"/>
      <c r="BV825" s="34"/>
      <c r="BW825" s="34"/>
      <c r="BX825" s="34"/>
      <c r="BY825" s="34"/>
    </row>
    <row r="826" spans="1:77" x14ac:dyDescent="0.3">
      <c r="A826" s="39"/>
      <c r="B826" s="42"/>
      <c r="C826" s="42"/>
      <c r="D826" s="75"/>
      <c r="E826" s="75"/>
      <c r="F826" s="76"/>
      <c r="G826" s="47"/>
      <c r="H826" s="47"/>
      <c r="I826" s="75"/>
      <c r="J826" s="76"/>
      <c r="K826" s="76"/>
      <c r="L826" s="75"/>
      <c r="M826" s="49"/>
      <c r="N826" s="76"/>
      <c r="O826" s="49"/>
      <c r="P826" s="77"/>
      <c r="Q826" s="53"/>
      <c r="R826" s="54"/>
      <c r="S826" s="55"/>
      <c r="T826" s="56"/>
      <c r="U826" s="56"/>
      <c r="V826" s="42"/>
      <c r="W826" s="57"/>
      <c r="X826" s="58"/>
      <c r="Y826" s="75"/>
      <c r="Z826" s="59"/>
      <c r="AA826" s="61"/>
      <c r="AB826" s="61"/>
      <c r="AC826" s="61"/>
      <c r="AD826" s="62"/>
      <c r="AE826" s="62"/>
      <c r="AF826" s="34"/>
      <c r="AG826" s="34"/>
      <c r="AH826" s="34"/>
      <c r="AI826" s="34"/>
      <c r="AJ826" s="34"/>
      <c r="AK826" s="34"/>
      <c r="AL826" s="34"/>
      <c r="AM826" s="34"/>
      <c r="AN826" s="34"/>
      <c r="AO826" s="34"/>
      <c r="AP826" s="34"/>
      <c r="AQ826" s="34"/>
      <c r="AR826" s="34"/>
      <c r="AS826" s="34"/>
      <c r="AT826" s="34"/>
      <c r="AU826" s="34"/>
      <c r="AV826" s="34"/>
      <c r="AW826" s="34"/>
      <c r="AX826" s="34"/>
      <c r="AY826" s="34"/>
      <c r="AZ826" s="34"/>
      <c r="BA826" s="34"/>
      <c r="BB826" s="34"/>
      <c r="BD826" s="34"/>
      <c r="BE826" s="34"/>
      <c r="BF826" s="34"/>
      <c r="BG826" s="34"/>
      <c r="BH826" s="34"/>
      <c r="BI826" s="34"/>
      <c r="BJ826" s="34"/>
      <c r="BK826" s="34"/>
      <c r="BL826" s="34"/>
      <c r="BM826" s="34"/>
      <c r="BN826" s="34"/>
      <c r="BO826" s="34"/>
      <c r="BP826" s="34"/>
      <c r="BQ826" s="34"/>
      <c r="BR826" s="34"/>
      <c r="BS826" s="34"/>
      <c r="BT826" s="34"/>
      <c r="BU826" s="34"/>
      <c r="BV826" s="34"/>
      <c r="BW826" s="34"/>
      <c r="BX826" s="34"/>
      <c r="BY826" s="34"/>
    </row>
    <row r="827" spans="1:77" x14ac:dyDescent="0.3">
      <c r="A827" s="39"/>
      <c r="B827" s="42"/>
      <c r="C827" s="42"/>
      <c r="D827" s="75"/>
      <c r="E827" s="75"/>
      <c r="F827" s="76"/>
      <c r="G827" s="47"/>
      <c r="H827" s="47"/>
      <c r="I827" s="75"/>
      <c r="J827" s="76"/>
      <c r="K827" s="76"/>
      <c r="L827" s="75"/>
      <c r="M827" s="49"/>
      <c r="N827" s="76"/>
      <c r="O827" s="49"/>
      <c r="P827" s="77"/>
      <c r="Q827" s="53"/>
      <c r="R827" s="54"/>
      <c r="S827" s="55"/>
      <c r="T827" s="56"/>
      <c r="U827" s="56"/>
      <c r="V827" s="42"/>
      <c r="W827" s="57"/>
      <c r="X827" s="58"/>
      <c r="Y827" s="75"/>
      <c r="Z827" s="59"/>
      <c r="AA827" s="61"/>
      <c r="AB827" s="61"/>
      <c r="AC827" s="61"/>
      <c r="AD827" s="62"/>
      <c r="AE827" s="62"/>
      <c r="AF827" s="34"/>
      <c r="AG827" s="34"/>
      <c r="AH827" s="34"/>
      <c r="AI827" s="34"/>
      <c r="AJ827" s="34"/>
      <c r="AK827" s="34"/>
      <c r="AL827" s="34"/>
      <c r="AM827" s="34"/>
      <c r="AN827" s="34"/>
      <c r="AO827" s="34"/>
      <c r="AP827" s="34"/>
      <c r="AQ827" s="34"/>
      <c r="AR827" s="34"/>
      <c r="AS827" s="34"/>
      <c r="AT827" s="34"/>
      <c r="AU827" s="34"/>
      <c r="AV827" s="34"/>
      <c r="AW827" s="34"/>
      <c r="AX827" s="34"/>
      <c r="AY827" s="34"/>
      <c r="AZ827" s="34"/>
      <c r="BA827" s="34"/>
      <c r="BB827" s="34"/>
      <c r="BD827" s="34"/>
      <c r="BE827" s="34"/>
      <c r="BF827" s="34"/>
      <c r="BG827" s="34"/>
      <c r="BH827" s="34"/>
      <c r="BI827" s="34"/>
      <c r="BJ827" s="34"/>
      <c r="BK827" s="34"/>
      <c r="BL827" s="34"/>
      <c r="BM827" s="34"/>
      <c r="BN827" s="34"/>
      <c r="BO827" s="34"/>
      <c r="BP827" s="34"/>
      <c r="BQ827" s="34"/>
      <c r="BR827" s="34"/>
      <c r="BS827" s="34"/>
      <c r="BT827" s="34"/>
      <c r="BU827" s="34"/>
      <c r="BV827" s="34"/>
      <c r="BW827" s="34"/>
      <c r="BX827" s="34"/>
      <c r="BY827" s="34"/>
    </row>
    <row r="828" spans="1:77" x14ac:dyDescent="0.3">
      <c r="A828" s="39"/>
      <c r="B828" s="42"/>
      <c r="C828" s="42"/>
      <c r="D828" s="75"/>
      <c r="E828" s="75"/>
      <c r="F828" s="76"/>
      <c r="G828" s="47"/>
      <c r="H828" s="47"/>
      <c r="I828" s="75"/>
      <c r="J828" s="76"/>
      <c r="K828" s="76"/>
      <c r="L828" s="75"/>
      <c r="M828" s="49"/>
      <c r="N828" s="76"/>
      <c r="O828" s="49"/>
      <c r="P828" s="77"/>
      <c r="Q828" s="53"/>
      <c r="R828" s="54"/>
      <c r="S828" s="55"/>
      <c r="T828" s="56"/>
      <c r="U828" s="56"/>
      <c r="V828" s="42"/>
      <c r="W828" s="57"/>
      <c r="X828" s="58"/>
      <c r="Y828" s="75"/>
      <c r="Z828" s="59"/>
      <c r="AA828" s="61"/>
      <c r="AB828" s="61"/>
      <c r="AC828" s="61"/>
      <c r="AD828" s="62"/>
      <c r="AE828" s="62"/>
      <c r="AF828" s="34"/>
      <c r="AG828" s="34"/>
      <c r="AH828" s="34"/>
      <c r="AI828" s="34"/>
      <c r="AJ828" s="34"/>
      <c r="AK828" s="34"/>
      <c r="AL828" s="34"/>
      <c r="AM828" s="34"/>
      <c r="AN828" s="34"/>
      <c r="AO828" s="34"/>
      <c r="AP828" s="34"/>
      <c r="AQ828" s="34"/>
      <c r="AR828" s="34"/>
      <c r="AS828" s="34"/>
      <c r="AT828" s="34"/>
      <c r="AU828" s="34"/>
      <c r="AV828" s="34"/>
      <c r="AW828" s="34"/>
      <c r="AX828" s="34"/>
      <c r="AY828" s="34"/>
      <c r="AZ828" s="34"/>
      <c r="BA828" s="34"/>
      <c r="BB828" s="34"/>
      <c r="BD828" s="34"/>
      <c r="BE828" s="34"/>
      <c r="BF828" s="34"/>
      <c r="BG828" s="34"/>
      <c r="BH828" s="34"/>
      <c r="BI828" s="34"/>
      <c r="BJ828" s="34"/>
      <c r="BK828" s="34"/>
      <c r="BL828" s="34"/>
      <c r="BM828" s="34"/>
      <c r="BN828" s="34"/>
      <c r="BO828" s="34"/>
      <c r="BP828" s="34"/>
      <c r="BQ828" s="34"/>
      <c r="BR828" s="34"/>
      <c r="BS828" s="34"/>
      <c r="BT828" s="34"/>
      <c r="BU828" s="34"/>
      <c r="BV828" s="34"/>
      <c r="BW828" s="34"/>
      <c r="BX828" s="34"/>
      <c r="BY828" s="34"/>
    </row>
    <row r="829" spans="1:77" x14ac:dyDescent="0.3">
      <c r="A829" s="39"/>
      <c r="B829" s="42"/>
      <c r="C829" s="42"/>
      <c r="D829" s="75"/>
      <c r="E829" s="75"/>
      <c r="F829" s="76"/>
      <c r="G829" s="47"/>
      <c r="H829" s="47"/>
      <c r="I829" s="75"/>
      <c r="J829" s="76"/>
      <c r="K829" s="76"/>
      <c r="L829" s="75"/>
      <c r="M829" s="49"/>
      <c r="N829" s="76"/>
      <c r="O829" s="49"/>
      <c r="P829" s="77"/>
      <c r="Q829" s="53"/>
      <c r="R829" s="54"/>
      <c r="S829" s="55"/>
      <c r="T829" s="56"/>
      <c r="U829" s="56"/>
      <c r="V829" s="42"/>
      <c r="W829" s="57"/>
      <c r="X829" s="58"/>
      <c r="Y829" s="75"/>
      <c r="Z829" s="59"/>
      <c r="AA829" s="61"/>
      <c r="AB829" s="61"/>
      <c r="AC829" s="61"/>
      <c r="AD829" s="62"/>
      <c r="AE829" s="62"/>
      <c r="AF829" s="34"/>
      <c r="AG829" s="34"/>
      <c r="AH829" s="34"/>
      <c r="AI829" s="34"/>
      <c r="AJ829" s="34"/>
      <c r="AK829" s="34"/>
      <c r="AL829" s="34"/>
      <c r="AM829" s="34"/>
      <c r="AN829" s="34"/>
      <c r="AO829" s="34"/>
      <c r="AP829" s="34"/>
      <c r="AQ829" s="34"/>
      <c r="AR829" s="34"/>
      <c r="AS829" s="34"/>
      <c r="AT829" s="34"/>
      <c r="AU829" s="34"/>
      <c r="AV829" s="34"/>
      <c r="AW829" s="34"/>
      <c r="AX829" s="34"/>
      <c r="AY829" s="34"/>
      <c r="AZ829" s="34"/>
      <c r="BA829" s="34"/>
      <c r="BB829" s="34"/>
      <c r="BD829" s="34"/>
      <c r="BE829" s="34"/>
      <c r="BF829" s="34"/>
      <c r="BG829" s="34"/>
      <c r="BH829" s="34"/>
      <c r="BI829" s="34"/>
      <c r="BJ829" s="34"/>
      <c r="BK829" s="34"/>
      <c r="BL829" s="34"/>
      <c r="BM829" s="34"/>
      <c r="BN829" s="34"/>
      <c r="BO829" s="34"/>
      <c r="BP829" s="34"/>
      <c r="BQ829" s="34"/>
      <c r="BR829" s="34"/>
      <c r="BS829" s="34"/>
      <c r="BT829" s="34"/>
      <c r="BU829" s="34"/>
      <c r="BV829" s="34"/>
      <c r="BW829" s="34"/>
      <c r="BX829" s="34"/>
      <c r="BY829" s="34"/>
    </row>
    <row r="830" spans="1:77" x14ac:dyDescent="0.3">
      <c r="A830" s="39"/>
      <c r="B830" s="42"/>
      <c r="C830" s="42"/>
      <c r="D830" s="75"/>
      <c r="E830" s="75"/>
      <c r="F830" s="76"/>
      <c r="G830" s="47"/>
      <c r="H830" s="47"/>
      <c r="I830" s="75"/>
      <c r="J830" s="76"/>
      <c r="K830" s="76"/>
      <c r="L830" s="75"/>
      <c r="M830" s="49"/>
      <c r="N830" s="76"/>
      <c r="O830" s="49"/>
      <c r="P830" s="77"/>
      <c r="Q830" s="53"/>
      <c r="R830" s="54"/>
      <c r="S830" s="55"/>
      <c r="T830" s="56"/>
      <c r="U830" s="56"/>
      <c r="V830" s="42"/>
      <c r="W830" s="57"/>
      <c r="X830" s="58"/>
      <c r="Y830" s="75"/>
      <c r="Z830" s="59"/>
      <c r="AA830" s="61"/>
      <c r="AB830" s="61"/>
      <c r="AC830" s="61"/>
      <c r="AD830" s="62"/>
      <c r="AE830" s="62"/>
      <c r="AF830" s="34"/>
      <c r="AG830" s="34"/>
      <c r="AH830" s="34"/>
      <c r="AI830" s="34"/>
      <c r="AJ830" s="34"/>
      <c r="AK830" s="34"/>
      <c r="AL830" s="34"/>
      <c r="AM830" s="34"/>
      <c r="AN830" s="34"/>
      <c r="AO830" s="34"/>
      <c r="AP830" s="34"/>
      <c r="AQ830" s="34"/>
      <c r="AR830" s="34"/>
      <c r="AS830" s="34"/>
      <c r="AT830" s="34"/>
      <c r="AU830" s="34"/>
      <c r="AV830" s="34"/>
      <c r="AW830" s="34"/>
      <c r="AX830" s="34"/>
      <c r="AY830" s="34"/>
      <c r="AZ830" s="34"/>
      <c r="BA830" s="34"/>
      <c r="BB830" s="34"/>
      <c r="BD830" s="34"/>
      <c r="BE830" s="34"/>
      <c r="BF830" s="34"/>
      <c r="BG830" s="34"/>
      <c r="BH830" s="34"/>
      <c r="BI830" s="34"/>
      <c r="BJ830" s="34"/>
      <c r="BK830" s="34"/>
      <c r="BL830" s="34"/>
      <c r="BM830" s="34"/>
      <c r="BN830" s="34"/>
      <c r="BO830" s="34"/>
      <c r="BP830" s="34"/>
      <c r="BQ830" s="34"/>
      <c r="BR830" s="34"/>
      <c r="BS830" s="34"/>
      <c r="BT830" s="34"/>
      <c r="BU830" s="34"/>
      <c r="BV830" s="34"/>
      <c r="BW830" s="34"/>
      <c r="BX830" s="34"/>
      <c r="BY830" s="34"/>
    </row>
    <row r="831" spans="1:77" x14ac:dyDescent="0.3">
      <c r="A831" s="39"/>
      <c r="B831" s="42"/>
      <c r="C831" s="42"/>
      <c r="D831" s="75"/>
      <c r="E831" s="75"/>
      <c r="F831" s="76"/>
      <c r="G831" s="47"/>
      <c r="H831" s="47"/>
      <c r="I831" s="75"/>
      <c r="J831" s="76"/>
      <c r="K831" s="76"/>
      <c r="L831" s="75"/>
      <c r="M831" s="49"/>
      <c r="N831" s="76"/>
      <c r="O831" s="49"/>
      <c r="P831" s="77"/>
      <c r="Q831" s="53"/>
      <c r="R831" s="54"/>
      <c r="S831" s="55"/>
      <c r="T831" s="56"/>
      <c r="U831" s="56"/>
      <c r="V831" s="42"/>
      <c r="W831" s="57"/>
      <c r="X831" s="58"/>
      <c r="Y831" s="75"/>
      <c r="Z831" s="59"/>
      <c r="AA831" s="61"/>
      <c r="AB831" s="61"/>
      <c r="AC831" s="61"/>
      <c r="AD831" s="62"/>
      <c r="AE831" s="62"/>
      <c r="AF831" s="34"/>
      <c r="AG831" s="34"/>
      <c r="AH831" s="34"/>
      <c r="AI831" s="34"/>
      <c r="AJ831" s="34"/>
      <c r="AK831" s="34"/>
      <c r="AL831" s="34"/>
      <c r="AM831" s="34"/>
      <c r="AN831" s="34"/>
      <c r="AO831" s="34"/>
      <c r="AP831" s="34"/>
      <c r="AQ831" s="34"/>
      <c r="AR831" s="34"/>
      <c r="AS831" s="34"/>
      <c r="AT831" s="34"/>
      <c r="AU831" s="34"/>
      <c r="AV831" s="34"/>
      <c r="AW831" s="34"/>
      <c r="AX831" s="34"/>
      <c r="AY831" s="34"/>
      <c r="AZ831" s="34"/>
      <c r="BA831" s="34"/>
      <c r="BB831" s="34"/>
      <c r="BD831" s="34"/>
      <c r="BE831" s="34"/>
      <c r="BF831" s="34"/>
      <c r="BG831" s="34"/>
      <c r="BH831" s="34"/>
      <c r="BI831" s="34"/>
      <c r="BJ831" s="34"/>
      <c r="BK831" s="34"/>
      <c r="BL831" s="34"/>
      <c r="BM831" s="34"/>
      <c r="BN831" s="34"/>
      <c r="BO831" s="34"/>
      <c r="BP831" s="34"/>
      <c r="BQ831" s="34"/>
      <c r="BR831" s="34"/>
      <c r="BS831" s="34"/>
      <c r="BT831" s="34"/>
      <c r="BU831" s="34"/>
      <c r="BV831" s="34"/>
      <c r="BW831" s="34"/>
      <c r="BX831" s="34"/>
      <c r="BY831" s="34"/>
    </row>
    <row r="832" spans="1:77" x14ac:dyDescent="0.3">
      <c r="A832" s="39"/>
      <c r="B832" s="42"/>
      <c r="C832" s="42"/>
      <c r="D832" s="75"/>
      <c r="E832" s="75"/>
      <c r="F832" s="76"/>
      <c r="G832" s="47"/>
      <c r="H832" s="47"/>
      <c r="I832" s="75"/>
      <c r="J832" s="76"/>
      <c r="K832" s="76"/>
      <c r="L832" s="75"/>
      <c r="M832" s="49"/>
      <c r="N832" s="76"/>
      <c r="O832" s="49"/>
      <c r="P832" s="77"/>
      <c r="Q832" s="53"/>
      <c r="R832" s="54"/>
      <c r="S832" s="55"/>
      <c r="T832" s="56"/>
      <c r="U832" s="56"/>
      <c r="V832" s="42"/>
      <c r="W832" s="57"/>
      <c r="X832" s="58"/>
      <c r="Y832" s="75"/>
      <c r="Z832" s="59"/>
      <c r="AA832" s="61"/>
      <c r="AB832" s="61"/>
      <c r="AC832" s="61"/>
      <c r="AD832" s="62"/>
      <c r="AE832" s="62"/>
      <c r="AF832" s="34"/>
      <c r="AG832" s="34"/>
      <c r="AH832" s="34"/>
      <c r="AI832" s="34"/>
      <c r="AJ832" s="34"/>
      <c r="AK832" s="34"/>
      <c r="AL832" s="34"/>
      <c r="AM832" s="34"/>
      <c r="AN832" s="34"/>
      <c r="AO832" s="34"/>
      <c r="AP832" s="34"/>
      <c r="AQ832" s="34"/>
      <c r="AR832" s="34"/>
      <c r="AS832" s="34"/>
      <c r="AT832" s="34"/>
      <c r="AU832" s="34"/>
      <c r="AV832" s="34"/>
      <c r="AW832" s="34"/>
      <c r="AX832" s="34"/>
      <c r="AY832" s="34"/>
      <c r="AZ832" s="34"/>
      <c r="BA832" s="34"/>
      <c r="BB832" s="34"/>
      <c r="BD832" s="34"/>
      <c r="BE832" s="34"/>
      <c r="BF832" s="34"/>
      <c r="BG832" s="34"/>
      <c r="BH832" s="34"/>
      <c r="BI832" s="34"/>
      <c r="BJ832" s="34"/>
      <c r="BK832" s="34"/>
      <c r="BL832" s="34"/>
      <c r="BM832" s="34"/>
      <c r="BN832" s="34"/>
      <c r="BO832" s="34"/>
      <c r="BP832" s="34"/>
      <c r="BQ832" s="34"/>
      <c r="BR832" s="34"/>
      <c r="BS832" s="34"/>
      <c r="BT832" s="34"/>
      <c r="BU832" s="34"/>
      <c r="BV832" s="34"/>
      <c r="BW832" s="34"/>
      <c r="BX832" s="34"/>
      <c r="BY832" s="34"/>
    </row>
    <row r="833" spans="1:77" x14ac:dyDescent="0.3">
      <c r="A833" s="39"/>
      <c r="B833" s="42"/>
      <c r="C833" s="42"/>
      <c r="D833" s="75"/>
      <c r="E833" s="75"/>
      <c r="F833" s="76"/>
      <c r="G833" s="47"/>
      <c r="H833" s="47"/>
      <c r="I833" s="75"/>
      <c r="J833" s="76"/>
      <c r="K833" s="76"/>
      <c r="L833" s="75"/>
      <c r="M833" s="49"/>
      <c r="N833" s="76"/>
      <c r="O833" s="49"/>
      <c r="P833" s="77"/>
      <c r="Q833" s="53"/>
      <c r="R833" s="54"/>
      <c r="S833" s="55"/>
      <c r="T833" s="56"/>
      <c r="U833" s="56"/>
      <c r="V833" s="42"/>
      <c r="W833" s="57"/>
      <c r="X833" s="58"/>
      <c r="Y833" s="75"/>
      <c r="Z833" s="59"/>
      <c r="AA833" s="61"/>
      <c r="AB833" s="61"/>
      <c r="AC833" s="61"/>
      <c r="AD833" s="62"/>
      <c r="AE833" s="62"/>
      <c r="AF833" s="34"/>
      <c r="AG833" s="34"/>
      <c r="AH833" s="34"/>
      <c r="AI833" s="34"/>
      <c r="AJ833" s="34"/>
      <c r="AK833" s="34"/>
      <c r="AL833" s="34"/>
      <c r="AM833" s="34"/>
      <c r="AN833" s="34"/>
      <c r="AO833" s="34"/>
      <c r="AP833" s="34"/>
      <c r="AQ833" s="34"/>
      <c r="AR833" s="34"/>
      <c r="AS833" s="34"/>
      <c r="AT833" s="34"/>
      <c r="AU833" s="34"/>
      <c r="AV833" s="34"/>
      <c r="AW833" s="34"/>
      <c r="AX833" s="34"/>
      <c r="AY833" s="34"/>
      <c r="AZ833" s="34"/>
      <c r="BA833" s="34"/>
      <c r="BB833" s="34"/>
      <c r="BD833" s="34"/>
      <c r="BE833" s="34"/>
      <c r="BF833" s="34"/>
      <c r="BG833" s="34"/>
      <c r="BH833" s="34"/>
      <c r="BI833" s="34"/>
      <c r="BJ833" s="34"/>
      <c r="BK833" s="34"/>
      <c r="BL833" s="34"/>
      <c r="BM833" s="34"/>
      <c r="BN833" s="34"/>
      <c r="BO833" s="34"/>
      <c r="BP833" s="34"/>
      <c r="BQ833" s="34"/>
      <c r="BR833" s="34"/>
      <c r="BS833" s="34"/>
      <c r="BT833" s="34"/>
      <c r="BU833" s="34"/>
      <c r="BV833" s="34"/>
      <c r="BW833" s="34"/>
      <c r="BX833" s="34"/>
      <c r="BY833" s="34"/>
    </row>
    <row r="834" spans="1:77" x14ac:dyDescent="0.3">
      <c r="A834" s="39"/>
      <c r="B834" s="42"/>
      <c r="C834" s="42"/>
      <c r="D834" s="75"/>
      <c r="E834" s="75"/>
      <c r="F834" s="76"/>
      <c r="G834" s="47"/>
      <c r="H834" s="47"/>
      <c r="I834" s="75"/>
      <c r="J834" s="76"/>
      <c r="K834" s="76"/>
      <c r="L834" s="75"/>
      <c r="M834" s="49"/>
      <c r="N834" s="76"/>
      <c r="O834" s="49"/>
      <c r="P834" s="77"/>
      <c r="Q834" s="53"/>
      <c r="R834" s="54"/>
      <c r="S834" s="55"/>
      <c r="T834" s="56"/>
      <c r="U834" s="56"/>
      <c r="V834" s="42"/>
      <c r="W834" s="57"/>
      <c r="X834" s="58"/>
      <c r="Y834" s="75"/>
      <c r="Z834" s="59"/>
      <c r="AA834" s="61"/>
      <c r="AB834" s="61"/>
      <c r="AC834" s="61"/>
      <c r="AD834" s="62"/>
      <c r="AE834" s="62"/>
      <c r="AF834" s="34"/>
      <c r="AG834" s="34"/>
      <c r="AH834" s="34"/>
      <c r="AI834" s="34"/>
      <c r="AJ834" s="34"/>
      <c r="AK834" s="34"/>
      <c r="AL834" s="34"/>
      <c r="AM834" s="34"/>
      <c r="AN834" s="34"/>
      <c r="AO834" s="34"/>
      <c r="AP834" s="34"/>
      <c r="AQ834" s="34"/>
      <c r="AR834" s="34"/>
      <c r="AS834" s="34"/>
      <c r="AT834" s="34"/>
      <c r="AU834" s="34"/>
      <c r="AV834" s="34"/>
      <c r="AW834" s="34"/>
      <c r="AX834" s="34"/>
      <c r="AY834" s="34"/>
      <c r="AZ834" s="34"/>
      <c r="BA834" s="34"/>
      <c r="BB834" s="34"/>
      <c r="BD834" s="34"/>
      <c r="BE834" s="34"/>
      <c r="BF834" s="34"/>
      <c r="BG834" s="34"/>
      <c r="BH834" s="34"/>
      <c r="BI834" s="34"/>
      <c r="BJ834" s="34"/>
      <c r="BK834" s="34"/>
      <c r="BL834" s="34"/>
      <c r="BM834" s="34"/>
      <c r="BN834" s="34"/>
      <c r="BO834" s="34"/>
      <c r="BP834" s="34"/>
      <c r="BQ834" s="34"/>
      <c r="BR834" s="34"/>
      <c r="BS834" s="34"/>
      <c r="BT834" s="34"/>
      <c r="BU834" s="34"/>
      <c r="BV834" s="34"/>
      <c r="BW834" s="34"/>
      <c r="BX834" s="34"/>
      <c r="BY834" s="34"/>
    </row>
    <row r="835" spans="1:77" x14ac:dyDescent="0.3">
      <c r="A835" s="39"/>
      <c r="B835" s="42"/>
      <c r="C835" s="42"/>
      <c r="D835" s="75"/>
      <c r="E835" s="75"/>
      <c r="F835" s="76"/>
      <c r="G835" s="47"/>
      <c r="H835" s="47"/>
      <c r="I835" s="75"/>
      <c r="J835" s="76"/>
      <c r="K835" s="76"/>
      <c r="L835" s="75"/>
      <c r="M835" s="49"/>
      <c r="N835" s="76"/>
      <c r="O835" s="49"/>
      <c r="P835" s="77"/>
      <c r="Q835" s="53"/>
      <c r="R835" s="54"/>
      <c r="S835" s="55"/>
      <c r="T835" s="56"/>
      <c r="U835" s="56"/>
      <c r="V835" s="42"/>
      <c r="W835" s="57"/>
      <c r="X835" s="58"/>
      <c r="Y835" s="75"/>
      <c r="Z835" s="59"/>
      <c r="AA835" s="61"/>
      <c r="AB835" s="61"/>
      <c r="AC835" s="61"/>
      <c r="AD835" s="62"/>
      <c r="AE835" s="62"/>
      <c r="AF835" s="34"/>
      <c r="AG835" s="34"/>
      <c r="AH835" s="34"/>
      <c r="AI835" s="34"/>
      <c r="AJ835" s="34"/>
      <c r="AK835" s="34"/>
      <c r="AL835" s="34"/>
      <c r="AM835" s="34"/>
      <c r="AN835" s="34"/>
      <c r="AO835" s="34"/>
      <c r="AP835" s="34"/>
      <c r="AQ835" s="34"/>
      <c r="AR835" s="34"/>
      <c r="AS835" s="34"/>
      <c r="AT835" s="34"/>
      <c r="AU835" s="34"/>
      <c r="AV835" s="34"/>
      <c r="AW835" s="34"/>
      <c r="AX835" s="34"/>
      <c r="AY835" s="34"/>
      <c r="AZ835" s="34"/>
      <c r="BA835" s="34"/>
      <c r="BB835" s="34"/>
      <c r="BD835" s="34"/>
      <c r="BE835" s="34"/>
      <c r="BF835" s="34"/>
      <c r="BG835" s="34"/>
      <c r="BH835" s="34"/>
      <c r="BI835" s="34"/>
      <c r="BJ835" s="34"/>
      <c r="BK835" s="34"/>
      <c r="BL835" s="34"/>
      <c r="BM835" s="34"/>
      <c r="BN835" s="34"/>
      <c r="BO835" s="34"/>
      <c r="BP835" s="34"/>
      <c r="BQ835" s="34"/>
      <c r="BR835" s="34"/>
      <c r="BS835" s="34"/>
      <c r="BT835" s="34"/>
      <c r="BU835" s="34"/>
      <c r="BV835" s="34"/>
      <c r="BW835" s="34"/>
      <c r="BX835" s="34"/>
      <c r="BY835" s="34"/>
    </row>
    <row r="836" spans="1:77" x14ac:dyDescent="0.3">
      <c r="A836" s="39"/>
      <c r="B836" s="42"/>
      <c r="C836" s="42"/>
      <c r="D836" s="75"/>
      <c r="E836" s="75"/>
      <c r="F836" s="76"/>
      <c r="G836" s="47"/>
      <c r="H836" s="47"/>
      <c r="I836" s="75"/>
      <c r="J836" s="76"/>
      <c r="K836" s="76"/>
      <c r="L836" s="75"/>
      <c r="M836" s="49"/>
      <c r="N836" s="76"/>
      <c r="O836" s="49"/>
      <c r="P836" s="77"/>
      <c r="Q836" s="53"/>
      <c r="R836" s="54"/>
      <c r="S836" s="55"/>
      <c r="T836" s="56"/>
      <c r="U836" s="56"/>
      <c r="V836" s="42"/>
      <c r="W836" s="57"/>
      <c r="X836" s="58"/>
      <c r="Y836" s="75"/>
      <c r="Z836" s="59"/>
      <c r="AA836" s="61"/>
      <c r="AB836" s="61"/>
      <c r="AC836" s="61"/>
      <c r="AD836" s="62"/>
      <c r="AE836" s="62"/>
      <c r="AF836" s="34"/>
      <c r="AG836" s="34"/>
      <c r="AH836" s="34"/>
      <c r="AI836" s="34"/>
      <c r="AJ836" s="34"/>
      <c r="AK836" s="34"/>
      <c r="AL836" s="34"/>
      <c r="AM836" s="34"/>
      <c r="AN836" s="34"/>
      <c r="AO836" s="34"/>
      <c r="AP836" s="34"/>
      <c r="AQ836" s="34"/>
      <c r="AR836" s="34"/>
      <c r="AS836" s="34"/>
      <c r="AT836" s="34"/>
      <c r="AU836" s="34"/>
      <c r="AV836" s="34"/>
      <c r="AW836" s="34"/>
      <c r="AX836" s="34"/>
      <c r="AY836" s="34"/>
      <c r="AZ836" s="34"/>
      <c r="BA836" s="34"/>
      <c r="BB836" s="34"/>
      <c r="BD836" s="34"/>
      <c r="BE836" s="34"/>
      <c r="BF836" s="34"/>
      <c r="BG836" s="34"/>
      <c r="BH836" s="34"/>
      <c r="BI836" s="34"/>
      <c r="BJ836" s="34"/>
      <c r="BK836" s="34"/>
      <c r="BL836" s="34"/>
      <c r="BM836" s="34"/>
      <c r="BN836" s="34"/>
      <c r="BO836" s="34"/>
      <c r="BP836" s="34"/>
      <c r="BQ836" s="34"/>
      <c r="BR836" s="34"/>
      <c r="BS836" s="34"/>
      <c r="BT836" s="34"/>
      <c r="BU836" s="34"/>
      <c r="BV836" s="34"/>
      <c r="BW836" s="34"/>
      <c r="BX836" s="34"/>
      <c r="BY836" s="34"/>
    </row>
    <row r="837" spans="1:77" x14ac:dyDescent="0.3">
      <c r="A837" s="39"/>
      <c r="B837" s="42"/>
      <c r="C837" s="42"/>
      <c r="D837" s="75"/>
      <c r="E837" s="75"/>
      <c r="F837" s="76"/>
      <c r="G837" s="47"/>
      <c r="H837" s="47"/>
      <c r="I837" s="75"/>
      <c r="J837" s="76"/>
      <c r="K837" s="76"/>
      <c r="L837" s="75"/>
      <c r="M837" s="49"/>
      <c r="N837" s="76"/>
      <c r="O837" s="49"/>
      <c r="P837" s="77"/>
      <c r="Q837" s="53"/>
      <c r="R837" s="54"/>
      <c r="S837" s="55"/>
      <c r="T837" s="56"/>
      <c r="U837" s="56"/>
      <c r="V837" s="42"/>
      <c r="W837" s="57"/>
      <c r="X837" s="58"/>
      <c r="Y837" s="75"/>
      <c r="Z837" s="59"/>
      <c r="AA837" s="61"/>
      <c r="AB837" s="61"/>
      <c r="AC837" s="61"/>
      <c r="AD837" s="62"/>
      <c r="AE837" s="62"/>
      <c r="AF837" s="34"/>
      <c r="AG837" s="34"/>
      <c r="AH837" s="34"/>
      <c r="AI837" s="34"/>
      <c r="AJ837" s="34"/>
      <c r="AK837" s="34"/>
      <c r="AL837" s="34"/>
      <c r="AM837" s="34"/>
      <c r="AN837" s="34"/>
      <c r="AO837" s="34"/>
      <c r="AP837" s="34"/>
      <c r="AQ837" s="34"/>
      <c r="AR837" s="34"/>
      <c r="AS837" s="34"/>
      <c r="AT837" s="34"/>
      <c r="AU837" s="34"/>
      <c r="AV837" s="34"/>
      <c r="AW837" s="34"/>
      <c r="AX837" s="34"/>
      <c r="AY837" s="34"/>
      <c r="AZ837" s="34"/>
      <c r="BA837" s="34"/>
      <c r="BB837" s="34"/>
      <c r="BD837" s="34"/>
      <c r="BE837" s="34"/>
      <c r="BF837" s="34"/>
      <c r="BG837" s="34"/>
      <c r="BH837" s="34"/>
      <c r="BI837" s="34"/>
      <c r="BJ837" s="34"/>
      <c r="BK837" s="34"/>
      <c r="BL837" s="34"/>
      <c r="BM837" s="34"/>
      <c r="BN837" s="34"/>
      <c r="BO837" s="34"/>
      <c r="BP837" s="34"/>
      <c r="BQ837" s="34"/>
      <c r="BR837" s="34"/>
      <c r="BS837" s="34"/>
      <c r="BT837" s="34"/>
      <c r="BU837" s="34"/>
      <c r="BV837" s="34"/>
      <c r="BW837" s="34"/>
      <c r="BX837" s="34"/>
      <c r="BY837" s="34"/>
    </row>
    <row r="838" spans="1:77" x14ac:dyDescent="0.3">
      <c r="A838" s="39"/>
      <c r="B838" s="42"/>
      <c r="C838" s="42"/>
      <c r="D838" s="75"/>
      <c r="E838" s="75"/>
      <c r="F838" s="76"/>
      <c r="G838" s="47"/>
      <c r="H838" s="47"/>
      <c r="I838" s="75"/>
      <c r="J838" s="76"/>
      <c r="K838" s="76"/>
      <c r="L838" s="75"/>
      <c r="M838" s="49"/>
      <c r="N838" s="76"/>
      <c r="O838" s="49"/>
      <c r="P838" s="77"/>
      <c r="Q838" s="53"/>
      <c r="R838" s="54"/>
      <c r="S838" s="55"/>
      <c r="T838" s="56"/>
      <c r="U838" s="56"/>
      <c r="V838" s="42"/>
      <c r="W838" s="57"/>
      <c r="X838" s="58"/>
      <c r="Y838" s="75"/>
      <c r="Z838" s="59"/>
      <c r="AA838" s="61"/>
      <c r="AB838" s="61"/>
      <c r="AC838" s="61"/>
      <c r="AD838" s="62"/>
      <c r="AE838" s="62"/>
      <c r="AF838" s="34"/>
      <c r="AG838" s="34"/>
      <c r="AH838" s="34"/>
      <c r="AI838" s="34"/>
      <c r="AJ838" s="34"/>
      <c r="AK838" s="34"/>
      <c r="AL838" s="34"/>
      <c r="AM838" s="34"/>
      <c r="AN838" s="34"/>
      <c r="AO838" s="34"/>
      <c r="AP838" s="34"/>
      <c r="AQ838" s="34"/>
      <c r="AR838" s="34"/>
      <c r="AS838" s="34"/>
      <c r="AT838" s="34"/>
      <c r="AU838" s="34"/>
      <c r="AV838" s="34"/>
      <c r="AW838" s="34"/>
      <c r="AX838" s="34"/>
      <c r="AY838" s="34"/>
      <c r="AZ838" s="34"/>
      <c r="BA838" s="34"/>
      <c r="BB838" s="34"/>
      <c r="BD838" s="34"/>
      <c r="BE838" s="34"/>
      <c r="BF838" s="34"/>
      <c r="BG838" s="34"/>
      <c r="BH838" s="34"/>
      <c r="BI838" s="34"/>
      <c r="BJ838" s="34"/>
      <c r="BK838" s="34"/>
      <c r="BL838" s="34"/>
      <c r="BM838" s="34"/>
      <c r="BN838" s="34"/>
      <c r="BO838" s="34"/>
      <c r="BP838" s="34"/>
      <c r="BQ838" s="34"/>
      <c r="BR838" s="34"/>
      <c r="BS838" s="34"/>
      <c r="BT838" s="34"/>
      <c r="BU838" s="34"/>
      <c r="BV838" s="34"/>
      <c r="BW838" s="34"/>
      <c r="BX838" s="34"/>
      <c r="BY838" s="34"/>
    </row>
    <row r="839" spans="1:77" x14ac:dyDescent="0.3">
      <c r="A839" s="39"/>
      <c r="B839" s="42"/>
      <c r="C839" s="42"/>
      <c r="D839" s="75"/>
      <c r="E839" s="75"/>
      <c r="F839" s="76"/>
      <c r="G839" s="47"/>
      <c r="H839" s="47"/>
      <c r="I839" s="75"/>
      <c r="J839" s="76"/>
      <c r="K839" s="76"/>
      <c r="L839" s="75"/>
      <c r="M839" s="49"/>
      <c r="N839" s="76"/>
      <c r="O839" s="49"/>
      <c r="P839" s="77"/>
      <c r="Q839" s="53"/>
      <c r="R839" s="54"/>
      <c r="S839" s="55"/>
      <c r="T839" s="56"/>
      <c r="U839" s="56"/>
      <c r="V839" s="42"/>
      <c r="W839" s="57"/>
      <c r="X839" s="58"/>
      <c r="Y839" s="75"/>
      <c r="Z839" s="59"/>
      <c r="AA839" s="61"/>
      <c r="AB839" s="61"/>
      <c r="AC839" s="61"/>
      <c r="AD839" s="62"/>
      <c r="AE839" s="62"/>
      <c r="AF839" s="34"/>
      <c r="AG839" s="34"/>
      <c r="AH839" s="34"/>
      <c r="AI839" s="34"/>
      <c r="AJ839" s="34"/>
      <c r="AK839" s="34"/>
      <c r="AL839" s="34"/>
      <c r="AM839" s="34"/>
      <c r="AN839" s="34"/>
      <c r="AO839" s="34"/>
      <c r="AP839" s="34"/>
      <c r="AQ839" s="34"/>
      <c r="AR839" s="34"/>
      <c r="AS839" s="34"/>
      <c r="AT839" s="34"/>
      <c r="AU839" s="34"/>
      <c r="AV839" s="34"/>
      <c r="AW839" s="34"/>
      <c r="AX839" s="34"/>
      <c r="AY839" s="34"/>
      <c r="AZ839" s="34"/>
      <c r="BA839" s="34"/>
      <c r="BB839" s="34"/>
      <c r="BD839" s="34"/>
      <c r="BE839" s="34"/>
      <c r="BF839" s="34"/>
      <c r="BG839" s="34"/>
      <c r="BH839" s="34"/>
      <c r="BI839" s="34"/>
      <c r="BJ839" s="34"/>
      <c r="BK839" s="34"/>
      <c r="BL839" s="34"/>
      <c r="BM839" s="34"/>
      <c r="BN839" s="34"/>
      <c r="BO839" s="34"/>
      <c r="BP839" s="34"/>
      <c r="BQ839" s="34"/>
      <c r="BR839" s="34"/>
      <c r="BS839" s="34"/>
      <c r="BT839" s="34"/>
      <c r="BU839" s="34"/>
      <c r="BV839" s="34"/>
      <c r="BW839" s="34"/>
      <c r="BX839" s="34"/>
      <c r="BY839" s="34"/>
    </row>
    <row r="840" spans="1:77" x14ac:dyDescent="0.3">
      <c r="A840" s="39"/>
      <c r="B840" s="42"/>
      <c r="C840" s="42"/>
      <c r="D840" s="75"/>
      <c r="E840" s="75"/>
      <c r="F840" s="76"/>
      <c r="G840" s="47"/>
      <c r="H840" s="47"/>
      <c r="I840" s="75"/>
      <c r="J840" s="76"/>
      <c r="K840" s="76"/>
      <c r="L840" s="75"/>
      <c r="M840" s="49"/>
      <c r="N840" s="76"/>
      <c r="O840" s="49"/>
      <c r="P840" s="77"/>
      <c r="Q840" s="53"/>
      <c r="R840" s="54"/>
      <c r="S840" s="55"/>
      <c r="T840" s="56"/>
      <c r="U840" s="56"/>
      <c r="V840" s="42"/>
      <c r="W840" s="57"/>
      <c r="X840" s="58"/>
      <c r="Y840" s="75"/>
      <c r="Z840" s="59"/>
      <c r="AA840" s="61"/>
      <c r="AB840" s="61"/>
      <c r="AC840" s="61"/>
      <c r="AD840" s="62"/>
      <c r="AE840" s="62"/>
      <c r="AF840" s="34"/>
      <c r="AG840" s="34"/>
      <c r="AH840" s="34"/>
      <c r="AI840" s="34"/>
      <c r="AJ840" s="34"/>
      <c r="AK840" s="34"/>
      <c r="AL840" s="34"/>
      <c r="AM840" s="34"/>
      <c r="AN840" s="34"/>
      <c r="AO840" s="34"/>
      <c r="AP840" s="34"/>
      <c r="AQ840" s="34"/>
      <c r="AR840" s="34"/>
      <c r="AS840" s="34"/>
      <c r="AT840" s="34"/>
      <c r="AU840" s="34"/>
      <c r="AV840" s="34"/>
      <c r="AW840" s="34"/>
      <c r="AX840" s="34"/>
      <c r="AY840" s="34"/>
      <c r="AZ840" s="34"/>
      <c r="BA840" s="34"/>
      <c r="BB840" s="34"/>
      <c r="BD840" s="34"/>
      <c r="BE840" s="34"/>
      <c r="BF840" s="34"/>
      <c r="BG840" s="34"/>
      <c r="BH840" s="34"/>
      <c r="BI840" s="34"/>
      <c r="BJ840" s="34"/>
      <c r="BK840" s="34"/>
      <c r="BL840" s="34"/>
      <c r="BM840" s="34"/>
      <c r="BN840" s="34"/>
      <c r="BO840" s="34"/>
      <c r="BP840" s="34"/>
      <c r="BQ840" s="34"/>
      <c r="BR840" s="34"/>
      <c r="BS840" s="34"/>
      <c r="BT840" s="34"/>
      <c r="BU840" s="34"/>
      <c r="BV840" s="34"/>
      <c r="BW840" s="34"/>
      <c r="BX840" s="34"/>
      <c r="BY840" s="34"/>
    </row>
    <row r="841" spans="1:77" x14ac:dyDescent="0.3">
      <c r="A841" s="39"/>
      <c r="B841" s="42"/>
      <c r="C841" s="42"/>
      <c r="D841" s="75"/>
      <c r="E841" s="75"/>
      <c r="F841" s="76"/>
      <c r="G841" s="47"/>
      <c r="H841" s="47"/>
      <c r="I841" s="75"/>
      <c r="J841" s="76"/>
      <c r="K841" s="76"/>
      <c r="L841" s="75"/>
      <c r="M841" s="49"/>
      <c r="N841" s="76"/>
      <c r="O841" s="49"/>
      <c r="P841" s="77"/>
      <c r="Q841" s="53"/>
      <c r="R841" s="54"/>
      <c r="S841" s="55"/>
      <c r="T841" s="56"/>
      <c r="U841" s="56"/>
      <c r="V841" s="42"/>
      <c r="W841" s="57"/>
      <c r="X841" s="58"/>
      <c r="Y841" s="75"/>
      <c r="Z841" s="59"/>
      <c r="AA841" s="61"/>
      <c r="AB841" s="61"/>
      <c r="AC841" s="61"/>
      <c r="AD841" s="62"/>
      <c r="AE841" s="62"/>
      <c r="AF841" s="34"/>
      <c r="AG841" s="34"/>
      <c r="AH841" s="34"/>
      <c r="AI841" s="34"/>
      <c r="AJ841" s="34"/>
      <c r="AK841" s="34"/>
      <c r="AL841" s="34"/>
      <c r="AM841" s="34"/>
      <c r="AN841" s="34"/>
      <c r="AO841" s="34"/>
      <c r="AP841" s="34"/>
      <c r="AQ841" s="34"/>
      <c r="AR841" s="34"/>
      <c r="AS841" s="34"/>
      <c r="AT841" s="34"/>
      <c r="AU841" s="34"/>
      <c r="AV841" s="34"/>
      <c r="AW841" s="34"/>
      <c r="AX841" s="34"/>
      <c r="AY841" s="34"/>
      <c r="AZ841" s="34"/>
      <c r="BA841" s="34"/>
      <c r="BB841" s="34"/>
      <c r="BD841" s="34"/>
      <c r="BE841" s="34"/>
      <c r="BF841" s="34"/>
      <c r="BG841" s="34"/>
      <c r="BH841" s="34"/>
      <c r="BI841" s="34"/>
      <c r="BJ841" s="34"/>
      <c r="BK841" s="34"/>
      <c r="BL841" s="34"/>
      <c r="BM841" s="34"/>
      <c r="BN841" s="34"/>
      <c r="BO841" s="34"/>
      <c r="BP841" s="34"/>
      <c r="BQ841" s="34"/>
      <c r="BR841" s="34"/>
      <c r="BS841" s="34"/>
      <c r="BT841" s="34"/>
      <c r="BU841" s="34"/>
      <c r="BV841" s="34"/>
      <c r="BW841" s="34"/>
      <c r="BX841" s="34"/>
      <c r="BY841" s="34"/>
    </row>
    <row r="842" spans="1:77" x14ac:dyDescent="0.3">
      <c r="A842" s="39"/>
      <c r="B842" s="42"/>
      <c r="C842" s="42"/>
      <c r="D842" s="75"/>
      <c r="E842" s="75"/>
      <c r="F842" s="76"/>
      <c r="G842" s="47"/>
      <c r="H842" s="47"/>
      <c r="I842" s="75"/>
      <c r="J842" s="76"/>
      <c r="K842" s="76"/>
      <c r="L842" s="75"/>
      <c r="M842" s="49"/>
      <c r="N842" s="76"/>
      <c r="O842" s="49"/>
      <c r="P842" s="77"/>
      <c r="Q842" s="53"/>
      <c r="R842" s="54"/>
      <c r="S842" s="55"/>
      <c r="T842" s="56"/>
      <c r="U842" s="56"/>
      <c r="V842" s="42"/>
      <c r="W842" s="57"/>
      <c r="X842" s="58"/>
      <c r="Y842" s="75"/>
      <c r="Z842" s="59"/>
      <c r="AA842" s="61"/>
      <c r="AB842" s="61"/>
      <c r="AC842" s="61"/>
      <c r="AD842" s="62"/>
      <c r="AE842" s="62"/>
      <c r="AF842" s="34"/>
      <c r="AG842" s="34"/>
      <c r="AH842" s="34"/>
      <c r="AI842" s="34"/>
      <c r="AJ842" s="34"/>
      <c r="AK842" s="34"/>
      <c r="AL842" s="34"/>
      <c r="AM842" s="34"/>
      <c r="AN842" s="34"/>
      <c r="AO842" s="34"/>
      <c r="AP842" s="34"/>
      <c r="AQ842" s="34"/>
      <c r="AR842" s="34"/>
      <c r="AS842" s="34"/>
      <c r="AT842" s="34"/>
      <c r="AU842" s="34"/>
      <c r="AV842" s="34"/>
      <c r="AW842" s="34"/>
      <c r="AX842" s="34"/>
      <c r="AY842" s="34"/>
      <c r="AZ842" s="34"/>
      <c r="BA842" s="34"/>
      <c r="BB842" s="34"/>
      <c r="BD842" s="34"/>
      <c r="BE842" s="34"/>
      <c r="BF842" s="34"/>
      <c r="BG842" s="34"/>
      <c r="BH842" s="34"/>
      <c r="BI842" s="34"/>
      <c r="BJ842" s="34"/>
      <c r="BK842" s="34"/>
      <c r="BL842" s="34"/>
      <c r="BM842" s="34"/>
      <c r="BN842" s="34"/>
      <c r="BO842" s="34"/>
      <c r="BP842" s="34"/>
      <c r="BQ842" s="34"/>
      <c r="BR842" s="34"/>
      <c r="BS842" s="34"/>
      <c r="BT842" s="34"/>
      <c r="BU842" s="34"/>
      <c r="BV842" s="34"/>
      <c r="BW842" s="34"/>
      <c r="BX842" s="34"/>
      <c r="BY842" s="34"/>
    </row>
    <row r="843" spans="1:77" x14ac:dyDescent="0.3">
      <c r="A843" s="39"/>
      <c r="B843" s="42"/>
      <c r="C843" s="42"/>
      <c r="D843" s="75"/>
      <c r="E843" s="75"/>
      <c r="F843" s="76"/>
      <c r="G843" s="47"/>
      <c r="H843" s="47"/>
      <c r="I843" s="75"/>
      <c r="J843" s="76"/>
      <c r="K843" s="76"/>
      <c r="L843" s="75"/>
      <c r="M843" s="49"/>
      <c r="N843" s="76"/>
      <c r="O843" s="49"/>
      <c r="P843" s="77"/>
      <c r="Q843" s="53"/>
      <c r="R843" s="54"/>
      <c r="S843" s="55"/>
      <c r="T843" s="56"/>
      <c r="U843" s="56"/>
      <c r="V843" s="42"/>
      <c r="W843" s="57"/>
      <c r="X843" s="58"/>
      <c r="Y843" s="75"/>
      <c r="Z843" s="59"/>
      <c r="AA843" s="61"/>
      <c r="AB843" s="61"/>
      <c r="AC843" s="61"/>
      <c r="AD843" s="62"/>
      <c r="AE843" s="62"/>
      <c r="AF843" s="34"/>
      <c r="AG843" s="34"/>
      <c r="AH843" s="34"/>
      <c r="AI843" s="34"/>
      <c r="AJ843" s="34"/>
      <c r="AK843" s="34"/>
      <c r="AL843" s="34"/>
      <c r="AM843" s="34"/>
      <c r="AN843" s="34"/>
      <c r="AO843" s="34"/>
      <c r="AP843" s="34"/>
      <c r="AQ843" s="34"/>
      <c r="AR843" s="34"/>
      <c r="AS843" s="34"/>
      <c r="AT843" s="34"/>
      <c r="AU843" s="34"/>
      <c r="AV843" s="34"/>
      <c r="AW843" s="34"/>
      <c r="AX843" s="34"/>
      <c r="AY843" s="34"/>
      <c r="AZ843" s="34"/>
      <c r="BA843" s="34"/>
      <c r="BB843" s="34"/>
      <c r="BD843" s="34"/>
      <c r="BE843" s="34"/>
      <c r="BF843" s="34"/>
      <c r="BG843" s="34"/>
      <c r="BH843" s="34"/>
      <c r="BI843" s="34"/>
      <c r="BJ843" s="34"/>
      <c r="BK843" s="34"/>
      <c r="BL843" s="34"/>
      <c r="BM843" s="34"/>
      <c r="BN843" s="34"/>
      <c r="BO843" s="34"/>
      <c r="BP843" s="34"/>
      <c r="BQ843" s="34"/>
      <c r="BR843" s="34"/>
      <c r="BS843" s="34"/>
      <c r="BT843" s="34"/>
      <c r="BU843" s="34"/>
      <c r="BV843" s="34"/>
      <c r="BW843" s="34"/>
      <c r="BX843" s="34"/>
      <c r="BY843" s="34"/>
    </row>
    <row r="844" spans="1:77" x14ac:dyDescent="0.3">
      <c r="A844" s="39"/>
      <c r="B844" s="42"/>
      <c r="C844" s="42"/>
      <c r="D844" s="75"/>
      <c r="E844" s="75"/>
      <c r="F844" s="76"/>
      <c r="G844" s="47"/>
      <c r="H844" s="47"/>
      <c r="I844" s="75"/>
      <c r="J844" s="76"/>
      <c r="K844" s="76"/>
      <c r="L844" s="75"/>
      <c r="M844" s="49"/>
      <c r="N844" s="76"/>
      <c r="O844" s="49"/>
      <c r="P844" s="77"/>
      <c r="Q844" s="53"/>
      <c r="R844" s="54"/>
      <c r="S844" s="55"/>
      <c r="T844" s="56"/>
      <c r="U844" s="56"/>
      <c r="V844" s="42"/>
      <c r="W844" s="57"/>
      <c r="X844" s="58"/>
      <c r="Y844" s="75"/>
      <c r="Z844" s="59"/>
      <c r="AA844" s="61"/>
      <c r="AB844" s="61"/>
      <c r="AC844" s="61"/>
      <c r="AD844" s="62"/>
      <c r="AE844" s="62"/>
      <c r="AF844" s="34"/>
      <c r="AG844" s="34"/>
      <c r="AH844" s="34"/>
      <c r="AI844" s="34"/>
      <c r="AJ844" s="34"/>
      <c r="AK844" s="34"/>
      <c r="AL844" s="34"/>
      <c r="AM844" s="34"/>
      <c r="AN844" s="34"/>
      <c r="AO844" s="34"/>
      <c r="AP844" s="34"/>
      <c r="AQ844" s="34"/>
      <c r="AR844" s="34"/>
      <c r="AS844" s="34"/>
      <c r="AT844" s="34"/>
      <c r="AU844" s="34"/>
      <c r="AV844" s="34"/>
      <c r="AW844" s="34"/>
      <c r="AX844" s="34"/>
      <c r="AY844" s="34"/>
      <c r="AZ844" s="34"/>
      <c r="BA844" s="34"/>
      <c r="BB844" s="34"/>
      <c r="BD844" s="34"/>
      <c r="BE844" s="34"/>
      <c r="BF844" s="34"/>
      <c r="BG844" s="34"/>
      <c r="BH844" s="34"/>
      <c r="BI844" s="34"/>
      <c r="BJ844" s="34"/>
      <c r="BK844" s="34"/>
      <c r="BL844" s="34"/>
      <c r="BM844" s="34"/>
      <c r="BN844" s="34"/>
      <c r="BO844" s="34"/>
      <c r="BP844" s="34"/>
      <c r="BQ844" s="34"/>
      <c r="BR844" s="34"/>
      <c r="BS844" s="34"/>
      <c r="BT844" s="34"/>
      <c r="BU844" s="34"/>
      <c r="BV844" s="34"/>
      <c r="BW844" s="34"/>
      <c r="BX844" s="34"/>
      <c r="BY844" s="34"/>
    </row>
    <row r="845" spans="1:77" x14ac:dyDescent="0.3">
      <c r="A845" s="39"/>
      <c r="B845" s="42"/>
      <c r="C845" s="42"/>
      <c r="D845" s="75"/>
      <c r="E845" s="75"/>
      <c r="F845" s="76"/>
      <c r="G845" s="47"/>
      <c r="H845" s="47"/>
      <c r="I845" s="75"/>
      <c r="J845" s="76"/>
      <c r="K845" s="76"/>
      <c r="L845" s="75"/>
      <c r="M845" s="49"/>
      <c r="N845" s="76"/>
      <c r="O845" s="49"/>
      <c r="P845" s="77"/>
      <c r="Q845" s="53"/>
      <c r="R845" s="54"/>
      <c r="S845" s="55"/>
      <c r="T845" s="56"/>
      <c r="U845" s="56"/>
      <c r="V845" s="42"/>
      <c r="W845" s="57"/>
      <c r="X845" s="58"/>
      <c r="Y845" s="75"/>
      <c r="Z845" s="59"/>
      <c r="AA845" s="61"/>
      <c r="AB845" s="61"/>
      <c r="AC845" s="61"/>
      <c r="AD845" s="62"/>
      <c r="AE845" s="62"/>
      <c r="AF845" s="34"/>
      <c r="AG845" s="34"/>
      <c r="AH845" s="34"/>
      <c r="AI845" s="34"/>
      <c r="AJ845" s="34"/>
      <c r="AK845" s="34"/>
      <c r="AL845" s="34"/>
      <c r="AM845" s="34"/>
      <c r="AN845" s="34"/>
      <c r="AO845" s="34"/>
      <c r="AP845" s="34"/>
      <c r="AQ845" s="34"/>
      <c r="AR845" s="34"/>
      <c r="AS845" s="34"/>
      <c r="AT845" s="34"/>
      <c r="AU845" s="34"/>
      <c r="AV845" s="34"/>
      <c r="AW845" s="34"/>
      <c r="AX845" s="34"/>
      <c r="AY845" s="34"/>
      <c r="AZ845" s="34"/>
      <c r="BA845" s="34"/>
      <c r="BB845" s="34"/>
      <c r="BD845" s="34"/>
      <c r="BE845" s="34"/>
      <c r="BF845" s="34"/>
      <c r="BG845" s="34"/>
      <c r="BH845" s="34"/>
      <c r="BI845" s="34"/>
      <c r="BJ845" s="34"/>
      <c r="BK845" s="34"/>
      <c r="BL845" s="34"/>
      <c r="BM845" s="34"/>
      <c r="BN845" s="34"/>
      <c r="BO845" s="34"/>
      <c r="BP845" s="34"/>
      <c r="BQ845" s="34"/>
      <c r="BR845" s="34"/>
      <c r="BS845" s="34"/>
      <c r="BT845" s="34"/>
      <c r="BU845" s="34"/>
      <c r="BV845" s="34"/>
      <c r="BW845" s="34"/>
      <c r="BX845" s="34"/>
      <c r="BY845" s="34"/>
    </row>
    <row r="846" spans="1:77" x14ac:dyDescent="0.3">
      <c r="A846" s="39"/>
      <c r="B846" s="42"/>
      <c r="C846" s="42"/>
      <c r="D846" s="75"/>
      <c r="E846" s="75"/>
      <c r="F846" s="76"/>
      <c r="G846" s="47"/>
      <c r="H846" s="47"/>
      <c r="I846" s="75"/>
      <c r="J846" s="76"/>
      <c r="K846" s="76"/>
      <c r="L846" s="75"/>
      <c r="M846" s="49"/>
      <c r="N846" s="76"/>
      <c r="O846" s="49"/>
      <c r="P846" s="77"/>
      <c r="Q846" s="53"/>
      <c r="R846" s="54"/>
      <c r="S846" s="55"/>
      <c r="T846" s="56"/>
      <c r="U846" s="56"/>
      <c r="V846" s="42"/>
      <c r="W846" s="57"/>
      <c r="X846" s="58"/>
      <c r="Y846" s="75"/>
      <c r="Z846" s="59"/>
      <c r="AA846" s="61"/>
      <c r="AB846" s="61"/>
      <c r="AC846" s="61"/>
      <c r="AD846" s="62"/>
      <c r="AE846" s="62"/>
      <c r="AF846" s="34"/>
      <c r="AG846" s="34"/>
      <c r="AH846" s="34"/>
      <c r="AI846" s="34"/>
      <c r="AJ846" s="34"/>
      <c r="AK846" s="34"/>
      <c r="AL846" s="34"/>
      <c r="AM846" s="34"/>
      <c r="AN846" s="34"/>
      <c r="AO846" s="34"/>
      <c r="AP846" s="34"/>
      <c r="AQ846" s="34"/>
      <c r="AR846" s="34"/>
      <c r="AS846" s="34"/>
      <c r="AT846" s="34"/>
      <c r="AU846" s="34"/>
      <c r="AV846" s="34"/>
      <c r="AW846" s="34"/>
      <c r="AX846" s="34"/>
      <c r="AY846" s="34"/>
      <c r="AZ846" s="34"/>
      <c r="BA846" s="34"/>
      <c r="BB846" s="34"/>
      <c r="BD846" s="34"/>
      <c r="BE846" s="34"/>
      <c r="BF846" s="34"/>
      <c r="BG846" s="34"/>
      <c r="BH846" s="34"/>
      <c r="BI846" s="34"/>
      <c r="BJ846" s="34"/>
      <c r="BK846" s="34"/>
      <c r="BL846" s="34"/>
      <c r="BM846" s="34"/>
      <c r="BN846" s="34"/>
      <c r="BO846" s="34"/>
      <c r="BP846" s="34"/>
      <c r="BQ846" s="34"/>
      <c r="BR846" s="34"/>
      <c r="BS846" s="34"/>
      <c r="BT846" s="34"/>
      <c r="BU846" s="34"/>
      <c r="BV846" s="34"/>
      <c r="BW846" s="34"/>
      <c r="BX846" s="34"/>
      <c r="BY846" s="34"/>
    </row>
    <row r="847" spans="1:77" x14ac:dyDescent="0.3">
      <c r="A847" s="39"/>
      <c r="B847" s="42"/>
      <c r="C847" s="42"/>
      <c r="D847" s="75"/>
      <c r="E847" s="75"/>
      <c r="F847" s="76"/>
      <c r="G847" s="47"/>
      <c r="H847" s="47"/>
      <c r="I847" s="75"/>
      <c r="J847" s="76"/>
      <c r="K847" s="76"/>
      <c r="L847" s="75"/>
      <c r="M847" s="49"/>
      <c r="N847" s="76"/>
      <c r="O847" s="49"/>
      <c r="P847" s="77"/>
      <c r="Q847" s="53"/>
      <c r="R847" s="54"/>
      <c r="S847" s="55"/>
      <c r="T847" s="56"/>
      <c r="U847" s="56"/>
      <c r="V847" s="42"/>
      <c r="W847" s="57"/>
      <c r="X847" s="58"/>
      <c r="Y847" s="75"/>
      <c r="Z847" s="59"/>
      <c r="AA847" s="61"/>
      <c r="AB847" s="61"/>
      <c r="AC847" s="61"/>
      <c r="AD847" s="62"/>
      <c r="AE847" s="62"/>
      <c r="AF847" s="34"/>
      <c r="AG847" s="34"/>
      <c r="AH847" s="34"/>
      <c r="AI847" s="34"/>
      <c r="AJ847" s="34"/>
      <c r="AK847" s="34"/>
      <c r="AL847" s="34"/>
      <c r="AM847" s="34"/>
      <c r="AN847" s="34"/>
      <c r="AO847" s="34"/>
      <c r="AP847" s="34"/>
      <c r="AQ847" s="34"/>
      <c r="AR847" s="34"/>
      <c r="AS847" s="34"/>
      <c r="AT847" s="34"/>
      <c r="AU847" s="34"/>
      <c r="AV847" s="34"/>
      <c r="AW847" s="34"/>
      <c r="AX847" s="34"/>
      <c r="AY847" s="34"/>
      <c r="AZ847" s="34"/>
      <c r="BA847" s="34"/>
      <c r="BB847" s="34"/>
      <c r="BD847" s="34"/>
      <c r="BE847" s="34"/>
      <c r="BF847" s="34"/>
      <c r="BG847" s="34"/>
      <c r="BH847" s="34"/>
      <c r="BI847" s="34"/>
      <c r="BJ847" s="34"/>
      <c r="BK847" s="34"/>
      <c r="BL847" s="34"/>
      <c r="BM847" s="34"/>
      <c r="BN847" s="34"/>
      <c r="BO847" s="34"/>
      <c r="BP847" s="34"/>
      <c r="BQ847" s="34"/>
      <c r="BR847" s="34"/>
      <c r="BS847" s="34"/>
      <c r="BT847" s="34"/>
      <c r="BU847" s="34"/>
      <c r="BV847" s="34"/>
      <c r="BW847" s="34"/>
      <c r="BX847" s="34"/>
      <c r="BY847" s="34"/>
    </row>
    <row r="848" spans="1:77" x14ac:dyDescent="0.3">
      <c r="A848" s="39"/>
      <c r="B848" s="42"/>
      <c r="C848" s="42"/>
      <c r="D848" s="75"/>
      <c r="E848" s="75"/>
      <c r="F848" s="76"/>
      <c r="G848" s="47"/>
      <c r="H848" s="47"/>
      <c r="I848" s="75"/>
      <c r="J848" s="76"/>
      <c r="K848" s="76"/>
      <c r="L848" s="75"/>
      <c r="M848" s="49"/>
      <c r="N848" s="76"/>
      <c r="O848" s="49"/>
      <c r="P848" s="77"/>
      <c r="Q848" s="53"/>
      <c r="R848" s="54"/>
      <c r="S848" s="55"/>
      <c r="T848" s="56"/>
      <c r="U848" s="56"/>
      <c r="V848" s="42"/>
      <c r="W848" s="57"/>
      <c r="X848" s="58"/>
      <c r="Y848" s="75"/>
      <c r="Z848" s="59"/>
      <c r="AA848" s="61"/>
      <c r="AB848" s="61"/>
      <c r="AC848" s="61"/>
      <c r="AD848" s="62"/>
      <c r="AE848" s="62"/>
      <c r="AF848" s="34"/>
      <c r="AG848" s="34"/>
      <c r="AH848" s="34"/>
      <c r="AI848" s="34"/>
      <c r="AJ848" s="34"/>
      <c r="AK848" s="34"/>
      <c r="AL848" s="34"/>
      <c r="AM848" s="34"/>
      <c r="AN848" s="34"/>
      <c r="AO848" s="34"/>
      <c r="AP848" s="34"/>
      <c r="AQ848" s="34"/>
      <c r="AR848" s="34"/>
      <c r="AS848" s="34"/>
      <c r="AT848" s="34"/>
      <c r="AU848" s="34"/>
      <c r="AV848" s="34"/>
      <c r="AW848" s="34"/>
      <c r="AX848" s="34"/>
      <c r="AY848" s="34"/>
      <c r="AZ848" s="34"/>
      <c r="BA848" s="34"/>
      <c r="BB848" s="34"/>
      <c r="BD848" s="34"/>
      <c r="BE848" s="34"/>
      <c r="BF848" s="34"/>
      <c r="BG848" s="34"/>
      <c r="BH848" s="34"/>
      <c r="BI848" s="34"/>
      <c r="BJ848" s="34"/>
      <c r="BK848" s="34"/>
      <c r="BL848" s="34"/>
      <c r="BM848" s="34"/>
      <c r="BN848" s="34"/>
      <c r="BO848" s="34"/>
      <c r="BP848" s="34"/>
      <c r="BQ848" s="34"/>
      <c r="BR848" s="34"/>
      <c r="BS848" s="34"/>
      <c r="BT848" s="34"/>
      <c r="BU848" s="34"/>
      <c r="BV848" s="34"/>
      <c r="BW848" s="34"/>
      <c r="BX848" s="34"/>
      <c r="BY848" s="34"/>
    </row>
    <row r="849" spans="1:77" x14ac:dyDescent="0.3">
      <c r="A849" s="39"/>
      <c r="B849" s="42"/>
      <c r="C849" s="42"/>
      <c r="D849" s="75"/>
      <c r="E849" s="75"/>
      <c r="F849" s="76"/>
      <c r="G849" s="47"/>
      <c r="H849" s="47"/>
      <c r="I849" s="75"/>
      <c r="J849" s="76"/>
      <c r="K849" s="76"/>
      <c r="L849" s="75"/>
      <c r="M849" s="49"/>
      <c r="N849" s="76"/>
      <c r="O849" s="49"/>
      <c r="P849" s="77"/>
      <c r="Q849" s="53"/>
      <c r="R849" s="54"/>
      <c r="S849" s="55"/>
      <c r="T849" s="56"/>
      <c r="U849" s="56"/>
      <c r="V849" s="42"/>
      <c r="W849" s="57"/>
      <c r="X849" s="58"/>
      <c r="Y849" s="75"/>
      <c r="Z849" s="59"/>
      <c r="AA849" s="61"/>
      <c r="AB849" s="61"/>
      <c r="AC849" s="61"/>
      <c r="AD849" s="62"/>
      <c r="AE849" s="62"/>
      <c r="AF849" s="34"/>
      <c r="AG849" s="34"/>
      <c r="AH849" s="34"/>
      <c r="AI849" s="34"/>
      <c r="AJ849" s="34"/>
      <c r="AK849" s="34"/>
      <c r="AL849" s="34"/>
      <c r="AM849" s="34"/>
      <c r="AN849" s="34"/>
      <c r="AO849" s="34"/>
      <c r="AP849" s="34"/>
      <c r="AQ849" s="34"/>
      <c r="AR849" s="34"/>
      <c r="AS849" s="34"/>
      <c r="AT849" s="34"/>
      <c r="AU849" s="34"/>
      <c r="AV849" s="34"/>
      <c r="AW849" s="34"/>
      <c r="AX849" s="34"/>
      <c r="AY849" s="34"/>
      <c r="AZ849" s="34"/>
      <c r="BA849" s="34"/>
      <c r="BB849" s="34"/>
      <c r="BD849" s="34"/>
      <c r="BE849" s="34"/>
      <c r="BF849" s="34"/>
      <c r="BG849" s="34"/>
      <c r="BH849" s="34"/>
      <c r="BI849" s="34"/>
      <c r="BJ849" s="34"/>
      <c r="BK849" s="34"/>
      <c r="BL849" s="34"/>
      <c r="BM849" s="34"/>
      <c r="BN849" s="34"/>
      <c r="BO849" s="34"/>
      <c r="BP849" s="34"/>
      <c r="BQ849" s="34"/>
      <c r="BR849" s="34"/>
      <c r="BS849" s="34"/>
      <c r="BT849" s="34"/>
      <c r="BU849" s="34"/>
      <c r="BV849" s="34"/>
      <c r="BW849" s="34"/>
      <c r="BX849" s="34"/>
      <c r="BY849" s="34"/>
    </row>
    <row r="850" spans="1:77" x14ac:dyDescent="0.3">
      <c r="A850" s="39"/>
      <c r="B850" s="42"/>
      <c r="C850" s="42"/>
      <c r="D850" s="75"/>
      <c r="E850" s="75"/>
      <c r="F850" s="76"/>
      <c r="G850" s="47"/>
      <c r="H850" s="47"/>
      <c r="I850" s="75"/>
      <c r="J850" s="76"/>
      <c r="K850" s="76"/>
      <c r="L850" s="75"/>
      <c r="M850" s="49"/>
      <c r="N850" s="76"/>
      <c r="O850" s="49"/>
      <c r="P850" s="77"/>
      <c r="Q850" s="53"/>
      <c r="R850" s="54"/>
      <c r="S850" s="55"/>
      <c r="T850" s="56"/>
      <c r="U850" s="56"/>
      <c r="V850" s="42"/>
      <c r="W850" s="57"/>
      <c r="X850" s="58"/>
      <c r="Y850" s="75"/>
      <c r="Z850" s="59"/>
      <c r="AA850" s="61"/>
      <c r="AB850" s="61"/>
      <c r="AC850" s="61"/>
      <c r="AD850" s="62"/>
      <c r="AE850" s="62"/>
      <c r="AF850" s="34"/>
      <c r="AG850" s="34"/>
      <c r="AH850" s="34"/>
      <c r="AI850" s="34"/>
      <c r="AJ850" s="34"/>
      <c r="AK850" s="34"/>
      <c r="AL850" s="34"/>
      <c r="AM850" s="34"/>
      <c r="AN850" s="34"/>
      <c r="AO850" s="34"/>
      <c r="AP850" s="34"/>
      <c r="AQ850" s="34"/>
      <c r="AR850" s="34"/>
      <c r="AS850" s="34"/>
      <c r="AT850" s="34"/>
      <c r="AU850" s="34"/>
      <c r="AV850" s="34"/>
      <c r="AW850" s="34"/>
      <c r="AX850" s="34"/>
      <c r="AY850" s="34"/>
      <c r="AZ850" s="34"/>
      <c r="BA850" s="34"/>
      <c r="BB850" s="34"/>
      <c r="BD850" s="34"/>
      <c r="BE850" s="34"/>
      <c r="BF850" s="34"/>
      <c r="BG850" s="34"/>
      <c r="BH850" s="34"/>
      <c r="BI850" s="34"/>
      <c r="BJ850" s="34"/>
      <c r="BK850" s="34"/>
      <c r="BL850" s="34"/>
      <c r="BM850" s="34"/>
      <c r="BN850" s="34"/>
      <c r="BO850" s="34"/>
      <c r="BP850" s="34"/>
      <c r="BQ850" s="34"/>
      <c r="BR850" s="34"/>
      <c r="BS850" s="34"/>
      <c r="BT850" s="34"/>
      <c r="BU850" s="34"/>
      <c r="BV850" s="34"/>
      <c r="BW850" s="34"/>
      <c r="BX850" s="34"/>
      <c r="BY850" s="34"/>
    </row>
    <row r="851" spans="1:77" x14ac:dyDescent="0.3">
      <c r="A851" s="39"/>
      <c r="B851" s="42"/>
      <c r="C851" s="42"/>
      <c r="D851" s="75"/>
      <c r="E851" s="75"/>
      <c r="F851" s="76"/>
      <c r="G851" s="47"/>
      <c r="H851" s="47"/>
      <c r="I851" s="75"/>
      <c r="J851" s="76"/>
      <c r="K851" s="76"/>
      <c r="L851" s="75"/>
      <c r="M851" s="49"/>
      <c r="N851" s="76"/>
      <c r="O851" s="49"/>
      <c r="P851" s="77"/>
      <c r="Q851" s="53"/>
      <c r="R851" s="54"/>
      <c r="S851" s="55"/>
      <c r="T851" s="56"/>
      <c r="U851" s="56"/>
      <c r="V851" s="42"/>
      <c r="W851" s="57"/>
      <c r="X851" s="58"/>
      <c r="Y851" s="75"/>
      <c r="Z851" s="59"/>
      <c r="AA851" s="61"/>
      <c r="AB851" s="61"/>
      <c r="AC851" s="61"/>
      <c r="AD851" s="62"/>
      <c r="AE851" s="62"/>
      <c r="AF851" s="34"/>
      <c r="AG851" s="34"/>
      <c r="AH851" s="34"/>
      <c r="AI851" s="34"/>
      <c r="AJ851" s="34"/>
      <c r="AK851" s="34"/>
      <c r="AL851" s="34"/>
      <c r="AM851" s="34"/>
      <c r="AN851" s="34"/>
      <c r="AO851" s="34"/>
      <c r="AP851" s="34"/>
      <c r="AQ851" s="34"/>
      <c r="AR851" s="34"/>
      <c r="AS851" s="34"/>
      <c r="AT851" s="34"/>
      <c r="AU851" s="34"/>
      <c r="AV851" s="34"/>
      <c r="AW851" s="34"/>
      <c r="AX851" s="34"/>
      <c r="AY851" s="34"/>
      <c r="AZ851" s="34"/>
      <c r="BA851" s="34"/>
      <c r="BB851" s="34"/>
      <c r="BD851" s="34"/>
      <c r="BE851" s="34"/>
      <c r="BF851" s="34"/>
      <c r="BG851" s="34"/>
      <c r="BH851" s="34"/>
      <c r="BI851" s="34"/>
      <c r="BJ851" s="34"/>
      <c r="BK851" s="34"/>
      <c r="BL851" s="34"/>
      <c r="BM851" s="34"/>
      <c r="BN851" s="34"/>
      <c r="BO851" s="34"/>
      <c r="BP851" s="34"/>
      <c r="BQ851" s="34"/>
      <c r="BR851" s="34"/>
      <c r="BS851" s="34"/>
      <c r="BT851" s="34"/>
      <c r="BU851" s="34"/>
      <c r="BV851" s="34"/>
      <c r="BW851" s="34"/>
      <c r="BX851" s="34"/>
      <c r="BY851" s="34"/>
    </row>
    <row r="852" spans="1:77" x14ac:dyDescent="0.3">
      <c r="A852" s="39"/>
      <c r="B852" s="42"/>
      <c r="C852" s="42"/>
      <c r="D852" s="75"/>
      <c r="E852" s="75"/>
      <c r="F852" s="76"/>
      <c r="G852" s="47"/>
      <c r="H852" s="47"/>
      <c r="I852" s="75"/>
      <c r="J852" s="76"/>
      <c r="K852" s="76"/>
      <c r="L852" s="75"/>
      <c r="M852" s="49"/>
      <c r="N852" s="76"/>
      <c r="O852" s="49"/>
      <c r="P852" s="77"/>
      <c r="Q852" s="53"/>
      <c r="R852" s="54"/>
      <c r="S852" s="55"/>
      <c r="T852" s="56"/>
      <c r="U852" s="56"/>
      <c r="V852" s="42"/>
      <c r="W852" s="57"/>
      <c r="X852" s="58"/>
      <c r="Y852" s="75"/>
      <c r="Z852" s="59"/>
      <c r="AA852" s="61"/>
      <c r="AB852" s="61"/>
      <c r="AC852" s="61"/>
      <c r="AD852" s="62"/>
      <c r="AE852" s="62"/>
      <c r="AF852" s="34"/>
      <c r="AG852" s="34"/>
      <c r="AH852" s="34"/>
      <c r="AI852" s="34"/>
      <c r="AJ852" s="34"/>
      <c r="AK852" s="34"/>
      <c r="AL852" s="34"/>
      <c r="AM852" s="34"/>
      <c r="AN852" s="34"/>
      <c r="AO852" s="34"/>
      <c r="AP852" s="34"/>
      <c r="AQ852" s="34"/>
      <c r="AR852" s="34"/>
      <c r="AS852" s="34"/>
      <c r="AT852" s="34"/>
      <c r="AU852" s="34"/>
      <c r="AV852" s="34"/>
      <c r="AW852" s="34"/>
      <c r="AX852" s="34"/>
      <c r="AY852" s="34"/>
      <c r="AZ852" s="34"/>
      <c r="BA852" s="34"/>
      <c r="BB852" s="34"/>
      <c r="BD852" s="34"/>
      <c r="BE852" s="34"/>
      <c r="BF852" s="34"/>
      <c r="BG852" s="34"/>
      <c r="BH852" s="34"/>
      <c r="BI852" s="34"/>
      <c r="BJ852" s="34"/>
      <c r="BK852" s="34"/>
      <c r="BL852" s="34"/>
      <c r="BM852" s="34"/>
      <c r="BN852" s="34"/>
      <c r="BO852" s="34"/>
      <c r="BP852" s="34"/>
      <c r="BQ852" s="34"/>
      <c r="BR852" s="34"/>
      <c r="BS852" s="34"/>
      <c r="BT852" s="34"/>
      <c r="BU852" s="34"/>
      <c r="BV852" s="34"/>
      <c r="BW852" s="34"/>
      <c r="BX852" s="34"/>
      <c r="BY852" s="34"/>
    </row>
    <row r="853" spans="1:77" x14ac:dyDescent="0.3">
      <c r="A853" s="39"/>
      <c r="B853" s="42"/>
      <c r="C853" s="42"/>
      <c r="D853" s="75"/>
      <c r="E853" s="75"/>
      <c r="F853" s="76"/>
      <c r="G853" s="47"/>
      <c r="H853" s="47"/>
      <c r="I853" s="75"/>
      <c r="J853" s="76"/>
      <c r="K853" s="76"/>
      <c r="L853" s="75"/>
      <c r="M853" s="49"/>
      <c r="N853" s="76"/>
      <c r="O853" s="49"/>
      <c r="P853" s="77"/>
      <c r="Q853" s="53"/>
      <c r="R853" s="54"/>
      <c r="S853" s="55"/>
      <c r="T853" s="56"/>
      <c r="U853" s="56"/>
      <c r="V853" s="42"/>
      <c r="W853" s="57"/>
      <c r="X853" s="58"/>
      <c r="Y853" s="75"/>
      <c r="Z853" s="59"/>
      <c r="AA853" s="61"/>
      <c r="AB853" s="61"/>
      <c r="AC853" s="61"/>
      <c r="AD853" s="62"/>
      <c r="AE853" s="62"/>
      <c r="AF853" s="34"/>
      <c r="AG853" s="34"/>
      <c r="AH853" s="34"/>
      <c r="AI853" s="34"/>
      <c r="AJ853" s="34"/>
      <c r="AK853" s="34"/>
      <c r="AL853" s="34"/>
      <c r="AM853" s="34"/>
      <c r="AN853" s="34"/>
      <c r="AO853" s="34"/>
      <c r="AP853" s="34"/>
      <c r="AQ853" s="34"/>
      <c r="AR853" s="34"/>
      <c r="AS853" s="34"/>
      <c r="AT853" s="34"/>
      <c r="AU853" s="34"/>
      <c r="AV853" s="34"/>
      <c r="AW853" s="34"/>
      <c r="AX853" s="34"/>
      <c r="AY853" s="34"/>
      <c r="AZ853" s="34"/>
      <c r="BA853" s="34"/>
      <c r="BB853" s="34"/>
      <c r="BD853" s="34"/>
      <c r="BE853" s="34"/>
      <c r="BF853" s="34"/>
      <c r="BG853" s="34"/>
      <c r="BH853" s="34"/>
      <c r="BI853" s="34"/>
      <c r="BJ853" s="34"/>
      <c r="BK853" s="34"/>
      <c r="BL853" s="34"/>
      <c r="BM853" s="34"/>
      <c r="BN853" s="34"/>
      <c r="BO853" s="34"/>
      <c r="BP853" s="34"/>
      <c r="BQ853" s="34"/>
      <c r="BR853" s="34"/>
      <c r="BS853" s="34"/>
      <c r="BT853" s="34"/>
      <c r="BU853" s="34"/>
      <c r="BV853" s="34"/>
      <c r="BW853" s="34"/>
      <c r="BX853" s="34"/>
      <c r="BY853" s="34"/>
    </row>
    <row r="854" spans="1:77" x14ac:dyDescent="0.3">
      <c r="A854" s="39"/>
      <c r="B854" s="42"/>
      <c r="C854" s="42"/>
      <c r="D854" s="75"/>
      <c r="E854" s="75"/>
      <c r="F854" s="76"/>
      <c r="G854" s="47"/>
      <c r="H854" s="47"/>
      <c r="I854" s="75"/>
      <c r="J854" s="76"/>
      <c r="K854" s="76"/>
      <c r="L854" s="75"/>
      <c r="M854" s="49"/>
      <c r="N854" s="76"/>
      <c r="O854" s="49"/>
      <c r="P854" s="77"/>
      <c r="Q854" s="53"/>
      <c r="R854" s="54"/>
      <c r="S854" s="55"/>
      <c r="T854" s="56"/>
      <c r="U854" s="56"/>
      <c r="V854" s="42"/>
      <c r="W854" s="57"/>
      <c r="X854" s="58"/>
      <c r="Y854" s="75"/>
      <c r="Z854" s="59"/>
      <c r="AA854" s="61"/>
      <c r="AB854" s="61"/>
      <c r="AC854" s="61"/>
      <c r="AD854" s="62"/>
      <c r="AE854" s="62"/>
      <c r="AF854" s="34"/>
      <c r="AG854" s="34"/>
      <c r="AH854" s="34"/>
      <c r="AI854" s="34"/>
      <c r="AJ854" s="34"/>
      <c r="AK854" s="34"/>
      <c r="AL854" s="34"/>
      <c r="AM854" s="34"/>
      <c r="AN854" s="34"/>
      <c r="AO854" s="34"/>
      <c r="AP854" s="34"/>
      <c r="AQ854" s="34"/>
      <c r="AR854" s="34"/>
      <c r="AS854" s="34"/>
      <c r="AT854" s="34"/>
      <c r="AU854" s="34"/>
      <c r="AV854" s="34"/>
      <c r="AW854" s="34"/>
      <c r="AX854" s="34"/>
      <c r="AY854" s="34"/>
      <c r="AZ854" s="34"/>
      <c r="BA854" s="34"/>
      <c r="BB854" s="34"/>
      <c r="BD854" s="34"/>
      <c r="BE854" s="34"/>
      <c r="BF854" s="34"/>
      <c r="BG854" s="34"/>
      <c r="BH854" s="34"/>
      <c r="BI854" s="34"/>
      <c r="BJ854" s="34"/>
      <c r="BK854" s="34"/>
      <c r="BL854" s="34"/>
      <c r="BM854" s="34"/>
      <c r="BN854" s="34"/>
      <c r="BO854" s="34"/>
      <c r="BP854" s="34"/>
      <c r="BQ854" s="34"/>
      <c r="BR854" s="34"/>
      <c r="BS854" s="34"/>
      <c r="BT854" s="34"/>
      <c r="BU854" s="34"/>
      <c r="BV854" s="34"/>
      <c r="BW854" s="34"/>
      <c r="BX854" s="34"/>
      <c r="BY854" s="34"/>
    </row>
    <row r="855" spans="1:77" x14ac:dyDescent="0.3">
      <c r="A855" s="39"/>
      <c r="B855" s="42"/>
      <c r="C855" s="42"/>
      <c r="D855" s="75"/>
      <c r="E855" s="75"/>
      <c r="F855" s="76"/>
      <c r="G855" s="47"/>
      <c r="H855" s="47"/>
      <c r="I855" s="75"/>
      <c r="J855" s="76"/>
      <c r="K855" s="76"/>
      <c r="L855" s="75"/>
      <c r="M855" s="49"/>
      <c r="N855" s="76"/>
      <c r="O855" s="49"/>
      <c r="P855" s="77"/>
      <c r="Q855" s="53"/>
      <c r="R855" s="54"/>
      <c r="S855" s="55"/>
      <c r="T855" s="56"/>
      <c r="U855" s="56"/>
      <c r="V855" s="42"/>
      <c r="W855" s="57"/>
      <c r="X855" s="58"/>
      <c r="Y855" s="75"/>
      <c r="Z855" s="59"/>
      <c r="AA855" s="61"/>
      <c r="AB855" s="61"/>
      <c r="AC855" s="61"/>
      <c r="AD855" s="62"/>
      <c r="AE855" s="62"/>
      <c r="AF855" s="34"/>
      <c r="AG855" s="34"/>
      <c r="AH855" s="34"/>
      <c r="AI855" s="34"/>
      <c r="AJ855" s="34"/>
      <c r="AK855" s="34"/>
      <c r="AL855" s="34"/>
      <c r="AM855" s="34"/>
      <c r="AN855" s="34"/>
      <c r="AO855" s="34"/>
      <c r="AP855" s="34"/>
      <c r="AQ855" s="34"/>
      <c r="AR855" s="34"/>
      <c r="AS855" s="34"/>
      <c r="AT855" s="34"/>
      <c r="AU855" s="34"/>
      <c r="AV855" s="34"/>
      <c r="AW855" s="34"/>
      <c r="AX855" s="34"/>
      <c r="AY855" s="34"/>
      <c r="AZ855" s="34"/>
      <c r="BA855" s="34"/>
      <c r="BB855" s="34"/>
      <c r="BD855" s="34"/>
      <c r="BE855" s="34"/>
      <c r="BF855" s="34"/>
      <c r="BG855" s="34"/>
      <c r="BH855" s="34"/>
      <c r="BI855" s="34"/>
      <c r="BJ855" s="34"/>
      <c r="BK855" s="34"/>
      <c r="BL855" s="34"/>
      <c r="BM855" s="34"/>
      <c r="BN855" s="34"/>
      <c r="BO855" s="34"/>
      <c r="BP855" s="34"/>
      <c r="BQ855" s="34"/>
      <c r="BR855" s="34"/>
      <c r="BS855" s="34"/>
      <c r="BT855" s="34"/>
      <c r="BU855" s="34"/>
      <c r="BV855" s="34"/>
      <c r="BW855" s="34"/>
      <c r="BX855" s="34"/>
      <c r="BY855" s="34"/>
    </row>
    <row r="856" spans="1:77" x14ac:dyDescent="0.3">
      <c r="A856" s="39"/>
      <c r="B856" s="42"/>
      <c r="C856" s="42"/>
      <c r="D856" s="75"/>
      <c r="E856" s="75"/>
      <c r="F856" s="76"/>
      <c r="G856" s="47"/>
      <c r="H856" s="47"/>
      <c r="I856" s="75"/>
      <c r="J856" s="76"/>
      <c r="K856" s="76"/>
      <c r="L856" s="75"/>
      <c r="M856" s="49"/>
      <c r="N856" s="76"/>
      <c r="O856" s="49"/>
      <c r="P856" s="77"/>
      <c r="Q856" s="53"/>
      <c r="R856" s="54"/>
      <c r="S856" s="55"/>
      <c r="T856" s="56"/>
      <c r="U856" s="56"/>
      <c r="V856" s="42"/>
      <c r="W856" s="57"/>
      <c r="X856" s="58"/>
      <c r="Y856" s="75"/>
      <c r="Z856" s="59"/>
      <c r="AA856" s="61"/>
      <c r="AB856" s="61"/>
      <c r="AC856" s="61"/>
      <c r="AD856" s="62"/>
      <c r="AE856" s="62"/>
      <c r="AF856" s="34"/>
      <c r="AG856" s="34"/>
      <c r="AH856" s="34"/>
      <c r="AI856" s="34"/>
      <c r="AJ856" s="34"/>
      <c r="AK856" s="34"/>
      <c r="AL856" s="34"/>
      <c r="AM856" s="34"/>
      <c r="AN856" s="34"/>
      <c r="AO856" s="34"/>
      <c r="AP856" s="34"/>
      <c r="AQ856" s="34"/>
      <c r="AR856" s="34"/>
      <c r="AS856" s="34"/>
      <c r="AT856" s="34"/>
      <c r="AU856" s="34"/>
      <c r="AV856" s="34"/>
      <c r="AW856" s="34"/>
      <c r="AX856" s="34"/>
      <c r="AY856" s="34"/>
      <c r="AZ856" s="34"/>
      <c r="BA856" s="34"/>
      <c r="BB856" s="34"/>
      <c r="BD856" s="34"/>
      <c r="BE856" s="34"/>
      <c r="BF856" s="34"/>
      <c r="BG856" s="34"/>
      <c r="BH856" s="34"/>
      <c r="BI856" s="34"/>
      <c r="BJ856" s="34"/>
      <c r="BK856" s="34"/>
      <c r="BL856" s="34"/>
      <c r="BM856" s="34"/>
      <c r="BN856" s="34"/>
      <c r="BO856" s="34"/>
      <c r="BP856" s="34"/>
      <c r="BQ856" s="34"/>
      <c r="BR856" s="34"/>
      <c r="BS856" s="34"/>
      <c r="BT856" s="34"/>
      <c r="BU856" s="34"/>
      <c r="BV856" s="34"/>
      <c r="BW856" s="34"/>
      <c r="BX856" s="34"/>
      <c r="BY856" s="34"/>
    </row>
    <row r="857" spans="1:77" x14ac:dyDescent="0.3">
      <c r="A857" s="39"/>
      <c r="B857" s="42"/>
      <c r="C857" s="42"/>
      <c r="D857" s="75"/>
      <c r="E857" s="75"/>
      <c r="F857" s="76"/>
      <c r="G857" s="47"/>
      <c r="H857" s="47"/>
      <c r="I857" s="75"/>
      <c r="J857" s="76"/>
      <c r="K857" s="76"/>
      <c r="L857" s="75"/>
      <c r="M857" s="49"/>
      <c r="N857" s="76"/>
      <c r="O857" s="49"/>
      <c r="P857" s="77"/>
      <c r="Q857" s="53"/>
      <c r="R857" s="54"/>
      <c r="S857" s="55"/>
      <c r="T857" s="56"/>
      <c r="U857" s="56"/>
      <c r="V857" s="42"/>
      <c r="W857" s="57"/>
      <c r="X857" s="58"/>
      <c r="Y857" s="75"/>
      <c r="Z857" s="59"/>
      <c r="AA857" s="61"/>
      <c r="AB857" s="61"/>
      <c r="AC857" s="61"/>
      <c r="AD857" s="62"/>
      <c r="AE857" s="62"/>
      <c r="AF857" s="34"/>
      <c r="AG857" s="34"/>
      <c r="AH857" s="34"/>
      <c r="AI857" s="34"/>
      <c r="AJ857" s="34"/>
      <c r="AK857" s="34"/>
      <c r="AL857" s="34"/>
      <c r="AM857" s="34"/>
      <c r="AN857" s="34"/>
      <c r="AO857" s="34"/>
      <c r="AP857" s="34"/>
      <c r="AQ857" s="34"/>
      <c r="AR857" s="34"/>
      <c r="AS857" s="34"/>
      <c r="AT857" s="34"/>
      <c r="AU857" s="34"/>
      <c r="AV857" s="34"/>
      <c r="AW857" s="34"/>
      <c r="AX857" s="34"/>
      <c r="AY857" s="34"/>
      <c r="AZ857" s="34"/>
      <c r="BA857" s="34"/>
      <c r="BB857" s="34"/>
      <c r="BD857" s="34"/>
      <c r="BE857" s="34"/>
      <c r="BF857" s="34"/>
      <c r="BG857" s="34"/>
      <c r="BH857" s="34"/>
      <c r="BI857" s="34"/>
      <c r="BJ857" s="34"/>
      <c r="BK857" s="34"/>
      <c r="BL857" s="34"/>
      <c r="BM857" s="34"/>
      <c r="BN857" s="34"/>
      <c r="BO857" s="34"/>
      <c r="BP857" s="34"/>
      <c r="BQ857" s="34"/>
      <c r="BR857" s="34"/>
      <c r="BS857" s="34"/>
      <c r="BT857" s="34"/>
      <c r="BU857" s="34"/>
      <c r="BV857" s="34"/>
      <c r="BW857" s="34"/>
      <c r="BX857" s="34"/>
      <c r="BY857" s="34"/>
    </row>
    <row r="858" spans="1:77" x14ac:dyDescent="0.3">
      <c r="A858" s="39"/>
      <c r="B858" s="42"/>
      <c r="C858" s="42"/>
      <c r="D858" s="75"/>
      <c r="E858" s="75"/>
      <c r="F858" s="76"/>
      <c r="G858" s="47"/>
      <c r="H858" s="47"/>
      <c r="I858" s="75"/>
      <c r="J858" s="76"/>
      <c r="K858" s="76"/>
      <c r="L858" s="75"/>
      <c r="M858" s="49"/>
      <c r="N858" s="76"/>
      <c r="O858" s="49"/>
      <c r="P858" s="77"/>
      <c r="Q858" s="53"/>
      <c r="R858" s="54"/>
      <c r="S858" s="55"/>
      <c r="T858" s="56"/>
      <c r="U858" s="56"/>
      <c r="V858" s="42"/>
      <c r="W858" s="57"/>
      <c r="X858" s="58"/>
      <c r="Y858" s="75"/>
      <c r="Z858" s="59"/>
      <c r="AA858" s="61"/>
      <c r="AB858" s="61"/>
      <c r="AC858" s="61"/>
      <c r="AD858" s="62"/>
      <c r="AE858" s="62"/>
      <c r="AF858" s="34"/>
      <c r="AG858" s="34"/>
      <c r="AH858" s="34"/>
      <c r="AI858" s="34"/>
      <c r="AJ858" s="34"/>
      <c r="AK858" s="34"/>
      <c r="AL858" s="34"/>
      <c r="AM858" s="34"/>
      <c r="AN858" s="34"/>
      <c r="AO858" s="34"/>
      <c r="AP858" s="34"/>
      <c r="AQ858" s="34"/>
      <c r="AR858" s="34"/>
      <c r="AS858" s="34"/>
      <c r="AT858" s="34"/>
      <c r="AU858" s="34"/>
      <c r="AV858" s="34"/>
      <c r="AW858" s="34"/>
      <c r="AX858" s="34"/>
      <c r="AY858" s="34"/>
      <c r="AZ858" s="34"/>
      <c r="BA858" s="34"/>
      <c r="BB858" s="34"/>
      <c r="BD858" s="34"/>
      <c r="BE858" s="34"/>
      <c r="BF858" s="34"/>
      <c r="BG858" s="34"/>
      <c r="BH858" s="34"/>
      <c r="BI858" s="34"/>
      <c r="BJ858" s="34"/>
      <c r="BK858" s="34"/>
      <c r="BL858" s="34"/>
      <c r="BM858" s="34"/>
      <c r="BN858" s="34"/>
      <c r="BO858" s="34"/>
      <c r="BP858" s="34"/>
      <c r="BQ858" s="34"/>
      <c r="BR858" s="34"/>
      <c r="BS858" s="34"/>
      <c r="BT858" s="34"/>
      <c r="BU858" s="34"/>
      <c r="BV858" s="34"/>
      <c r="BW858" s="34"/>
      <c r="BX858" s="34"/>
      <c r="BY858" s="34"/>
    </row>
    <row r="859" spans="1:77" x14ac:dyDescent="0.3">
      <c r="A859" s="39"/>
      <c r="B859" s="42"/>
      <c r="C859" s="42"/>
      <c r="D859" s="75"/>
      <c r="E859" s="75"/>
      <c r="F859" s="76"/>
      <c r="G859" s="47"/>
      <c r="H859" s="47"/>
      <c r="I859" s="75"/>
      <c r="J859" s="76"/>
      <c r="K859" s="76"/>
      <c r="L859" s="75"/>
      <c r="M859" s="49"/>
      <c r="N859" s="76"/>
      <c r="O859" s="49"/>
      <c r="P859" s="77"/>
      <c r="Q859" s="53"/>
      <c r="R859" s="54"/>
      <c r="S859" s="55"/>
      <c r="T859" s="56"/>
      <c r="U859" s="56"/>
      <c r="V859" s="42"/>
      <c r="W859" s="57"/>
      <c r="X859" s="58"/>
      <c r="Y859" s="75"/>
      <c r="Z859" s="59"/>
      <c r="AA859" s="61"/>
      <c r="AB859" s="61"/>
      <c r="AC859" s="61"/>
      <c r="AD859" s="62"/>
      <c r="AE859" s="62"/>
      <c r="AF859" s="34"/>
      <c r="AG859" s="34"/>
      <c r="AH859" s="34"/>
      <c r="AI859" s="34"/>
      <c r="AJ859" s="34"/>
      <c r="AK859" s="34"/>
      <c r="AL859" s="34"/>
      <c r="AM859" s="34"/>
      <c r="AN859" s="34"/>
      <c r="AO859" s="34"/>
      <c r="AP859" s="34"/>
      <c r="AQ859" s="34"/>
      <c r="AR859" s="34"/>
      <c r="AS859" s="34"/>
      <c r="AT859" s="34"/>
      <c r="AU859" s="34"/>
      <c r="AV859" s="34"/>
      <c r="AW859" s="34"/>
      <c r="AX859" s="34"/>
      <c r="AY859" s="34"/>
      <c r="AZ859" s="34"/>
      <c r="BA859" s="34"/>
      <c r="BB859" s="34"/>
      <c r="BD859" s="34"/>
      <c r="BE859" s="34"/>
      <c r="BF859" s="34"/>
      <c r="BG859" s="34"/>
      <c r="BH859" s="34"/>
      <c r="BI859" s="34"/>
      <c r="BJ859" s="34"/>
      <c r="BK859" s="34"/>
      <c r="BL859" s="34"/>
      <c r="BM859" s="34"/>
      <c r="BN859" s="34"/>
      <c r="BO859" s="34"/>
      <c r="BP859" s="34"/>
      <c r="BQ859" s="34"/>
      <c r="BR859" s="34"/>
      <c r="BS859" s="34"/>
      <c r="BT859" s="34"/>
      <c r="BU859" s="34"/>
      <c r="BV859" s="34"/>
      <c r="BW859" s="34"/>
      <c r="BX859" s="34"/>
      <c r="BY859" s="34"/>
    </row>
    <row r="860" spans="1:77" x14ac:dyDescent="0.3">
      <c r="A860" s="39"/>
      <c r="B860" s="42"/>
      <c r="C860" s="42"/>
      <c r="D860" s="75"/>
      <c r="E860" s="75"/>
      <c r="F860" s="76"/>
      <c r="G860" s="47"/>
      <c r="H860" s="47"/>
      <c r="I860" s="75"/>
      <c r="J860" s="76"/>
      <c r="K860" s="76"/>
      <c r="L860" s="75"/>
      <c r="M860" s="49"/>
      <c r="N860" s="76"/>
      <c r="O860" s="49"/>
      <c r="P860" s="77"/>
      <c r="Q860" s="53"/>
      <c r="R860" s="54"/>
      <c r="S860" s="55"/>
      <c r="T860" s="56"/>
      <c r="U860" s="56"/>
      <c r="V860" s="42"/>
      <c r="W860" s="57"/>
      <c r="X860" s="58"/>
      <c r="Y860" s="75"/>
      <c r="Z860" s="59"/>
      <c r="AA860" s="61"/>
      <c r="AB860" s="61"/>
      <c r="AC860" s="61"/>
      <c r="AD860" s="62"/>
      <c r="AE860" s="62"/>
      <c r="AF860" s="34"/>
      <c r="AG860" s="34"/>
      <c r="AH860" s="34"/>
      <c r="AI860" s="34"/>
      <c r="AJ860" s="34"/>
      <c r="AK860" s="34"/>
      <c r="AL860" s="34"/>
      <c r="AM860" s="34"/>
      <c r="AN860" s="34"/>
      <c r="AO860" s="34"/>
      <c r="AP860" s="34"/>
      <c r="AQ860" s="34"/>
      <c r="AR860" s="34"/>
      <c r="AS860" s="34"/>
      <c r="AT860" s="34"/>
      <c r="AU860" s="34"/>
      <c r="AV860" s="34"/>
      <c r="AW860" s="34"/>
      <c r="AX860" s="34"/>
      <c r="AY860" s="34"/>
      <c r="AZ860" s="34"/>
      <c r="BA860" s="34"/>
      <c r="BB860" s="34"/>
      <c r="BD860" s="34"/>
      <c r="BE860" s="34"/>
      <c r="BF860" s="34"/>
      <c r="BG860" s="34"/>
      <c r="BH860" s="34"/>
      <c r="BI860" s="34"/>
      <c r="BJ860" s="34"/>
      <c r="BK860" s="34"/>
      <c r="BL860" s="34"/>
      <c r="BM860" s="34"/>
      <c r="BN860" s="34"/>
      <c r="BO860" s="34"/>
      <c r="BP860" s="34"/>
      <c r="BQ860" s="34"/>
      <c r="BR860" s="34"/>
      <c r="BS860" s="34"/>
      <c r="BT860" s="34"/>
      <c r="BU860" s="34"/>
      <c r="BV860" s="34"/>
      <c r="BW860" s="34"/>
      <c r="BX860" s="34"/>
      <c r="BY860" s="34"/>
    </row>
    <row r="861" spans="1:77" x14ac:dyDescent="0.3">
      <c r="A861" s="39"/>
      <c r="B861" s="42"/>
      <c r="C861" s="42"/>
      <c r="D861" s="75"/>
      <c r="E861" s="75"/>
      <c r="F861" s="76"/>
      <c r="G861" s="47"/>
      <c r="H861" s="47"/>
      <c r="I861" s="75"/>
      <c r="J861" s="76"/>
      <c r="K861" s="76"/>
      <c r="L861" s="75"/>
      <c r="M861" s="49"/>
      <c r="N861" s="76"/>
      <c r="O861" s="49"/>
      <c r="P861" s="77"/>
      <c r="Q861" s="53"/>
      <c r="R861" s="54"/>
      <c r="S861" s="55"/>
      <c r="T861" s="56"/>
      <c r="U861" s="56"/>
      <c r="V861" s="42"/>
      <c r="W861" s="57"/>
      <c r="X861" s="58"/>
      <c r="Y861" s="75"/>
      <c r="Z861" s="59"/>
      <c r="AA861" s="61"/>
      <c r="AB861" s="61"/>
      <c r="AC861" s="61"/>
      <c r="AD861" s="62"/>
      <c r="AE861" s="62"/>
      <c r="AF861" s="34"/>
      <c r="AG861" s="34"/>
      <c r="AH861" s="34"/>
      <c r="AI861" s="34"/>
      <c r="AJ861" s="34"/>
      <c r="AK861" s="34"/>
      <c r="AL861" s="34"/>
      <c r="AM861" s="34"/>
      <c r="AN861" s="34"/>
      <c r="AO861" s="34"/>
      <c r="AP861" s="34"/>
      <c r="AQ861" s="34"/>
      <c r="AR861" s="34"/>
      <c r="AS861" s="34"/>
      <c r="AT861" s="34"/>
      <c r="AU861" s="34"/>
      <c r="AV861" s="34"/>
      <c r="AW861" s="34"/>
      <c r="AX861" s="34"/>
      <c r="AY861" s="34"/>
      <c r="AZ861" s="34"/>
      <c r="BA861" s="34"/>
      <c r="BB861" s="34"/>
      <c r="BD861" s="34"/>
      <c r="BE861" s="34"/>
      <c r="BF861" s="34"/>
      <c r="BG861" s="34"/>
      <c r="BH861" s="34"/>
      <c r="BI861" s="34"/>
      <c r="BJ861" s="34"/>
      <c r="BK861" s="34"/>
      <c r="BL861" s="34"/>
      <c r="BM861" s="34"/>
      <c r="BN861" s="34"/>
      <c r="BO861" s="34"/>
      <c r="BP861" s="34"/>
      <c r="BQ861" s="34"/>
      <c r="BR861" s="34"/>
      <c r="BS861" s="34"/>
      <c r="BT861" s="34"/>
      <c r="BU861" s="34"/>
      <c r="BV861" s="34"/>
      <c r="BW861" s="34"/>
      <c r="BX861" s="34"/>
      <c r="BY861" s="34"/>
    </row>
    <row r="862" spans="1:77" x14ac:dyDescent="0.3">
      <c r="A862" s="39"/>
      <c r="B862" s="42"/>
      <c r="C862" s="42"/>
      <c r="D862" s="75"/>
      <c r="E862" s="75"/>
      <c r="F862" s="76"/>
      <c r="G862" s="47"/>
      <c r="H862" s="47"/>
      <c r="I862" s="75"/>
      <c r="J862" s="76"/>
      <c r="K862" s="76"/>
      <c r="L862" s="75"/>
      <c r="M862" s="49"/>
      <c r="N862" s="76"/>
      <c r="O862" s="49"/>
      <c r="P862" s="77"/>
      <c r="Q862" s="53"/>
      <c r="R862" s="54"/>
      <c r="S862" s="55"/>
      <c r="T862" s="56"/>
      <c r="U862" s="56"/>
      <c r="V862" s="42"/>
      <c r="W862" s="57"/>
      <c r="X862" s="58"/>
      <c r="Y862" s="75"/>
      <c r="Z862" s="59"/>
      <c r="AA862" s="61"/>
      <c r="AB862" s="61"/>
      <c r="AC862" s="61"/>
      <c r="AD862" s="62"/>
      <c r="AE862" s="62"/>
      <c r="AF862" s="34"/>
      <c r="AG862" s="34"/>
      <c r="AH862" s="34"/>
      <c r="AI862" s="34"/>
      <c r="AJ862" s="34"/>
      <c r="AK862" s="34"/>
      <c r="AL862" s="34"/>
      <c r="AM862" s="34"/>
      <c r="AN862" s="34"/>
      <c r="AO862" s="34"/>
      <c r="AP862" s="34"/>
      <c r="AQ862" s="34"/>
      <c r="AR862" s="34"/>
      <c r="AS862" s="34"/>
      <c r="AT862" s="34"/>
      <c r="AU862" s="34"/>
      <c r="AV862" s="34"/>
      <c r="AW862" s="34"/>
      <c r="AX862" s="34"/>
      <c r="AY862" s="34"/>
      <c r="AZ862" s="34"/>
      <c r="BA862" s="34"/>
      <c r="BB862" s="34"/>
      <c r="BD862" s="34"/>
      <c r="BE862" s="34"/>
      <c r="BF862" s="34"/>
      <c r="BG862" s="34"/>
      <c r="BH862" s="34"/>
      <c r="BI862" s="34"/>
      <c r="BJ862" s="34"/>
      <c r="BK862" s="34"/>
      <c r="BL862" s="34"/>
      <c r="BM862" s="34"/>
      <c r="BN862" s="34"/>
      <c r="BO862" s="34"/>
      <c r="BP862" s="34"/>
      <c r="BQ862" s="34"/>
      <c r="BR862" s="34"/>
      <c r="BS862" s="34"/>
      <c r="BT862" s="34"/>
      <c r="BU862" s="34"/>
      <c r="BV862" s="34"/>
      <c r="BW862" s="34"/>
      <c r="BX862" s="34"/>
      <c r="BY862" s="34"/>
    </row>
    <row r="863" spans="1:77" x14ac:dyDescent="0.3">
      <c r="A863" s="39"/>
      <c r="B863" s="42"/>
      <c r="C863" s="42"/>
      <c r="D863" s="75"/>
      <c r="E863" s="75"/>
      <c r="F863" s="76"/>
      <c r="G863" s="47"/>
      <c r="H863" s="47"/>
      <c r="I863" s="75"/>
      <c r="J863" s="76"/>
      <c r="K863" s="76"/>
      <c r="L863" s="75"/>
      <c r="M863" s="49"/>
      <c r="N863" s="76"/>
      <c r="O863" s="49"/>
      <c r="P863" s="77"/>
      <c r="Q863" s="53"/>
      <c r="R863" s="54"/>
      <c r="S863" s="55"/>
      <c r="T863" s="56"/>
      <c r="U863" s="56"/>
      <c r="V863" s="42"/>
      <c r="W863" s="57"/>
      <c r="X863" s="58"/>
      <c r="Y863" s="75"/>
      <c r="Z863" s="59"/>
      <c r="AA863" s="61"/>
      <c r="AB863" s="61"/>
      <c r="AC863" s="61"/>
      <c r="AD863" s="62"/>
      <c r="AE863" s="62"/>
      <c r="AF863" s="34"/>
      <c r="AG863" s="34"/>
      <c r="AH863" s="34"/>
      <c r="AI863" s="34"/>
      <c r="AJ863" s="34"/>
      <c r="AK863" s="34"/>
      <c r="AL863" s="34"/>
      <c r="AM863" s="34"/>
      <c r="AN863" s="34"/>
      <c r="AO863" s="34"/>
      <c r="AP863" s="34"/>
      <c r="AQ863" s="34"/>
      <c r="AR863" s="34"/>
      <c r="AS863" s="34"/>
      <c r="AT863" s="34"/>
      <c r="AU863" s="34"/>
      <c r="AV863" s="34"/>
      <c r="AW863" s="34"/>
      <c r="AX863" s="34"/>
      <c r="AY863" s="34"/>
      <c r="AZ863" s="34"/>
      <c r="BA863" s="34"/>
      <c r="BB863" s="34"/>
      <c r="BD863" s="34"/>
      <c r="BE863" s="34"/>
      <c r="BF863" s="34"/>
      <c r="BG863" s="34"/>
      <c r="BH863" s="34"/>
      <c r="BI863" s="34"/>
      <c r="BJ863" s="34"/>
      <c r="BK863" s="34"/>
      <c r="BL863" s="34"/>
      <c r="BM863" s="34"/>
      <c r="BN863" s="34"/>
      <c r="BO863" s="34"/>
      <c r="BP863" s="34"/>
      <c r="BQ863" s="34"/>
      <c r="BR863" s="34"/>
      <c r="BS863" s="34"/>
      <c r="BT863" s="34"/>
      <c r="BU863" s="34"/>
      <c r="BV863" s="34"/>
      <c r="BW863" s="34"/>
      <c r="BX863" s="34"/>
      <c r="BY863" s="34"/>
    </row>
    <row r="864" spans="1:77" x14ac:dyDescent="0.3">
      <c r="A864" s="39"/>
      <c r="B864" s="42"/>
      <c r="C864" s="42"/>
      <c r="D864" s="75"/>
      <c r="E864" s="75"/>
      <c r="F864" s="76"/>
      <c r="G864" s="47"/>
      <c r="H864" s="47"/>
      <c r="I864" s="75"/>
      <c r="J864" s="76"/>
      <c r="K864" s="76"/>
      <c r="L864" s="75"/>
      <c r="M864" s="49"/>
      <c r="N864" s="76"/>
      <c r="O864" s="49"/>
      <c r="P864" s="77"/>
      <c r="Q864" s="53"/>
      <c r="R864" s="54"/>
      <c r="S864" s="55"/>
      <c r="T864" s="56"/>
      <c r="U864" s="56"/>
      <c r="V864" s="42"/>
      <c r="W864" s="57"/>
      <c r="X864" s="58"/>
      <c r="Y864" s="75"/>
      <c r="Z864" s="59"/>
      <c r="AA864" s="61"/>
      <c r="AB864" s="61"/>
      <c r="AC864" s="61"/>
      <c r="AD864" s="62"/>
      <c r="AE864" s="62"/>
      <c r="AF864" s="34"/>
      <c r="AG864" s="34"/>
      <c r="AH864" s="34"/>
      <c r="AI864" s="34"/>
      <c r="AJ864" s="34"/>
      <c r="AK864" s="34"/>
      <c r="AL864" s="34"/>
      <c r="AM864" s="34"/>
      <c r="AN864" s="34"/>
      <c r="AO864" s="34"/>
      <c r="AP864" s="34"/>
      <c r="AQ864" s="34"/>
      <c r="AR864" s="34"/>
      <c r="AS864" s="34"/>
      <c r="AT864" s="34"/>
      <c r="AU864" s="34"/>
      <c r="AV864" s="34"/>
      <c r="AW864" s="34"/>
      <c r="AX864" s="34"/>
      <c r="AY864" s="34"/>
      <c r="AZ864" s="34"/>
      <c r="BA864" s="34"/>
      <c r="BB864" s="34"/>
      <c r="BD864" s="34"/>
      <c r="BE864" s="34"/>
      <c r="BF864" s="34"/>
      <c r="BG864" s="34"/>
      <c r="BH864" s="34"/>
      <c r="BI864" s="34"/>
      <c r="BJ864" s="34"/>
      <c r="BK864" s="34"/>
      <c r="BL864" s="34"/>
      <c r="BM864" s="34"/>
      <c r="BN864" s="34"/>
      <c r="BO864" s="34"/>
      <c r="BP864" s="34"/>
      <c r="BQ864" s="34"/>
      <c r="BR864" s="34"/>
      <c r="BS864" s="34"/>
      <c r="BT864" s="34"/>
      <c r="BU864" s="34"/>
      <c r="BV864" s="34"/>
      <c r="BW864" s="34"/>
      <c r="BX864" s="34"/>
      <c r="BY864" s="34"/>
    </row>
    <row r="865" spans="1:77" x14ac:dyDescent="0.3">
      <c r="A865" s="39"/>
      <c r="B865" s="42"/>
      <c r="C865" s="42"/>
      <c r="D865" s="75"/>
      <c r="E865" s="75"/>
      <c r="F865" s="76"/>
      <c r="G865" s="47"/>
      <c r="H865" s="47"/>
      <c r="I865" s="75"/>
      <c r="J865" s="76"/>
      <c r="K865" s="76"/>
      <c r="L865" s="75"/>
      <c r="M865" s="49"/>
      <c r="N865" s="76"/>
      <c r="O865" s="49"/>
      <c r="P865" s="77"/>
      <c r="Q865" s="53"/>
      <c r="R865" s="54"/>
      <c r="S865" s="55"/>
      <c r="T865" s="56"/>
      <c r="U865" s="56"/>
      <c r="V865" s="42"/>
      <c r="W865" s="57"/>
      <c r="X865" s="58"/>
      <c r="Y865" s="75"/>
      <c r="Z865" s="59"/>
      <c r="AA865" s="61"/>
      <c r="AB865" s="61"/>
      <c r="AC865" s="61"/>
      <c r="AD865" s="62"/>
      <c r="AE865" s="62"/>
      <c r="AF865" s="34"/>
      <c r="AG865" s="34"/>
      <c r="AH865" s="34"/>
      <c r="AI865" s="34"/>
      <c r="AJ865" s="34"/>
      <c r="AK865" s="34"/>
      <c r="AL865" s="34"/>
      <c r="AM865" s="34"/>
      <c r="AN865" s="34"/>
      <c r="AO865" s="34"/>
      <c r="AP865" s="34"/>
      <c r="AQ865" s="34"/>
      <c r="AR865" s="34"/>
      <c r="AS865" s="34"/>
      <c r="AT865" s="34"/>
      <c r="AU865" s="34"/>
      <c r="AV865" s="34"/>
      <c r="AW865" s="34"/>
      <c r="AX865" s="34"/>
      <c r="AY865" s="34"/>
      <c r="AZ865" s="34"/>
      <c r="BA865" s="34"/>
      <c r="BB865" s="34"/>
      <c r="BD865" s="34"/>
      <c r="BE865" s="34"/>
      <c r="BF865" s="34"/>
      <c r="BG865" s="34"/>
      <c r="BH865" s="34"/>
      <c r="BI865" s="34"/>
      <c r="BJ865" s="34"/>
      <c r="BK865" s="34"/>
      <c r="BL865" s="34"/>
      <c r="BM865" s="34"/>
      <c r="BN865" s="34"/>
      <c r="BO865" s="34"/>
      <c r="BP865" s="34"/>
      <c r="BQ865" s="34"/>
      <c r="BR865" s="34"/>
      <c r="BS865" s="34"/>
      <c r="BT865" s="34"/>
      <c r="BU865" s="34"/>
      <c r="BV865" s="34"/>
      <c r="BW865" s="34"/>
      <c r="BX865" s="34"/>
      <c r="BY865" s="34"/>
    </row>
    <row r="866" spans="1:77" x14ac:dyDescent="0.3">
      <c r="A866" s="39"/>
      <c r="B866" s="42"/>
      <c r="C866" s="42"/>
      <c r="D866" s="75"/>
      <c r="E866" s="75"/>
      <c r="F866" s="76"/>
      <c r="G866" s="47"/>
      <c r="H866" s="47"/>
      <c r="I866" s="75"/>
      <c r="J866" s="76"/>
      <c r="K866" s="76"/>
      <c r="L866" s="75"/>
      <c r="M866" s="49"/>
      <c r="N866" s="76"/>
      <c r="O866" s="49"/>
      <c r="P866" s="77"/>
      <c r="Q866" s="53"/>
      <c r="R866" s="54"/>
      <c r="S866" s="55"/>
      <c r="T866" s="56"/>
      <c r="U866" s="56"/>
      <c r="V866" s="42"/>
      <c r="W866" s="57"/>
      <c r="X866" s="58"/>
      <c r="Y866" s="75"/>
      <c r="Z866" s="59"/>
      <c r="AA866" s="61"/>
      <c r="AB866" s="61"/>
      <c r="AC866" s="61"/>
      <c r="AD866" s="62"/>
      <c r="AE866" s="62"/>
      <c r="AF866" s="34"/>
      <c r="AG866" s="34"/>
      <c r="AH866" s="34"/>
      <c r="AI866" s="34"/>
      <c r="AJ866" s="34"/>
      <c r="AK866" s="34"/>
      <c r="AL866" s="34"/>
      <c r="AM866" s="34"/>
      <c r="AN866" s="34"/>
      <c r="AO866" s="34"/>
      <c r="AP866" s="34"/>
      <c r="AQ866" s="34"/>
      <c r="AR866" s="34"/>
      <c r="AS866" s="34"/>
      <c r="AT866" s="34"/>
      <c r="AU866" s="34"/>
      <c r="AV866" s="34"/>
      <c r="AW866" s="34"/>
      <c r="AX866" s="34"/>
      <c r="AY866" s="34"/>
      <c r="AZ866" s="34"/>
      <c r="BA866" s="34"/>
      <c r="BB866" s="34"/>
      <c r="BD866" s="34"/>
      <c r="BE866" s="34"/>
      <c r="BF866" s="34"/>
      <c r="BG866" s="34"/>
      <c r="BH866" s="34"/>
      <c r="BI866" s="34"/>
      <c r="BJ866" s="34"/>
      <c r="BK866" s="34"/>
      <c r="BL866" s="34"/>
      <c r="BM866" s="34"/>
      <c r="BN866" s="34"/>
      <c r="BO866" s="34"/>
      <c r="BP866" s="34"/>
      <c r="BQ866" s="34"/>
      <c r="BR866" s="34"/>
      <c r="BS866" s="34"/>
      <c r="BT866" s="34"/>
      <c r="BU866" s="34"/>
      <c r="BV866" s="34"/>
      <c r="BW866" s="34"/>
      <c r="BX866" s="34"/>
      <c r="BY866" s="34"/>
    </row>
    <row r="867" spans="1:77" x14ac:dyDescent="0.3">
      <c r="A867" s="39"/>
      <c r="B867" s="42"/>
      <c r="C867" s="42"/>
      <c r="D867" s="75"/>
      <c r="E867" s="75"/>
      <c r="F867" s="76"/>
      <c r="G867" s="47"/>
      <c r="H867" s="47"/>
      <c r="I867" s="75"/>
      <c r="J867" s="76"/>
      <c r="K867" s="76"/>
      <c r="L867" s="75"/>
      <c r="M867" s="49"/>
      <c r="N867" s="76"/>
      <c r="O867" s="49"/>
      <c r="P867" s="77"/>
      <c r="Q867" s="53"/>
      <c r="R867" s="54"/>
      <c r="S867" s="55"/>
      <c r="T867" s="56"/>
      <c r="U867" s="56"/>
      <c r="V867" s="42"/>
      <c r="W867" s="57"/>
      <c r="X867" s="58"/>
      <c r="Y867" s="75"/>
      <c r="Z867" s="59"/>
      <c r="AA867" s="61"/>
      <c r="AB867" s="61"/>
      <c r="AC867" s="61"/>
      <c r="AD867" s="62"/>
      <c r="AE867" s="62"/>
      <c r="AF867" s="34"/>
      <c r="AG867" s="34"/>
      <c r="AH867" s="34"/>
      <c r="AI867" s="34"/>
      <c r="AJ867" s="34"/>
      <c r="AK867" s="34"/>
      <c r="AL867" s="34"/>
      <c r="AM867" s="34"/>
      <c r="AN867" s="34"/>
      <c r="AO867" s="34"/>
      <c r="AP867" s="34"/>
      <c r="AQ867" s="34"/>
      <c r="AR867" s="34"/>
      <c r="AS867" s="34"/>
      <c r="AT867" s="34"/>
      <c r="AU867" s="34"/>
      <c r="AV867" s="34"/>
      <c r="AW867" s="34"/>
      <c r="AX867" s="34"/>
      <c r="AY867" s="34"/>
      <c r="AZ867" s="34"/>
      <c r="BA867" s="34"/>
      <c r="BB867" s="34"/>
      <c r="BD867" s="34"/>
      <c r="BE867" s="34"/>
      <c r="BF867" s="34"/>
      <c r="BG867" s="34"/>
      <c r="BH867" s="34"/>
      <c r="BI867" s="34"/>
      <c r="BJ867" s="34"/>
      <c r="BK867" s="34"/>
      <c r="BL867" s="34"/>
      <c r="BM867" s="34"/>
      <c r="BN867" s="34"/>
      <c r="BO867" s="34"/>
      <c r="BP867" s="34"/>
      <c r="BQ867" s="34"/>
      <c r="BR867" s="34"/>
      <c r="BS867" s="34"/>
      <c r="BT867" s="34"/>
      <c r="BU867" s="34"/>
      <c r="BV867" s="34"/>
      <c r="BW867" s="34"/>
      <c r="BX867" s="34"/>
      <c r="BY867" s="34"/>
    </row>
    <row r="868" spans="1:77" x14ac:dyDescent="0.3">
      <c r="A868" s="39"/>
      <c r="B868" s="42"/>
      <c r="C868" s="42"/>
      <c r="D868" s="75"/>
      <c r="E868" s="75"/>
      <c r="F868" s="76"/>
      <c r="G868" s="47"/>
      <c r="H868" s="47"/>
      <c r="I868" s="75"/>
      <c r="J868" s="76"/>
      <c r="K868" s="76"/>
      <c r="L868" s="75"/>
      <c r="M868" s="49"/>
      <c r="N868" s="76"/>
      <c r="O868" s="49"/>
      <c r="P868" s="77"/>
      <c r="Q868" s="53"/>
      <c r="R868" s="54"/>
      <c r="S868" s="55"/>
      <c r="T868" s="56"/>
      <c r="U868" s="56"/>
      <c r="V868" s="42"/>
      <c r="W868" s="57"/>
      <c r="X868" s="58"/>
      <c r="Y868" s="75"/>
      <c r="Z868" s="59"/>
      <c r="AA868" s="61"/>
      <c r="AB868" s="61"/>
      <c r="AC868" s="61"/>
      <c r="AD868" s="62"/>
      <c r="AE868" s="62"/>
      <c r="AF868" s="34"/>
      <c r="AG868" s="34"/>
      <c r="AH868" s="34"/>
      <c r="AI868" s="34"/>
      <c r="AJ868" s="34"/>
      <c r="AK868" s="34"/>
      <c r="AL868" s="34"/>
      <c r="AM868" s="34"/>
      <c r="AN868" s="34"/>
      <c r="AO868" s="34"/>
      <c r="AP868" s="34"/>
      <c r="AQ868" s="34"/>
      <c r="AR868" s="34"/>
      <c r="AS868" s="34"/>
      <c r="AT868" s="34"/>
      <c r="AU868" s="34"/>
      <c r="AV868" s="34"/>
      <c r="AW868" s="34"/>
      <c r="AX868" s="34"/>
      <c r="AY868" s="34"/>
      <c r="AZ868" s="34"/>
      <c r="BA868" s="34"/>
      <c r="BB868" s="34"/>
      <c r="BD868" s="34"/>
      <c r="BE868" s="34"/>
      <c r="BF868" s="34"/>
      <c r="BG868" s="34"/>
      <c r="BH868" s="34"/>
      <c r="BI868" s="34"/>
      <c r="BJ868" s="34"/>
      <c r="BK868" s="34"/>
      <c r="BL868" s="34"/>
      <c r="BM868" s="34"/>
      <c r="BN868" s="34"/>
      <c r="BO868" s="34"/>
      <c r="BP868" s="34"/>
      <c r="BQ868" s="34"/>
      <c r="BR868" s="34"/>
      <c r="BS868" s="34"/>
      <c r="BT868" s="34"/>
      <c r="BU868" s="34"/>
      <c r="BV868" s="34"/>
      <c r="BW868" s="34"/>
      <c r="BX868" s="34"/>
      <c r="BY868" s="34"/>
    </row>
    <row r="869" spans="1:77" x14ac:dyDescent="0.3">
      <c r="A869" s="39"/>
      <c r="B869" s="42"/>
      <c r="C869" s="42"/>
      <c r="D869" s="75"/>
      <c r="E869" s="75"/>
      <c r="F869" s="76"/>
      <c r="G869" s="47"/>
      <c r="H869" s="47"/>
      <c r="I869" s="75"/>
      <c r="J869" s="76"/>
      <c r="K869" s="76"/>
      <c r="L869" s="75"/>
      <c r="M869" s="49"/>
      <c r="N869" s="76"/>
      <c r="O869" s="49"/>
      <c r="P869" s="77"/>
      <c r="Q869" s="53"/>
      <c r="R869" s="54"/>
      <c r="S869" s="55"/>
      <c r="T869" s="56"/>
      <c r="U869" s="56"/>
      <c r="V869" s="42"/>
      <c r="W869" s="57"/>
      <c r="X869" s="58"/>
      <c r="Y869" s="75"/>
      <c r="Z869" s="59"/>
      <c r="AA869" s="61"/>
      <c r="AB869" s="61"/>
      <c r="AC869" s="61"/>
      <c r="AD869" s="62"/>
      <c r="AE869" s="62"/>
      <c r="AF869" s="34"/>
      <c r="AG869" s="34"/>
      <c r="AH869" s="34"/>
      <c r="AI869" s="34"/>
      <c r="AJ869" s="34"/>
      <c r="AK869" s="34"/>
      <c r="AL869" s="34"/>
      <c r="AM869" s="34"/>
      <c r="AN869" s="34"/>
      <c r="AO869" s="34"/>
      <c r="AP869" s="34"/>
      <c r="AQ869" s="34"/>
      <c r="AR869" s="34"/>
      <c r="AS869" s="34"/>
      <c r="AT869" s="34"/>
      <c r="AU869" s="34"/>
      <c r="AV869" s="34"/>
      <c r="AW869" s="34"/>
      <c r="AX869" s="34"/>
      <c r="AY869" s="34"/>
      <c r="AZ869" s="34"/>
      <c r="BA869" s="34"/>
      <c r="BB869" s="34"/>
      <c r="BD869" s="34"/>
      <c r="BE869" s="34"/>
      <c r="BF869" s="34"/>
      <c r="BG869" s="34"/>
      <c r="BH869" s="34"/>
      <c r="BI869" s="34"/>
      <c r="BJ869" s="34"/>
      <c r="BK869" s="34"/>
      <c r="BL869" s="34"/>
      <c r="BM869" s="34"/>
      <c r="BN869" s="34"/>
      <c r="BO869" s="34"/>
      <c r="BP869" s="34"/>
      <c r="BQ869" s="34"/>
      <c r="BR869" s="34"/>
      <c r="BS869" s="34"/>
      <c r="BT869" s="34"/>
      <c r="BU869" s="34"/>
      <c r="BV869" s="34"/>
      <c r="BW869" s="34"/>
      <c r="BX869" s="34"/>
      <c r="BY869" s="34"/>
    </row>
    <row r="870" spans="1:77" x14ac:dyDescent="0.3">
      <c r="A870" s="39"/>
      <c r="B870" s="42"/>
      <c r="C870" s="42"/>
      <c r="D870" s="75"/>
      <c r="E870" s="75"/>
      <c r="F870" s="76"/>
      <c r="G870" s="47"/>
      <c r="H870" s="47"/>
      <c r="I870" s="75"/>
      <c r="J870" s="76"/>
      <c r="K870" s="76"/>
      <c r="L870" s="75"/>
      <c r="M870" s="49"/>
      <c r="N870" s="76"/>
      <c r="O870" s="49"/>
      <c r="P870" s="77"/>
      <c r="Q870" s="53"/>
      <c r="R870" s="54"/>
      <c r="S870" s="55"/>
      <c r="T870" s="56"/>
      <c r="U870" s="56"/>
      <c r="V870" s="42"/>
      <c r="W870" s="57"/>
      <c r="X870" s="58"/>
      <c r="Y870" s="75"/>
      <c r="Z870" s="59"/>
      <c r="AA870" s="61"/>
      <c r="AB870" s="61"/>
      <c r="AC870" s="61"/>
      <c r="AD870" s="62"/>
      <c r="AE870" s="62"/>
      <c r="AF870" s="34"/>
      <c r="AG870" s="34"/>
      <c r="AH870" s="34"/>
      <c r="AI870" s="34"/>
      <c r="AJ870" s="34"/>
      <c r="AK870" s="34"/>
      <c r="AL870" s="34"/>
      <c r="AM870" s="34"/>
      <c r="AN870" s="34"/>
      <c r="AO870" s="34"/>
      <c r="AP870" s="34"/>
      <c r="AQ870" s="34"/>
      <c r="AR870" s="34"/>
      <c r="AS870" s="34"/>
      <c r="AT870" s="34"/>
      <c r="AU870" s="34"/>
      <c r="AV870" s="34"/>
      <c r="AW870" s="34"/>
      <c r="AX870" s="34"/>
      <c r="AY870" s="34"/>
      <c r="AZ870" s="34"/>
      <c r="BA870" s="34"/>
      <c r="BB870" s="34"/>
      <c r="BD870" s="34"/>
      <c r="BE870" s="34"/>
      <c r="BF870" s="34"/>
      <c r="BG870" s="34"/>
      <c r="BH870" s="34"/>
      <c r="BI870" s="34"/>
      <c r="BJ870" s="34"/>
      <c r="BK870" s="34"/>
      <c r="BL870" s="34"/>
      <c r="BM870" s="34"/>
      <c r="BN870" s="34"/>
      <c r="BO870" s="34"/>
      <c r="BP870" s="34"/>
      <c r="BQ870" s="34"/>
      <c r="BR870" s="34"/>
      <c r="BS870" s="34"/>
      <c r="BT870" s="34"/>
      <c r="BU870" s="34"/>
      <c r="BV870" s="34"/>
      <c r="BW870" s="34"/>
      <c r="BX870" s="34"/>
      <c r="BY870" s="34"/>
    </row>
    <row r="871" spans="1:77" x14ac:dyDescent="0.3">
      <c r="A871" s="39"/>
      <c r="B871" s="42"/>
      <c r="C871" s="42"/>
      <c r="D871" s="75"/>
      <c r="E871" s="75"/>
      <c r="F871" s="76"/>
      <c r="G871" s="47"/>
      <c r="H871" s="47"/>
      <c r="I871" s="75"/>
      <c r="J871" s="76"/>
      <c r="K871" s="76"/>
      <c r="L871" s="75"/>
      <c r="M871" s="49"/>
      <c r="N871" s="76"/>
      <c r="O871" s="49"/>
      <c r="P871" s="77"/>
      <c r="Q871" s="53"/>
      <c r="R871" s="54"/>
      <c r="S871" s="55"/>
      <c r="T871" s="56"/>
      <c r="U871" s="56"/>
      <c r="V871" s="42"/>
      <c r="W871" s="57"/>
      <c r="X871" s="58"/>
      <c r="Y871" s="75"/>
      <c r="Z871" s="59"/>
      <c r="AA871" s="61"/>
      <c r="AB871" s="61"/>
      <c r="AC871" s="61"/>
      <c r="AD871" s="62"/>
      <c r="AE871" s="62"/>
      <c r="AF871" s="34"/>
      <c r="AG871" s="34"/>
      <c r="AH871" s="34"/>
      <c r="AI871" s="34"/>
      <c r="AJ871" s="34"/>
      <c r="AK871" s="34"/>
      <c r="AL871" s="34"/>
      <c r="AM871" s="34"/>
      <c r="AN871" s="34"/>
      <c r="AO871" s="34"/>
      <c r="AP871" s="34"/>
      <c r="AQ871" s="34"/>
      <c r="AR871" s="34"/>
      <c r="AS871" s="34"/>
      <c r="AT871" s="34"/>
      <c r="AU871" s="34"/>
      <c r="AV871" s="34"/>
      <c r="AW871" s="34"/>
      <c r="AX871" s="34"/>
      <c r="AY871" s="34"/>
      <c r="AZ871" s="34"/>
      <c r="BA871" s="34"/>
      <c r="BB871" s="34"/>
      <c r="BD871" s="34"/>
      <c r="BE871" s="34"/>
      <c r="BF871" s="34"/>
      <c r="BG871" s="34"/>
      <c r="BH871" s="34"/>
      <c r="BI871" s="34"/>
      <c r="BJ871" s="34"/>
      <c r="BK871" s="34"/>
      <c r="BL871" s="34"/>
      <c r="BM871" s="34"/>
      <c r="BN871" s="34"/>
      <c r="BO871" s="34"/>
      <c r="BP871" s="34"/>
      <c r="BQ871" s="34"/>
      <c r="BR871" s="34"/>
      <c r="BS871" s="34"/>
      <c r="BT871" s="34"/>
      <c r="BU871" s="34"/>
      <c r="BV871" s="34"/>
      <c r="BW871" s="34"/>
      <c r="BX871" s="34"/>
      <c r="BY871" s="34"/>
    </row>
    <row r="872" spans="1:77" x14ac:dyDescent="0.3">
      <c r="A872" s="39"/>
      <c r="B872" s="42"/>
      <c r="C872" s="42"/>
      <c r="D872" s="75"/>
      <c r="E872" s="75"/>
      <c r="F872" s="76"/>
      <c r="G872" s="47"/>
      <c r="H872" s="47"/>
      <c r="I872" s="75"/>
      <c r="J872" s="76"/>
      <c r="K872" s="76"/>
      <c r="L872" s="75"/>
      <c r="M872" s="49"/>
      <c r="N872" s="76"/>
      <c r="O872" s="49"/>
      <c r="P872" s="77"/>
      <c r="Q872" s="53"/>
      <c r="R872" s="54"/>
      <c r="S872" s="55"/>
      <c r="T872" s="56"/>
      <c r="U872" s="56"/>
      <c r="V872" s="42"/>
      <c r="W872" s="57"/>
      <c r="X872" s="58"/>
      <c r="Y872" s="75"/>
      <c r="Z872" s="59"/>
      <c r="AA872" s="61"/>
      <c r="AB872" s="61"/>
      <c r="AC872" s="61"/>
      <c r="AD872" s="62"/>
      <c r="AE872" s="62"/>
      <c r="AF872" s="34"/>
      <c r="AG872" s="34"/>
      <c r="AH872" s="34"/>
      <c r="AI872" s="34"/>
      <c r="AJ872" s="34"/>
      <c r="AK872" s="34"/>
      <c r="AL872" s="34"/>
      <c r="AM872" s="34"/>
      <c r="AN872" s="34"/>
      <c r="AO872" s="34"/>
      <c r="AP872" s="34"/>
      <c r="AQ872" s="34"/>
      <c r="AR872" s="34"/>
      <c r="AS872" s="34"/>
      <c r="AT872" s="34"/>
      <c r="AU872" s="34"/>
      <c r="AV872" s="34"/>
      <c r="AW872" s="34"/>
      <c r="AX872" s="34"/>
      <c r="AY872" s="34"/>
      <c r="AZ872" s="34"/>
      <c r="BA872" s="34"/>
      <c r="BB872" s="34"/>
      <c r="BD872" s="34"/>
      <c r="BE872" s="34"/>
      <c r="BF872" s="34"/>
      <c r="BG872" s="34"/>
      <c r="BH872" s="34"/>
      <c r="BI872" s="34"/>
      <c r="BJ872" s="34"/>
      <c r="BK872" s="34"/>
      <c r="BL872" s="34"/>
      <c r="BM872" s="34"/>
      <c r="BN872" s="34"/>
      <c r="BO872" s="34"/>
      <c r="BP872" s="34"/>
      <c r="BQ872" s="34"/>
      <c r="BR872" s="34"/>
      <c r="BS872" s="34"/>
      <c r="BT872" s="34"/>
      <c r="BU872" s="34"/>
      <c r="BV872" s="34"/>
      <c r="BW872" s="34"/>
      <c r="BX872" s="34"/>
      <c r="BY872" s="34"/>
    </row>
    <row r="873" spans="1:77" x14ac:dyDescent="0.3">
      <c r="A873" s="39"/>
      <c r="B873" s="42"/>
      <c r="C873" s="42"/>
      <c r="D873" s="75"/>
      <c r="E873" s="75"/>
      <c r="F873" s="76"/>
      <c r="G873" s="47"/>
      <c r="H873" s="47"/>
      <c r="I873" s="75"/>
      <c r="J873" s="76"/>
      <c r="K873" s="76"/>
      <c r="L873" s="75"/>
      <c r="M873" s="49"/>
      <c r="N873" s="76"/>
      <c r="O873" s="49"/>
      <c r="P873" s="77"/>
      <c r="Q873" s="53"/>
      <c r="R873" s="54"/>
      <c r="S873" s="55"/>
      <c r="T873" s="56"/>
      <c r="U873" s="56"/>
      <c r="V873" s="42"/>
      <c r="W873" s="57"/>
      <c r="X873" s="58"/>
      <c r="Y873" s="75"/>
      <c r="Z873" s="59"/>
      <c r="AA873" s="61"/>
      <c r="AB873" s="61"/>
      <c r="AC873" s="61"/>
      <c r="AD873" s="62"/>
      <c r="AE873" s="62"/>
      <c r="AF873" s="34"/>
      <c r="AG873" s="34"/>
      <c r="AH873" s="34"/>
      <c r="AI873" s="34"/>
      <c r="AJ873" s="34"/>
      <c r="AK873" s="34"/>
      <c r="AL873" s="34"/>
      <c r="AM873" s="34"/>
      <c r="AN873" s="34"/>
      <c r="AO873" s="34"/>
      <c r="AP873" s="34"/>
      <c r="AQ873" s="34"/>
      <c r="AR873" s="34"/>
      <c r="AS873" s="34"/>
      <c r="AT873" s="34"/>
      <c r="AU873" s="34"/>
      <c r="AV873" s="34"/>
      <c r="AW873" s="34"/>
      <c r="AX873" s="34"/>
      <c r="AY873" s="34"/>
      <c r="AZ873" s="34"/>
      <c r="BA873" s="34"/>
      <c r="BB873" s="34"/>
      <c r="BD873" s="34"/>
      <c r="BE873" s="34"/>
      <c r="BF873" s="34"/>
      <c r="BG873" s="34"/>
      <c r="BH873" s="34"/>
      <c r="BI873" s="34"/>
      <c r="BJ873" s="34"/>
      <c r="BK873" s="34"/>
      <c r="BL873" s="34"/>
      <c r="BM873" s="34"/>
      <c r="BN873" s="34"/>
      <c r="BO873" s="34"/>
      <c r="BP873" s="34"/>
      <c r="BQ873" s="34"/>
      <c r="BR873" s="34"/>
      <c r="BS873" s="34"/>
      <c r="BT873" s="34"/>
      <c r="BU873" s="34"/>
      <c r="BV873" s="34"/>
      <c r="BW873" s="34"/>
      <c r="BX873" s="34"/>
      <c r="BY873" s="34"/>
    </row>
    <row r="874" spans="1:77" x14ac:dyDescent="0.3">
      <c r="A874" s="39"/>
      <c r="B874" s="42"/>
      <c r="C874" s="42"/>
      <c r="D874" s="75"/>
      <c r="E874" s="75"/>
      <c r="F874" s="76"/>
      <c r="G874" s="47"/>
      <c r="H874" s="47"/>
      <c r="I874" s="75"/>
      <c r="J874" s="76"/>
      <c r="K874" s="76"/>
      <c r="L874" s="75"/>
      <c r="M874" s="49"/>
      <c r="N874" s="76"/>
      <c r="O874" s="49"/>
      <c r="P874" s="77"/>
      <c r="Q874" s="53"/>
      <c r="R874" s="54"/>
      <c r="S874" s="55"/>
      <c r="T874" s="56"/>
      <c r="U874" s="56"/>
      <c r="V874" s="42"/>
      <c r="W874" s="57"/>
      <c r="X874" s="58"/>
      <c r="Y874" s="75"/>
      <c r="Z874" s="59"/>
      <c r="AA874" s="61"/>
      <c r="AB874" s="61"/>
      <c r="AC874" s="61"/>
      <c r="AD874" s="62"/>
      <c r="AE874" s="62"/>
      <c r="AF874" s="34"/>
      <c r="AG874" s="34"/>
      <c r="AH874" s="34"/>
      <c r="AI874" s="34"/>
      <c r="AJ874" s="34"/>
      <c r="AK874" s="34"/>
      <c r="AL874" s="34"/>
      <c r="AM874" s="34"/>
      <c r="AN874" s="34"/>
      <c r="AO874" s="34"/>
      <c r="AP874" s="34"/>
      <c r="AQ874" s="34"/>
      <c r="AR874" s="34"/>
      <c r="AS874" s="34"/>
      <c r="AT874" s="34"/>
      <c r="AU874" s="34"/>
      <c r="AV874" s="34"/>
      <c r="AW874" s="34"/>
      <c r="AX874" s="34"/>
      <c r="AY874" s="34"/>
      <c r="AZ874" s="34"/>
      <c r="BA874" s="34"/>
      <c r="BB874" s="34"/>
      <c r="BD874" s="34"/>
      <c r="BE874" s="34"/>
      <c r="BF874" s="34"/>
      <c r="BG874" s="34"/>
      <c r="BH874" s="34"/>
      <c r="BI874" s="34"/>
      <c r="BJ874" s="34"/>
      <c r="BK874" s="34"/>
      <c r="BL874" s="34"/>
      <c r="BM874" s="34"/>
      <c r="BN874" s="34"/>
      <c r="BO874" s="34"/>
      <c r="BP874" s="34"/>
      <c r="BQ874" s="34"/>
      <c r="BR874" s="34"/>
      <c r="BS874" s="34"/>
      <c r="BT874" s="34"/>
      <c r="BU874" s="34"/>
      <c r="BV874" s="34"/>
      <c r="BW874" s="34"/>
      <c r="BX874" s="34"/>
      <c r="BY874" s="34"/>
    </row>
    <row r="875" spans="1:77" x14ac:dyDescent="0.3">
      <c r="A875" s="39"/>
      <c r="B875" s="42"/>
      <c r="C875" s="42"/>
      <c r="D875" s="75"/>
      <c r="E875" s="75"/>
      <c r="F875" s="76"/>
      <c r="G875" s="47"/>
      <c r="H875" s="47"/>
      <c r="I875" s="75"/>
      <c r="J875" s="76"/>
      <c r="K875" s="76"/>
      <c r="L875" s="75"/>
      <c r="M875" s="49"/>
      <c r="N875" s="76"/>
      <c r="O875" s="49"/>
      <c r="P875" s="77"/>
      <c r="Q875" s="53"/>
      <c r="R875" s="54"/>
      <c r="S875" s="55"/>
      <c r="T875" s="56"/>
      <c r="U875" s="56"/>
      <c r="V875" s="42"/>
      <c r="W875" s="57"/>
      <c r="X875" s="58"/>
      <c r="Y875" s="75"/>
      <c r="Z875" s="59"/>
      <c r="AA875" s="61"/>
      <c r="AB875" s="61"/>
      <c r="AC875" s="61"/>
      <c r="AD875" s="62"/>
      <c r="AE875" s="62"/>
      <c r="AF875" s="34"/>
      <c r="AG875" s="34"/>
      <c r="AH875" s="34"/>
      <c r="AI875" s="34"/>
      <c r="AJ875" s="34"/>
      <c r="AK875" s="34"/>
      <c r="AL875" s="34"/>
      <c r="AM875" s="34"/>
      <c r="AN875" s="34"/>
      <c r="AO875" s="34"/>
      <c r="AP875" s="34"/>
      <c r="AQ875" s="34"/>
      <c r="AR875" s="34"/>
      <c r="AS875" s="34"/>
      <c r="AT875" s="34"/>
      <c r="AU875" s="34"/>
      <c r="AV875" s="34"/>
      <c r="AW875" s="34"/>
      <c r="AX875" s="34"/>
      <c r="AY875" s="34"/>
      <c r="AZ875" s="34"/>
      <c r="BA875" s="34"/>
      <c r="BB875" s="34"/>
      <c r="BD875" s="34"/>
      <c r="BE875" s="34"/>
      <c r="BF875" s="34"/>
      <c r="BG875" s="34"/>
      <c r="BH875" s="34"/>
      <c r="BI875" s="34"/>
      <c r="BJ875" s="34"/>
      <c r="BK875" s="34"/>
      <c r="BL875" s="34"/>
      <c r="BM875" s="34"/>
      <c r="BN875" s="34"/>
      <c r="BO875" s="34"/>
      <c r="BP875" s="34"/>
      <c r="BQ875" s="34"/>
      <c r="BR875" s="34"/>
      <c r="BS875" s="34"/>
      <c r="BT875" s="34"/>
      <c r="BU875" s="34"/>
      <c r="BV875" s="34"/>
      <c r="BW875" s="34"/>
      <c r="BX875" s="34"/>
      <c r="BY875" s="34"/>
    </row>
    <row r="876" spans="1:77" x14ac:dyDescent="0.3">
      <c r="A876" s="39"/>
      <c r="B876" s="42"/>
      <c r="C876" s="42"/>
      <c r="D876" s="75"/>
      <c r="E876" s="75"/>
      <c r="F876" s="76"/>
      <c r="G876" s="47"/>
      <c r="H876" s="47"/>
      <c r="I876" s="75"/>
      <c r="J876" s="76"/>
      <c r="K876" s="76"/>
      <c r="L876" s="75"/>
      <c r="M876" s="49"/>
      <c r="N876" s="76"/>
      <c r="O876" s="49"/>
      <c r="P876" s="77"/>
      <c r="Q876" s="53"/>
      <c r="R876" s="54"/>
      <c r="S876" s="55"/>
      <c r="T876" s="56"/>
      <c r="U876" s="56"/>
      <c r="V876" s="42"/>
      <c r="W876" s="57"/>
      <c r="X876" s="58"/>
      <c r="Y876" s="75"/>
      <c r="Z876" s="59"/>
      <c r="AA876" s="61"/>
      <c r="AB876" s="61"/>
      <c r="AC876" s="61"/>
      <c r="AD876" s="62"/>
      <c r="AE876" s="62"/>
      <c r="AF876" s="34"/>
      <c r="AG876" s="34"/>
      <c r="AH876" s="34"/>
      <c r="AI876" s="34"/>
      <c r="AJ876" s="34"/>
      <c r="AK876" s="34"/>
      <c r="AL876" s="34"/>
      <c r="AM876" s="34"/>
      <c r="AN876" s="34"/>
      <c r="AO876" s="34"/>
      <c r="AP876" s="34"/>
      <c r="AQ876" s="34"/>
      <c r="AR876" s="34"/>
      <c r="AS876" s="34"/>
      <c r="AT876" s="34"/>
      <c r="AU876" s="34"/>
      <c r="AV876" s="34"/>
      <c r="AW876" s="34"/>
      <c r="AX876" s="34"/>
      <c r="AY876" s="34"/>
      <c r="AZ876" s="34"/>
      <c r="BA876" s="34"/>
      <c r="BB876" s="34"/>
      <c r="BD876" s="34"/>
      <c r="BE876" s="34"/>
      <c r="BF876" s="34"/>
      <c r="BG876" s="34"/>
      <c r="BH876" s="34"/>
      <c r="BI876" s="34"/>
      <c r="BJ876" s="34"/>
      <c r="BK876" s="34"/>
      <c r="BL876" s="34"/>
      <c r="BM876" s="34"/>
      <c r="BN876" s="34"/>
      <c r="BO876" s="34"/>
      <c r="BP876" s="34"/>
      <c r="BQ876" s="34"/>
      <c r="BR876" s="34"/>
      <c r="BS876" s="34"/>
      <c r="BT876" s="34"/>
      <c r="BU876" s="34"/>
      <c r="BV876" s="34"/>
      <c r="BW876" s="34"/>
      <c r="BX876" s="34"/>
      <c r="BY876" s="34"/>
    </row>
    <row r="877" spans="1:77" x14ac:dyDescent="0.3">
      <c r="A877" s="39"/>
      <c r="B877" s="42"/>
      <c r="C877" s="42"/>
      <c r="D877" s="75"/>
      <c r="E877" s="75"/>
      <c r="F877" s="76"/>
      <c r="G877" s="47"/>
      <c r="H877" s="47"/>
      <c r="I877" s="75"/>
      <c r="J877" s="76"/>
      <c r="K877" s="76"/>
      <c r="L877" s="75"/>
      <c r="M877" s="49"/>
      <c r="N877" s="76"/>
      <c r="O877" s="49"/>
      <c r="P877" s="77"/>
      <c r="Q877" s="53"/>
      <c r="R877" s="54"/>
      <c r="S877" s="55"/>
      <c r="T877" s="56"/>
      <c r="U877" s="56"/>
      <c r="V877" s="42"/>
      <c r="W877" s="57"/>
      <c r="X877" s="58"/>
      <c r="Y877" s="75"/>
      <c r="Z877" s="59"/>
      <c r="AA877" s="61"/>
      <c r="AB877" s="61"/>
      <c r="AC877" s="61"/>
      <c r="AD877" s="62"/>
      <c r="AE877" s="62"/>
      <c r="AF877" s="34"/>
      <c r="AG877" s="34"/>
      <c r="AH877" s="34"/>
      <c r="AI877" s="34"/>
      <c r="AJ877" s="34"/>
      <c r="AK877" s="34"/>
      <c r="AL877" s="34"/>
      <c r="AM877" s="34"/>
      <c r="AN877" s="34"/>
      <c r="AO877" s="34"/>
      <c r="AP877" s="34"/>
      <c r="AQ877" s="34"/>
      <c r="AR877" s="34"/>
      <c r="AS877" s="34"/>
      <c r="AT877" s="34"/>
      <c r="AU877" s="34"/>
      <c r="AV877" s="34"/>
      <c r="AW877" s="34"/>
      <c r="AX877" s="34"/>
      <c r="AY877" s="34"/>
      <c r="AZ877" s="34"/>
      <c r="BA877" s="34"/>
      <c r="BB877" s="34"/>
      <c r="BD877" s="34"/>
      <c r="BE877" s="34"/>
      <c r="BF877" s="34"/>
      <c r="BG877" s="34"/>
      <c r="BH877" s="34"/>
      <c r="BI877" s="34"/>
      <c r="BJ877" s="34"/>
      <c r="BK877" s="34"/>
      <c r="BL877" s="34"/>
      <c r="BM877" s="34"/>
      <c r="BN877" s="34"/>
      <c r="BO877" s="34"/>
      <c r="BP877" s="34"/>
      <c r="BQ877" s="34"/>
      <c r="BR877" s="34"/>
      <c r="BS877" s="34"/>
      <c r="BT877" s="34"/>
      <c r="BU877" s="34"/>
      <c r="BV877" s="34"/>
      <c r="BW877" s="34"/>
      <c r="BX877" s="34"/>
      <c r="BY877" s="34"/>
    </row>
    <row r="878" spans="1:77" x14ac:dyDescent="0.3">
      <c r="A878" s="39"/>
      <c r="B878" s="42"/>
      <c r="C878" s="42"/>
      <c r="D878" s="75"/>
      <c r="E878" s="75"/>
      <c r="F878" s="76"/>
      <c r="G878" s="47"/>
      <c r="H878" s="47"/>
      <c r="I878" s="75"/>
      <c r="J878" s="76"/>
      <c r="K878" s="76"/>
      <c r="L878" s="75"/>
      <c r="M878" s="49"/>
      <c r="N878" s="76"/>
      <c r="O878" s="49"/>
      <c r="P878" s="77"/>
      <c r="Q878" s="53"/>
      <c r="R878" s="54"/>
      <c r="S878" s="55"/>
      <c r="T878" s="56"/>
      <c r="U878" s="56"/>
      <c r="V878" s="42"/>
      <c r="W878" s="57"/>
      <c r="X878" s="58"/>
      <c r="Y878" s="75"/>
      <c r="Z878" s="59"/>
      <c r="AA878" s="61"/>
      <c r="AB878" s="61"/>
      <c r="AC878" s="61"/>
      <c r="AD878" s="62"/>
      <c r="AE878" s="62"/>
      <c r="AF878" s="34"/>
      <c r="AG878" s="34"/>
      <c r="AH878" s="34"/>
      <c r="AI878" s="34"/>
      <c r="AJ878" s="34"/>
      <c r="AK878" s="34"/>
      <c r="AL878" s="34"/>
      <c r="AM878" s="34"/>
      <c r="AN878" s="34"/>
      <c r="AO878" s="34"/>
      <c r="AP878" s="34"/>
      <c r="AQ878" s="34"/>
      <c r="AR878" s="34"/>
      <c r="AS878" s="34"/>
      <c r="AT878" s="34"/>
      <c r="AU878" s="34"/>
      <c r="AV878" s="34"/>
      <c r="AW878" s="34"/>
      <c r="AX878" s="34"/>
      <c r="AY878" s="34"/>
      <c r="AZ878" s="34"/>
      <c r="BA878" s="34"/>
      <c r="BB878" s="34"/>
      <c r="BD878" s="34"/>
      <c r="BE878" s="34"/>
      <c r="BF878" s="34"/>
      <c r="BG878" s="34"/>
      <c r="BH878" s="34"/>
      <c r="BI878" s="34"/>
      <c r="BJ878" s="34"/>
      <c r="BK878" s="34"/>
      <c r="BL878" s="34"/>
      <c r="BM878" s="34"/>
      <c r="BN878" s="34"/>
      <c r="BO878" s="34"/>
      <c r="BP878" s="34"/>
      <c r="BQ878" s="34"/>
      <c r="BR878" s="34"/>
      <c r="BS878" s="34"/>
      <c r="BT878" s="34"/>
      <c r="BU878" s="34"/>
      <c r="BV878" s="34"/>
      <c r="BW878" s="34"/>
      <c r="BX878" s="34"/>
      <c r="BY878" s="34"/>
    </row>
    <row r="879" spans="1:77" x14ac:dyDescent="0.3">
      <c r="A879" s="39"/>
      <c r="B879" s="42"/>
      <c r="C879" s="42"/>
      <c r="D879" s="75"/>
      <c r="E879" s="75"/>
      <c r="F879" s="76"/>
      <c r="G879" s="47"/>
      <c r="H879" s="47"/>
      <c r="I879" s="75"/>
      <c r="J879" s="76"/>
      <c r="K879" s="76"/>
      <c r="L879" s="75"/>
      <c r="M879" s="49"/>
      <c r="N879" s="76"/>
      <c r="O879" s="49"/>
      <c r="P879" s="77"/>
      <c r="Q879" s="53"/>
      <c r="R879" s="54"/>
      <c r="S879" s="55"/>
      <c r="T879" s="56"/>
      <c r="U879" s="56"/>
      <c r="V879" s="42"/>
      <c r="W879" s="57"/>
      <c r="X879" s="58"/>
      <c r="Y879" s="75"/>
      <c r="Z879" s="59"/>
      <c r="AA879" s="61"/>
      <c r="AB879" s="61"/>
      <c r="AC879" s="61"/>
      <c r="AD879" s="62"/>
      <c r="AE879" s="62"/>
      <c r="AF879" s="34"/>
      <c r="AG879" s="34"/>
      <c r="AH879" s="34"/>
      <c r="AI879" s="34"/>
      <c r="AJ879" s="34"/>
      <c r="AK879" s="34"/>
      <c r="AL879" s="34"/>
      <c r="AM879" s="34"/>
      <c r="AN879" s="34"/>
      <c r="AO879" s="34"/>
      <c r="AP879" s="34"/>
      <c r="AQ879" s="34"/>
      <c r="AR879" s="34"/>
      <c r="AS879" s="34"/>
      <c r="AT879" s="34"/>
      <c r="AU879" s="34"/>
      <c r="AV879" s="34"/>
      <c r="AW879" s="34"/>
      <c r="AX879" s="34"/>
      <c r="AY879" s="34"/>
      <c r="AZ879" s="34"/>
      <c r="BA879" s="34"/>
      <c r="BB879" s="34"/>
      <c r="BD879" s="34"/>
      <c r="BE879" s="34"/>
      <c r="BF879" s="34"/>
      <c r="BG879" s="34"/>
      <c r="BH879" s="34"/>
      <c r="BI879" s="34"/>
      <c r="BJ879" s="34"/>
      <c r="BK879" s="34"/>
      <c r="BL879" s="34"/>
      <c r="BM879" s="34"/>
      <c r="BN879" s="34"/>
      <c r="BO879" s="34"/>
      <c r="BP879" s="34"/>
      <c r="BQ879" s="34"/>
      <c r="BR879" s="34"/>
      <c r="BS879" s="34"/>
      <c r="BT879" s="34"/>
      <c r="BU879" s="34"/>
      <c r="BV879" s="34"/>
      <c r="BW879" s="34"/>
      <c r="BX879" s="34"/>
      <c r="BY879" s="34"/>
    </row>
    <row r="880" spans="1:77" x14ac:dyDescent="0.3">
      <c r="A880" s="39"/>
      <c r="B880" s="42"/>
      <c r="C880" s="42"/>
      <c r="D880" s="75"/>
      <c r="E880" s="75"/>
      <c r="F880" s="76"/>
      <c r="G880" s="47"/>
      <c r="H880" s="47"/>
      <c r="I880" s="75"/>
      <c r="J880" s="76"/>
      <c r="K880" s="76"/>
      <c r="L880" s="75"/>
      <c r="M880" s="49"/>
      <c r="N880" s="76"/>
      <c r="O880" s="49"/>
      <c r="P880" s="77"/>
      <c r="Q880" s="53"/>
      <c r="R880" s="54"/>
      <c r="S880" s="55"/>
      <c r="T880" s="56"/>
      <c r="U880" s="56"/>
      <c r="V880" s="42"/>
      <c r="W880" s="57"/>
      <c r="X880" s="58"/>
      <c r="Y880" s="75"/>
      <c r="Z880" s="59"/>
      <c r="AA880" s="61"/>
      <c r="AB880" s="61"/>
      <c r="AC880" s="61"/>
      <c r="AD880" s="62"/>
      <c r="AE880" s="62"/>
      <c r="AF880" s="34"/>
      <c r="AG880" s="34"/>
      <c r="AH880" s="34"/>
      <c r="AI880" s="34"/>
      <c r="AJ880" s="34"/>
      <c r="AK880" s="34"/>
      <c r="AL880" s="34"/>
      <c r="AM880" s="34"/>
      <c r="AN880" s="34"/>
      <c r="AO880" s="34"/>
      <c r="AP880" s="34"/>
      <c r="AQ880" s="34"/>
      <c r="AR880" s="34"/>
      <c r="AS880" s="34"/>
      <c r="AT880" s="34"/>
      <c r="AU880" s="34"/>
      <c r="AV880" s="34"/>
      <c r="AW880" s="34"/>
      <c r="AX880" s="34"/>
      <c r="AY880" s="34"/>
      <c r="AZ880" s="34"/>
      <c r="BA880" s="34"/>
      <c r="BB880" s="34"/>
      <c r="BD880" s="34"/>
      <c r="BE880" s="34"/>
      <c r="BF880" s="34"/>
      <c r="BG880" s="34"/>
      <c r="BH880" s="34"/>
      <c r="BI880" s="34"/>
      <c r="BJ880" s="34"/>
      <c r="BK880" s="34"/>
      <c r="BL880" s="34"/>
      <c r="BM880" s="34"/>
      <c r="BN880" s="34"/>
      <c r="BO880" s="34"/>
      <c r="BP880" s="34"/>
      <c r="BQ880" s="34"/>
      <c r="BR880" s="34"/>
      <c r="BS880" s="34"/>
      <c r="BT880" s="34"/>
      <c r="BU880" s="34"/>
      <c r="BV880" s="34"/>
      <c r="BW880" s="34"/>
      <c r="BX880" s="34"/>
      <c r="BY880" s="34"/>
    </row>
    <row r="881" spans="1:77" x14ac:dyDescent="0.3">
      <c r="A881" s="39"/>
      <c r="B881" s="42"/>
      <c r="C881" s="42"/>
      <c r="D881" s="75"/>
      <c r="E881" s="75"/>
      <c r="F881" s="76"/>
      <c r="G881" s="47"/>
      <c r="H881" s="47"/>
      <c r="I881" s="75"/>
      <c r="J881" s="76"/>
      <c r="K881" s="76"/>
      <c r="L881" s="75"/>
      <c r="M881" s="49"/>
      <c r="N881" s="76"/>
      <c r="O881" s="49"/>
      <c r="P881" s="77"/>
      <c r="Q881" s="53"/>
      <c r="R881" s="54"/>
      <c r="S881" s="55"/>
      <c r="T881" s="56"/>
      <c r="U881" s="56"/>
      <c r="V881" s="42"/>
      <c r="W881" s="57"/>
      <c r="X881" s="58"/>
      <c r="Y881" s="75"/>
      <c r="Z881" s="59"/>
      <c r="AA881" s="61"/>
      <c r="AB881" s="61"/>
      <c r="AC881" s="61"/>
      <c r="AD881" s="62"/>
      <c r="AE881" s="62"/>
      <c r="AF881" s="34"/>
      <c r="AG881" s="34"/>
      <c r="AH881" s="34"/>
      <c r="AI881" s="34"/>
      <c r="AJ881" s="34"/>
      <c r="AK881" s="34"/>
      <c r="AL881" s="34"/>
      <c r="AM881" s="34"/>
      <c r="AN881" s="34"/>
      <c r="AO881" s="34"/>
      <c r="AP881" s="34"/>
      <c r="AQ881" s="34"/>
      <c r="AR881" s="34"/>
      <c r="AS881" s="34"/>
      <c r="AT881" s="34"/>
      <c r="AU881" s="34"/>
      <c r="AV881" s="34"/>
      <c r="AW881" s="34"/>
      <c r="AX881" s="34"/>
      <c r="AY881" s="34"/>
      <c r="AZ881" s="34"/>
      <c r="BA881" s="34"/>
      <c r="BB881" s="34"/>
      <c r="BD881" s="34"/>
      <c r="BE881" s="34"/>
      <c r="BF881" s="34"/>
      <c r="BG881" s="34"/>
      <c r="BH881" s="34"/>
      <c r="BI881" s="34"/>
      <c r="BJ881" s="34"/>
      <c r="BK881" s="34"/>
      <c r="BL881" s="34"/>
      <c r="BM881" s="34"/>
      <c r="BN881" s="34"/>
      <c r="BO881" s="34"/>
      <c r="BP881" s="34"/>
      <c r="BQ881" s="34"/>
      <c r="BR881" s="34"/>
      <c r="BS881" s="34"/>
      <c r="BT881" s="34"/>
      <c r="BU881" s="34"/>
      <c r="BV881" s="34"/>
      <c r="BW881" s="34"/>
      <c r="BX881" s="34"/>
      <c r="BY881" s="34"/>
    </row>
    <row r="882" spans="1:77" x14ac:dyDescent="0.3">
      <c r="A882" s="39"/>
      <c r="B882" s="42"/>
      <c r="C882" s="42"/>
      <c r="D882" s="75"/>
      <c r="E882" s="75"/>
      <c r="F882" s="76"/>
      <c r="G882" s="47"/>
      <c r="H882" s="47"/>
      <c r="I882" s="75"/>
      <c r="J882" s="76"/>
      <c r="K882" s="76"/>
      <c r="L882" s="75"/>
      <c r="M882" s="49"/>
      <c r="N882" s="76"/>
      <c r="O882" s="49"/>
      <c r="P882" s="77"/>
      <c r="Q882" s="53"/>
      <c r="R882" s="54"/>
      <c r="S882" s="55"/>
      <c r="T882" s="56"/>
      <c r="U882" s="56"/>
      <c r="V882" s="42"/>
      <c r="W882" s="57"/>
      <c r="X882" s="58"/>
      <c r="Y882" s="75"/>
      <c r="Z882" s="59"/>
      <c r="AA882" s="61"/>
      <c r="AB882" s="61"/>
      <c r="AC882" s="61"/>
      <c r="AD882" s="62"/>
      <c r="AE882" s="62"/>
      <c r="AF882" s="34"/>
      <c r="AG882" s="34"/>
      <c r="AH882" s="34"/>
      <c r="AI882" s="34"/>
      <c r="AJ882" s="34"/>
      <c r="AK882" s="34"/>
      <c r="AL882" s="34"/>
      <c r="AM882" s="34"/>
      <c r="AN882" s="34"/>
      <c r="AO882" s="34"/>
      <c r="AP882" s="34"/>
      <c r="AQ882" s="34"/>
      <c r="AR882" s="34"/>
      <c r="AS882" s="34"/>
      <c r="AT882" s="34"/>
      <c r="AU882" s="34"/>
      <c r="AV882" s="34"/>
      <c r="AW882" s="34"/>
      <c r="AX882" s="34"/>
      <c r="AY882" s="34"/>
      <c r="AZ882" s="34"/>
      <c r="BA882" s="34"/>
      <c r="BB882" s="34"/>
      <c r="BD882" s="34"/>
      <c r="BE882" s="34"/>
      <c r="BF882" s="34"/>
      <c r="BG882" s="34"/>
      <c r="BH882" s="34"/>
      <c r="BI882" s="34"/>
      <c r="BJ882" s="34"/>
      <c r="BK882" s="34"/>
      <c r="BL882" s="34"/>
      <c r="BM882" s="34"/>
      <c r="BN882" s="34"/>
      <c r="BO882" s="34"/>
      <c r="BP882" s="34"/>
      <c r="BQ882" s="34"/>
      <c r="BR882" s="34"/>
      <c r="BS882" s="34"/>
      <c r="BT882" s="34"/>
      <c r="BU882" s="34"/>
      <c r="BV882" s="34"/>
      <c r="BW882" s="34"/>
      <c r="BX882" s="34"/>
      <c r="BY882" s="34"/>
    </row>
    <row r="883" spans="1:77" x14ac:dyDescent="0.3">
      <c r="A883" s="39"/>
      <c r="B883" s="42"/>
      <c r="C883" s="42"/>
      <c r="D883" s="75"/>
      <c r="E883" s="75"/>
      <c r="F883" s="76"/>
      <c r="G883" s="47"/>
      <c r="H883" s="47"/>
      <c r="I883" s="75"/>
      <c r="J883" s="76"/>
      <c r="K883" s="76"/>
      <c r="L883" s="75"/>
      <c r="M883" s="49"/>
      <c r="N883" s="76"/>
      <c r="O883" s="49"/>
      <c r="P883" s="77"/>
      <c r="Q883" s="53"/>
      <c r="R883" s="54"/>
      <c r="S883" s="55"/>
      <c r="T883" s="56"/>
      <c r="U883" s="56"/>
      <c r="V883" s="42"/>
      <c r="W883" s="57"/>
      <c r="X883" s="58"/>
      <c r="Y883" s="75"/>
      <c r="Z883" s="59"/>
      <c r="AA883" s="61"/>
      <c r="AB883" s="61"/>
      <c r="AC883" s="61"/>
      <c r="AD883" s="62"/>
      <c r="AE883" s="62"/>
      <c r="AF883" s="34"/>
      <c r="AG883" s="34"/>
      <c r="AH883" s="34"/>
      <c r="AI883" s="34"/>
      <c r="AJ883" s="34"/>
      <c r="AK883" s="34"/>
      <c r="AL883" s="34"/>
      <c r="AM883" s="34"/>
      <c r="AN883" s="34"/>
      <c r="AO883" s="34"/>
      <c r="AP883" s="34"/>
      <c r="AQ883" s="34"/>
      <c r="AR883" s="34"/>
      <c r="AS883" s="34"/>
      <c r="AT883" s="34"/>
      <c r="AU883" s="34"/>
      <c r="AV883" s="34"/>
      <c r="AW883" s="34"/>
      <c r="AX883" s="34"/>
      <c r="AY883" s="34"/>
      <c r="AZ883" s="34"/>
      <c r="BA883" s="34"/>
      <c r="BB883" s="34"/>
      <c r="BD883" s="34"/>
      <c r="BE883" s="34"/>
      <c r="BF883" s="34"/>
      <c r="BG883" s="34"/>
      <c r="BH883" s="34"/>
      <c r="BI883" s="34"/>
      <c r="BJ883" s="34"/>
      <c r="BK883" s="34"/>
      <c r="BL883" s="34"/>
      <c r="BM883" s="34"/>
      <c r="BN883" s="34"/>
      <c r="BO883" s="34"/>
      <c r="BP883" s="34"/>
      <c r="BQ883" s="34"/>
      <c r="BR883" s="34"/>
      <c r="BS883" s="34"/>
      <c r="BT883" s="34"/>
      <c r="BU883" s="34"/>
      <c r="BV883" s="34"/>
      <c r="BW883" s="34"/>
      <c r="BX883" s="34"/>
      <c r="BY883" s="34"/>
    </row>
    <row r="884" spans="1:77" x14ac:dyDescent="0.3">
      <c r="A884" s="39"/>
      <c r="B884" s="42"/>
      <c r="C884" s="42"/>
      <c r="D884" s="75"/>
      <c r="E884" s="75"/>
      <c r="F884" s="76"/>
      <c r="G884" s="47"/>
      <c r="H884" s="47"/>
      <c r="I884" s="75"/>
      <c r="J884" s="76"/>
      <c r="K884" s="76"/>
      <c r="L884" s="75"/>
      <c r="M884" s="49"/>
      <c r="N884" s="76"/>
      <c r="O884" s="49"/>
      <c r="P884" s="77"/>
      <c r="Q884" s="53"/>
      <c r="R884" s="54"/>
      <c r="S884" s="55"/>
      <c r="T884" s="56"/>
      <c r="U884" s="56"/>
      <c r="V884" s="42"/>
      <c r="W884" s="57"/>
      <c r="X884" s="58"/>
      <c r="Y884" s="75"/>
      <c r="Z884" s="59"/>
      <c r="AA884" s="61"/>
      <c r="AB884" s="61"/>
      <c r="AC884" s="61"/>
      <c r="AD884" s="62"/>
      <c r="AE884" s="62"/>
      <c r="AF884" s="34"/>
      <c r="AG884" s="34"/>
      <c r="AH884" s="34"/>
      <c r="AI884" s="34"/>
      <c r="AJ884" s="34"/>
      <c r="AK884" s="34"/>
      <c r="AL884" s="34"/>
      <c r="AM884" s="34"/>
      <c r="AN884" s="34"/>
      <c r="AO884" s="34"/>
      <c r="AP884" s="34"/>
      <c r="AQ884" s="34"/>
      <c r="AR884" s="34"/>
      <c r="AS884" s="34"/>
      <c r="AT884" s="34"/>
      <c r="AU884" s="34"/>
      <c r="AV884" s="34"/>
      <c r="AW884" s="34"/>
      <c r="AX884" s="34"/>
      <c r="AY884" s="34"/>
      <c r="AZ884" s="34"/>
      <c r="BA884" s="34"/>
      <c r="BB884" s="34"/>
      <c r="BD884" s="34"/>
      <c r="BE884" s="34"/>
      <c r="BF884" s="34"/>
      <c r="BG884" s="34"/>
      <c r="BH884" s="34"/>
      <c r="BI884" s="34"/>
      <c r="BJ884" s="34"/>
      <c r="BK884" s="34"/>
      <c r="BL884" s="34"/>
      <c r="BM884" s="34"/>
      <c r="BN884" s="34"/>
      <c r="BO884" s="34"/>
      <c r="BP884" s="34"/>
      <c r="BQ884" s="34"/>
      <c r="BR884" s="34"/>
      <c r="BS884" s="34"/>
      <c r="BT884" s="34"/>
      <c r="BU884" s="34"/>
      <c r="BV884" s="34"/>
      <c r="BW884" s="34"/>
      <c r="BX884" s="34"/>
      <c r="BY884" s="34"/>
    </row>
    <row r="885" spans="1:77" x14ac:dyDescent="0.3">
      <c r="A885" s="39"/>
      <c r="B885" s="42"/>
      <c r="C885" s="42"/>
      <c r="D885" s="75"/>
      <c r="E885" s="75"/>
      <c r="F885" s="76"/>
      <c r="G885" s="47"/>
      <c r="H885" s="47"/>
      <c r="I885" s="75"/>
      <c r="J885" s="76"/>
      <c r="K885" s="76"/>
      <c r="L885" s="75"/>
      <c r="M885" s="49"/>
      <c r="N885" s="76"/>
      <c r="O885" s="49"/>
      <c r="P885" s="77"/>
      <c r="Q885" s="53"/>
      <c r="R885" s="54"/>
      <c r="S885" s="55"/>
      <c r="T885" s="56"/>
      <c r="U885" s="56"/>
      <c r="V885" s="42"/>
      <c r="W885" s="57"/>
      <c r="X885" s="58"/>
      <c r="Y885" s="75"/>
      <c r="Z885" s="59"/>
      <c r="AA885" s="61"/>
      <c r="AB885" s="61"/>
      <c r="AC885" s="61"/>
      <c r="AD885" s="62"/>
      <c r="AE885" s="62"/>
      <c r="AF885" s="34"/>
      <c r="AG885" s="34"/>
      <c r="AH885" s="34"/>
      <c r="AI885" s="34"/>
      <c r="AJ885" s="34"/>
      <c r="AK885" s="34"/>
      <c r="AL885" s="34"/>
      <c r="AM885" s="34"/>
      <c r="AN885" s="34"/>
      <c r="AO885" s="34"/>
      <c r="AP885" s="34"/>
      <c r="AQ885" s="34"/>
      <c r="AR885" s="34"/>
      <c r="AS885" s="34"/>
      <c r="AT885" s="34"/>
      <c r="AU885" s="34"/>
      <c r="AV885" s="34"/>
      <c r="AW885" s="34"/>
      <c r="AX885" s="34"/>
      <c r="AY885" s="34"/>
      <c r="AZ885" s="34"/>
      <c r="BA885" s="34"/>
      <c r="BB885" s="34"/>
      <c r="BD885" s="34"/>
      <c r="BE885" s="34"/>
      <c r="BF885" s="34"/>
      <c r="BG885" s="34"/>
      <c r="BH885" s="34"/>
      <c r="BI885" s="34"/>
      <c r="BJ885" s="34"/>
      <c r="BK885" s="34"/>
      <c r="BL885" s="34"/>
      <c r="BM885" s="34"/>
      <c r="BN885" s="34"/>
      <c r="BO885" s="34"/>
      <c r="BP885" s="34"/>
      <c r="BQ885" s="34"/>
      <c r="BR885" s="34"/>
      <c r="BS885" s="34"/>
      <c r="BT885" s="34"/>
      <c r="BU885" s="34"/>
      <c r="BV885" s="34"/>
      <c r="BW885" s="34"/>
      <c r="BX885" s="34"/>
      <c r="BY885" s="34"/>
    </row>
    <row r="886" spans="1:77" x14ac:dyDescent="0.3">
      <c r="A886" s="39"/>
      <c r="B886" s="42"/>
      <c r="C886" s="42"/>
      <c r="D886" s="75"/>
      <c r="E886" s="75"/>
      <c r="F886" s="76"/>
      <c r="G886" s="47"/>
      <c r="H886" s="47"/>
      <c r="I886" s="75"/>
      <c r="J886" s="76"/>
      <c r="K886" s="76"/>
      <c r="L886" s="75"/>
      <c r="M886" s="49"/>
      <c r="N886" s="76"/>
      <c r="O886" s="49"/>
      <c r="P886" s="77"/>
      <c r="Q886" s="53"/>
      <c r="R886" s="54"/>
      <c r="S886" s="55"/>
      <c r="T886" s="56"/>
      <c r="U886" s="56"/>
      <c r="V886" s="42"/>
      <c r="W886" s="57"/>
      <c r="X886" s="58"/>
      <c r="Y886" s="75"/>
      <c r="Z886" s="59"/>
      <c r="AA886" s="61"/>
      <c r="AB886" s="61"/>
      <c r="AC886" s="61"/>
      <c r="AD886" s="62"/>
      <c r="AE886" s="62"/>
      <c r="AF886" s="34"/>
      <c r="AG886" s="34"/>
      <c r="AH886" s="34"/>
      <c r="AI886" s="34"/>
      <c r="AJ886" s="34"/>
      <c r="AK886" s="34"/>
      <c r="AL886" s="34"/>
      <c r="AM886" s="34"/>
      <c r="AN886" s="34"/>
      <c r="AO886" s="34"/>
      <c r="AP886" s="34"/>
      <c r="AQ886" s="34"/>
      <c r="AR886" s="34"/>
      <c r="AS886" s="34"/>
      <c r="AT886" s="34"/>
      <c r="AU886" s="34"/>
      <c r="AV886" s="34"/>
      <c r="AW886" s="34"/>
      <c r="AX886" s="34"/>
      <c r="AY886" s="34"/>
      <c r="AZ886" s="34"/>
      <c r="BA886" s="34"/>
      <c r="BB886" s="34"/>
      <c r="BD886" s="34"/>
      <c r="BE886" s="34"/>
      <c r="BF886" s="34"/>
      <c r="BG886" s="34"/>
      <c r="BH886" s="34"/>
      <c r="BI886" s="34"/>
      <c r="BJ886" s="34"/>
      <c r="BK886" s="34"/>
      <c r="BL886" s="34"/>
      <c r="BM886" s="34"/>
      <c r="BN886" s="34"/>
      <c r="BO886" s="34"/>
      <c r="BP886" s="34"/>
      <c r="BQ886" s="34"/>
      <c r="BR886" s="34"/>
      <c r="BS886" s="34"/>
      <c r="BT886" s="34"/>
      <c r="BU886" s="34"/>
      <c r="BV886" s="34"/>
      <c r="BW886" s="34"/>
      <c r="BX886" s="34"/>
      <c r="BY886" s="34"/>
    </row>
    <row r="887" spans="1:77" x14ac:dyDescent="0.3">
      <c r="A887" s="39"/>
      <c r="B887" s="42"/>
      <c r="C887" s="42"/>
      <c r="D887" s="75"/>
      <c r="E887" s="75"/>
      <c r="F887" s="76"/>
      <c r="G887" s="47"/>
      <c r="H887" s="47"/>
      <c r="I887" s="75"/>
      <c r="J887" s="76"/>
      <c r="K887" s="76"/>
      <c r="L887" s="75"/>
      <c r="M887" s="49"/>
      <c r="N887" s="76"/>
      <c r="O887" s="49"/>
      <c r="P887" s="77"/>
      <c r="Q887" s="53"/>
      <c r="R887" s="54"/>
      <c r="S887" s="55"/>
      <c r="T887" s="56"/>
      <c r="U887" s="56"/>
      <c r="V887" s="42"/>
      <c r="W887" s="57"/>
      <c r="X887" s="58"/>
      <c r="Y887" s="75"/>
      <c r="Z887" s="59"/>
      <c r="AA887" s="61"/>
      <c r="AB887" s="61"/>
      <c r="AC887" s="61"/>
      <c r="AD887" s="62"/>
      <c r="AE887" s="62"/>
      <c r="AF887" s="34"/>
      <c r="AG887" s="34"/>
      <c r="AH887" s="34"/>
      <c r="AI887" s="34"/>
      <c r="AJ887" s="34"/>
      <c r="AK887" s="34"/>
      <c r="AL887" s="34"/>
      <c r="AM887" s="34"/>
      <c r="AN887" s="34"/>
      <c r="AO887" s="34"/>
      <c r="AP887" s="34"/>
      <c r="AQ887" s="34"/>
      <c r="AR887" s="34"/>
      <c r="AS887" s="34"/>
      <c r="AT887" s="34"/>
      <c r="AU887" s="34"/>
      <c r="AV887" s="34"/>
      <c r="AW887" s="34"/>
      <c r="AX887" s="34"/>
      <c r="AY887" s="34"/>
      <c r="AZ887" s="34"/>
      <c r="BA887" s="34"/>
      <c r="BB887" s="34"/>
      <c r="BD887" s="34"/>
      <c r="BE887" s="34"/>
      <c r="BF887" s="34"/>
      <c r="BG887" s="34"/>
      <c r="BH887" s="34"/>
      <c r="BI887" s="34"/>
      <c r="BJ887" s="34"/>
      <c r="BK887" s="34"/>
      <c r="BL887" s="34"/>
      <c r="BM887" s="34"/>
      <c r="BN887" s="34"/>
      <c r="BO887" s="34"/>
      <c r="BP887" s="34"/>
      <c r="BQ887" s="34"/>
      <c r="BR887" s="34"/>
      <c r="BS887" s="34"/>
      <c r="BT887" s="34"/>
      <c r="BU887" s="34"/>
      <c r="BV887" s="34"/>
      <c r="BW887" s="34"/>
      <c r="BX887" s="34"/>
      <c r="BY887" s="34"/>
    </row>
    <row r="888" spans="1:77" x14ac:dyDescent="0.3">
      <c r="A888" s="39"/>
      <c r="B888" s="42"/>
      <c r="C888" s="42"/>
      <c r="D888" s="75"/>
      <c r="E888" s="75"/>
      <c r="F888" s="76"/>
      <c r="G888" s="47"/>
      <c r="H888" s="47"/>
      <c r="I888" s="75"/>
      <c r="J888" s="76"/>
      <c r="K888" s="76"/>
      <c r="L888" s="75"/>
      <c r="M888" s="49"/>
      <c r="N888" s="76"/>
      <c r="O888" s="49"/>
      <c r="P888" s="77"/>
      <c r="Q888" s="53"/>
      <c r="R888" s="54"/>
      <c r="S888" s="55"/>
      <c r="T888" s="56"/>
      <c r="U888" s="56"/>
      <c r="V888" s="42"/>
      <c r="W888" s="57"/>
      <c r="X888" s="58"/>
      <c r="Y888" s="75"/>
      <c r="Z888" s="59"/>
      <c r="AA888" s="61"/>
      <c r="AB888" s="61"/>
      <c r="AC888" s="61"/>
      <c r="AD888" s="62"/>
      <c r="AE888" s="62"/>
      <c r="AF888" s="34"/>
      <c r="AG888" s="34"/>
      <c r="AH888" s="34"/>
      <c r="AI888" s="34"/>
      <c r="AJ888" s="34"/>
      <c r="AK888" s="34"/>
      <c r="AL888" s="34"/>
      <c r="AM888" s="34"/>
      <c r="AN888" s="34"/>
      <c r="AO888" s="34"/>
      <c r="AP888" s="34"/>
      <c r="AQ888" s="34"/>
      <c r="AR888" s="34"/>
      <c r="AS888" s="34"/>
      <c r="AT888" s="34"/>
      <c r="AU888" s="34"/>
      <c r="AV888" s="34"/>
      <c r="AW888" s="34"/>
      <c r="AX888" s="34"/>
      <c r="AY888" s="34"/>
      <c r="AZ888" s="34"/>
      <c r="BA888" s="34"/>
      <c r="BB888" s="34"/>
      <c r="BD888" s="34"/>
      <c r="BE888" s="34"/>
      <c r="BF888" s="34"/>
      <c r="BG888" s="34"/>
      <c r="BH888" s="34"/>
      <c r="BI888" s="34"/>
      <c r="BJ888" s="34"/>
      <c r="BK888" s="34"/>
      <c r="BL888" s="34"/>
      <c r="BM888" s="34"/>
      <c r="BN888" s="34"/>
      <c r="BO888" s="34"/>
      <c r="BP888" s="34"/>
      <c r="BQ888" s="34"/>
      <c r="BR888" s="34"/>
      <c r="BS888" s="34"/>
      <c r="BT888" s="34"/>
      <c r="BU888" s="34"/>
      <c r="BV888" s="34"/>
      <c r="BW888" s="34"/>
      <c r="BX888" s="34"/>
      <c r="BY888" s="34"/>
    </row>
    <row r="889" spans="1:77" x14ac:dyDescent="0.3">
      <c r="A889" s="39"/>
      <c r="B889" s="42"/>
      <c r="C889" s="42"/>
      <c r="D889" s="75"/>
      <c r="E889" s="75"/>
      <c r="F889" s="76"/>
      <c r="G889" s="47"/>
      <c r="H889" s="47"/>
      <c r="I889" s="75"/>
      <c r="J889" s="76"/>
      <c r="K889" s="76"/>
      <c r="L889" s="75"/>
      <c r="M889" s="49"/>
      <c r="N889" s="76"/>
      <c r="O889" s="49"/>
      <c r="P889" s="77"/>
      <c r="Q889" s="53"/>
      <c r="R889" s="54"/>
      <c r="S889" s="55"/>
      <c r="T889" s="56"/>
      <c r="U889" s="56"/>
      <c r="V889" s="42"/>
      <c r="W889" s="57"/>
      <c r="X889" s="58"/>
      <c r="Y889" s="75"/>
      <c r="Z889" s="59"/>
      <c r="AA889" s="61"/>
      <c r="AB889" s="61"/>
      <c r="AC889" s="61"/>
      <c r="AD889" s="62"/>
      <c r="AE889" s="62"/>
      <c r="AF889" s="34"/>
      <c r="AG889" s="34"/>
      <c r="AH889" s="34"/>
      <c r="AI889" s="34"/>
      <c r="AJ889" s="34"/>
      <c r="AK889" s="34"/>
      <c r="AL889" s="34"/>
      <c r="AM889" s="34"/>
      <c r="AN889" s="34"/>
      <c r="AO889" s="34"/>
      <c r="AP889" s="34"/>
      <c r="AQ889" s="34"/>
      <c r="AR889" s="34"/>
      <c r="AS889" s="34"/>
      <c r="AT889" s="34"/>
      <c r="AU889" s="34"/>
      <c r="AV889" s="34"/>
      <c r="AW889" s="34"/>
      <c r="AX889" s="34"/>
      <c r="AY889" s="34"/>
      <c r="AZ889" s="34"/>
      <c r="BA889" s="34"/>
      <c r="BB889" s="34"/>
      <c r="BD889" s="34"/>
      <c r="BE889" s="34"/>
      <c r="BF889" s="34"/>
      <c r="BG889" s="34"/>
      <c r="BH889" s="34"/>
      <c r="BI889" s="34"/>
      <c r="BJ889" s="34"/>
      <c r="BK889" s="34"/>
      <c r="BL889" s="34"/>
      <c r="BM889" s="34"/>
      <c r="BN889" s="34"/>
      <c r="BO889" s="34"/>
      <c r="BP889" s="34"/>
      <c r="BQ889" s="34"/>
      <c r="BR889" s="34"/>
      <c r="BS889" s="34"/>
      <c r="BT889" s="34"/>
      <c r="BU889" s="34"/>
      <c r="BV889" s="34"/>
      <c r="BW889" s="34"/>
      <c r="BX889" s="34"/>
      <c r="BY889" s="34"/>
    </row>
    <row r="890" spans="1:77" x14ac:dyDescent="0.3">
      <c r="A890" s="39"/>
      <c r="B890" s="42"/>
      <c r="C890" s="42"/>
      <c r="D890" s="75"/>
      <c r="E890" s="75"/>
      <c r="F890" s="76"/>
      <c r="G890" s="47"/>
      <c r="H890" s="47"/>
      <c r="I890" s="75"/>
      <c r="J890" s="76"/>
      <c r="K890" s="76"/>
      <c r="L890" s="75"/>
      <c r="M890" s="49"/>
      <c r="N890" s="76"/>
      <c r="O890" s="49"/>
      <c r="P890" s="77"/>
      <c r="Q890" s="53"/>
      <c r="R890" s="54"/>
      <c r="S890" s="55"/>
      <c r="T890" s="56"/>
      <c r="U890" s="56"/>
      <c r="V890" s="42"/>
      <c r="W890" s="57"/>
      <c r="X890" s="58"/>
      <c r="Y890" s="75"/>
      <c r="Z890" s="59"/>
      <c r="AA890" s="61"/>
      <c r="AB890" s="61"/>
      <c r="AC890" s="61"/>
      <c r="AD890" s="62"/>
      <c r="AE890" s="62"/>
      <c r="AF890" s="34"/>
      <c r="AG890" s="34"/>
      <c r="AH890" s="34"/>
      <c r="AI890" s="34"/>
      <c r="AJ890" s="34"/>
      <c r="AK890" s="34"/>
      <c r="AL890" s="34"/>
      <c r="AM890" s="34"/>
      <c r="AN890" s="34"/>
      <c r="AO890" s="34"/>
      <c r="AP890" s="34"/>
      <c r="AQ890" s="34"/>
      <c r="AR890" s="34"/>
      <c r="AS890" s="34"/>
      <c r="AT890" s="34"/>
      <c r="AU890" s="34"/>
      <c r="AV890" s="34"/>
      <c r="AW890" s="34"/>
      <c r="AX890" s="34"/>
      <c r="AY890" s="34"/>
      <c r="AZ890" s="34"/>
      <c r="BA890" s="34"/>
      <c r="BB890" s="34"/>
      <c r="BD890" s="34"/>
      <c r="BE890" s="34"/>
      <c r="BF890" s="34"/>
      <c r="BG890" s="34"/>
      <c r="BH890" s="34"/>
      <c r="BI890" s="34"/>
      <c r="BJ890" s="34"/>
      <c r="BK890" s="34"/>
      <c r="BL890" s="34"/>
      <c r="BM890" s="34"/>
      <c r="BN890" s="34"/>
      <c r="BO890" s="34"/>
      <c r="BP890" s="34"/>
      <c r="BQ890" s="34"/>
      <c r="BR890" s="34"/>
      <c r="BS890" s="34"/>
      <c r="BT890" s="34"/>
      <c r="BU890" s="34"/>
      <c r="BV890" s="34"/>
      <c r="BW890" s="34"/>
      <c r="BX890" s="34"/>
      <c r="BY890" s="34"/>
    </row>
    <row r="891" spans="1:77" x14ac:dyDescent="0.3">
      <c r="A891" s="39"/>
      <c r="B891" s="42"/>
      <c r="C891" s="42"/>
      <c r="D891" s="75"/>
      <c r="E891" s="75"/>
      <c r="F891" s="76"/>
      <c r="G891" s="47"/>
      <c r="H891" s="47"/>
      <c r="I891" s="75"/>
      <c r="J891" s="76"/>
      <c r="K891" s="76"/>
      <c r="L891" s="75"/>
      <c r="M891" s="49"/>
      <c r="N891" s="76"/>
      <c r="O891" s="49"/>
      <c r="P891" s="77"/>
      <c r="Q891" s="53"/>
      <c r="R891" s="54"/>
      <c r="S891" s="55"/>
      <c r="T891" s="56"/>
      <c r="U891" s="56"/>
      <c r="V891" s="42"/>
      <c r="W891" s="57"/>
      <c r="X891" s="58"/>
      <c r="Y891" s="75"/>
      <c r="Z891" s="59"/>
      <c r="AA891" s="61"/>
      <c r="AB891" s="61"/>
      <c r="AC891" s="61"/>
      <c r="AD891" s="62"/>
      <c r="AE891" s="62"/>
      <c r="AF891" s="34"/>
      <c r="AG891" s="34"/>
      <c r="AH891" s="34"/>
      <c r="AI891" s="34"/>
      <c r="AJ891" s="34"/>
      <c r="AK891" s="34"/>
      <c r="AL891" s="34"/>
      <c r="AM891" s="34"/>
      <c r="AN891" s="34"/>
      <c r="AO891" s="34"/>
      <c r="AP891" s="34"/>
      <c r="AQ891" s="34"/>
      <c r="AR891" s="34"/>
      <c r="AS891" s="34"/>
      <c r="AT891" s="34"/>
      <c r="AU891" s="34"/>
      <c r="AV891" s="34"/>
      <c r="AW891" s="34"/>
      <c r="AX891" s="34"/>
      <c r="AY891" s="34"/>
      <c r="AZ891" s="34"/>
      <c r="BA891" s="34"/>
      <c r="BB891" s="34"/>
      <c r="BD891" s="34"/>
      <c r="BE891" s="34"/>
      <c r="BF891" s="34"/>
      <c r="BG891" s="34"/>
      <c r="BH891" s="34"/>
      <c r="BI891" s="34"/>
      <c r="BJ891" s="34"/>
      <c r="BK891" s="34"/>
      <c r="BL891" s="34"/>
      <c r="BM891" s="34"/>
      <c r="BN891" s="34"/>
      <c r="BO891" s="34"/>
      <c r="BP891" s="34"/>
      <c r="BQ891" s="34"/>
      <c r="BR891" s="34"/>
      <c r="BS891" s="34"/>
      <c r="BT891" s="34"/>
      <c r="BU891" s="34"/>
      <c r="BV891" s="34"/>
      <c r="BW891" s="34"/>
      <c r="BX891" s="34"/>
      <c r="BY891" s="34"/>
    </row>
    <row r="892" spans="1:77" x14ac:dyDescent="0.3">
      <c r="A892" s="39"/>
      <c r="B892" s="42"/>
      <c r="C892" s="42"/>
      <c r="D892" s="75"/>
      <c r="E892" s="75"/>
      <c r="F892" s="76"/>
      <c r="G892" s="47"/>
      <c r="H892" s="47"/>
      <c r="I892" s="75"/>
      <c r="J892" s="76"/>
      <c r="K892" s="76"/>
      <c r="L892" s="75"/>
      <c r="M892" s="49"/>
      <c r="N892" s="76"/>
      <c r="O892" s="49"/>
      <c r="P892" s="77"/>
      <c r="Q892" s="53"/>
      <c r="R892" s="54"/>
      <c r="S892" s="55"/>
      <c r="T892" s="56"/>
      <c r="U892" s="56"/>
      <c r="V892" s="42"/>
      <c r="W892" s="57"/>
      <c r="X892" s="58"/>
      <c r="Y892" s="75"/>
      <c r="Z892" s="59"/>
      <c r="AA892" s="61"/>
      <c r="AB892" s="61"/>
      <c r="AC892" s="61"/>
      <c r="AD892" s="62"/>
      <c r="AE892" s="62"/>
      <c r="AF892" s="34"/>
      <c r="AG892" s="34"/>
      <c r="AH892" s="34"/>
      <c r="AI892" s="34"/>
      <c r="AJ892" s="34"/>
      <c r="AK892" s="34"/>
      <c r="AL892" s="34"/>
      <c r="AM892" s="34"/>
      <c r="AN892" s="34"/>
      <c r="AO892" s="34"/>
      <c r="AP892" s="34"/>
      <c r="AQ892" s="34"/>
      <c r="AR892" s="34"/>
      <c r="AS892" s="34"/>
      <c r="AT892" s="34"/>
      <c r="AU892" s="34"/>
      <c r="AV892" s="34"/>
      <c r="AW892" s="34"/>
      <c r="AX892" s="34"/>
      <c r="AY892" s="34"/>
      <c r="AZ892" s="34"/>
      <c r="BA892" s="34"/>
      <c r="BB892" s="34"/>
      <c r="BD892" s="34"/>
      <c r="BE892" s="34"/>
      <c r="BF892" s="34"/>
      <c r="BG892" s="34"/>
      <c r="BH892" s="34"/>
      <c r="BI892" s="34"/>
      <c r="BJ892" s="34"/>
      <c r="BK892" s="34"/>
      <c r="BL892" s="34"/>
      <c r="BM892" s="34"/>
      <c r="BN892" s="34"/>
      <c r="BO892" s="34"/>
      <c r="BP892" s="34"/>
      <c r="BQ892" s="34"/>
      <c r="BR892" s="34"/>
      <c r="BS892" s="34"/>
      <c r="BT892" s="34"/>
      <c r="BU892" s="34"/>
      <c r="BV892" s="34"/>
      <c r="BW892" s="34"/>
      <c r="BX892" s="34"/>
      <c r="BY892" s="34"/>
    </row>
    <row r="893" spans="1:77" x14ac:dyDescent="0.3">
      <c r="A893" s="39"/>
      <c r="B893" s="42"/>
      <c r="C893" s="42"/>
      <c r="D893" s="75"/>
      <c r="E893" s="75"/>
      <c r="F893" s="76"/>
      <c r="G893" s="47"/>
      <c r="H893" s="47"/>
      <c r="I893" s="75"/>
      <c r="J893" s="76"/>
      <c r="K893" s="76"/>
      <c r="L893" s="75"/>
      <c r="M893" s="49"/>
      <c r="N893" s="76"/>
      <c r="O893" s="49"/>
      <c r="P893" s="77"/>
      <c r="Q893" s="53"/>
      <c r="R893" s="54"/>
      <c r="S893" s="55"/>
      <c r="T893" s="56"/>
      <c r="U893" s="56"/>
      <c r="V893" s="42"/>
      <c r="W893" s="57"/>
      <c r="X893" s="58"/>
      <c r="Y893" s="75"/>
      <c r="Z893" s="59"/>
      <c r="AA893" s="61"/>
      <c r="AB893" s="61"/>
      <c r="AC893" s="61"/>
      <c r="AD893" s="62"/>
      <c r="AE893" s="62"/>
      <c r="AF893" s="34"/>
      <c r="AG893" s="34"/>
      <c r="AH893" s="34"/>
      <c r="AI893" s="34"/>
      <c r="AJ893" s="34"/>
      <c r="AK893" s="34"/>
      <c r="AL893" s="34"/>
      <c r="AM893" s="34"/>
      <c r="AN893" s="34"/>
      <c r="AO893" s="34"/>
      <c r="AP893" s="34"/>
      <c r="AQ893" s="34"/>
      <c r="AR893" s="34"/>
      <c r="AS893" s="34"/>
      <c r="AT893" s="34"/>
      <c r="AU893" s="34"/>
      <c r="AV893" s="34"/>
      <c r="AW893" s="34"/>
      <c r="AX893" s="34"/>
      <c r="AY893" s="34"/>
      <c r="AZ893" s="34"/>
      <c r="BA893" s="34"/>
      <c r="BB893" s="34"/>
      <c r="BD893" s="34"/>
      <c r="BE893" s="34"/>
      <c r="BF893" s="34"/>
      <c r="BG893" s="34"/>
      <c r="BH893" s="34"/>
      <c r="BI893" s="34"/>
      <c r="BJ893" s="34"/>
      <c r="BK893" s="34"/>
      <c r="BL893" s="34"/>
      <c r="BM893" s="34"/>
      <c r="BN893" s="34"/>
      <c r="BO893" s="34"/>
      <c r="BP893" s="34"/>
      <c r="BQ893" s="34"/>
      <c r="BR893" s="34"/>
      <c r="BS893" s="34"/>
      <c r="BT893" s="34"/>
      <c r="BU893" s="34"/>
      <c r="BV893" s="34"/>
      <c r="BW893" s="34"/>
      <c r="BX893" s="34"/>
      <c r="BY893" s="34"/>
    </row>
    <row r="894" spans="1:77" x14ac:dyDescent="0.3">
      <c r="A894" s="39"/>
      <c r="B894" s="42"/>
      <c r="C894" s="42"/>
      <c r="D894" s="75"/>
      <c r="E894" s="75"/>
      <c r="F894" s="76"/>
      <c r="G894" s="47"/>
      <c r="H894" s="47"/>
      <c r="I894" s="75"/>
      <c r="J894" s="76"/>
      <c r="K894" s="76"/>
      <c r="L894" s="75"/>
      <c r="M894" s="49"/>
      <c r="N894" s="76"/>
      <c r="O894" s="49"/>
      <c r="P894" s="77"/>
      <c r="Q894" s="53"/>
      <c r="R894" s="54"/>
      <c r="S894" s="55"/>
      <c r="T894" s="56"/>
      <c r="U894" s="56"/>
      <c r="V894" s="42"/>
      <c r="W894" s="57"/>
      <c r="X894" s="58"/>
      <c r="Y894" s="75"/>
      <c r="Z894" s="59"/>
      <c r="AA894" s="61"/>
      <c r="AB894" s="61"/>
      <c r="AC894" s="61"/>
      <c r="AD894" s="62"/>
      <c r="AE894" s="62"/>
      <c r="AF894" s="34"/>
      <c r="AG894" s="34"/>
      <c r="AH894" s="34"/>
      <c r="AI894" s="34"/>
      <c r="AJ894" s="34"/>
      <c r="AK894" s="34"/>
      <c r="AL894" s="34"/>
      <c r="AM894" s="34"/>
      <c r="AN894" s="34"/>
      <c r="AO894" s="34"/>
      <c r="AP894" s="34"/>
      <c r="AQ894" s="34"/>
      <c r="AR894" s="34"/>
      <c r="AS894" s="34"/>
      <c r="AT894" s="34"/>
      <c r="AU894" s="34"/>
      <c r="AV894" s="34"/>
      <c r="AW894" s="34"/>
      <c r="AX894" s="34"/>
      <c r="AY894" s="34"/>
      <c r="AZ894" s="34"/>
      <c r="BA894" s="34"/>
      <c r="BB894" s="34"/>
      <c r="BD894" s="34"/>
      <c r="BE894" s="34"/>
      <c r="BF894" s="34"/>
      <c r="BG894" s="34"/>
      <c r="BH894" s="34"/>
      <c r="BI894" s="34"/>
      <c r="BJ894" s="34"/>
      <c r="BK894" s="34"/>
      <c r="BL894" s="34"/>
      <c r="BM894" s="34"/>
      <c r="BN894" s="34"/>
      <c r="BO894" s="34"/>
      <c r="BP894" s="34"/>
      <c r="BQ894" s="34"/>
      <c r="BR894" s="34"/>
      <c r="BS894" s="34"/>
      <c r="BT894" s="34"/>
      <c r="BU894" s="34"/>
      <c r="BV894" s="34"/>
      <c r="BW894" s="34"/>
      <c r="BX894" s="34"/>
      <c r="BY894" s="34"/>
    </row>
    <row r="895" spans="1:77" x14ac:dyDescent="0.3">
      <c r="A895" s="39"/>
      <c r="B895" s="42"/>
      <c r="C895" s="42"/>
      <c r="D895" s="75"/>
      <c r="E895" s="75"/>
      <c r="F895" s="76"/>
      <c r="G895" s="47"/>
      <c r="H895" s="47"/>
      <c r="I895" s="75"/>
      <c r="J895" s="76"/>
      <c r="K895" s="76"/>
      <c r="L895" s="75"/>
      <c r="M895" s="49"/>
      <c r="N895" s="76"/>
      <c r="O895" s="49"/>
      <c r="P895" s="77"/>
      <c r="Q895" s="53"/>
      <c r="R895" s="54"/>
      <c r="S895" s="55"/>
      <c r="T895" s="56"/>
      <c r="U895" s="56"/>
      <c r="V895" s="42"/>
      <c r="W895" s="57"/>
      <c r="X895" s="58"/>
      <c r="Y895" s="75"/>
      <c r="Z895" s="59"/>
      <c r="AA895" s="61"/>
      <c r="AB895" s="61"/>
      <c r="AC895" s="61"/>
      <c r="AD895" s="62"/>
      <c r="AE895" s="62"/>
      <c r="AF895" s="34"/>
      <c r="AG895" s="34"/>
      <c r="AH895" s="34"/>
      <c r="AI895" s="34"/>
      <c r="AJ895" s="34"/>
      <c r="AK895" s="34"/>
      <c r="AL895" s="34"/>
      <c r="AM895" s="34"/>
      <c r="AN895" s="34"/>
      <c r="AO895" s="34"/>
      <c r="AP895" s="34"/>
      <c r="AQ895" s="34"/>
      <c r="AR895" s="34"/>
      <c r="AS895" s="34"/>
      <c r="AT895" s="34"/>
      <c r="AU895" s="34"/>
      <c r="AV895" s="34"/>
      <c r="AW895" s="34"/>
      <c r="AX895" s="34"/>
      <c r="AY895" s="34"/>
      <c r="AZ895" s="34"/>
      <c r="BA895" s="34"/>
      <c r="BB895" s="34"/>
      <c r="BD895" s="34"/>
      <c r="BE895" s="34"/>
      <c r="BF895" s="34"/>
      <c r="BG895" s="34"/>
      <c r="BH895" s="34"/>
      <c r="BI895" s="34"/>
      <c r="BJ895" s="34"/>
      <c r="BK895" s="34"/>
      <c r="BL895" s="34"/>
      <c r="BM895" s="34"/>
      <c r="BN895" s="34"/>
      <c r="BO895" s="34"/>
      <c r="BP895" s="34"/>
      <c r="BQ895" s="34"/>
      <c r="BR895" s="34"/>
      <c r="BS895" s="34"/>
      <c r="BT895" s="34"/>
      <c r="BU895" s="34"/>
      <c r="BV895" s="34"/>
      <c r="BW895" s="34"/>
      <c r="BX895" s="34"/>
      <c r="BY895" s="34"/>
    </row>
    <row r="896" spans="1:77" x14ac:dyDescent="0.3">
      <c r="A896" s="39"/>
      <c r="B896" s="42"/>
      <c r="C896" s="42"/>
      <c r="D896" s="75"/>
      <c r="E896" s="75"/>
      <c r="F896" s="76"/>
      <c r="G896" s="47"/>
      <c r="H896" s="47"/>
      <c r="I896" s="75"/>
      <c r="J896" s="76"/>
      <c r="K896" s="76"/>
      <c r="L896" s="75"/>
      <c r="M896" s="49"/>
      <c r="N896" s="76"/>
      <c r="O896" s="49"/>
      <c r="P896" s="77"/>
      <c r="Q896" s="53"/>
      <c r="R896" s="54"/>
      <c r="S896" s="55"/>
      <c r="T896" s="56"/>
      <c r="U896" s="56"/>
      <c r="V896" s="42"/>
      <c r="W896" s="57"/>
      <c r="X896" s="58"/>
      <c r="Y896" s="75"/>
      <c r="Z896" s="59"/>
      <c r="AA896" s="61"/>
      <c r="AB896" s="61"/>
      <c r="AC896" s="61"/>
      <c r="AD896" s="62"/>
      <c r="AE896" s="62"/>
      <c r="AF896" s="34"/>
      <c r="AG896" s="34"/>
      <c r="AH896" s="34"/>
      <c r="AI896" s="34"/>
      <c r="AJ896" s="34"/>
      <c r="AK896" s="34"/>
      <c r="AL896" s="34"/>
      <c r="AM896" s="34"/>
      <c r="AN896" s="34"/>
      <c r="AO896" s="34"/>
      <c r="AP896" s="34"/>
      <c r="AQ896" s="34"/>
      <c r="AR896" s="34"/>
      <c r="AS896" s="34"/>
      <c r="AT896" s="34"/>
      <c r="AU896" s="34"/>
      <c r="AV896" s="34"/>
      <c r="AW896" s="34"/>
      <c r="AX896" s="34"/>
      <c r="AY896" s="34"/>
      <c r="AZ896" s="34"/>
      <c r="BA896" s="34"/>
      <c r="BB896" s="34"/>
      <c r="BD896" s="34"/>
      <c r="BE896" s="34"/>
      <c r="BF896" s="34"/>
      <c r="BG896" s="34"/>
      <c r="BH896" s="34"/>
      <c r="BI896" s="34"/>
      <c r="BJ896" s="34"/>
      <c r="BK896" s="34"/>
      <c r="BL896" s="34"/>
      <c r="BM896" s="34"/>
      <c r="BN896" s="34"/>
      <c r="BO896" s="34"/>
      <c r="BP896" s="34"/>
      <c r="BQ896" s="34"/>
      <c r="BR896" s="34"/>
      <c r="BS896" s="34"/>
      <c r="BT896" s="34"/>
      <c r="BU896" s="34"/>
      <c r="BV896" s="34"/>
      <c r="BW896" s="34"/>
      <c r="BX896" s="34"/>
      <c r="BY896" s="34"/>
    </row>
    <row r="897" spans="1:77" x14ac:dyDescent="0.3">
      <c r="A897" s="39"/>
      <c r="B897" s="42"/>
      <c r="C897" s="42"/>
      <c r="D897" s="75"/>
      <c r="E897" s="75"/>
      <c r="F897" s="76"/>
      <c r="G897" s="47"/>
      <c r="H897" s="47"/>
      <c r="I897" s="75"/>
      <c r="J897" s="76"/>
      <c r="K897" s="76"/>
      <c r="L897" s="75"/>
      <c r="M897" s="49"/>
      <c r="N897" s="76"/>
      <c r="O897" s="49"/>
      <c r="P897" s="77"/>
      <c r="Q897" s="53"/>
      <c r="R897" s="54"/>
      <c r="S897" s="55"/>
      <c r="T897" s="56"/>
      <c r="U897" s="56"/>
      <c r="V897" s="42"/>
      <c r="W897" s="57"/>
      <c r="X897" s="58"/>
      <c r="Y897" s="75"/>
      <c r="Z897" s="59"/>
      <c r="AA897" s="61"/>
      <c r="AB897" s="61"/>
      <c r="AC897" s="61"/>
      <c r="AD897" s="62"/>
      <c r="AE897" s="62"/>
      <c r="AF897" s="34"/>
      <c r="AG897" s="34"/>
      <c r="AH897" s="34"/>
      <c r="AI897" s="34"/>
      <c r="AJ897" s="34"/>
      <c r="AK897" s="34"/>
      <c r="AL897" s="34"/>
      <c r="AM897" s="34"/>
      <c r="AN897" s="34"/>
      <c r="AO897" s="34"/>
      <c r="AP897" s="34"/>
      <c r="AQ897" s="34"/>
      <c r="AR897" s="34"/>
      <c r="AS897" s="34"/>
      <c r="AT897" s="34"/>
      <c r="AU897" s="34"/>
      <c r="AV897" s="34"/>
      <c r="AW897" s="34"/>
      <c r="AX897" s="34"/>
      <c r="AY897" s="34"/>
      <c r="AZ897" s="34"/>
      <c r="BA897" s="34"/>
      <c r="BB897" s="34"/>
      <c r="BD897" s="34"/>
      <c r="BE897" s="34"/>
      <c r="BF897" s="34"/>
      <c r="BG897" s="34"/>
      <c r="BH897" s="34"/>
      <c r="BI897" s="34"/>
      <c r="BJ897" s="34"/>
      <c r="BK897" s="34"/>
      <c r="BL897" s="34"/>
      <c r="BM897" s="34"/>
      <c r="BN897" s="34"/>
      <c r="BO897" s="34"/>
      <c r="BP897" s="34"/>
      <c r="BQ897" s="34"/>
      <c r="BR897" s="34"/>
      <c r="BS897" s="34"/>
      <c r="BT897" s="34"/>
      <c r="BU897" s="34"/>
      <c r="BV897" s="34"/>
      <c r="BW897" s="34"/>
      <c r="BX897" s="34"/>
      <c r="BY897" s="34"/>
    </row>
    <row r="898" spans="1:77" x14ac:dyDescent="0.3">
      <c r="A898" s="39"/>
      <c r="B898" s="42"/>
      <c r="C898" s="42"/>
      <c r="D898" s="75"/>
      <c r="E898" s="75"/>
      <c r="F898" s="76"/>
      <c r="G898" s="47"/>
      <c r="H898" s="47"/>
      <c r="I898" s="75"/>
      <c r="J898" s="76"/>
      <c r="K898" s="76"/>
      <c r="L898" s="75"/>
      <c r="M898" s="49"/>
      <c r="N898" s="76"/>
      <c r="O898" s="49"/>
      <c r="P898" s="77"/>
      <c r="Q898" s="53"/>
      <c r="R898" s="54"/>
      <c r="S898" s="55"/>
      <c r="T898" s="56"/>
      <c r="U898" s="56"/>
      <c r="V898" s="42"/>
      <c r="W898" s="57"/>
      <c r="X898" s="58"/>
      <c r="Y898" s="75"/>
      <c r="Z898" s="59"/>
      <c r="AA898" s="61"/>
      <c r="AB898" s="61"/>
      <c r="AC898" s="61"/>
      <c r="AD898" s="62"/>
      <c r="AE898" s="62"/>
      <c r="AF898" s="34"/>
      <c r="AG898" s="34"/>
      <c r="AH898" s="34"/>
      <c r="AI898" s="34"/>
      <c r="AJ898" s="34"/>
      <c r="AK898" s="34"/>
      <c r="AL898" s="34"/>
      <c r="AM898" s="34"/>
      <c r="AN898" s="34"/>
      <c r="AO898" s="34"/>
      <c r="AP898" s="34"/>
      <c r="AQ898" s="34"/>
      <c r="AR898" s="34"/>
      <c r="AS898" s="34"/>
      <c r="AT898" s="34"/>
      <c r="AU898" s="34"/>
      <c r="AV898" s="34"/>
      <c r="AW898" s="34"/>
      <c r="AX898" s="34"/>
      <c r="AY898" s="34"/>
      <c r="AZ898" s="34"/>
      <c r="BA898" s="34"/>
      <c r="BB898" s="34"/>
      <c r="BD898" s="34"/>
      <c r="BE898" s="34"/>
      <c r="BF898" s="34"/>
      <c r="BG898" s="34"/>
      <c r="BH898" s="34"/>
      <c r="BI898" s="34"/>
      <c r="BJ898" s="34"/>
      <c r="BK898" s="34"/>
      <c r="BL898" s="34"/>
      <c r="BM898" s="34"/>
      <c r="BN898" s="34"/>
      <c r="BO898" s="34"/>
      <c r="BP898" s="34"/>
      <c r="BQ898" s="34"/>
      <c r="BR898" s="34"/>
      <c r="BS898" s="34"/>
      <c r="BT898" s="34"/>
      <c r="BU898" s="34"/>
      <c r="BV898" s="34"/>
      <c r="BW898" s="34"/>
      <c r="BX898" s="34"/>
      <c r="BY898" s="34"/>
    </row>
    <row r="899" spans="1:77" x14ac:dyDescent="0.3">
      <c r="A899" s="39"/>
      <c r="B899" s="42"/>
      <c r="C899" s="42"/>
      <c r="D899" s="75"/>
      <c r="E899" s="75"/>
      <c r="F899" s="76"/>
      <c r="G899" s="47"/>
      <c r="H899" s="47"/>
      <c r="I899" s="75"/>
      <c r="J899" s="76"/>
      <c r="K899" s="76"/>
      <c r="L899" s="75"/>
      <c r="M899" s="49"/>
      <c r="N899" s="76"/>
      <c r="O899" s="49"/>
      <c r="P899" s="77"/>
      <c r="Q899" s="53"/>
      <c r="R899" s="54"/>
      <c r="S899" s="55"/>
      <c r="T899" s="56"/>
      <c r="U899" s="56"/>
      <c r="V899" s="42"/>
      <c r="W899" s="57"/>
      <c r="X899" s="58"/>
      <c r="Y899" s="75"/>
      <c r="Z899" s="59"/>
      <c r="AA899" s="61"/>
      <c r="AB899" s="61"/>
      <c r="AC899" s="61"/>
      <c r="AD899" s="62"/>
      <c r="AE899" s="62"/>
      <c r="AF899" s="34"/>
      <c r="AG899" s="34"/>
      <c r="AH899" s="34"/>
      <c r="AI899" s="34"/>
      <c r="AJ899" s="34"/>
      <c r="AK899" s="34"/>
      <c r="AL899" s="34"/>
      <c r="AM899" s="34"/>
      <c r="AN899" s="34"/>
      <c r="AO899" s="34"/>
      <c r="AP899" s="34"/>
      <c r="AQ899" s="34"/>
      <c r="AR899" s="34"/>
      <c r="AS899" s="34"/>
      <c r="AT899" s="34"/>
      <c r="AU899" s="34"/>
      <c r="AV899" s="34"/>
      <c r="AW899" s="34"/>
      <c r="AX899" s="34"/>
      <c r="AY899" s="34"/>
      <c r="AZ899" s="34"/>
      <c r="BA899" s="34"/>
      <c r="BB899" s="34"/>
      <c r="BD899" s="34"/>
      <c r="BE899" s="34"/>
      <c r="BF899" s="34"/>
      <c r="BG899" s="34"/>
      <c r="BH899" s="34"/>
      <c r="BI899" s="34"/>
      <c r="BJ899" s="34"/>
      <c r="BK899" s="34"/>
      <c r="BL899" s="34"/>
      <c r="BM899" s="34"/>
      <c r="BN899" s="34"/>
      <c r="BO899" s="34"/>
      <c r="BP899" s="34"/>
      <c r="BQ899" s="34"/>
      <c r="BR899" s="34"/>
      <c r="BS899" s="34"/>
      <c r="BT899" s="34"/>
      <c r="BU899" s="34"/>
      <c r="BV899" s="34"/>
      <c r="BW899" s="34"/>
      <c r="BX899" s="34"/>
      <c r="BY899" s="34"/>
    </row>
    <row r="900" spans="1:77" x14ac:dyDescent="0.3">
      <c r="A900" s="39"/>
      <c r="B900" s="42"/>
      <c r="C900" s="42"/>
      <c r="D900" s="75"/>
      <c r="E900" s="75"/>
      <c r="F900" s="76"/>
      <c r="G900" s="47"/>
      <c r="H900" s="47"/>
      <c r="I900" s="75"/>
      <c r="J900" s="76"/>
      <c r="K900" s="76"/>
      <c r="L900" s="75"/>
      <c r="M900" s="49"/>
      <c r="N900" s="76"/>
      <c r="O900" s="49"/>
      <c r="P900" s="77"/>
      <c r="Q900" s="53"/>
      <c r="R900" s="54"/>
      <c r="S900" s="55"/>
      <c r="T900" s="56"/>
      <c r="U900" s="56"/>
      <c r="V900" s="42"/>
      <c r="W900" s="57"/>
      <c r="X900" s="58"/>
      <c r="Y900" s="75"/>
      <c r="Z900" s="59"/>
      <c r="AA900" s="61"/>
      <c r="AB900" s="61"/>
      <c r="AC900" s="61"/>
      <c r="AD900" s="62"/>
      <c r="AE900" s="62"/>
      <c r="AF900" s="34"/>
      <c r="AG900" s="34"/>
      <c r="AH900" s="34"/>
      <c r="AI900" s="34"/>
      <c r="AJ900" s="34"/>
      <c r="AK900" s="34"/>
      <c r="AL900" s="34"/>
      <c r="AM900" s="34"/>
      <c r="AN900" s="34"/>
      <c r="AO900" s="34"/>
      <c r="AP900" s="34"/>
      <c r="AQ900" s="34"/>
      <c r="AR900" s="34"/>
      <c r="AS900" s="34"/>
      <c r="AT900" s="34"/>
      <c r="AU900" s="34"/>
      <c r="AV900" s="34"/>
      <c r="AW900" s="34"/>
      <c r="AX900" s="34"/>
      <c r="AY900" s="34"/>
      <c r="AZ900" s="34"/>
      <c r="BA900" s="34"/>
      <c r="BB900" s="34"/>
      <c r="BD900" s="34"/>
      <c r="BE900" s="34"/>
      <c r="BF900" s="34"/>
      <c r="BG900" s="34"/>
      <c r="BH900" s="34"/>
      <c r="BI900" s="34"/>
      <c r="BJ900" s="34"/>
      <c r="BK900" s="34"/>
      <c r="BL900" s="34"/>
      <c r="BM900" s="34"/>
      <c r="BN900" s="34"/>
      <c r="BO900" s="34"/>
      <c r="BP900" s="34"/>
      <c r="BQ900" s="34"/>
      <c r="BR900" s="34"/>
      <c r="BS900" s="34"/>
      <c r="BT900" s="34"/>
      <c r="BU900" s="34"/>
      <c r="BV900" s="34"/>
      <c r="BW900" s="34"/>
      <c r="BX900" s="34"/>
      <c r="BY900" s="34"/>
    </row>
    <row r="901" spans="1:77" x14ac:dyDescent="0.3">
      <c r="A901" s="39"/>
      <c r="B901" s="42"/>
      <c r="C901" s="42"/>
      <c r="D901" s="75"/>
      <c r="E901" s="75"/>
      <c r="F901" s="76"/>
      <c r="G901" s="47"/>
      <c r="H901" s="47"/>
      <c r="I901" s="75"/>
      <c r="J901" s="76"/>
      <c r="K901" s="76"/>
      <c r="L901" s="75"/>
      <c r="M901" s="49"/>
      <c r="N901" s="76"/>
      <c r="O901" s="49"/>
      <c r="P901" s="77"/>
      <c r="Q901" s="53"/>
      <c r="R901" s="54"/>
      <c r="S901" s="55"/>
      <c r="T901" s="56"/>
      <c r="U901" s="56"/>
      <c r="V901" s="42"/>
      <c r="W901" s="57"/>
      <c r="X901" s="58"/>
      <c r="Y901" s="75"/>
      <c r="Z901" s="59"/>
      <c r="AA901" s="61"/>
      <c r="AB901" s="61"/>
      <c r="AC901" s="61"/>
      <c r="AD901" s="62"/>
      <c r="AE901" s="62"/>
      <c r="AF901" s="34"/>
      <c r="AG901" s="34"/>
      <c r="AH901" s="34"/>
      <c r="AI901" s="34"/>
      <c r="AJ901" s="34"/>
      <c r="AK901" s="34"/>
      <c r="AL901" s="34"/>
      <c r="AM901" s="34"/>
      <c r="AN901" s="34"/>
      <c r="AO901" s="34"/>
      <c r="AP901" s="34"/>
      <c r="AQ901" s="34"/>
      <c r="AR901" s="34"/>
      <c r="AS901" s="34"/>
      <c r="AT901" s="34"/>
      <c r="AU901" s="34"/>
      <c r="AV901" s="34"/>
      <c r="AW901" s="34"/>
      <c r="AX901" s="34"/>
      <c r="AY901" s="34"/>
      <c r="AZ901" s="34"/>
      <c r="BA901" s="34"/>
      <c r="BB901" s="34"/>
      <c r="BD901" s="34"/>
      <c r="BE901" s="34"/>
      <c r="BF901" s="34"/>
      <c r="BG901" s="34"/>
      <c r="BH901" s="34"/>
      <c r="BI901" s="34"/>
      <c r="BJ901" s="34"/>
      <c r="BK901" s="34"/>
      <c r="BL901" s="34"/>
      <c r="BM901" s="34"/>
      <c r="BN901" s="34"/>
      <c r="BO901" s="34"/>
      <c r="BP901" s="34"/>
      <c r="BQ901" s="34"/>
      <c r="BR901" s="34"/>
      <c r="BS901" s="34"/>
      <c r="BT901" s="34"/>
      <c r="BU901" s="34"/>
      <c r="BV901" s="34"/>
      <c r="BW901" s="34"/>
      <c r="BX901" s="34"/>
      <c r="BY901" s="34"/>
    </row>
    <row r="902" spans="1:77" x14ac:dyDescent="0.3">
      <c r="A902" s="39"/>
      <c r="B902" s="42"/>
      <c r="C902" s="42"/>
      <c r="D902" s="75"/>
      <c r="E902" s="75"/>
      <c r="F902" s="76"/>
      <c r="G902" s="47"/>
      <c r="H902" s="47"/>
      <c r="I902" s="75"/>
      <c r="J902" s="76"/>
      <c r="K902" s="76"/>
      <c r="L902" s="75"/>
      <c r="M902" s="49"/>
      <c r="N902" s="76"/>
      <c r="O902" s="49"/>
      <c r="P902" s="77"/>
      <c r="Q902" s="53"/>
      <c r="R902" s="54"/>
      <c r="S902" s="55"/>
      <c r="T902" s="56"/>
      <c r="U902" s="56"/>
      <c r="V902" s="42"/>
      <c r="W902" s="57"/>
      <c r="X902" s="58"/>
      <c r="Y902" s="75"/>
      <c r="Z902" s="59"/>
      <c r="AA902" s="61"/>
      <c r="AB902" s="61"/>
      <c r="AC902" s="61"/>
      <c r="AD902" s="62"/>
      <c r="AE902" s="62"/>
      <c r="AF902" s="34"/>
      <c r="AG902" s="34"/>
      <c r="AH902" s="34"/>
      <c r="AI902" s="34"/>
      <c r="AJ902" s="34"/>
      <c r="AK902" s="34"/>
      <c r="AL902" s="34"/>
      <c r="AM902" s="34"/>
      <c r="AN902" s="34"/>
      <c r="AO902" s="34"/>
      <c r="AP902" s="34"/>
      <c r="AQ902" s="34"/>
      <c r="AR902" s="34"/>
      <c r="AS902" s="34"/>
      <c r="AT902" s="34"/>
      <c r="AU902" s="34"/>
      <c r="AV902" s="34"/>
      <c r="AW902" s="34"/>
      <c r="AX902" s="34"/>
      <c r="AY902" s="34"/>
      <c r="AZ902" s="34"/>
      <c r="BA902" s="34"/>
      <c r="BB902" s="34"/>
      <c r="BD902" s="34"/>
      <c r="BE902" s="34"/>
      <c r="BF902" s="34"/>
      <c r="BG902" s="34"/>
      <c r="BH902" s="34"/>
      <c r="BI902" s="34"/>
      <c r="BJ902" s="34"/>
      <c r="BK902" s="34"/>
      <c r="BL902" s="34"/>
      <c r="BM902" s="34"/>
      <c r="BN902" s="34"/>
      <c r="BO902" s="34"/>
      <c r="BP902" s="34"/>
      <c r="BQ902" s="34"/>
      <c r="BR902" s="34"/>
      <c r="BS902" s="34"/>
      <c r="BT902" s="34"/>
      <c r="BU902" s="34"/>
      <c r="BV902" s="34"/>
      <c r="BW902" s="34"/>
      <c r="BX902" s="34"/>
      <c r="BY902" s="34"/>
    </row>
    <row r="903" spans="1:77" x14ac:dyDescent="0.3">
      <c r="A903" s="39"/>
      <c r="B903" s="42"/>
      <c r="C903" s="42"/>
      <c r="D903" s="75"/>
      <c r="E903" s="75"/>
      <c r="F903" s="76"/>
      <c r="G903" s="47"/>
      <c r="H903" s="47"/>
      <c r="I903" s="75"/>
      <c r="J903" s="76"/>
      <c r="K903" s="76"/>
      <c r="L903" s="75"/>
      <c r="M903" s="49"/>
      <c r="N903" s="76"/>
      <c r="O903" s="49"/>
      <c r="P903" s="77"/>
      <c r="Q903" s="53"/>
      <c r="R903" s="54"/>
      <c r="S903" s="55"/>
      <c r="T903" s="56"/>
      <c r="U903" s="56"/>
      <c r="V903" s="42"/>
      <c r="W903" s="57"/>
      <c r="X903" s="58"/>
      <c r="Y903" s="75"/>
      <c r="Z903" s="59"/>
      <c r="AA903" s="61"/>
      <c r="AB903" s="61"/>
      <c r="AC903" s="61"/>
      <c r="AD903" s="62"/>
      <c r="AE903" s="62"/>
      <c r="AF903" s="34"/>
      <c r="AG903" s="34"/>
      <c r="AH903" s="34"/>
      <c r="AI903" s="34"/>
      <c r="AJ903" s="34"/>
      <c r="AK903" s="34"/>
      <c r="AL903" s="34"/>
      <c r="AM903" s="34"/>
      <c r="AN903" s="34"/>
      <c r="AO903" s="34"/>
      <c r="AP903" s="34"/>
      <c r="AQ903" s="34"/>
      <c r="AR903" s="34"/>
      <c r="AS903" s="34"/>
      <c r="AT903" s="34"/>
      <c r="AU903" s="34"/>
      <c r="AV903" s="34"/>
      <c r="AW903" s="34"/>
      <c r="AX903" s="34"/>
      <c r="AY903" s="34"/>
      <c r="AZ903" s="34"/>
      <c r="BA903" s="34"/>
      <c r="BB903" s="34"/>
      <c r="BD903" s="34"/>
      <c r="BE903" s="34"/>
      <c r="BF903" s="34"/>
      <c r="BG903" s="34"/>
      <c r="BH903" s="34"/>
      <c r="BI903" s="34"/>
      <c r="BJ903" s="34"/>
      <c r="BK903" s="34"/>
      <c r="BL903" s="34"/>
      <c r="BM903" s="34"/>
      <c r="BN903" s="34"/>
      <c r="BO903" s="34"/>
      <c r="BP903" s="34"/>
      <c r="BQ903" s="34"/>
      <c r="BR903" s="34"/>
      <c r="BS903" s="34"/>
      <c r="BT903" s="34"/>
      <c r="BU903" s="34"/>
      <c r="BV903" s="34"/>
      <c r="BW903" s="34"/>
      <c r="BX903" s="34"/>
      <c r="BY903" s="34"/>
    </row>
    <row r="904" spans="1:77" x14ac:dyDescent="0.3">
      <c r="A904" s="39"/>
      <c r="B904" s="42"/>
      <c r="C904" s="42"/>
      <c r="D904" s="75"/>
      <c r="E904" s="75"/>
      <c r="F904" s="76"/>
      <c r="G904" s="47"/>
      <c r="H904" s="47"/>
      <c r="I904" s="75"/>
      <c r="J904" s="76"/>
      <c r="K904" s="76"/>
      <c r="L904" s="75"/>
      <c r="M904" s="49"/>
      <c r="N904" s="76"/>
      <c r="O904" s="49"/>
      <c r="P904" s="77"/>
      <c r="Q904" s="53"/>
      <c r="R904" s="54"/>
      <c r="S904" s="55"/>
      <c r="T904" s="56"/>
      <c r="U904" s="56"/>
      <c r="V904" s="42"/>
      <c r="W904" s="57"/>
      <c r="X904" s="58"/>
      <c r="Y904" s="75"/>
      <c r="Z904" s="59"/>
      <c r="AA904" s="61"/>
      <c r="AB904" s="61"/>
      <c r="AC904" s="61"/>
      <c r="AD904" s="62"/>
      <c r="AE904" s="62"/>
      <c r="AF904" s="34"/>
      <c r="AG904" s="34"/>
      <c r="AH904" s="34"/>
      <c r="AI904" s="34"/>
      <c r="AJ904" s="34"/>
      <c r="AK904" s="34"/>
      <c r="AL904" s="34"/>
      <c r="AM904" s="34"/>
      <c r="AN904" s="34"/>
      <c r="AO904" s="34"/>
      <c r="AP904" s="34"/>
      <c r="AQ904" s="34"/>
      <c r="AR904" s="34"/>
      <c r="AS904" s="34"/>
      <c r="AT904" s="34"/>
      <c r="AU904" s="34"/>
      <c r="AV904" s="34"/>
      <c r="AW904" s="34"/>
      <c r="AX904" s="34"/>
      <c r="AY904" s="34"/>
      <c r="AZ904" s="34"/>
      <c r="BA904" s="34"/>
      <c r="BB904" s="34"/>
      <c r="BD904" s="34"/>
      <c r="BE904" s="34"/>
      <c r="BF904" s="34"/>
      <c r="BG904" s="34"/>
      <c r="BH904" s="34"/>
      <c r="BI904" s="34"/>
      <c r="BJ904" s="34"/>
      <c r="BK904" s="34"/>
      <c r="BL904" s="34"/>
      <c r="BM904" s="34"/>
      <c r="BN904" s="34"/>
      <c r="BO904" s="34"/>
      <c r="BP904" s="34"/>
      <c r="BQ904" s="34"/>
      <c r="BR904" s="34"/>
      <c r="BS904" s="34"/>
      <c r="BT904" s="34"/>
      <c r="BU904" s="34"/>
      <c r="BV904" s="34"/>
      <c r="BW904" s="34"/>
      <c r="BX904" s="34"/>
      <c r="BY904" s="34"/>
    </row>
    <row r="905" spans="1:77" x14ac:dyDescent="0.3">
      <c r="A905" s="39"/>
      <c r="B905" s="42"/>
      <c r="C905" s="42"/>
      <c r="D905" s="75"/>
      <c r="E905" s="75"/>
      <c r="F905" s="76"/>
      <c r="G905" s="47"/>
      <c r="H905" s="47"/>
      <c r="I905" s="75"/>
      <c r="J905" s="76"/>
      <c r="K905" s="76"/>
      <c r="L905" s="75"/>
      <c r="M905" s="49"/>
      <c r="N905" s="76"/>
      <c r="O905" s="49"/>
      <c r="P905" s="77"/>
      <c r="Q905" s="53"/>
      <c r="R905" s="54"/>
      <c r="S905" s="55"/>
      <c r="T905" s="56"/>
      <c r="U905" s="56"/>
      <c r="V905" s="42"/>
      <c r="W905" s="57"/>
      <c r="X905" s="58"/>
      <c r="Y905" s="75"/>
      <c r="Z905" s="59"/>
      <c r="AA905" s="61"/>
      <c r="AB905" s="61"/>
      <c r="AC905" s="61"/>
      <c r="AD905" s="62"/>
      <c r="AE905" s="62"/>
      <c r="AF905" s="34"/>
      <c r="AG905" s="34"/>
      <c r="AH905" s="34"/>
      <c r="AI905" s="34"/>
      <c r="AJ905" s="34"/>
      <c r="AK905" s="34"/>
      <c r="AL905" s="34"/>
      <c r="AM905" s="34"/>
      <c r="AN905" s="34"/>
      <c r="AO905" s="34"/>
      <c r="AP905" s="34"/>
      <c r="AQ905" s="34"/>
      <c r="AR905" s="34"/>
      <c r="AS905" s="34"/>
      <c r="AT905" s="34"/>
      <c r="AU905" s="34"/>
      <c r="AV905" s="34"/>
      <c r="AW905" s="34"/>
      <c r="AX905" s="34"/>
      <c r="AY905" s="34"/>
      <c r="AZ905" s="34"/>
      <c r="BA905" s="34"/>
      <c r="BB905" s="34"/>
      <c r="BD905" s="34"/>
      <c r="BE905" s="34"/>
      <c r="BF905" s="34"/>
      <c r="BG905" s="34"/>
      <c r="BH905" s="34"/>
      <c r="BI905" s="34"/>
      <c r="BJ905" s="34"/>
      <c r="BK905" s="34"/>
      <c r="BL905" s="34"/>
      <c r="BM905" s="34"/>
      <c r="BN905" s="34"/>
      <c r="BO905" s="34"/>
      <c r="BP905" s="34"/>
      <c r="BQ905" s="34"/>
      <c r="BR905" s="34"/>
      <c r="BS905" s="34"/>
      <c r="BT905" s="34"/>
      <c r="BU905" s="34"/>
      <c r="BV905" s="34"/>
      <c r="BW905" s="34"/>
      <c r="BX905" s="34"/>
      <c r="BY905" s="34"/>
    </row>
    <row r="906" spans="1:77" x14ac:dyDescent="0.3">
      <c r="A906" s="39"/>
      <c r="B906" s="42"/>
      <c r="C906" s="42"/>
      <c r="D906" s="75"/>
      <c r="E906" s="75"/>
      <c r="F906" s="76"/>
      <c r="G906" s="47"/>
      <c r="H906" s="47"/>
      <c r="I906" s="75"/>
      <c r="J906" s="76"/>
      <c r="K906" s="76"/>
      <c r="L906" s="75"/>
      <c r="M906" s="49"/>
      <c r="N906" s="76"/>
      <c r="O906" s="49"/>
      <c r="P906" s="77"/>
      <c r="Q906" s="53"/>
      <c r="R906" s="54"/>
      <c r="S906" s="55"/>
      <c r="T906" s="56"/>
      <c r="U906" s="56"/>
      <c r="V906" s="42"/>
      <c r="W906" s="57"/>
      <c r="X906" s="58"/>
      <c r="Y906" s="75"/>
      <c r="Z906" s="59"/>
      <c r="AA906" s="61"/>
      <c r="AB906" s="61"/>
      <c r="AC906" s="61"/>
      <c r="AD906" s="62"/>
      <c r="AE906" s="62"/>
      <c r="AF906" s="34"/>
      <c r="AG906" s="34"/>
      <c r="AH906" s="34"/>
      <c r="AI906" s="34"/>
      <c r="AJ906" s="34"/>
      <c r="AK906" s="34"/>
      <c r="AL906" s="34"/>
      <c r="AM906" s="34"/>
      <c r="AN906" s="34"/>
      <c r="AO906" s="34"/>
      <c r="AP906" s="34"/>
      <c r="AQ906" s="34"/>
      <c r="AR906" s="34"/>
      <c r="AS906" s="34"/>
      <c r="AT906" s="34"/>
      <c r="AU906" s="34"/>
      <c r="AV906" s="34"/>
      <c r="AW906" s="34"/>
      <c r="AX906" s="34"/>
      <c r="AY906" s="34"/>
      <c r="AZ906" s="34"/>
      <c r="BA906" s="34"/>
      <c r="BB906" s="34"/>
      <c r="BD906" s="34"/>
      <c r="BE906" s="34"/>
      <c r="BF906" s="34"/>
      <c r="BG906" s="34"/>
      <c r="BH906" s="34"/>
      <c r="BI906" s="34"/>
      <c r="BJ906" s="34"/>
      <c r="BK906" s="34"/>
      <c r="BL906" s="34"/>
      <c r="BM906" s="34"/>
      <c r="BN906" s="34"/>
      <c r="BO906" s="34"/>
      <c r="BP906" s="34"/>
      <c r="BQ906" s="34"/>
      <c r="BR906" s="34"/>
      <c r="BS906" s="34"/>
      <c r="BT906" s="34"/>
      <c r="BU906" s="34"/>
      <c r="BV906" s="34"/>
      <c r="BW906" s="34"/>
      <c r="BX906" s="34"/>
      <c r="BY906" s="34"/>
    </row>
    <row r="907" spans="1:77" x14ac:dyDescent="0.3">
      <c r="A907" s="39"/>
      <c r="B907" s="42"/>
      <c r="C907" s="42"/>
      <c r="D907" s="75"/>
      <c r="E907" s="75"/>
      <c r="F907" s="76"/>
      <c r="G907" s="47"/>
      <c r="H907" s="47"/>
      <c r="I907" s="75"/>
      <c r="J907" s="76"/>
      <c r="K907" s="76"/>
      <c r="L907" s="75"/>
      <c r="M907" s="49"/>
      <c r="N907" s="76"/>
      <c r="O907" s="49"/>
      <c r="P907" s="77"/>
      <c r="Q907" s="53"/>
      <c r="R907" s="54"/>
      <c r="S907" s="55"/>
      <c r="T907" s="56"/>
      <c r="U907" s="56"/>
      <c r="V907" s="42"/>
      <c r="W907" s="57"/>
      <c r="X907" s="58"/>
      <c r="Y907" s="75"/>
      <c r="Z907" s="59"/>
      <c r="AA907" s="61"/>
      <c r="AB907" s="61"/>
      <c r="AC907" s="61"/>
      <c r="AD907" s="62"/>
      <c r="AE907" s="62"/>
      <c r="AF907" s="34"/>
      <c r="AG907" s="34"/>
      <c r="AH907" s="34"/>
      <c r="AI907" s="34"/>
      <c r="AJ907" s="34"/>
      <c r="AK907" s="34"/>
      <c r="AL907" s="34"/>
      <c r="AM907" s="34"/>
      <c r="AN907" s="34"/>
      <c r="AO907" s="34"/>
      <c r="AP907" s="34"/>
      <c r="AQ907" s="34"/>
      <c r="AR907" s="34"/>
      <c r="AS907" s="34"/>
      <c r="AT907" s="34"/>
      <c r="AU907" s="34"/>
      <c r="AV907" s="34"/>
      <c r="AW907" s="34"/>
      <c r="AX907" s="34"/>
      <c r="AY907" s="34"/>
      <c r="AZ907" s="34"/>
      <c r="BA907" s="34"/>
      <c r="BB907" s="34"/>
      <c r="BD907" s="34"/>
      <c r="BE907" s="34"/>
      <c r="BF907" s="34"/>
      <c r="BG907" s="34"/>
      <c r="BH907" s="34"/>
      <c r="BI907" s="34"/>
      <c r="BJ907" s="34"/>
      <c r="BK907" s="34"/>
      <c r="BL907" s="34"/>
      <c r="BM907" s="34"/>
      <c r="BN907" s="34"/>
      <c r="BO907" s="34"/>
      <c r="BP907" s="34"/>
      <c r="BQ907" s="34"/>
      <c r="BR907" s="34"/>
      <c r="BS907" s="34"/>
      <c r="BT907" s="34"/>
      <c r="BU907" s="34"/>
      <c r="BV907" s="34"/>
      <c r="BW907" s="34"/>
      <c r="BX907" s="34"/>
      <c r="BY907" s="34"/>
    </row>
    <row r="908" spans="1:77" x14ac:dyDescent="0.3">
      <c r="A908" s="39"/>
      <c r="B908" s="42"/>
      <c r="C908" s="42"/>
      <c r="D908" s="75"/>
      <c r="E908" s="75"/>
      <c r="F908" s="76"/>
      <c r="G908" s="47"/>
      <c r="H908" s="47"/>
      <c r="I908" s="75"/>
      <c r="J908" s="76"/>
      <c r="K908" s="76"/>
      <c r="L908" s="75"/>
      <c r="M908" s="49"/>
      <c r="N908" s="76"/>
      <c r="O908" s="49"/>
      <c r="P908" s="77"/>
      <c r="Q908" s="53"/>
      <c r="R908" s="54"/>
      <c r="S908" s="55"/>
      <c r="T908" s="56"/>
      <c r="U908" s="56"/>
      <c r="V908" s="42"/>
      <c r="W908" s="57"/>
      <c r="X908" s="58"/>
      <c r="Y908" s="75"/>
      <c r="Z908" s="59"/>
      <c r="AA908" s="61"/>
      <c r="AB908" s="61"/>
      <c r="AC908" s="61"/>
      <c r="AD908" s="62"/>
      <c r="AE908" s="62"/>
      <c r="AF908" s="34"/>
      <c r="AG908" s="34"/>
      <c r="AH908" s="34"/>
      <c r="AI908" s="34"/>
      <c r="AJ908" s="34"/>
      <c r="AK908" s="34"/>
      <c r="AL908" s="34"/>
      <c r="AM908" s="34"/>
      <c r="AN908" s="34"/>
      <c r="AO908" s="34"/>
      <c r="AP908" s="34"/>
      <c r="AQ908" s="34"/>
      <c r="AR908" s="34"/>
      <c r="AS908" s="34"/>
      <c r="AT908" s="34"/>
      <c r="AU908" s="34"/>
      <c r="AV908" s="34"/>
      <c r="AW908" s="34"/>
      <c r="AX908" s="34"/>
      <c r="AY908" s="34"/>
      <c r="AZ908" s="34"/>
      <c r="BA908" s="34"/>
      <c r="BB908" s="34"/>
      <c r="BD908" s="34"/>
      <c r="BE908" s="34"/>
      <c r="BF908" s="34"/>
      <c r="BG908" s="34"/>
      <c r="BH908" s="34"/>
      <c r="BI908" s="34"/>
      <c r="BJ908" s="34"/>
      <c r="BK908" s="34"/>
      <c r="BL908" s="34"/>
      <c r="BM908" s="34"/>
      <c r="BN908" s="34"/>
      <c r="BO908" s="34"/>
      <c r="BP908" s="34"/>
      <c r="BQ908" s="34"/>
      <c r="BR908" s="34"/>
      <c r="BS908" s="34"/>
      <c r="BT908" s="34"/>
      <c r="BU908" s="34"/>
      <c r="BV908" s="34"/>
      <c r="BW908" s="34"/>
      <c r="BX908" s="34"/>
      <c r="BY908" s="34"/>
    </row>
    <row r="909" spans="1:77" x14ac:dyDescent="0.3">
      <c r="A909" s="39"/>
      <c r="B909" s="42"/>
      <c r="C909" s="42"/>
      <c r="D909" s="75"/>
      <c r="E909" s="75"/>
      <c r="F909" s="76"/>
      <c r="G909" s="47"/>
      <c r="H909" s="47"/>
      <c r="I909" s="75"/>
      <c r="J909" s="76"/>
      <c r="K909" s="76"/>
      <c r="L909" s="75"/>
      <c r="M909" s="49"/>
      <c r="N909" s="76"/>
      <c r="O909" s="49"/>
      <c r="P909" s="77"/>
      <c r="Q909" s="53"/>
      <c r="R909" s="54"/>
      <c r="S909" s="55"/>
      <c r="T909" s="56"/>
      <c r="U909" s="56"/>
      <c r="V909" s="42"/>
      <c r="W909" s="57"/>
      <c r="X909" s="58"/>
      <c r="Y909" s="75"/>
      <c r="Z909" s="59"/>
      <c r="AA909" s="61"/>
      <c r="AB909" s="61"/>
      <c r="AC909" s="61"/>
      <c r="AD909" s="62"/>
      <c r="AE909" s="62"/>
      <c r="AF909" s="34"/>
      <c r="AG909" s="34"/>
      <c r="AH909" s="34"/>
      <c r="AI909" s="34"/>
      <c r="AJ909" s="34"/>
      <c r="AK909" s="34"/>
      <c r="AL909" s="34"/>
      <c r="AM909" s="34"/>
      <c r="AN909" s="34"/>
      <c r="AO909" s="34"/>
      <c r="AP909" s="34"/>
      <c r="AQ909" s="34"/>
      <c r="AR909" s="34"/>
      <c r="AS909" s="34"/>
      <c r="AT909" s="34"/>
      <c r="AU909" s="34"/>
      <c r="AV909" s="34"/>
      <c r="AW909" s="34"/>
      <c r="AX909" s="34"/>
      <c r="AY909" s="34"/>
      <c r="AZ909" s="34"/>
      <c r="BA909" s="34"/>
      <c r="BB909" s="34"/>
      <c r="BD909" s="34"/>
      <c r="BE909" s="34"/>
      <c r="BF909" s="34"/>
      <c r="BG909" s="34"/>
      <c r="BH909" s="34"/>
      <c r="BI909" s="34"/>
      <c r="BJ909" s="34"/>
      <c r="BK909" s="34"/>
      <c r="BL909" s="34"/>
      <c r="BM909" s="34"/>
      <c r="BN909" s="34"/>
      <c r="BO909" s="34"/>
      <c r="BP909" s="34"/>
      <c r="BQ909" s="34"/>
      <c r="BR909" s="34"/>
      <c r="BS909" s="34"/>
      <c r="BT909" s="34"/>
      <c r="BU909" s="34"/>
      <c r="BV909" s="34"/>
      <c r="BW909" s="34"/>
      <c r="BX909" s="34"/>
      <c r="BY909" s="34"/>
    </row>
    <row r="910" spans="1:77" x14ac:dyDescent="0.3">
      <c r="A910" s="39"/>
      <c r="B910" s="42"/>
      <c r="C910" s="42"/>
      <c r="D910" s="75"/>
      <c r="E910" s="75"/>
      <c r="F910" s="76"/>
      <c r="G910" s="47"/>
      <c r="H910" s="47"/>
      <c r="I910" s="75"/>
      <c r="J910" s="76"/>
      <c r="K910" s="76"/>
      <c r="L910" s="75"/>
      <c r="M910" s="49"/>
      <c r="N910" s="76"/>
      <c r="O910" s="49"/>
      <c r="P910" s="77"/>
      <c r="Q910" s="53"/>
      <c r="R910" s="54"/>
      <c r="S910" s="55"/>
      <c r="T910" s="56"/>
      <c r="U910" s="56"/>
      <c r="V910" s="42"/>
      <c r="W910" s="57"/>
      <c r="X910" s="58"/>
      <c r="Y910" s="75"/>
      <c r="Z910" s="59"/>
      <c r="AA910" s="61"/>
      <c r="AB910" s="61"/>
      <c r="AC910" s="61"/>
      <c r="AD910" s="62"/>
      <c r="AE910" s="62"/>
      <c r="AF910" s="34"/>
      <c r="AG910" s="34"/>
      <c r="AH910" s="34"/>
      <c r="AI910" s="34"/>
      <c r="AJ910" s="34"/>
      <c r="AK910" s="34"/>
      <c r="AL910" s="34"/>
      <c r="AM910" s="34"/>
      <c r="AN910" s="34"/>
      <c r="AO910" s="34"/>
      <c r="AP910" s="34"/>
      <c r="AQ910" s="34"/>
      <c r="AR910" s="34"/>
      <c r="AS910" s="34"/>
      <c r="AT910" s="34"/>
      <c r="AU910" s="34"/>
      <c r="AV910" s="34"/>
      <c r="AW910" s="34"/>
      <c r="AX910" s="34"/>
      <c r="AY910" s="34"/>
      <c r="AZ910" s="34"/>
      <c r="BA910" s="34"/>
      <c r="BB910" s="34"/>
      <c r="BD910" s="34"/>
      <c r="BE910" s="34"/>
      <c r="BF910" s="34"/>
      <c r="BG910" s="34"/>
      <c r="BH910" s="34"/>
      <c r="BI910" s="34"/>
      <c r="BJ910" s="34"/>
      <c r="BK910" s="34"/>
      <c r="BL910" s="34"/>
      <c r="BM910" s="34"/>
      <c r="BN910" s="34"/>
      <c r="BO910" s="34"/>
      <c r="BP910" s="34"/>
      <c r="BQ910" s="34"/>
      <c r="BR910" s="34"/>
      <c r="BS910" s="34"/>
      <c r="BT910" s="34"/>
      <c r="BU910" s="34"/>
      <c r="BV910" s="34"/>
      <c r="BW910" s="34"/>
      <c r="BX910" s="34"/>
      <c r="BY910" s="34"/>
    </row>
    <row r="911" spans="1:77" x14ac:dyDescent="0.3">
      <c r="A911" s="39"/>
      <c r="B911" s="42"/>
      <c r="C911" s="42"/>
      <c r="D911" s="75"/>
      <c r="E911" s="75"/>
      <c r="F911" s="76"/>
      <c r="G911" s="47"/>
      <c r="H911" s="47"/>
      <c r="I911" s="75"/>
      <c r="J911" s="76"/>
      <c r="K911" s="76"/>
      <c r="L911" s="75"/>
      <c r="M911" s="49"/>
      <c r="N911" s="76"/>
      <c r="O911" s="49"/>
      <c r="P911" s="77"/>
      <c r="Q911" s="53"/>
      <c r="R911" s="54"/>
      <c r="S911" s="55"/>
      <c r="T911" s="56"/>
      <c r="U911" s="56"/>
      <c r="V911" s="42"/>
      <c r="W911" s="57"/>
      <c r="X911" s="58"/>
      <c r="Y911" s="75"/>
      <c r="Z911" s="59"/>
      <c r="AA911" s="61"/>
      <c r="AB911" s="61"/>
      <c r="AC911" s="61"/>
      <c r="AD911" s="62"/>
      <c r="AE911" s="62"/>
      <c r="AF911" s="34"/>
      <c r="AG911" s="34"/>
      <c r="AH911" s="34"/>
      <c r="AI911" s="34"/>
      <c r="AJ911" s="34"/>
      <c r="AK911" s="34"/>
      <c r="AL911" s="34"/>
      <c r="AM911" s="34"/>
      <c r="AN911" s="34"/>
      <c r="AO911" s="34"/>
      <c r="AP911" s="34"/>
      <c r="AQ911" s="34"/>
      <c r="AR911" s="34"/>
      <c r="AS911" s="34"/>
      <c r="AT911" s="34"/>
      <c r="AU911" s="34"/>
      <c r="AV911" s="34"/>
      <c r="AW911" s="34"/>
      <c r="AX911" s="34"/>
      <c r="AY911" s="34"/>
      <c r="AZ911" s="34"/>
      <c r="BA911" s="34"/>
      <c r="BB911" s="34"/>
      <c r="BD911" s="34"/>
      <c r="BE911" s="34"/>
      <c r="BF911" s="34"/>
      <c r="BG911" s="34"/>
      <c r="BH911" s="34"/>
      <c r="BI911" s="34"/>
      <c r="BJ911" s="34"/>
      <c r="BK911" s="34"/>
      <c r="BL911" s="34"/>
      <c r="BM911" s="34"/>
      <c r="BN911" s="34"/>
      <c r="BO911" s="34"/>
      <c r="BP911" s="34"/>
      <c r="BQ911" s="34"/>
      <c r="BR911" s="34"/>
      <c r="BS911" s="34"/>
      <c r="BT911" s="34"/>
      <c r="BU911" s="34"/>
      <c r="BV911" s="34"/>
      <c r="BW911" s="34"/>
      <c r="BX911" s="34"/>
      <c r="BY911" s="34"/>
    </row>
    <row r="912" spans="1:77" x14ac:dyDescent="0.3">
      <c r="A912" s="39"/>
      <c r="B912" s="42"/>
      <c r="C912" s="42"/>
      <c r="D912" s="75"/>
      <c r="E912" s="75"/>
      <c r="F912" s="76"/>
      <c r="G912" s="47"/>
      <c r="H912" s="47"/>
      <c r="I912" s="75"/>
      <c r="J912" s="76"/>
      <c r="K912" s="76"/>
      <c r="L912" s="75"/>
      <c r="M912" s="49"/>
      <c r="N912" s="76"/>
      <c r="O912" s="49"/>
      <c r="P912" s="77"/>
      <c r="Q912" s="53"/>
      <c r="R912" s="54"/>
      <c r="S912" s="55"/>
      <c r="T912" s="56"/>
      <c r="U912" s="56"/>
      <c r="V912" s="42"/>
      <c r="W912" s="57"/>
      <c r="X912" s="58"/>
      <c r="Y912" s="75"/>
      <c r="Z912" s="59"/>
      <c r="AA912" s="61"/>
      <c r="AB912" s="61"/>
      <c r="AC912" s="61"/>
      <c r="AD912" s="62"/>
      <c r="AE912" s="62"/>
      <c r="AF912" s="34"/>
      <c r="AG912" s="34"/>
      <c r="AH912" s="34"/>
      <c r="AI912" s="34"/>
      <c r="AJ912" s="34"/>
      <c r="AK912" s="34"/>
      <c r="AL912" s="34"/>
      <c r="AM912" s="34"/>
      <c r="AN912" s="34"/>
      <c r="AO912" s="34"/>
      <c r="AP912" s="34"/>
      <c r="AQ912" s="34"/>
      <c r="AR912" s="34"/>
      <c r="AS912" s="34"/>
      <c r="AT912" s="34"/>
      <c r="AU912" s="34"/>
      <c r="AV912" s="34"/>
      <c r="AW912" s="34"/>
      <c r="AX912" s="34"/>
      <c r="AY912" s="34"/>
      <c r="AZ912" s="34"/>
      <c r="BA912" s="34"/>
      <c r="BB912" s="34"/>
      <c r="BD912" s="34"/>
      <c r="BE912" s="34"/>
      <c r="BF912" s="34"/>
      <c r="BG912" s="34"/>
      <c r="BH912" s="34"/>
      <c r="BI912" s="34"/>
      <c r="BJ912" s="34"/>
      <c r="BK912" s="34"/>
      <c r="BL912" s="34"/>
      <c r="BM912" s="34"/>
      <c r="BN912" s="34"/>
      <c r="BO912" s="34"/>
      <c r="BP912" s="34"/>
      <c r="BQ912" s="34"/>
      <c r="BR912" s="34"/>
      <c r="BS912" s="34"/>
      <c r="BT912" s="34"/>
      <c r="BU912" s="34"/>
      <c r="BV912" s="34"/>
      <c r="BW912" s="34"/>
      <c r="BX912" s="34"/>
      <c r="BY912" s="34"/>
    </row>
    <row r="913" spans="1:77" x14ac:dyDescent="0.3">
      <c r="A913" s="39"/>
      <c r="B913" s="42"/>
      <c r="C913" s="42"/>
      <c r="D913" s="75"/>
      <c r="E913" s="75"/>
      <c r="F913" s="76"/>
      <c r="G913" s="47"/>
      <c r="H913" s="47"/>
      <c r="I913" s="75"/>
      <c r="J913" s="76"/>
      <c r="K913" s="76"/>
      <c r="L913" s="75"/>
      <c r="M913" s="49"/>
      <c r="N913" s="76"/>
      <c r="O913" s="49"/>
      <c r="P913" s="77"/>
      <c r="Q913" s="53"/>
      <c r="R913" s="54"/>
      <c r="S913" s="55"/>
      <c r="T913" s="56"/>
      <c r="U913" s="56"/>
      <c r="V913" s="42"/>
      <c r="W913" s="57"/>
      <c r="X913" s="58"/>
      <c r="Y913" s="75"/>
      <c r="Z913" s="59"/>
      <c r="AA913" s="61"/>
      <c r="AB913" s="61"/>
      <c r="AC913" s="61"/>
      <c r="AD913" s="62"/>
      <c r="AE913" s="62"/>
      <c r="AF913" s="34"/>
      <c r="AG913" s="34"/>
      <c r="AH913" s="34"/>
      <c r="AI913" s="34"/>
      <c r="AJ913" s="34"/>
      <c r="AK913" s="34"/>
      <c r="AL913" s="34"/>
      <c r="AM913" s="34"/>
      <c r="AN913" s="34"/>
      <c r="AO913" s="34"/>
      <c r="AP913" s="34"/>
      <c r="AQ913" s="34"/>
      <c r="AR913" s="34"/>
      <c r="AS913" s="34"/>
      <c r="AT913" s="34"/>
      <c r="AU913" s="34"/>
      <c r="AV913" s="34"/>
      <c r="AW913" s="34"/>
      <c r="AX913" s="34"/>
      <c r="AY913" s="34"/>
      <c r="AZ913" s="34"/>
      <c r="BA913" s="34"/>
      <c r="BB913" s="34"/>
      <c r="BD913" s="34"/>
      <c r="BE913" s="34"/>
      <c r="BF913" s="34"/>
      <c r="BG913" s="34"/>
      <c r="BH913" s="34"/>
      <c r="BI913" s="34"/>
      <c r="BJ913" s="34"/>
      <c r="BK913" s="34"/>
      <c r="BL913" s="34"/>
      <c r="BM913" s="34"/>
      <c r="BN913" s="34"/>
      <c r="BO913" s="34"/>
      <c r="BP913" s="34"/>
      <c r="BQ913" s="34"/>
      <c r="BR913" s="34"/>
      <c r="BS913" s="34"/>
      <c r="BT913" s="34"/>
      <c r="BU913" s="34"/>
      <c r="BV913" s="34"/>
      <c r="BW913" s="34"/>
      <c r="BX913" s="34"/>
      <c r="BY913" s="34"/>
    </row>
    <row r="914" spans="1:77" x14ac:dyDescent="0.3">
      <c r="A914" s="39"/>
      <c r="B914" s="42"/>
      <c r="C914" s="42"/>
      <c r="D914" s="75"/>
      <c r="E914" s="75"/>
      <c r="F914" s="76"/>
      <c r="G914" s="47"/>
      <c r="H914" s="47"/>
      <c r="I914" s="75"/>
      <c r="J914" s="76"/>
      <c r="K914" s="76"/>
      <c r="L914" s="75"/>
      <c r="M914" s="49"/>
      <c r="N914" s="76"/>
      <c r="O914" s="49"/>
      <c r="P914" s="77"/>
      <c r="Q914" s="53"/>
      <c r="R914" s="54"/>
      <c r="S914" s="55"/>
      <c r="T914" s="56"/>
      <c r="U914" s="56"/>
      <c r="V914" s="42"/>
      <c r="W914" s="57"/>
      <c r="X914" s="58"/>
      <c r="Y914" s="75"/>
      <c r="Z914" s="59"/>
      <c r="AA914" s="61"/>
      <c r="AB914" s="61"/>
      <c r="AC914" s="61"/>
      <c r="AD914" s="62"/>
      <c r="AE914" s="62"/>
      <c r="AF914" s="34"/>
      <c r="AG914" s="34"/>
      <c r="AH914" s="34"/>
      <c r="AI914" s="34"/>
      <c r="AJ914" s="34"/>
      <c r="AK914" s="34"/>
      <c r="AL914" s="34"/>
      <c r="AM914" s="34"/>
      <c r="AN914" s="34"/>
      <c r="AO914" s="34"/>
      <c r="AP914" s="34"/>
      <c r="AQ914" s="34"/>
      <c r="AR914" s="34"/>
      <c r="AS914" s="34"/>
      <c r="AT914" s="34"/>
      <c r="AU914" s="34"/>
      <c r="AV914" s="34"/>
      <c r="AW914" s="34"/>
      <c r="AX914" s="34"/>
      <c r="AY914" s="34"/>
      <c r="AZ914" s="34"/>
      <c r="BA914" s="34"/>
      <c r="BB914" s="34"/>
      <c r="BD914" s="34"/>
      <c r="BE914" s="34"/>
      <c r="BF914" s="34"/>
      <c r="BG914" s="34"/>
      <c r="BH914" s="34"/>
      <c r="BI914" s="34"/>
      <c r="BJ914" s="34"/>
      <c r="BK914" s="34"/>
      <c r="BL914" s="34"/>
      <c r="BM914" s="34"/>
      <c r="BN914" s="34"/>
      <c r="BO914" s="34"/>
      <c r="BP914" s="34"/>
      <c r="BQ914" s="34"/>
      <c r="BR914" s="34"/>
      <c r="BS914" s="34"/>
      <c r="BT914" s="34"/>
      <c r="BU914" s="34"/>
      <c r="BV914" s="34"/>
      <c r="BW914" s="34"/>
      <c r="BX914" s="34"/>
      <c r="BY914" s="34"/>
    </row>
    <row r="915" spans="1:77" x14ac:dyDescent="0.3">
      <c r="A915" s="39"/>
      <c r="B915" s="42"/>
      <c r="C915" s="42"/>
      <c r="D915" s="75"/>
      <c r="E915" s="75"/>
      <c r="F915" s="76"/>
      <c r="G915" s="47"/>
      <c r="H915" s="47"/>
      <c r="I915" s="75"/>
      <c r="J915" s="76"/>
      <c r="K915" s="76"/>
      <c r="L915" s="75"/>
      <c r="M915" s="49"/>
      <c r="N915" s="76"/>
      <c r="O915" s="49"/>
      <c r="P915" s="77"/>
      <c r="Q915" s="53"/>
      <c r="R915" s="54"/>
      <c r="S915" s="55"/>
      <c r="T915" s="56"/>
      <c r="U915" s="56"/>
      <c r="V915" s="42"/>
      <c r="W915" s="57"/>
      <c r="X915" s="58"/>
      <c r="Y915" s="75"/>
      <c r="Z915" s="59"/>
      <c r="AA915" s="61"/>
      <c r="AB915" s="61"/>
      <c r="AC915" s="61"/>
      <c r="AD915" s="62"/>
      <c r="AE915" s="62"/>
      <c r="AF915" s="34"/>
      <c r="AG915" s="34"/>
      <c r="AH915" s="34"/>
      <c r="AI915" s="34"/>
      <c r="AJ915" s="34"/>
      <c r="AK915" s="34"/>
      <c r="AL915" s="34"/>
      <c r="AM915" s="34"/>
      <c r="AN915" s="34"/>
      <c r="AO915" s="34"/>
      <c r="AP915" s="34"/>
      <c r="AQ915" s="34"/>
      <c r="AR915" s="34"/>
      <c r="AS915" s="34"/>
      <c r="AT915" s="34"/>
      <c r="AU915" s="34"/>
      <c r="AV915" s="34"/>
      <c r="AW915" s="34"/>
      <c r="AX915" s="34"/>
      <c r="AY915" s="34"/>
      <c r="AZ915" s="34"/>
      <c r="BA915" s="34"/>
      <c r="BB915" s="34"/>
      <c r="BD915" s="34"/>
      <c r="BE915" s="34"/>
      <c r="BF915" s="34"/>
      <c r="BG915" s="34"/>
      <c r="BH915" s="34"/>
      <c r="BI915" s="34"/>
      <c r="BJ915" s="34"/>
      <c r="BK915" s="34"/>
      <c r="BL915" s="34"/>
      <c r="BM915" s="34"/>
      <c r="BN915" s="34"/>
      <c r="BO915" s="34"/>
      <c r="BP915" s="34"/>
      <c r="BQ915" s="34"/>
      <c r="BR915" s="34"/>
      <c r="BS915" s="34"/>
      <c r="BT915" s="34"/>
      <c r="BU915" s="34"/>
      <c r="BV915" s="34"/>
      <c r="BW915" s="34"/>
      <c r="BX915" s="34"/>
      <c r="BY915" s="34"/>
    </row>
    <row r="916" spans="1:77" x14ac:dyDescent="0.3">
      <c r="A916" s="39"/>
      <c r="B916" s="42"/>
      <c r="C916" s="42"/>
      <c r="D916" s="75"/>
      <c r="E916" s="75"/>
      <c r="F916" s="76"/>
      <c r="G916" s="47"/>
      <c r="H916" s="47"/>
      <c r="I916" s="75"/>
      <c r="J916" s="76"/>
      <c r="K916" s="76"/>
      <c r="L916" s="75"/>
      <c r="M916" s="49"/>
      <c r="N916" s="76"/>
      <c r="O916" s="49"/>
      <c r="P916" s="77"/>
      <c r="Q916" s="53"/>
      <c r="R916" s="54"/>
      <c r="S916" s="55"/>
      <c r="T916" s="56"/>
      <c r="U916" s="56"/>
      <c r="V916" s="42"/>
      <c r="W916" s="57"/>
      <c r="X916" s="58"/>
      <c r="Y916" s="75"/>
      <c r="Z916" s="59"/>
      <c r="AA916" s="61"/>
      <c r="AB916" s="61"/>
      <c r="AC916" s="61"/>
      <c r="AD916" s="62"/>
      <c r="AE916" s="62"/>
      <c r="AF916" s="34"/>
      <c r="AG916" s="34"/>
      <c r="AH916" s="34"/>
      <c r="AI916" s="34"/>
      <c r="AJ916" s="34"/>
      <c r="AK916" s="34"/>
      <c r="AL916" s="34"/>
      <c r="AM916" s="34"/>
      <c r="AN916" s="34"/>
      <c r="AO916" s="34"/>
      <c r="AP916" s="34"/>
      <c r="AQ916" s="34"/>
      <c r="AR916" s="34"/>
      <c r="AS916" s="34"/>
      <c r="AT916" s="34"/>
      <c r="AU916" s="34"/>
      <c r="AV916" s="34"/>
      <c r="AW916" s="34"/>
      <c r="AX916" s="34"/>
      <c r="AY916" s="34"/>
      <c r="AZ916" s="34"/>
      <c r="BA916" s="34"/>
      <c r="BB916" s="34"/>
      <c r="BD916" s="34"/>
      <c r="BE916" s="34"/>
      <c r="BF916" s="34"/>
      <c r="BG916" s="34"/>
      <c r="BH916" s="34"/>
      <c r="BI916" s="34"/>
      <c r="BJ916" s="34"/>
      <c r="BK916" s="34"/>
      <c r="BL916" s="34"/>
      <c r="BM916" s="34"/>
      <c r="BN916" s="34"/>
      <c r="BO916" s="34"/>
      <c r="BP916" s="34"/>
      <c r="BQ916" s="34"/>
      <c r="BR916" s="34"/>
      <c r="BS916" s="34"/>
      <c r="BT916" s="34"/>
      <c r="BU916" s="34"/>
      <c r="BV916" s="34"/>
      <c r="BW916" s="34"/>
      <c r="BX916" s="34"/>
      <c r="BY916" s="34"/>
    </row>
    <row r="917" spans="1:77" x14ac:dyDescent="0.3">
      <c r="A917" s="39"/>
      <c r="B917" s="42"/>
      <c r="C917" s="42"/>
      <c r="D917" s="75"/>
      <c r="E917" s="75"/>
      <c r="F917" s="76"/>
      <c r="G917" s="47"/>
      <c r="H917" s="47"/>
      <c r="I917" s="75"/>
      <c r="J917" s="76"/>
      <c r="K917" s="76"/>
      <c r="L917" s="75"/>
      <c r="M917" s="49"/>
      <c r="N917" s="76"/>
      <c r="O917" s="49"/>
      <c r="P917" s="77"/>
      <c r="Q917" s="53"/>
      <c r="R917" s="54"/>
      <c r="S917" s="55"/>
      <c r="T917" s="56"/>
      <c r="U917" s="56"/>
      <c r="V917" s="42"/>
      <c r="W917" s="57"/>
      <c r="X917" s="58"/>
      <c r="Y917" s="75"/>
      <c r="Z917" s="59"/>
      <c r="AA917" s="61"/>
      <c r="AB917" s="61"/>
      <c r="AC917" s="61"/>
      <c r="AD917" s="62"/>
      <c r="AE917" s="62"/>
      <c r="AF917" s="34"/>
      <c r="AG917" s="34"/>
      <c r="AH917" s="34"/>
      <c r="AI917" s="34"/>
      <c r="AJ917" s="34"/>
      <c r="AK917" s="34"/>
      <c r="AL917" s="34"/>
      <c r="AM917" s="34"/>
      <c r="AN917" s="34"/>
      <c r="AO917" s="34"/>
      <c r="AP917" s="34"/>
      <c r="AQ917" s="34"/>
      <c r="AR917" s="34"/>
      <c r="AS917" s="34"/>
      <c r="AT917" s="34"/>
      <c r="AU917" s="34"/>
      <c r="AV917" s="34"/>
      <c r="AW917" s="34"/>
      <c r="AX917" s="34"/>
      <c r="AY917" s="34"/>
      <c r="AZ917" s="34"/>
      <c r="BA917" s="34"/>
      <c r="BB917" s="34"/>
      <c r="BD917" s="34"/>
      <c r="BE917" s="34"/>
      <c r="BF917" s="34"/>
      <c r="BG917" s="34"/>
      <c r="BH917" s="34"/>
      <c r="BI917" s="34"/>
      <c r="BJ917" s="34"/>
      <c r="BK917" s="34"/>
      <c r="BL917" s="34"/>
      <c r="BM917" s="34"/>
      <c r="BN917" s="34"/>
      <c r="BO917" s="34"/>
      <c r="BP917" s="34"/>
      <c r="BQ917" s="34"/>
      <c r="BR917" s="34"/>
      <c r="BS917" s="34"/>
      <c r="BT917" s="34"/>
      <c r="BU917" s="34"/>
      <c r="BV917" s="34"/>
      <c r="BW917" s="34"/>
      <c r="BX917" s="34"/>
      <c r="BY917" s="34"/>
    </row>
    <row r="918" spans="1:77" x14ac:dyDescent="0.3">
      <c r="A918" s="39"/>
      <c r="B918" s="42"/>
      <c r="C918" s="42"/>
      <c r="D918" s="75"/>
      <c r="E918" s="75"/>
      <c r="F918" s="76"/>
      <c r="G918" s="47"/>
      <c r="H918" s="47"/>
      <c r="I918" s="75"/>
      <c r="J918" s="76"/>
      <c r="K918" s="76"/>
      <c r="L918" s="75"/>
      <c r="M918" s="49"/>
      <c r="N918" s="76"/>
      <c r="O918" s="49"/>
      <c r="P918" s="77"/>
      <c r="Q918" s="53"/>
      <c r="R918" s="54"/>
      <c r="S918" s="55"/>
      <c r="T918" s="56"/>
      <c r="U918" s="56"/>
      <c r="V918" s="42"/>
      <c r="W918" s="57"/>
      <c r="X918" s="58"/>
      <c r="Y918" s="75"/>
      <c r="Z918" s="59"/>
      <c r="AA918" s="61"/>
      <c r="AB918" s="61"/>
      <c r="AC918" s="61"/>
      <c r="AD918" s="62"/>
      <c r="AE918" s="62"/>
      <c r="AF918" s="34"/>
      <c r="AG918" s="34"/>
      <c r="AH918" s="34"/>
      <c r="AI918" s="34"/>
      <c r="AJ918" s="34"/>
      <c r="AK918" s="34"/>
      <c r="AL918" s="34"/>
      <c r="AM918" s="34"/>
      <c r="AN918" s="34"/>
      <c r="AO918" s="34"/>
      <c r="AP918" s="34"/>
      <c r="AQ918" s="34"/>
      <c r="AR918" s="34"/>
      <c r="AS918" s="34"/>
      <c r="AT918" s="34"/>
      <c r="AU918" s="34"/>
      <c r="AV918" s="34"/>
      <c r="AW918" s="34"/>
      <c r="AX918" s="34"/>
      <c r="AY918" s="34"/>
      <c r="AZ918" s="34"/>
      <c r="BA918" s="34"/>
      <c r="BB918" s="34"/>
      <c r="BD918" s="34"/>
      <c r="BE918" s="34"/>
      <c r="BF918" s="34"/>
      <c r="BG918" s="34"/>
      <c r="BH918" s="34"/>
      <c r="BI918" s="34"/>
      <c r="BJ918" s="34"/>
      <c r="BK918" s="34"/>
      <c r="BL918" s="34"/>
      <c r="BM918" s="34"/>
      <c r="BN918" s="34"/>
      <c r="BO918" s="34"/>
      <c r="BP918" s="34"/>
      <c r="BQ918" s="34"/>
      <c r="BR918" s="34"/>
      <c r="BS918" s="34"/>
      <c r="BT918" s="34"/>
      <c r="BU918" s="34"/>
      <c r="BV918" s="34"/>
      <c r="BW918" s="34"/>
      <c r="BX918" s="34"/>
      <c r="BY918" s="34"/>
    </row>
    <row r="919" spans="1:77" x14ac:dyDescent="0.3">
      <c r="A919" s="39"/>
      <c r="B919" s="42"/>
      <c r="C919" s="42"/>
      <c r="D919" s="75"/>
      <c r="E919" s="75"/>
      <c r="F919" s="76"/>
      <c r="G919" s="47"/>
      <c r="H919" s="47"/>
      <c r="I919" s="75"/>
      <c r="J919" s="76"/>
      <c r="K919" s="76"/>
      <c r="L919" s="75"/>
      <c r="M919" s="49"/>
      <c r="N919" s="76"/>
      <c r="O919" s="49"/>
      <c r="P919" s="77"/>
      <c r="Q919" s="53"/>
      <c r="R919" s="54"/>
      <c r="S919" s="55"/>
      <c r="T919" s="56"/>
      <c r="U919" s="56"/>
      <c r="V919" s="42"/>
      <c r="W919" s="57"/>
      <c r="X919" s="58"/>
      <c r="Y919" s="75"/>
      <c r="Z919" s="59"/>
      <c r="AA919" s="61"/>
      <c r="AB919" s="61"/>
      <c r="AC919" s="61"/>
      <c r="AD919" s="62"/>
      <c r="AE919" s="62"/>
      <c r="AF919" s="34"/>
      <c r="AG919" s="34"/>
      <c r="AH919" s="34"/>
      <c r="AI919" s="34"/>
      <c r="AJ919" s="34"/>
      <c r="AK919" s="34"/>
      <c r="AL919" s="34"/>
      <c r="AM919" s="34"/>
      <c r="AN919" s="34"/>
      <c r="AO919" s="34"/>
      <c r="AP919" s="34"/>
      <c r="AQ919" s="34"/>
      <c r="AR919" s="34"/>
      <c r="AS919" s="34"/>
      <c r="AT919" s="34"/>
      <c r="AU919" s="34"/>
      <c r="AV919" s="34"/>
      <c r="AW919" s="34"/>
      <c r="AX919" s="34"/>
      <c r="AY919" s="34"/>
      <c r="AZ919" s="34"/>
      <c r="BA919" s="34"/>
      <c r="BB919" s="34"/>
      <c r="BD919" s="34"/>
      <c r="BE919" s="34"/>
      <c r="BF919" s="34"/>
      <c r="BG919" s="34"/>
      <c r="BH919" s="34"/>
      <c r="BI919" s="34"/>
      <c r="BJ919" s="34"/>
      <c r="BK919" s="34"/>
      <c r="BL919" s="34"/>
      <c r="BM919" s="34"/>
      <c r="BN919" s="34"/>
      <c r="BO919" s="34"/>
      <c r="BP919" s="34"/>
      <c r="BQ919" s="34"/>
      <c r="BR919" s="34"/>
      <c r="BS919" s="34"/>
      <c r="BT919" s="34"/>
      <c r="BU919" s="34"/>
      <c r="BV919" s="34"/>
      <c r="BW919" s="34"/>
      <c r="BX919" s="34"/>
      <c r="BY919" s="34"/>
    </row>
    <row r="920" spans="1:77" x14ac:dyDescent="0.3">
      <c r="A920" s="39"/>
      <c r="B920" s="42"/>
      <c r="C920" s="42"/>
      <c r="D920" s="75"/>
      <c r="E920" s="75"/>
      <c r="F920" s="76"/>
      <c r="G920" s="47"/>
      <c r="H920" s="47"/>
      <c r="I920" s="75"/>
      <c r="J920" s="76"/>
      <c r="K920" s="76"/>
      <c r="L920" s="75"/>
      <c r="M920" s="49"/>
      <c r="N920" s="76"/>
      <c r="O920" s="49"/>
      <c r="P920" s="77"/>
      <c r="Q920" s="53"/>
      <c r="R920" s="54"/>
      <c r="S920" s="55"/>
      <c r="T920" s="56"/>
      <c r="U920" s="56"/>
      <c r="V920" s="42"/>
      <c r="W920" s="57"/>
      <c r="X920" s="58"/>
      <c r="Y920" s="75"/>
      <c r="Z920" s="59"/>
      <c r="AA920" s="61"/>
      <c r="AB920" s="61"/>
      <c r="AC920" s="61"/>
      <c r="AD920" s="62"/>
      <c r="AE920" s="62"/>
      <c r="AF920" s="34"/>
      <c r="AG920" s="34"/>
      <c r="AH920" s="34"/>
      <c r="AI920" s="34"/>
      <c r="AJ920" s="34"/>
      <c r="AK920" s="34"/>
      <c r="AL920" s="34"/>
      <c r="AM920" s="34"/>
      <c r="AN920" s="34"/>
      <c r="AO920" s="34"/>
      <c r="AP920" s="34"/>
      <c r="AQ920" s="34"/>
      <c r="AR920" s="34"/>
      <c r="AS920" s="34"/>
      <c r="AT920" s="34"/>
      <c r="AU920" s="34"/>
      <c r="AV920" s="34"/>
      <c r="AW920" s="34"/>
      <c r="AX920" s="34"/>
      <c r="AY920" s="34"/>
      <c r="AZ920" s="34"/>
      <c r="BA920" s="34"/>
      <c r="BB920" s="34"/>
      <c r="BD920" s="34"/>
      <c r="BE920" s="34"/>
      <c r="BF920" s="34"/>
      <c r="BG920" s="34"/>
      <c r="BH920" s="34"/>
      <c r="BI920" s="34"/>
      <c r="BJ920" s="34"/>
      <c r="BK920" s="34"/>
      <c r="BL920" s="34"/>
      <c r="BM920" s="34"/>
      <c r="BN920" s="34"/>
      <c r="BO920" s="34"/>
      <c r="BP920" s="34"/>
      <c r="BQ920" s="34"/>
      <c r="BR920" s="34"/>
      <c r="BS920" s="34"/>
      <c r="BT920" s="34"/>
      <c r="BU920" s="34"/>
      <c r="BV920" s="34"/>
      <c r="BW920" s="34"/>
      <c r="BX920" s="34"/>
      <c r="BY920" s="34"/>
    </row>
    <row r="921" spans="1:77" x14ac:dyDescent="0.3">
      <c r="A921" s="39"/>
      <c r="B921" s="42"/>
      <c r="C921" s="42"/>
      <c r="D921" s="75"/>
      <c r="E921" s="75"/>
      <c r="F921" s="76"/>
      <c r="G921" s="47"/>
      <c r="H921" s="47"/>
      <c r="I921" s="75"/>
      <c r="J921" s="76"/>
      <c r="K921" s="76"/>
      <c r="L921" s="75"/>
      <c r="M921" s="49"/>
      <c r="N921" s="76"/>
      <c r="O921" s="49"/>
      <c r="P921" s="77"/>
      <c r="Q921" s="53"/>
      <c r="R921" s="54"/>
      <c r="S921" s="55"/>
      <c r="T921" s="56"/>
      <c r="U921" s="56"/>
      <c r="V921" s="42"/>
      <c r="W921" s="57"/>
      <c r="X921" s="58"/>
      <c r="Y921" s="75"/>
      <c r="Z921" s="59"/>
      <c r="AA921" s="61"/>
      <c r="AB921" s="61"/>
      <c r="AC921" s="61"/>
      <c r="AD921" s="62"/>
      <c r="AE921" s="62"/>
      <c r="AF921" s="34"/>
      <c r="AG921" s="34"/>
      <c r="AH921" s="34"/>
      <c r="AI921" s="34"/>
      <c r="AJ921" s="34"/>
      <c r="AK921" s="34"/>
      <c r="AL921" s="34"/>
      <c r="AM921" s="34"/>
      <c r="AN921" s="34"/>
      <c r="AO921" s="34"/>
      <c r="AP921" s="34"/>
      <c r="AQ921" s="34"/>
      <c r="AR921" s="34"/>
      <c r="AS921" s="34"/>
      <c r="AT921" s="34"/>
      <c r="AU921" s="34"/>
      <c r="AV921" s="34"/>
      <c r="AW921" s="34"/>
      <c r="AX921" s="34"/>
      <c r="AY921" s="34"/>
      <c r="AZ921" s="34"/>
      <c r="BA921" s="34"/>
      <c r="BB921" s="34"/>
      <c r="BD921" s="34"/>
      <c r="BE921" s="34"/>
      <c r="BF921" s="34"/>
      <c r="BG921" s="34"/>
      <c r="BH921" s="34"/>
      <c r="BI921" s="34"/>
      <c r="BJ921" s="34"/>
      <c r="BK921" s="34"/>
      <c r="BL921" s="34"/>
      <c r="BM921" s="34"/>
      <c r="BN921" s="34"/>
      <c r="BO921" s="34"/>
      <c r="BP921" s="34"/>
      <c r="BQ921" s="34"/>
      <c r="BR921" s="34"/>
      <c r="BS921" s="34"/>
      <c r="BT921" s="34"/>
      <c r="BU921" s="34"/>
      <c r="BV921" s="34"/>
      <c r="BW921" s="34"/>
      <c r="BX921" s="34"/>
      <c r="BY921" s="34"/>
    </row>
    <row r="922" spans="1:77" x14ac:dyDescent="0.3">
      <c r="A922" s="39"/>
      <c r="B922" s="42"/>
      <c r="C922" s="42"/>
      <c r="D922" s="75"/>
      <c r="E922" s="75"/>
      <c r="F922" s="76"/>
      <c r="G922" s="47"/>
      <c r="H922" s="47"/>
      <c r="I922" s="75"/>
      <c r="J922" s="76"/>
      <c r="K922" s="76"/>
      <c r="L922" s="75"/>
      <c r="M922" s="49"/>
      <c r="N922" s="76"/>
      <c r="O922" s="49"/>
      <c r="P922" s="77"/>
      <c r="Q922" s="53"/>
      <c r="R922" s="54"/>
      <c r="S922" s="55"/>
      <c r="T922" s="56"/>
      <c r="U922" s="56"/>
      <c r="V922" s="42"/>
      <c r="W922" s="57"/>
      <c r="X922" s="58"/>
      <c r="Y922" s="75"/>
      <c r="Z922" s="59"/>
      <c r="AA922" s="61"/>
      <c r="AB922" s="61"/>
      <c r="AC922" s="61"/>
      <c r="AD922" s="62"/>
      <c r="AE922" s="62"/>
      <c r="AF922" s="34"/>
      <c r="AG922" s="34"/>
      <c r="AH922" s="34"/>
      <c r="AI922" s="34"/>
      <c r="AJ922" s="34"/>
      <c r="AK922" s="34"/>
      <c r="AL922" s="34"/>
      <c r="AM922" s="34"/>
      <c r="AN922" s="34"/>
      <c r="AO922" s="34"/>
      <c r="AP922" s="34"/>
      <c r="AQ922" s="34"/>
      <c r="AR922" s="34"/>
      <c r="AS922" s="34"/>
      <c r="AT922" s="34"/>
      <c r="AU922" s="34"/>
      <c r="AV922" s="34"/>
      <c r="AW922" s="34"/>
      <c r="AX922" s="34"/>
      <c r="AY922" s="34"/>
      <c r="AZ922" s="34"/>
      <c r="BA922" s="34"/>
      <c r="BB922" s="34"/>
      <c r="BD922" s="34"/>
      <c r="BE922" s="34"/>
      <c r="BF922" s="34"/>
      <c r="BG922" s="34"/>
      <c r="BH922" s="34"/>
      <c r="BI922" s="34"/>
      <c r="BJ922" s="34"/>
      <c r="BK922" s="34"/>
      <c r="BL922" s="34"/>
      <c r="BM922" s="34"/>
      <c r="BN922" s="34"/>
      <c r="BO922" s="34"/>
      <c r="BP922" s="34"/>
      <c r="BQ922" s="34"/>
      <c r="BR922" s="34"/>
      <c r="BS922" s="34"/>
      <c r="BT922" s="34"/>
      <c r="BU922" s="34"/>
      <c r="BV922" s="34"/>
      <c r="BW922" s="34"/>
      <c r="BX922" s="34"/>
      <c r="BY922" s="34"/>
    </row>
    <row r="923" spans="1:77" x14ac:dyDescent="0.3">
      <c r="A923" s="39"/>
      <c r="B923" s="42"/>
      <c r="C923" s="42"/>
      <c r="D923" s="75"/>
      <c r="E923" s="75"/>
      <c r="F923" s="76"/>
      <c r="G923" s="47"/>
      <c r="H923" s="47"/>
      <c r="I923" s="75"/>
      <c r="J923" s="76"/>
      <c r="K923" s="76"/>
      <c r="L923" s="75"/>
      <c r="M923" s="49"/>
      <c r="N923" s="76"/>
      <c r="O923" s="49"/>
      <c r="P923" s="77"/>
      <c r="Q923" s="53"/>
      <c r="R923" s="54"/>
      <c r="S923" s="55"/>
      <c r="T923" s="56"/>
      <c r="U923" s="56"/>
      <c r="V923" s="42"/>
      <c r="W923" s="57"/>
      <c r="X923" s="58"/>
      <c r="Y923" s="75"/>
      <c r="Z923" s="59"/>
      <c r="AA923" s="61"/>
      <c r="AB923" s="61"/>
      <c r="AC923" s="61"/>
      <c r="AD923" s="62"/>
      <c r="AE923" s="62"/>
      <c r="AF923" s="34"/>
      <c r="AG923" s="34"/>
      <c r="AH923" s="34"/>
      <c r="AI923" s="34"/>
      <c r="AJ923" s="34"/>
      <c r="AK923" s="34"/>
      <c r="AL923" s="34"/>
      <c r="AM923" s="34"/>
      <c r="AN923" s="34"/>
      <c r="AO923" s="34"/>
      <c r="AP923" s="34"/>
      <c r="AQ923" s="34"/>
      <c r="AR923" s="34"/>
      <c r="AS923" s="34"/>
      <c r="AT923" s="34"/>
      <c r="AU923" s="34"/>
      <c r="AV923" s="34"/>
      <c r="AW923" s="34"/>
      <c r="AX923" s="34"/>
      <c r="AY923" s="34"/>
      <c r="AZ923" s="34"/>
      <c r="BA923" s="34"/>
      <c r="BB923" s="34"/>
      <c r="BD923" s="34"/>
      <c r="BE923" s="34"/>
      <c r="BF923" s="34"/>
      <c r="BG923" s="34"/>
      <c r="BH923" s="34"/>
      <c r="BI923" s="34"/>
      <c r="BJ923" s="34"/>
      <c r="BK923" s="34"/>
      <c r="BL923" s="34"/>
      <c r="BM923" s="34"/>
      <c r="BN923" s="34"/>
      <c r="BO923" s="34"/>
      <c r="BP923" s="34"/>
      <c r="BQ923" s="34"/>
      <c r="BR923" s="34"/>
      <c r="BS923" s="34"/>
      <c r="BT923" s="34"/>
      <c r="BU923" s="34"/>
      <c r="BV923" s="34"/>
      <c r="BW923" s="34"/>
      <c r="BX923" s="34"/>
      <c r="BY923" s="34"/>
    </row>
    <row r="924" spans="1:77" x14ac:dyDescent="0.3">
      <c r="A924" s="39"/>
      <c r="B924" s="42"/>
      <c r="C924" s="42"/>
      <c r="D924" s="75"/>
      <c r="E924" s="75"/>
      <c r="F924" s="76"/>
      <c r="G924" s="47"/>
      <c r="H924" s="47"/>
      <c r="I924" s="75"/>
      <c r="J924" s="76"/>
      <c r="K924" s="76"/>
      <c r="L924" s="75"/>
      <c r="M924" s="49"/>
      <c r="N924" s="76"/>
      <c r="O924" s="49"/>
      <c r="P924" s="77"/>
      <c r="Q924" s="53"/>
      <c r="R924" s="54"/>
      <c r="S924" s="55"/>
      <c r="T924" s="56"/>
      <c r="U924" s="56"/>
      <c r="V924" s="42"/>
      <c r="W924" s="57"/>
      <c r="X924" s="58"/>
      <c r="Y924" s="75"/>
      <c r="Z924" s="59"/>
      <c r="AA924" s="61"/>
      <c r="AB924" s="61"/>
      <c r="AC924" s="61"/>
      <c r="AD924" s="62"/>
      <c r="AE924" s="62"/>
      <c r="AF924" s="34"/>
      <c r="AG924" s="34"/>
      <c r="AH924" s="34"/>
      <c r="AI924" s="34"/>
      <c r="AJ924" s="34"/>
      <c r="AK924" s="34"/>
      <c r="AL924" s="34"/>
      <c r="AM924" s="34"/>
      <c r="AN924" s="34"/>
      <c r="AO924" s="34"/>
      <c r="AP924" s="34"/>
      <c r="AQ924" s="34"/>
      <c r="AR924" s="34"/>
      <c r="AS924" s="34"/>
      <c r="AT924" s="34"/>
      <c r="AU924" s="34"/>
      <c r="AV924" s="34"/>
      <c r="AW924" s="34"/>
      <c r="AX924" s="34"/>
      <c r="AY924" s="34"/>
      <c r="AZ924" s="34"/>
      <c r="BA924" s="34"/>
      <c r="BB924" s="34"/>
      <c r="BD924" s="34"/>
      <c r="BE924" s="34"/>
      <c r="BF924" s="34"/>
      <c r="BG924" s="34"/>
      <c r="BH924" s="34"/>
      <c r="BI924" s="34"/>
      <c r="BJ924" s="34"/>
      <c r="BK924" s="34"/>
      <c r="BL924" s="34"/>
      <c r="BM924" s="34"/>
      <c r="BN924" s="34"/>
      <c r="BO924" s="34"/>
      <c r="BP924" s="34"/>
      <c r="BQ924" s="34"/>
      <c r="BR924" s="34"/>
      <c r="BS924" s="34"/>
      <c r="BT924" s="34"/>
      <c r="BU924" s="34"/>
      <c r="BV924" s="34"/>
      <c r="BW924" s="34"/>
      <c r="BX924" s="34"/>
      <c r="BY924" s="34"/>
    </row>
    <row r="925" spans="1:77" x14ac:dyDescent="0.3">
      <c r="A925" s="39"/>
      <c r="B925" s="42"/>
      <c r="C925" s="42"/>
      <c r="D925" s="75"/>
      <c r="E925" s="75"/>
      <c r="F925" s="76"/>
      <c r="G925" s="47"/>
      <c r="H925" s="47"/>
      <c r="I925" s="75"/>
      <c r="J925" s="76"/>
      <c r="K925" s="76"/>
      <c r="L925" s="75"/>
      <c r="M925" s="49"/>
      <c r="N925" s="76"/>
      <c r="O925" s="49"/>
      <c r="P925" s="77"/>
      <c r="Q925" s="53"/>
      <c r="R925" s="54"/>
      <c r="S925" s="55"/>
      <c r="T925" s="56"/>
      <c r="U925" s="56"/>
      <c r="V925" s="42"/>
      <c r="W925" s="57"/>
      <c r="X925" s="58"/>
      <c r="Y925" s="75"/>
      <c r="Z925" s="59"/>
      <c r="AA925" s="61"/>
      <c r="AB925" s="61"/>
      <c r="AC925" s="61"/>
      <c r="AD925" s="62"/>
      <c r="AE925" s="62"/>
      <c r="AF925" s="34"/>
      <c r="AG925" s="34"/>
      <c r="AH925" s="34"/>
      <c r="AI925" s="34"/>
      <c r="AJ925" s="34"/>
      <c r="AK925" s="34"/>
      <c r="AL925" s="34"/>
      <c r="AM925" s="34"/>
      <c r="AN925" s="34"/>
      <c r="AO925" s="34"/>
      <c r="AP925" s="34"/>
      <c r="AQ925" s="34"/>
      <c r="AR925" s="34"/>
      <c r="AS925" s="34"/>
      <c r="AT925" s="34"/>
      <c r="AU925" s="34"/>
      <c r="AV925" s="34"/>
      <c r="AW925" s="34"/>
      <c r="AX925" s="34"/>
      <c r="AY925" s="34"/>
      <c r="AZ925" s="34"/>
      <c r="BA925" s="34"/>
      <c r="BB925" s="34"/>
      <c r="BD925" s="34"/>
      <c r="BE925" s="34"/>
      <c r="BF925" s="34"/>
      <c r="BG925" s="34"/>
      <c r="BH925" s="34"/>
      <c r="BI925" s="34"/>
      <c r="BJ925" s="34"/>
      <c r="BK925" s="34"/>
      <c r="BL925" s="34"/>
      <c r="BM925" s="34"/>
      <c r="BN925" s="34"/>
      <c r="BO925" s="34"/>
      <c r="BP925" s="34"/>
      <c r="BQ925" s="34"/>
      <c r="BR925" s="34"/>
      <c r="BS925" s="34"/>
      <c r="BT925" s="34"/>
      <c r="BU925" s="34"/>
      <c r="BV925" s="34"/>
      <c r="BW925" s="34"/>
      <c r="BX925" s="34"/>
      <c r="BY925" s="34"/>
    </row>
    <row r="926" spans="1:77" x14ac:dyDescent="0.3">
      <c r="A926" s="39"/>
      <c r="B926" s="42"/>
      <c r="C926" s="42"/>
      <c r="D926" s="75"/>
      <c r="E926" s="75"/>
      <c r="F926" s="76"/>
      <c r="G926" s="47"/>
      <c r="H926" s="47"/>
      <c r="I926" s="75"/>
      <c r="J926" s="76"/>
      <c r="K926" s="76"/>
      <c r="L926" s="75"/>
      <c r="M926" s="49"/>
      <c r="N926" s="76"/>
      <c r="O926" s="49"/>
      <c r="P926" s="77"/>
      <c r="Q926" s="53"/>
      <c r="R926" s="54"/>
      <c r="S926" s="55"/>
      <c r="T926" s="56"/>
      <c r="U926" s="56"/>
      <c r="V926" s="42"/>
      <c r="W926" s="57"/>
      <c r="X926" s="58"/>
      <c r="Y926" s="75"/>
      <c r="Z926" s="59"/>
      <c r="AA926" s="61"/>
      <c r="AB926" s="61"/>
      <c r="AC926" s="61"/>
      <c r="AD926" s="62"/>
      <c r="AE926" s="62"/>
      <c r="AF926" s="34"/>
      <c r="AG926" s="34"/>
      <c r="AH926" s="34"/>
      <c r="AI926" s="34"/>
      <c r="AJ926" s="34"/>
      <c r="AK926" s="34"/>
      <c r="AL926" s="34"/>
      <c r="AM926" s="34"/>
      <c r="AN926" s="34"/>
      <c r="AO926" s="34"/>
      <c r="AP926" s="34"/>
      <c r="AQ926" s="34"/>
      <c r="AR926" s="34"/>
      <c r="AS926" s="34"/>
      <c r="AT926" s="34"/>
      <c r="AU926" s="34"/>
      <c r="AV926" s="34"/>
      <c r="AW926" s="34"/>
      <c r="AX926" s="34"/>
      <c r="AY926" s="34"/>
      <c r="AZ926" s="34"/>
      <c r="BA926" s="34"/>
      <c r="BB926" s="34"/>
      <c r="BD926" s="34"/>
      <c r="BE926" s="34"/>
      <c r="BF926" s="34"/>
      <c r="BG926" s="34"/>
      <c r="BH926" s="34"/>
      <c r="BI926" s="34"/>
      <c r="BJ926" s="34"/>
      <c r="BK926" s="34"/>
      <c r="BL926" s="34"/>
      <c r="BM926" s="34"/>
      <c r="BN926" s="34"/>
      <c r="BO926" s="34"/>
      <c r="BP926" s="34"/>
      <c r="BQ926" s="34"/>
      <c r="BR926" s="34"/>
      <c r="BS926" s="34"/>
      <c r="BT926" s="34"/>
      <c r="BU926" s="34"/>
      <c r="BV926" s="34"/>
      <c r="BW926" s="34"/>
      <c r="BX926" s="34"/>
      <c r="BY926" s="34"/>
    </row>
    <row r="927" spans="1:77" x14ac:dyDescent="0.3">
      <c r="A927" s="39"/>
      <c r="B927" s="42"/>
      <c r="C927" s="42"/>
      <c r="D927" s="75"/>
      <c r="E927" s="75"/>
      <c r="F927" s="76"/>
      <c r="G927" s="47"/>
      <c r="H927" s="47"/>
      <c r="I927" s="75"/>
      <c r="J927" s="76"/>
      <c r="K927" s="76"/>
      <c r="L927" s="75"/>
      <c r="M927" s="49"/>
      <c r="N927" s="76"/>
      <c r="O927" s="49"/>
      <c r="P927" s="77"/>
      <c r="Q927" s="53"/>
      <c r="R927" s="54"/>
      <c r="S927" s="55"/>
      <c r="T927" s="56"/>
      <c r="U927" s="56"/>
      <c r="V927" s="42"/>
      <c r="W927" s="57"/>
      <c r="X927" s="58"/>
      <c r="Y927" s="75"/>
      <c r="Z927" s="59"/>
      <c r="AA927" s="61"/>
      <c r="AB927" s="61"/>
      <c r="AC927" s="61"/>
      <c r="AD927" s="62"/>
      <c r="AE927" s="62"/>
      <c r="AF927" s="34"/>
      <c r="AG927" s="34"/>
      <c r="AH927" s="34"/>
      <c r="AI927" s="34"/>
      <c r="AJ927" s="34"/>
      <c r="AK927" s="34"/>
      <c r="AL927" s="34"/>
      <c r="AM927" s="34"/>
      <c r="AN927" s="34"/>
      <c r="AO927" s="34"/>
      <c r="AP927" s="34"/>
      <c r="AQ927" s="34"/>
      <c r="AR927" s="34"/>
      <c r="AS927" s="34"/>
      <c r="AT927" s="34"/>
      <c r="AU927" s="34"/>
      <c r="AV927" s="34"/>
      <c r="AW927" s="34"/>
      <c r="AX927" s="34"/>
      <c r="AY927" s="34"/>
      <c r="AZ927" s="34"/>
      <c r="BA927" s="34"/>
      <c r="BB927" s="34"/>
      <c r="BD927" s="34"/>
      <c r="BE927" s="34"/>
      <c r="BF927" s="34"/>
      <c r="BG927" s="34"/>
      <c r="BH927" s="34"/>
      <c r="BI927" s="34"/>
      <c r="BJ927" s="34"/>
      <c r="BK927" s="34"/>
      <c r="BL927" s="34"/>
      <c r="BM927" s="34"/>
      <c r="BN927" s="34"/>
      <c r="BO927" s="34"/>
      <c r="BP927" s="34"/>
      <c r="BQ927" s="34"/>
      <c r="BR927" s="34"/>
      <c r="BS927" s="34"/>
      <c r="BT927" s="34"/>
      <c r="BU927" s="34"/>
      <c r="BV927" s="34"/>
      <c r="BW927" s="34"/>
      <c r="BX927" s="34"/>
      <c r="BY927" s="34"/>
    </row>
    <row r="928" spans="1:77" x14ac:dyDescent="0.3">
      <c r="A928" s="39"/>
      <c r="B928" s="42"/>
      <c r="C928" s="42"/>
      <c r="D928" s="75"/>
      <c r="E928" s="75"/>
      <c r="F928" s="76"/>
      <c r="G928" s="47"/>
      <c r="H928" s="47"/>
      <c r="I928" s="75"/>
      <c r="J928" s="76"/>
      <c r="K928" s="76"/>
      <c r="L928" s="75"/>
      <c r="M928" s="49"/>
      <c r="N928" s="76"/>
      <c r="O928" s="49"/>
      <c r="P928" s="77"/>
      <c r="Q928" s="53"/>
      <c r="R928" s="54"/>
      <c r="S928" s="55"/>
      <c r="T928" s="56"/>
      <c r="U928" s="56"/>
      <c r="V928" s="42"/>
      <c r="W928" s="57"/>
      <c r="X928" s="58"/>
      <c r="Y928" s="75"/>
      <c r="Z928" s="59"/>
      <c r="AA928" s="61"/>
      <c r="AB928" s="61"/>
      <c r="AC928" s="61"/>
      <c r="AD928" s="62"/>
      <c r="AE928" s="62"/>
      <c r="AF928" s="34"/>
      <c r="AG928" s="34"/>
      <c r="AH928" s="34"/>
      <c r="AI928" s="34"/>
      <c r="AJ928" s="34"/>
      <c r="AK928" s="34"/>
      <c r="AL928" s="34"/>
      <c r="AM928" s="34"/>
      <c r="AN928" s="34"/>
      <c r="AO928" s="34"/>
      <c r="AP928" s="34"/>
      <c r="AQ928" s="34"/>
      <c r="AR928" s="34"/>
      <c r="AS928" s="34"/>
      <c r="AT928" s="34"/>
      <c r="AU928" s="34"/>
      <c r="AV928" s="34"/>
      <c r="AW928" s="34"/>
      <c r="AX928" s="34"/>
      <c r="AY928" s="34"/>
      <c r="AZ928" s="34"/>
      <c r="BA928" s="34"/>
      <c r="BB928" s="34"/>
      <c r="BD928" s="34"/>
      <c r="BE928" s="34"/>
      <c r="BF928" s="34"/>
      <c r="BG928" s="34"/>
      <c r="BH928" s="34"/>
      <c r="BI928" s="34"/>
      <c r="BJ928" s="34"/>
      <c r="BK928" s="34"/>
      <c r="BL928" s="34"/>
      <c r="BM928" s="34"/>
      <c r="BN928" s="34"/>
      <c r="BO928" s="34"/>
      <c r="BP928" s="34"/>
      <c r="BQ928" s="34"/>
      <c r="BR928" s="34"/>
      <c r="BS928" s="34"/>
      <c r="BT928" s="34"/>
      <c r="BU928" s="34"/>
      <c r="BV928" s="34"/>
      <c r="BW928" s="34"/>
      <c r="BX928" s="34"/>
      <c r="BY928" s="34"/>
    </row>
    <row r="929" spans="1:77" x14ac:dyDescent="0.3">
      <c r="A929" s="39"/>
      <c r="B929" s="42"/>
      <c r="C929" s="42"/>
      <c r="D929" s="75"/>
      <c r="E929" s="75"/>
      <c r="F929" s="76"/>
      <c r="G929" s="47"/>
      <c r="H929" s="47"/>
      <c r="I929" s="75"/>
      <c r="J929" s="76"/>
      <c r="K929" s="76"/>
      <c r="L929" s="75"/>
      <c r="M929" s="49"/>
      <c r="N929" s="76"/>
      <c r="O929" s="49"/>
      <c r="P929" s="77"/>
      <c r="Q929" s="53"/>
      <c r="R929" s="54"/>
      <c r="S929" s="55"/>
      <c r="T929" s="56"/>
      <c r="U929" s="56"/>
      <c r="V929" s="42"/>
      <c r="W929" s="57"/>
      <c r="X929" s="58"/>
      <c r="Y929" s="75"/>
      <c r="Z929" s="59"/>
      <c r="AA929" s="61"/>
      <c r="AB929" s="61"/>
      <c r="AC929" s="61"/>
      <c r="AD929" s="62"/>
      <c r="AE929" s="62"/>
      <c r="AF929" s="34"/>
      <c r="AG929" s="34"/>
      <c r="AH929" s="34"/>
      <c r="AI929" s="34"/>
      <c r="AJ929" s="34"/>
      <c r="AK929" s="34"/>
      <c r="AL929" s="34"/>
      <c r="AM929" s="34"/>
      <c r="AN929" s="34"/>
      <c r="AO929" s="34"/>
      <c r="AP929" s="34"/>
      <c r="AQ929" s="34"/>
      <c r="AR929" s="34"/>
      <c r="AS929" s="34"/>
      <c r="AT929" s="34"/>
      <c r="AU929" s="34"/>
      <c r="AV929" s="34"/>
      <c r="AW929" s="34"/>
      <c r="AX929" s="34"/>
      <c r="AY929" s="34"/>
      <c r="AZ929" s="34"/>
      <c r="BA929" s="34"/>
      <c r="BB929" s="34"/>
      <c r="BD929" s="34"/>
      <c r="BE929" s="34"/>
      <c r="BF929" s="34"/>
      <c r="BG929" s="34"/>
      <c r="BH929" s="34"/>
      <c r="BI929" s="34"/>
      <c r="BJ929" s="34"/>
      <c r="BK929" s="34"/>
      <c r="BL929" s="34"/>
      <c r="BM929" s="34"/>
      <c r="BN929" s="34"/>
      <c r="BO929" s="34"/>
      <c r="BP929" s="34"/>
      <c r="BQ929" s="34"/>
      <c r="BR929" s="34"/>
      <c r="BS929" s="34"/>
      <c r="BT929" s="34"/>
      <c r="BU929" s="34"/>
      <c r="BV929" s="34"/>
      <c r="BW929" s="34"/>
      <c r="BX929" s="34"/>
      <c r="BY929" s="34"/>
    </row>
    <row r="930" spans="1:77" x14ac:dyDescent="0.3">
      <c r="A930" s="39"/>
      <c r="B930" s="42"/>
      <c r="C930" s="42"/>
      <c r="D930" s="75"/>
      <c r="E930" s="75"/>
      <c r="F930" s="76"/>
      <c r="G930" s="47"/>
      <c r="H930" s="47"/>
      <c r="I930" s="75"/>
      <c r="J930" s="76"/>
      <c r="K930" s="76"/>
      <c r="L930" s="75"/>
      <c r="M930" s="49"/>
      <c r="N930" s="76"/>
      <c r="O930" s="49"/>
      <c r="P930" s="77"/>
      <c r="Q930" s="53"/>
      <c r="R930" s="54"/>
      <c r="S930" s="55"/>
      <c r="T930" s="56"/>
      <c r="U930" s="56"/>
      <c r="V930" s="42"/>
      <c r="W930" s="57"/>
      <c r="X930" s="58"/>
      <c r="Y930" s="75"/>
      <c r="Z930" s="59"/>
      <c r="AA930" s="61"/>
      <c r="AB930" s="61"/>
      <c r="AC930" s="61"/>
      <c r="AD930" s="62"/>
      <c r="AE930" s="62"/>
      <c r="AF930" s="34"/>
      <c r="AG930" s="34"/>
      <c r="AH930" s="34"/>
      <c r="AI930" s="34"/>
      <c r="AJ930" s="34"/>
      <c r="AK930" s="34"/>
      <c r="AL930" s="34"/>
      <c r="AM930" s="34"/>
      <c r="AN930" s="34"/>
      <c r="AO930" s="34"/>
      <c r="AP930" s="34"/>
      <c r="AQ930" s="34"/>
      <c r="AR930" s="34"/>
      <c r="AS930" s="34"/>
      <c r="AT930" s="34"/>
      <c r="AU930" s="34"/>
      <c r="AV930" s="34"/>
      <c r="AW930" s="34"/>
      <c r="AX930" s="34"/>
      <c r="AY930" s="34"/>
      <c r="AZ930" s="34"/>
      <c r="BA930" s="34"/>
      <c r="BB930" s="34"/>
      <c r="BD930" s="34"/>
      <c r="BE930" s="34"/>
      <c r="BF930" s="34"/>
      <c r="BG930" s="34"/>
      <c r="BH930" s="34"/>
      <c r="BI930" s="34"/>
      <c r="BJ930" s="34"/>
      <c r="BK930" s="34"/>
      <c r="BL930" s="34"/>
      <c r="BM930" s="34"/>
      <c r="BN930" s="34"/>
      <c r="BO930" s="34"/>
      <c r="BP930" s="34"/>
      <c r="BQ930" s="34"/>
      <c r="BR930" s="34"/>
      <c r="BS930" s="34"/>
      <c r="BT930" s="34"/>
      <c r="BU930" s="34"/>
      <c r="BV930" s="34"/>
      <c r="BW930" s="34"/>
      <c r="BX930" s="34"/>
      <c r="BY930" s="34"/>
    </row>
    <row r="931" spans="1:77" x14ac:dyDescent="0.3">
      <c r="A931" s="39"/>
      <c r="B931" s="42"/>
      <c r="C931" s="42"/>
      <c r="D931" s="75"/>
      <c r="E931" s="75"/>
      <c r="F931" s="76"/>
      <c r="G931" s="47"/>
      <c r="H931" s="47"/>
      <c r="I931" s="75"/>
      <c r="J931" s="76"/>
      <c r="K931" s="76"/>
      <c r="L931" s="75"/>
      <c r="M931" s="49"/>
      <c r="N931" s="76"/>
      <c r="O931" s="49"/>
      <c r="P931" s="77"/>
      <c r="Q931" s="53"/>
      <c r="R931" s="54"/>
      <c r="S931" s="55"/>
      <c r="T931" s="56"/>
      <c r="U931" s="56"/>
      <c r="V931" s="42"/>
      <c r="W931" s="57"/>
      <c r="X931" s="58"/>
      <c r="Y931" s="75"/>
      <c r="Z931" s="59"/>
      <c r="AA931" s="61"/>
      <c r="AB931" s="61"/>
      <c r="AC931" s="61"/>
      <c r="AD931" s="62"/>
      <c r="AE931" s="62"/>
      <c r="AF931" s="34"/>
      <c r="AG931" s="34"/>
      <c r="AH931" s="34"/>
      <c r="AI931" s="34"/>
      <c r="AJ931" s="34"/>
      <c r="AK931" s="34"/>
      <c r="AL931" s="34"/>
      <c r="AM931" s="34"/>
      <c r="AN931" s="34"/>
      <c r="AO931" s="34"/>
      <c r="AP931" s="34"/>
      <c r="AQ931" s="34"/>
      <c r="AR931" s="34"/>
      <c r="AS931" s="34"/>
      <c r="AT931" s="34"/>
      <c r="AU931" s="34"/>
      <c r="AV931" s="34"/>
      <c r="AW931" s="34"/>
      <c r="AX931" s="34"/>
      <c r="AY931" s="34"/>
      <c r="AZ931" s="34"/>
      <c r="BA931" s="34"/>
      <c r="BB931" s="34"/>
      <c r="BD931" s="34"/>
      <c r="BE931" s="34"/>
      <c r="BF931" s="34"/>
      <c r="BG931" s="34"/>
      <c r="BH931" s="34"/>
      <c r="BI931" s="34"/>
      <c r="BJ931" s="34"/>
      <c r="BK931" s="34"/>
      <c r="BL931" s="34"/>
      <c r="BM931" s="34"/>
      <c r="BN931" s="34"/>
      <c r="BO931" s="34"/>
      <c r="BP931" s="34"/>
      <c r="BQ931" s="34"/>
      <c r="BR931" s="34"/>
      <c r="BS931" s="34"/>
      <c r="BT931" s="34"/>
      <c r="BU931" s="34"/>
      <c r="BV931" s="34"/>
      <c r="BW931" s="34"/>
      <c r="BX931" s="34"/>
      <c r="BY931" s="34"/>
    </row>
    <row r="932" spans="1:77" x14ac:dyDescent="0.3">
      <c r="A932" s="39"/>
      <c r="B932" s="42"/>
      <c r="C932" s="42"/>
      <c r="D932" s="75"/>
      <c r="E932" s="75"/>
      <c r="F932" s="76"/>
      <c r="G932" s="47"/>
      <c r="H932" s="47"/>
      <c r="I932" s="75"/>
      <c r="J932" s="76"/>
      <c r="K932" s="76"/>
      <c r="L932" s="75"/>
      <c r="M932" s="49"/>
      <c r="N932" s="76"/>
      <c r="O932" s="49"/>
      <c r="P932" s="77"/>
      <c r="Q932" s="53"/>
      <c r="R932" s="54"/>
      <c r="S932" s="55"/>
      <c r="T932" s="56"/>
      <c r="U932" s="56"/>
      <c r="V932" s="42"/>
      <c r="W932" s="57"/>
      <c r="X932" s="58"/>
      <c r="Y932" s="75"/>
      <c r="Z932" s="59"/>
      <c r="AA932" s="61"/>
      <c r="AB932" s="61"/>
      <c r="AC932" s="61"/>
      <c r="AD932" s="62"/>
      <c r="AE932" s="62"/>
      <c r="AF932" s="34"/>
      <c r="AG932" s="34"/>
      <c r="AH932" s="34"/>
      <c r="AI932" s="34"/>
      <c r="AJ932" s="34"/>
      <c r="AK932" s="34"/>
      <c r="AL932" s="34"/>
      <c r="AM932" s="34"/>
      <c r="AN932" s="34"/>
      <c r="AO932" s="34"/>
      <c r="AP932" s="34"/>
      <c r="AQ932" s="34"/>
      <c r="AR932" s="34"/>
      <c r="AS932" s="34"/>
      <c r="AT932" s="34"/>
      <c r="AU932" s="34"/>
      <c r="AV932" s="34"/>
      <c r="AW932" s="34"/>
      <c r="AX932" s="34"/>
      <c r="AY932" s="34"/>
      <c r="AZ932" s="34"/>
      <c r="BA932" s="34"/>
      <c r="BB932" s="34"/>
      <c r="BD932" s="34"/>
      <c r="BE932" s="34"/>
      <c r="BF932" s="34"/>
      <c r="BG932" s="34"/>
      <c r="BH932" s="34"/>
      <c r="BI932" s="34"/>
      <c r="BJ932" s="34"/>
      <c r="BK932" s="34"/>
      <c r="BL932" s="34"/>
      <c r="BM932" s="34"/>
      <c r="BN932" s="34"/>
      <c r="BO932" s="34"/>
      <c r="BP932" s="34"/>
      <c r="BQ932" s="34"/>
      <c r="BR932" s="34"/>
      <c r="BS932" s="34"/>
      <c r="BT932" s="34"/>
      <c r="BU932" s="34"/>
      <c r="BV932" s="34"/>
      <c r="BW932" s="34"/>
      <c r="BX932" s="34"/>
      <c r="BY932" s="34"/>
    </row>
    <row r="933" spans="1:77" x14ac:dyDescent="0.3">
      <c r="A933" s="39"/>
      <c r="B933" s="42"/>
      <c r="C933" s="42"/>
      <c r="D933" s="75"/>
      <c r="E933" s="75"/>
      <c r="F933" s="76"/>
      <c r="G933" s="47"/>
      <c r="H933" s="47"/>
      <c r="I933" s="75"/>
      <c r="J933" s="76"/>
      <c r="K933" s="76"/>
      <c r="L933" s="75"/>
      <c r="M933" s="49"/>
      <c r="N933" s="76"/>
      <c r="O933" s="49"/>
      <c r="P933" s="77"/>
      <c r="Q933" s="53"/>
      <c r="R933" s="54"/>
      <c r="S933" s="55"/>
      <c r="T933" s="56"/>
      <c r="U933" s="56"/>
      <c r="V933" s="42"/>
      <c r="W933" s="57"/>
      <c r="X933" s="58"/>
      <c r="Y933" s="75"/>
      <c r="Z933" s="59"/>
      <c r="AA933" s="61"/>
      <c r="AB933" s="61"/>
      <c r="AC933" s="61"/>
      <c r="AD933" s="62"/>
      <c r="AE933" s="62"/>
      <c r="AF933" s="34"/>
      <c r="AG933" s="34"/>
      <c r="AH933" s="34"/>
      <c r="AI933" s="34"/>
      <c r="AJ933" s="34"/>
      <c r="AK933" s="34"/>
      <c r="AL933" s="34"/>
      <c r="AM933" s="34"/>
      <c r="AN933" s="34"/>
      <c r="AO933" s="34"/>
      <c r="AP933" s="34"/>
      <c r="AQ933" s="34"/>
      <c r="AR933" s="34"/>
      <c r="AS933" s="34"/>
      <c r="AT933" s="34"/>
      <c r="AU933" s="34"/>
      <c r="AV933" s="34"/>
      <c r="AW933" s="34"/>
      <c r="AX933" s="34"/>
      <c r="AY933" s="34"/>
      <c r="AZ933" s="34"/>
      <c r="BA933" s="34"/>
      <c r="BB933" s="34"/>
      <c r="BD933" s="34"/>
      <c r="BE933" s="34"/>
      <c r="BF933" s="34"/>
      <c r="BG933" s="34"/>
      <c r="BH933" s="34"/>
      <c r="BI933" s="34"/>
      <c r="BJ933" s="34"/>
      <c r="BK933" s="34"/>
      <c r="BL933" s="34"/>
      <c r="BM933" s="34"/>
      <c r="BN933" s="34"/>
      <c r="BO933" s="34"/>
      <c r="BP933" s="34"/>
      <c r="BQ933" s="34"/>
      <c r="BR933" s="34"/>
      <c r="BS933" s="34"/>
      <c r="BT933" s="34"/>
      <c r="BU933" s="34"/>
      <c r="BV933" s="34"/>
      <c r="BW933" s="34"/>
      <c r="BX933" s="34"/>
      <c r="BY933" s="34"/>
    </row>
    <row r="934" spans="1:77" x14ac:dyDescent="0.3">
      <c r="A934" s="39"/>
      <c r="B934" s="42"/>
      <c r="C934" s="42"/>
      <c r="D934" s="75"/>
      <c r="E934" s="75"/>
      <c r="F934" s="76"/>
      <c r="G934" s="47"/>
      <c r="H934" s="47"/>
      <c r="I934" s="75"/>
      <c r="J934" s="76"/>
      <c r="K934" s="76"/>
      <c r="L934" s="75"/>
      <c r="M934" s="49"/>
      <c r="N934" s="76"/>
      <c r="O934" s="49"/>
      <c r="P934" s="77"/>
      <c r="Q934" s="53"/>
      <c r="R934" s="54"/>
      <c r="S934" s="55"/>
      <c r="T934" s="56"/>
      <c r="U934" s="56"/>
      <c r="V934" s="42"/>
      <c r="W934" s="57"/>
      <c r="X934" s="58"/>
      <c r="Y934" s="75"/>
      <c r="Z934" s="59"/>
      <c r="AA934" s="61"/>
      <c r="AB934" s="61"/>
      <c r="AC934" s="61"/>
      <c r="AD934" s="62"/>
      <c r="AE934" s="62"/>
      <c r="AF934" s="34"/>
      <c r="AG934" s="34"/>
      <c r="AH934" s="34"/>
      <c r="AI934" s="34"/>
      <c r="AJ934" s="34"/>
      <c r="AK934" s="34"/>
      <c r="AL934" s="34"/>
      <c r="AM934" s="34"/>
      <c r="AN934" s="34"/>
      <c r="AO934" s="34"/>
      <c r="AP934" s="34"/>
      <c r="AQ934" s="34"/>
      <c r="AR934" s="34"/>
      <c r="AS934" s="34"/>
      <c r="AT934" s="34"/>
      <c r="AU934" s="34"/>
      <c r="AV934" s="34"/>
      <c r="AW934" s="34"/>
      <c r="AX934" s="34"/>
      <c r="AY934" s="34"/>
      <c r="AZ934" s="34"/>
      <c r="BA934" s="34"/>
      <c r="BB934" s="34"/>
      <c r="BD934" s="34"/>
      <c r="BE934" s="34"/>
      <c r="BF934" s="34"/>
      <c r="BG934" s="34"/>
      <c r="BH934" s="34"/>
      <c r="BI934" s="34"/>
      <c r="BJ934" s="34"/>
      <c r="BK934" s="34"/>
      <c r="BL934" s="34"/>
      <c r="BM934" s="34"/>
      <c r="BN934" s="34"/>
      <c r="BO934" s="34"/>
      <c r="BP934" s="34"/>
      <c r="BQ934" s="34"/>
      <c r="BR934" s="34"/>
      <c r="BS934" s="34"/>
      <c r="BT934" s="34"/>
      <c r="BU934" s="34"/>
      <c r="BV934" s="34"/>
      <c r="BW934" s="34"/>
      <c r="BX934" s="34"/>
      <c r="BY934" s="34"/>
    </row>
    <row r="935" spans="1:77" x14ac:dyDescent="0.3">
      <c r="A935" s="39"/>
      <c r="B935" s="42"/>
      <c r="C935" s="42"/>
      <c r="D935" s="75"/>
      <c r="E935" s="75"/>
      <c r="F935" s="76"/>
      <c r="G935" s="47"/>
      <c r="H935" s="47"/>
      <c r="I935" s="75"/>
      <c r="J935" s="76"/>
      <c r="K935" s="76"/>
      <c r="L935" s="75"/>
      <c r="M935" s="49"/>
      <c r="N935" s="76"/>
      <c r="O935" s="49"/>
      <c r="P935" s="77"/>
      <c r="Q935" s="53"/>
      <c r="R935" s="54"/>
      <c r="S935" s="55"/>
      <c r="T935" s="56"/>
      <c r="U935" s="56"/>
      <c r="V935" s="42"/>
      <c r="W935" s="57"/>
      <c r="X935" s="58"/>
      <c r="Y935" s="75"/>
      <c r="Z935" s="59"/>
      <c r="AA935" s="61"/>
      <c r="AB935" s="61"/>
      <c r="AC935" s="61"/>
      <c r="AD935" s="62"/>
      <c r="AE935" s="62"/>
      <c r="AF935" s="34"/>
      <c r="AG935" s="34"/>
      <c r="AH935" s="34"/>
      <c r="AI935" s="34"/>
      <c r="AJ935" s="34"/>
      <c r="AK935" s="34"/>
      <c r="AL935" s="34"/>
      <c r="AM935" s="34"/>
      <c r="AN935" s="34"/>
      <c r="AO935" s="34"/>
      <c r="AP935" s="34"/>
      <c r="AQ935" s="34"/>
      <c r="AR935" s="34"/>
      <c r="AS935" s="34"/>
      <c r="AT935" s="34"/>
      <c r="AU935" s="34"/>
      <c r="AV935" s="34"/>
      <c r="AW935" s="34"/>
      <c r="AX935" s="34"/>
      <c r="AY935" s="34"/>
      <c r="AZ935" s="34"/>
      <c r="BA935" s="34"/>
      <c r="BB935" s="34"/>
      <c r="BD935" s="34"/>
      <c r="BE935" s="34"/>
      <c r="BF935" s="34"/>
      <c r="BG935" s="34"/>
      <c r="BH935" s="34"/>
      <c r="BI935" s="34"/>
      <c r="BJ935" s="34"/>
      <c r="BK935" s="34"/>
      <c r="BL935" s="34"/>
      <c r="BM935" s="34"/>
      <c r="BN935" s="34"/>
      <c r="BO935" s="34"/>
      <c r="BP935" s="34"/>
      <c r="BQ935" s="34"/>
      <c r="BR935" s="34"/>
      <c r="BS935" s="34"/>
      <c r="BT935" s="34"/>
      <c r="BU935" s="34"/>
      <c r="BV935" s="34"/>
      <c r="BW935" s="34"/>
      <c r="BX935" s="34"/>
      <c r="BY935" s="34"/>
    </row>
    <row r="936" spans="1:77" x14ac:dyDescent="0.3">
      <c r="A936" s="39"/>
      <c r="B936" s="42"/>
      <c r="C936" s="42"/>
      <c r="D936" s="75"/>
      <c r="E936" s="75"/>
      <c r="F936" s="76"/>
      <c r="G936" s="47"/>
      <c r="H936" s="47"/>
      <c r="I936" s="75"/>
      <c r="J936" s="76"/>
      <c r="K936" s="76"/>
      <c r="L936" s="75"/>
      <c r="M936" s="49"/>
      <c r="N936" s="76"/>
      <c r="O936" s="49"/>
      <c r="P936" s="77"/>
      <c r="Q936" s="53"/>
      <c r="R936" s="54"/>
      <c r="S936" s="55"/>
      <c r="T936" s="56"/>
      <c r="U936" s="56"/>
      <c r="V936" s="42"/>
      <c r="W936" s="57"/>
      <c r="X936" s="58"/>
      <c r="Y936" s="75"/>
      <c r="Z936" s="59"/>
      <c r="AA936" s="61"/>
      <c r="AB936" s="61"/>
      <c r="AC936" s="61"/>
      <c r="AD936" s="62"/>
      <c r="AE936" s="62"/>
      <c r="AF936" s="34"/>
      <c r="AG936" s="34"/>
      <c r="AH936" s="34"/>
      <c r="AI936" s="34"/>
      <c r="AJ936" s="34"/>
      <c r="AK936" s="34"/>
      <c r="AL936" s="34"/>
      <c r="AM936" s="34"/>
      <c r="AN936" s="34"/>
      <c r="AO936" s="34"/>
      <c r="AP936" s="34"/>
      <c r="AQ936" s="34"/>
      <c r="AR936" s="34"/>
      <c r="AS936" s="34"/>
      <c r="AT936" s="34"/>
      <c r="AU936" s="34"/>
      <c r="AV936" s="34"/>
      <c r="AW936" s="34"/>
      <c r="AX936" s="34"/>
      <c r="AY936" s="34"/>
      <c r="AZ936" s="34"/>
      <c r="BA936" s="34"/>
      <c r="BB936" s="34"/>
      <c r="BD936" s="34"/>
      <c r="BE936" s="34"/>
      <c r="BF936" s="34"/>
      <c r="BG936" s="34"/>
      <c r="BH936" s="34"/>
      <c r="BI936" s="34"/>
      <c r="BJ936" s="34"/>
      <c r="BK936" s="34"/>
      <c r="BL936" s="34"/>
      <c r="BM936" s="34"/>
      <c r="BN936" s="34"/>
      <c r="BO936" s="34"/>
      <c r="BP936" s="34"/>
      <c r="BQ936" s="34"/>
      <c r="BR936" s="34"/>
      <c r="BS936" s="34"/>
      <c r="BT936" s="34"/>
      <c r="BU936" s="34"/>
      <c r="BV936" s="34"/>
      <c r="BW936" s="34"/>
      <c r="BX936" s="34"/>
      <c r="BY936" s="34"/>
    </row>
    <row r="937" spans="1:77" x14ac:dyDescent="0.3">
      <c r="A937" s="39"/>
      <c r="B937" s="42"/>
      <c r="C937" s="42"/>
      <c r="D937" s="75"/>
      <c r="E937" s="75"/>
      <c r="F937" s="76"/>
      <c r="G937" s="47"/>
      <c r="H937" s="47"/>
      <c r="I937" s="75"/>
      <c r="J937" s="76"/>
      <c r="K937" s="76"/>
      <c r="L937" s="75"/>
      <c r="M937" s="49"/>
      <c r="N937" s="76"/>
      <c r="O937" s="49"/>
      <c r="P937" s="77"/>
      <c r="Q937" s="53"/>
      <c r="R937" s="54"/>
      <c r="S937" s="55"/>
      <c r="T937" s="56"/>
      <c r="U937" s="56"/>
      <c r="V937" s="42"/>
      <c r="W937" s="57"/>
      <c r="X937" s="58"/>
      <c r="Y937" s="75"/>
      <c r="Z937" s="59"/>
      <c r="AA937" s="61"/>
      <c r="AB937" s="61"/>
      <c r="AC937" s="61"/>
      <c r="AD937" s="62"/>
      <c r="AE937" s="62"/>
      <c r="AF937" s="34"/>
      <c r="AG937" s="34"/>
      <c r="AH937" s="34"/>
      <c r="AI937" s="34"/>
      <c r="AJ937" s="34"/>
      <c r="AK937" s="34"/>
      <c r="AL937" s="34"/>
      <c r="AM937" s="34"/>
      <c r="AN937" s="34"/>
      <c r="AO937" s="34"/>
      <c r="AP937" s="34"/>
      <c r="AQ937" s="34"/>
      <c r="AR937" s="34"/>
      <c r="AS937" s="34"/>
      <c r="AT937" s="34"/>
      <c r="AU937" s="34"/>
      <c r="AV937" s="34"/>
      <c r="AW937" s="34"/>
      <c r="AX937" s="34"/>
      <c r="AY937" s="34"/>
      <c r="AZ937" s="34"/>
      <c r="BA937" s="34"/>
      <c r="BB937" s="34"/>
      <c r="BD937" s="34"/>
      <c r="BE937" s="34"/>
      <c r="BF937" s="34"/>
      <c r="BG937" s="34"/>
      <c r="BH937" s="34"/>
      <c r="BI937" s="34"/>
      <c r="BJ937" s="34"/>
      <c r="BK937" s="34"/>
      <c r="BL937" s="34"/>
      <c r="BM937" s="34"/>
      <c r="BN937" s="34"/>
      <c r="BO937" s="34"/>
      <c r="BP937" s="34"/>
      <c r="BQ937" s="34"/>
      <c r="BR937" s="34"/>
      <c r="BS937" s="34"/>
      <c r="BT937" s="34"/>
      <c r="BU937" s="34"/>
      <c r="BV937" s="34"/>
      <c r="BW937" s="34"/>
      <c r="BX937" s="34"/>
      <c r="BY937" s="34"/>
    </row>
    <row r="938" spans="1:77" x14ac:dyDescent="0.3">
      <c r="A938" s="39"/>
      <c r="B938" s="42"/>
      <c r="C938" s="42"/>
      <c r="D938" s="75"/>
      <c r="E938" s="75"/>
      <c r="F938" s="76"/>
      <c r="G938" s="47"/>
      <c r="H938" s="47"/>
      <c r="I938" s="75"/>
      <c r="J938" s="76"/>
      <c r="K938" s="76"/>
      <c r="L938" s="75"/>
      <c r="M938" s="49"/>
      <c r="N938" s="76"/>
      <c r="O938" s="49"/>
      <c r="P938" s="77"/>
      <c r="Q938" s="53"/>
      <c r="R938" s="54"/>
      <c r="S938" s="55"/>
      <c r="T938" s="56"/>
      <c r="U938" s="56"/>
      <c r="V938" s="42"/>
      <c r="W938" s="57"/>
      <c r="X938" s="58"/>
      <c r="Y938" s="75"/>
      <c r="Z938" s="59"/>
      <c r="AA938" s="61"/>
      <c r="AB938" s="61"/>
      <c r="AC938" s="61"/>
      <c r="AD938" s="62"/>
      <c r="AE938" s="62"/>
      <c r="AF938" s="34"/>
      <c r="AG938" s="34"/>
      <c r="AH938" s="34"/>
      <c r="AI938" s="34"/>
      <c r="AJ938" s="34"/>
      <c r="AK938" s="34"/>
      <c r="AL938" s="34"/>
      <c r="AM938" s="34"/>
      <c r="AN938" s="34"/>
      <c r="AO938" s="34"/>
      <c r="AP938" s="34"/>
      <c r="AQ938" s="34"/>
      <c r="AR938" s="34"/>
      <c r="AS938" s="34"/>
      <c r="AT938" s="34"/>
      <c r="AU938" s="34"/>
      <c r="AV938" s="34"/>
      <c r="AW938" s="34"/>
      <c r="AX938" s="34"/>
      <c r="AY938" s="34"/>
      <c r="AZ938" s="34"/>
      <c r="BA938" s="34"/>
      <c r="BB938" s="34"/>
      <c r="BD938" s="34"/>
      <c r="BE938" s="34"/>
      <c r="BF938" s="34"/>
      <c r="BG938" s="34"/>
      <c r="BH938" s="34"/>
      <c r="BI938" s="34"/>
      <c r="BJ938" s="34"/>
      <c r="BK938" s="34"/>
      <c r="BL938" s="34"/>
      <c r="BM938" s="34"/>
      <c r="BN938" s="34"/>
      <c r="BO938" s="34"/>
      <c r="BP938" s="34"/>
      <c r="BQ938" s="34"/>
      <c r="BR938" s="34"/>
      <c r="BS938" s="34"/>
      <c r="BT938" s="34"/>
      <c r="BU938" s="34"/>
      <c r="BV938" s="34"/>
      <c r="BW938" s="34"/>
      <c r="BX938" s="34"/>
      <c r="BY938" s="34"/>
    </row>
    <row r="939" spans="1:77" x14ac:dyDescent="0.3">
      <c r="A939" s="39"/>
      <c r="B939" s="42"/>
      <c r="C939" s="42"/>
      <c r="D939" s="75"/>
      <c r="E939" s="75"/>
      <c r="F939" s="76"/>
      <c r="G939" s="47"/>
      <c r="H939" s="47"/>
      <c r="I939" s="75"/>
      <c r="J939" s="76"/>
      <c r="K939" s="76"/>
      <c r="L939" s="75"/>
      <c r="M939" s="49"/>
      <c r="N939" s="76"/>
      <c r="O939" s="49"/>
      <c r="P939" s="77"/>
      <c r="Q939" s="53"/>
      <c r="R939" s="54"/>
      <c r="S939" s="55"/>
      <c r="T939" s="56"/>
      <c r="U939" s="56"/>
      <c r="V939" s="42"/>
      <c r="W939" s="57"/>
      <c r="X939" s="58"/>
      <c r="Y939" s="75"/>
      <c r="Z939" s="59"/>
      <c r="AA939" s="61"/>
      <c r="AB939" s="61"/>
      <c r="AC939" s="61"/>
      <c r="AD939" s="62"/>
      <c r="AE939" s="62"/>
      <c r="AF939" s="34"/>
      <c r="AG939" s="34"/>
      <c r="AH939" s="34"/>
      <c r="AI939" s="34"/>
      <c r="AJ939" s="34"/>
      <c r="AK939" s="34"/>
      <c r="AL939" s="34"/>
      <c r="AM939" s="34"/>
      <c r="AN939" s="34"/>
      <c r="AO939" s="34"/>
      <c r="AP939" s="34"/>
      <c r="AQ939" s="34"/>
      <c r="AR939" s="34"/>
      <c r="AS939" s="34"/>
      <c r="AT939" s="34"/>
      <c r="AU939" s="34"/>
      <c r="AV939" s="34"/>
      <c r="AW939" s="34"/>
      <c r="AX939" s="34"/>
      <c r="AY939" s="34"/>
      <c r="AZ939" s="34"/>
      <c r="BA939" s="34"/>
      <c r="BB939" s="34"/>
      <c r="BD939" s="34"/>
      <c r="BE939" s="34"/>
      <c r="BF939" s="34"/>
      <c r="BG939" s="34"/>
      <c r="BH939" s="34"/>
      <c r="BI939" s="34"/>
      <c r="BJ939" s="34"/>
      <c r="BK939" s="34"/>
      <c r="BL939" s="34"/>
      <c r="BM939" s="34"/>
      <c r="BN939" s="34"/>
      <c r="BO939" s="34"/>
      <c r="BP939" s="34"/>
      <c r="BQ939" s="34"/>
      <c r="BR939" s="34"/>
      <c r="BS939" s="34"/>
      <c r="BT939" s="34"/>
      <c r="BU939" s="34"/>
      <c r="BV939" s="34"/>
      <c r="BW939" s="34"/>
      <c r="BX939" s="34"/>
      <c r="BY939" s="34"/>
    </row>
    <row r="940" spans="1:77" x14ac:dyDescent="0.3">
      <c r="A940" s="39"/>
      <c r="B940" s="42"/>
      <c r="C940" s="42"/>
      <c r="D940" s="75"/>
      <c r="E940" s="75"/>
      <c r="F940" s="76"/>
      <c r="G940" s="47"/>
      <c r="H940" s="47"/>
      <c r="I940" s="75"/>
      <c r="J940" s="76"/>
      <c r="K940" s="76"/>
      <c r="L940" s="75"/>
      <c r="M940" s="49"/>
      <c r="N940" s="76"/>
      <c r="O940" s="49"/>
      <c r="P940" s="77"/>
      <c r="Q940" s="53"/>
      <c r="R940" s="54"/>
      <c r="S940" s="55"/>
      <c r="T940" s="56"/>
      <c r="U940" s="56"/>
      <c r="V940" s="42"/>
      <c r="W940" s="57"/>
      <c r="X940" s="58"/>
      <c r="Y940" s="75"/>
      <c r="Z940" s="59"/>
      <c r="AA940" s="61"/>
      <c r="AB940" s="61"/>
      <c r="AC940" s="61"/>
      <c r="AD940" s="62"/>
      <c r="AE940" s="62"/>
      <c r="AF940" s="34"/>
      <c r="AG940" s="34"/>
      <c r="AH940" s="34"/>
      <c r="AI940" s="34"/>
      <c r="AJ940" s="34"/>
      <c r="AK940" s="34"/>
      <c r="AL940" s="34"/>
      <c r="AM940" s="34"/>
      <c r="AN940" s="34"/>
      <c r="AO940" s="34"/>
      <c r="AP940" s="34"/>
      <c r="AQ940" s="34"/>
      <c r="AR940" s="34"/>
      <c r="AS940" s="34"/>
      <c r="AT940" s="34"/>
      <c r="AU940" s="34"/>
      <c r="AV940" s="34"/>
      <c r="AW940" s="34"/>
      <c r="AX940" s="34"/>
      <c r="AY940" s="34"/>
      <c r="AZ940" s="34"/>
      <c r="BA940" s="34"/>
      <c r="BB940" s="34"/>
      <c r="BD940" s="34"/>
      <c r="BE940" s="34"/>
      <c r="BF940" s="34"/>
      <c r="BG940" s="34"/>
      <c r="BH940" s="34"/>
      <c r="BI940" s="34"/>
      <c r="BJ940" s="34"/>
      <c r="BK940" s="34"/>
      <c r="BL940" s="34"/>
      <c r="BM940" s="34"/>
      <c r="BN940" s="34"/>
      <c r="BO940" s="34"/>
      <c r="BP940" s="34"/>
      <c r="BQ940" s="34"/>
      <c r="BR940" s="34"/>
      <c r="BS940" s="34"/>
      <c r="BT940" s="34"/>
      <c r="BU940" s="34"/>
      <c r="BV940" s="34"/>
      <c r="BW940" s="34"/>
      <c r="BX940" s="34"/>
      <c r="BY940" s="34"/>
    </row>
    <row r="941" spans="1:77" x14ac:dyDescent="0.3">
      <c r="A941" s="39"/>
      <c r="B941" s="42"/>
      <c r="C941" s="42"/>
      <c r="D941" s="75"/>
      <c r="E941" s="75"/>
      <c r="F941" s="76"/>
      <c r="G941" s="47"/>
      <c r="H941" s="47"/>
      <c r="I941" s="75"/>
      <c r="J941" s="76"/>
      <c r="K941" s="76"/>
      <c r="L941" s="75"/>
      <c r="M941" s="49"/>
      <c r="N941" s="76"/>
      <c r="O941" s="49"/>
      <c r="P941" s="77"/>
      <c r="Q941" s="53"/>
      <c r="R941" s="54"/>
      <c r="S941" s="55"/>
      <c r="T941" s="56"/>
      <c r="U941" s="56"/>
      <c r="V941" s="42"/>
      <c r="W941" s="57"/>
      <c r="X941" s="58"/>
      <c r="Y941" s="75"/>
      <c r="Z941" s="59"/>
      <c r="AA941" s="61"/>
      <c r="AB941" s="61"/>
      <c r="AC941" s="61"/>
      <c r="AD941" s="62"/>
      <c r="AE941" s="62"/>
      <c r="AF941" s="34"/>
      <c r="AG941" s="34"/>
      <c r="AH941" s="34"/>
      <c r="AI941" s="34"/>
      <c r="AJ941" s="34"/>
      <c r="AK941" s="34"/>
      <c r="AL941" s="34"/>
      <c r="AM941" s="34"/>
      <c r="AN941" s="34"/>
      <c r="AO941" s="34"/>
      <c r="AP941" s="34"/>
      <c r="AQ941" s="34"/>
      <c r="AR941" s="34"/>
      <c r="AS941" s="34"/>
      <c r="AT941" s="34"/>
      <c r="AU941" s="34"/>
      <c r="AV941" s="34"/>
      <c r="AW941" s="34"/>
      <c r="AX941" s="34"/>
      <c r="AY941" s="34"/>
      <c r="AZ941" s="34"/>
      <c r="BA941" s="34"/>
      <c r="BB941" s="34"/>
      <c r="BD941" s="34"/>
      <c r="BE941" s="34"/>
      <c r="BF941" s="34"/>
      <c r="BG941" s="34"/>
      <c r="BH941" s="34"/>
      <c r="BI941" s="34"/>
      <c r="BJ941" s="34"/>
      <c r="BK941" s="34"/>
      <c r="BL941" s="34"/>
      <c r="BM941" s="34"/>
      <c r="BN941" s="34"/>
      <c r="BO941" s="34"/>
      <c r="BP941" s="34"/>
      <c r="BQ941" s="34"/>
      <c r="BR941" s="34"/>
      <c r="BS941" s="34"/>
      <c r="BT941" s="34"/>
      <c r="BU941" s="34"/>
      <c r="BV941" s="34"/>
      <c r="BW941" s="34"/>
      <c r="BX941" s="34"/>
      <c r="BY941" s="34"/>
    </row>
    <row r="942" spans="1:77" x14ac:dyDescent="0.3">
      <c r="A942" s="39"/>
      <c r="B942" s="42"/>
      <c r="C942" s="42"/>
      <c r="D942" s="75"/>
      <c r="E942" s="75"/>
      <c r="F942" s="76"/>
      <c r="G942" s="47"/>
      <c r="H942" s="47"/>
      <c r="I942" s="75"/>
      <c r="J942" s="76"/>
      <c r="K942" s="76"/>
      <c r="L942" s="75"/>
      <c r="M942" s="49"/>
      <c r="N942" s="76"/>
      <c r="O942" s="49"/>
      <c r="P942" s="77"/>
      <c r="Q942" s="53"/>
      <c r="R942" s="54"/>
      <c r="S942" s="55"/>
      <c r="T942" s="56"/>
      <c r="U942" s="56"/>
      <c r="V942" s="42"/>
      <c r="W942" s="57"/>
      <c r="X942" s="58"/>
      <c r="Y942" s="75"/>
      <c r="Z942" s="59"/>
      <c r="AA942" s="61"/>
      <c r="AB942" s="61"/>
      <c r="AC942" s="61"/>
      <c r="AD942" s="62"/>
      <c r="AE942" s="62"/>
      <c r="AF942" s="34"/>
      <c r="AG942" s="34"/>
      <c r="AH942" s="34"/>
      <c r="AI942" s="34"/>
      <c r="AJ942" s="34"/>
      <c r="AK942" s="34"/>
      <c r="AL942" s="34"/>
      <c r="AM942" s="34"/>
      <c r="AN942" s="34"/>
      <c r="AO942" s="34"/>
      <c r="AP942" s="34"/>
      <c r="AQ942" s="34"/>
      <c r="AR942" s="34"/>
      <c r="AS942" s="34"/>
      <c r="AT942" s="34"/>
      <c r="AU942" s="34"/>
      <c r="AV942" s="34"/>
      <c r="AW942" s="34"/>
      <c r="AX942" s="34"/>
      <c r="AY942" s="34"/>
      <c r="AZ942" s="34"/>
      <c r="BA942" s="34"/>
      <c r="BB942" s="34"/>
      <c r="BD942" s="34"/>
      <c r="BE942" s="34"/>
      <c r="BF942" s="34"/>
      <c r="BG942" s="34"/>
      <c r="BH942" s="34"/>
      <c r="BI942" s="34"/>
      <c r="BJ942" s="34"/>
      <c r="BK942" s="34"/>
      <c r="BL942" s="34"/>
      <c r="BM942" s="34"/>
      <c r="BN942" s="34"/>
      <c r="BO942" s="34"/>
      <c r="BP942" s="34"/>
      <c r="BQ942" s="34"/>
      <c r="BR942" s="34"/>
      <c r="BS942" s="34"/>
      <c r="BT942" s="34"/>
      <c r="BU942" s="34"/>
      <c r="BV942" s="34"/>
      <c r="BW942" s="34"/>
      <c r="BX942" s="34"/>
      <c r="BY942" s="34"/>
    </row>
    <row r="943" spans="1:77" x14ac:dyDescent="0.3">
      <c r="A943" s="39"/>
      <c r="B943" s="42"/>
      <c r="C943" s="42"/>
      <c r="D943" s="75"/>
      <c r="E943" s="75"/>
      <c r="F943" s="76"/>
      <c r="G943" s="47"/>
      <c r="H943" s="47"/>
      <c r="I943" s="75"/>
      <c r="J943" s="76"/>
      <c r="K943" s="76"/>
      <c r="L943" s="75"/>
      <c r="M943" s="49"/>
      <c r="N943" s="76"/>
      <c r="O943" s="49"/>
      <c r="P943" s="77"/>
      <c r="Q943" s="53"/>
      <c r="R943" s="54"/>
      <c r="S943" s="55"/>
      <c r="T943" s="56"/>
      <c r="U943" s="56"/>
      <c r="V943" s="42"/>
      <c r="W943" s="57"/>
      <c r="X943" s="58"/>
      <c r="Y943" s="75"/>
      <c r="Z943" s="59"/>
      <c r="AA943" s="61"/>
      <c r="AB943" s="61"/>
      <c r="AC943" s="61"/>
      <c r="AD943" s="62"/>
      <c r="AE943" s="62"/>
      <c r="AF943" s="34"/>
      <c r="AG943" s="34"/>
      <c r="AH943" s="34"/>
      <c r="AI943" s="34"/>
      <c r="AJ943" s="34"/>
      <c r="AK943" s="34"/>
      <c r="AL943" s="34"/>
      <c r="AM943" s="34"/>
      <c r="AN943" s="34"/>
      <c r="AO943" s="34"/>
      <c r="AP943" s="34"/>
      <c r="AQ943" s="34"/>
      <c r="AR943" s="34"/>
      <c r="AS943" s="34"/>
      <c r="AT943" s="34"/>
      <c r="AU943" s="34"/>
      <c r="AV943" s="34"/>
      <c r="AW943" s="34"/>
      <c r="AX943" s="34"/>
      <c r="AY943" s="34"/>
      <c r="AZ943" s="34"/>
      <c r="BA943" s="34"/>
      <c r="BB943" s="34"/>
      <c r="BD943" s="34"/>
      <c r="BE943" s="34"/>
      <c r="BF943" s="34"/>
      <c r="BG943" s="34"/>
      <c r="BH943" s="34"/>
      <c r="BI943" s="34"/>
      <c r="BJ943" s="34"/>
      <c r="BK943" s="34"/>
      <c r="BL943" s="34"/>
      <c r="BM943" s="34"/>
      <c r="BN943" s="34"/>
      <c r="BO943" s="34"/>
      <c r="BP943" s="34"/>
      <c r="BQ943" s="34"/>
      <c r="BR943" s="34"/>
      <c r="BS943" s="34"/>
      <c r="BT943" s="34"/>
      <c r="BU943" s="34"/>
      <c r="BV943" s="34"/>
      <c r="BW943" s="34"/>
      <c r="BX943" s="34"/>
      <c r="BY943" s="34"/>
    </row>
    <row r="944" spans="1:77" x14ac:dyDescent="0.3">
      <c r="A944" s="39"/>
      <c r="B944" s="42"/>
      <c r="C944" s="42"/>
      <c r="D944" s="75"/>
      <c r="E944" s="75"/>
      <c r="F944" s="76"/>
      <c r="G944" s="47"/>
      <c r="H944" s="47"/>
      <c r="I944" s="75"/>
      <c r="J944" s="76"/>
      <c r="K944" s="76"/>
      <c r="L944" s="75"/>
      <c r="M944" s="49"/>
      <c r="N944" s="76"/>
      <c r="O944" s="49"/>
      <c r="P944" s="77"/>
      <c r="Q944" s="53"/>
      <c r="R944" s="54"/>
      <c r="S944" s="55"/>
      <c r="T944" s="56"/>
      <c r="U944" s="56"/>
      <c r="V944" s="42"/>
      <c r="W944" s="57"/>
      <c r="X944" s="58"/>
      <c r="Y944" s="75"/>
      <c r="Z944" s="59"/>
      <c r="AA944" s="61"/>
      <c r="AB944" s="61"/>
      <c r="AC944" s="61"/>
      <c r="AD944" s="62"/>
      <c r="AE944" s="62"/>
      <c r="AF944" s="34"/>
      <c r="AG944" s="34"/>
      <c r="AH944" s="34"/>
      <c r="AI944" s="34"/>
      <c r="AJ944" s="34"/>
      <c r="AK944" s="34"/>
      <c r="AL944" s="34"/>
      <c r="AM944" s="34"/>
      <c r="AN944" s="34"/>
      <c r="AO944" s="34"/>
      <c r="AP944" s="34"/>
      <c r="AQ944" s="34"/>
      <c r="AR944" s="34"/>
      <c r="AS944" s="34"/>
      <c r="AT944" s="34"/>
      <c r="AU944" s="34"/>
      <c r="AV944" s="34"/>
      <c r="AW944" s="34"/>
      <c r="AX944" s="34"/>
      <c r="AY944" s="34"/>
      <c r="AZ944" s="34"/>
      <c r="BA944" s="34"/>
      <c r="BB944" s="34"/>
      <c r="BD944" s="34"/>
      <c r="BE944" s="34"/>
      <c r="BF944" s="34"/>
      <c r="BG944" s="34"/>
      <c r="BH944" s="34"/>
      <c r="BI944" s="34"/>
      <c r="BJ944" s="34"/>
      <c r="BK944" s="34"/>
      <c r="BL944" s="34"/>
      <c r="BM944" s="34"/>
      <c r="BN944" s="34"/>
      <c r="BO944" s="34"/>
      <c r="BP944" s="34"/>
      <c r="BQ944" s="34"/>
      <c r="BR944" s="34"/>
      <c r="BS944" s="34"/>
      <c r="BT944" s="34"/>
      <c r="BU944" s="34"/>
      <c r="BV944" s="34"/>
      <c r="BW944" s="34"/>
      <c r="BX944" s="34"/>
      <c r="BY944" s="34"/>
    </row>
    <row r="945" spans="1:77" x14ac:dyDescent="0.3">
      <c r="A945" s="39"/>
      <c r="B945" s="42"/>
      <c r="C945" s="42"/>
      <c r="D945" s="75"/>
      <c r="E945" s="75"/>
      <c r="F945" s="76"/>
      <c r="G945" s="47"/>
      <c r="H945" s="47"/>
      <c r="I945" s="75"/>
      <c r="J945" s="76"/>
      <c r="K945" s="76"/>
      <c r="L945" s="75"/>
      <c r="M945" s="49"/>
      <c r="N945" s="76"/>
      <c r="O945" s="49"/>
      <c r="P945" s="77"/>
      <c r="Q945" s="53"/>
      <c r="R945" s="54"/>
      <c r="S945" s="55"/>
      <c r="T945" s="56"/>
      <c r="U945" s="56"/>
      <c r="V945" s="42"/>
      <c r="W945" s="57"/>
      <c r="X945" s="58"/>
      <c r="Y945" s="75"/>
      <c r="Z945" s="59"/>
      <c r="AA945" s="61"/>
      <c r="AB945" s="61"/>
      <c r="AC945" s="61"/>
      <c r="AD945" s="62"/>
      <c r="AE945" s="62"/>
      <c r="AF945" s="34"/>
      <c r="AG945" s="34"/>
      <c r="AH945" s="34"/>
      <c r="AI945" s="34"/>
      <c r="AJ945" s="34"/>
      <c r="AK945" s="34"/>
      <c r="AL945" s="34"/>
      <c r="AM945" s="34"/>
      <c r="AN945" s="34"/>
      <c r="AO945" s="34"/>
      <c r="AP945" s="34"/>
      <c r="AQ945" s="34"/>
      <c r="AR945" s="34"/>
      <c r="AS945" s="34"/>
      <c r="AT945" s="34"/>
      <c r="AU945" s="34"/>
      <c r="AV945" s="34"/>
      <c r="AW945" s="34"/>
      <c r="AX945" s="34"/>
      <c r="AY945" s="34"/>
      <c r="AZ945" s="34"/>
      <c r="BA945" s="34"/>
      <c r="BB945" s="34"/>
      <c r="BD945" s="34"/>
      <c r="BE945" s="34"/>
      <c r="BF945" s="34"/>
      <c r="BG945" s="34"/>
      <c r="BH945" s="34"/>
      <c r="BI945" s="34"/>
      <c r="BJ945" s="34"/>
      <c r="BK945" s="34"/>
      <c r="BL945" s="34"/>
      <c r="BM945" s="34"/>
      <c r="BN945" s="34"/>
      <c r="BO945" s="34"/>
      <c r="BP945" s="34"/>
      <c r="BQ945" s="34"/>
      <c r="BR945" s="34"/>
      <c r="BS945" s="34"/>
      <c r="BT945" s="34"/>
      <c r="BU945" s="34"/>
      <c r="BV945" s="34"/>
      <c r="BW945" s="34"/>
      <c r="BX945" s="34"/>
      <c r="BY945" s="34"/>
    </row>
    <row r="946" spans="1:77" x14ac:dyDescent="0.3">
      <c r="A946" s="39"/>
      <c r="B946" s="42"/>
      <c r="C946" s="42"/>
      <c r="D946" s="75"/>
      <c r="E946" s="75"/>
      <c r="F946" s="76"/>
      <c r="G946" s="47"/>
      <c r="H946" s="47"/>
      <c r="I946" s="75"/>
      <c r="J946" s="76"/>
      <c r="K946" s="76"/>
      <c r="L946" s="75"/>
      <c r="M946" s="49"/>
      <c r="N946" s="76"/>
      <c r="O946" s="49"/>
      <c r="P946" s="77"/>
      <c r="Q946" s="53"/>
      <c r="R946" s="54"/>
      <c r="S946" s="55"/>
      <c r="T946" s="56"/>
      <c r="U946" s="56"/>
      <c r="V946" s="42"/>
      <c r="W946" s="57"/>
      <c r="X946" s="58"/>
      <c r="Y946" s="75"/>
      <c r="Z946" s="59"/>
      <c r="AA946" s="61"/>
      <c r="AB946" s="61"/>
      <c r="AC946" s="61"/>
      <c r="AD946" s="62"/>
      <c r="AE946" s="62"/>
      <c r="AF946" s="34"/>
      <c r="AG946" s="34"/>
      <c r="AH946" s="34"/>
      <c r="AI946" s="34"/>
      <c r="AJ946" s="34"/>
      <c r="AK946" s="34"/>
      <c r="AL946" s="34"/>
      <c r="AM946" s="34"/>
      <c r="AN946" s="34"/>
      <c r="AO946" s="34"/>
      <c r="AP946" s="34"/>
      <c r="AQ946" s="34"/>
      <c r="AR946" s="34"/>
      <c r="AS946" s="34"/>
      <c r="AT946" s="34"/>
      <c r="AU946" s="34"/>
      <c r="AV946" s="34"/>
      <c r="AW946" s="34"/>
      <c r="AX946" s="34"/>
      <c r="AY946" s="34"/>
      <c r="AZ946" s="34"/>
      <c r="BA946" s="34"/>
      <c r="BB946" s="34"/>
      <c r="BD946" s="34"/>
      <c r="BE946" s="34"/>
      <c r="BF946" s="34"/>
      <c r="BG946" s="34"/>
      <c r="BH946" s="34"/>
      <c r="BI946" s="34"/>
      <c r="BJ946" s="34"/>
      <c r="BK946" s="34"/>
      <c r="BL946" s="34"/>
      <c r="BM946" s="34"/>
      <c r="BN946" s="34"/>
      <c r="BO946" s="34"/>
      <c r="BP946" s="34"/>
      <c r="BQ946" s="34"/>
      <c r="BR946" s="34"/>
      <c r="BS946" s="34"/>
      <c r="BT946" s="34"/>
      <c r="BU946" s="34"/>
      <c r="BV946" s="34"/>
      <c r="BW946" s="34"/>
      <c r="BX946" s="34"/>
      <c r="BY946" s="34"/>
    </row>
    <row r="947" spans="1:77" x14ac:dyDescent="0.3">
      <c r="A947" s="39"/>
      <c r="B947" s="42"/>
      <c r="C947" s="42"/>
      <c r="D947" s="75"/>
      <c r="E947" s="75"/>
      <c r="F947" s="76"/>
      <c r="G947" s="47"/>
      <c r="H947" s="47"/>
      <c r="I947" s="75"/>
      <c r="J947" s="76"/>
      <c r="K947" s="76"/>
      <c r="L947" s="75"/>
      <c r="M947" s="49"/>
      <c r="N947" s="76"/>
      <c r="O947" s="49"/>
      <c r="P947" s="77"/>
      <c r="Q947" s="53"/>
      <c r="R947" s="54"/>
      <c r="S947" s="55"/>
      <c r="T947" s="56"/>
      <c r="U947" s="56"/>
      <c r="V947" s="42"/>
      <c r="W947" s="57"/>
      <c r="X947" s="58"/>
      <c r="Y947" s="75"/>
      <c r="Z947" s="59"/>
      <c r="AA947" s="61"/>
      <c r="AB947" s="61"/>
      <c r="AC947" s="61"/>
      <c r="AD947" s="62"/>
      <c r="AE947" s="62"/>
      <c r="AF947" s="34"/>
      <c r="AG947" s="34"/>
      <c r="AH947" s="34"/>
      <c r="AI947" s="34"/>
      <c r="AJ947" s="34"/>
      <c r="AK947" s="34"/>
      <c r="AL947" s="34"/>
      <c r="AM947" s="34"/>
      <c r="AN947" s="34"/>
      <c r="AO947" s="34"/>
      <c r="AP947" s="34"/>
      <c r="AQ947" s="34"/>
      <c r="AR947" s="34"/>
      <c r="AS947" s="34"/>
      <c r="AT947" s="34"/>
      <c r="AU947" s="34"/>
      <c r="AV947" s="34"/>
      <c r="AW947" s="34"/>
      <c r="AX947" s="34"/>
      <c r="AY947" s="34"/>
      <c r="AZ947" s="34"/>
      <c r="BA947" s="34"/>
      <c r="BB947" s="34"/>
      <c r="BD947" s="34"/>
      <c r="BE947" s="34"/>
      <c r="BF947" s="34"/>
      <c r="BG947" s="34"/>
      <c r="BH947" s="34"/>
      <c r="BI947" s="34"/>
      <c r="BJ947" s="34"/>
      <c r="BK947" s="34"/>
      <c r="BL947" s="34"/>
      <c r="BM947" s="34"/>
      <c r="BN947" s="34"/>
      <c r="BO947" s="34"/>
      <c r="BP947" s="34"/>
      <c r="BQ947" s="34"/>
      <c r="BR947" s="34"/>
      <c r="BS947" s="34"/>
      <c r="BT947" s="34"/>
      <c r="BU947" s="34"/>
      <c r="BV947" s="34"/>
      <c r="BW947" s="34"/>
      <c r="BX947" s="34"/>
      <c r="BY947" s="34"/>
    </row>
    <row r="948" spans="1:77" x14ac:dyDescent="0.3">
      <c r="A948" s="39"/>
      <c r="B948" s="42"/>
      <c r="C948" s="42"/>
      <c r="D948" s="75"/>
      <c r="E948" s="75"/>
      <c r="F948" s="76"/>
      <c r="G948" s="47"/>
      <c r="H948" s="47"/>
      <c r="I948" s="75"/>
      <c r="J948" s="76"/>
      <c r="K948" s="76"/>
      <c r="L948" s="75"/>
      <c r="M948" s="49"/>
      <c r="N948" s="76"/>
      <c r="O948" s="49"/>
      <c r="P948" s="77"/>
      <c r="Q948" s="53"/>
      <c r="R948" s="54"/>
      <c r="S948" s="55"/>
      <c r="T948" s="56"/>
      <c r="U948" s="56"/>
      <c r="V948" s="42"/>
      <c r="W948" s="57"/>
      <c r="X948" s="58"/>
      <c r="Y948" s="75"/>
      <c r="Z948" s="59"/>
      <c r="AA948" s="61"/>
      <c r="AB948" s="61"/>
      <c r="AC948" s="61"/>
      <c r="AD948" s="62"/>
      <c r="AE948" s="62"/>
      <c r="AF948" s="34"/>
      <c r="AG948" s="34"/>
      <c r="AH948" s="34"/>
      <c r="AI948" s="34"/>
      <c r="AJ948" s="34"/>
      <c r="AK948" s="34"/>
      <c r="AL948" s="34"/>
      <c r="AM948" s="34"/>
      <c r="AN948" s="34"/>
      <c r="AO948" s="34"/>
      <c r="AP948" s="34"/>
      <c r="AQ948" s="34"/>
      <c r="AR948" s="34"/>
      <c r="AS948" s="34"/>
      <c r="AT948" s="34"/>
      <c r="AU948" s="34"/>
      <c r="AV948" s="34"/>
      <c r="AW948" s="34"/>
      <c r="AX948" s="34"/>
      <c r="AY948" s="34"/>
      <c r="AZ948" s="34"/>
      <c r="BA948" s="34"/>
      <c r="BB948" s="34"/>
      <c r="BD948" s="34"/>
      <c r="BE948" s="34"/>
      <c r="BF948" s="34"/>
      <c r="BG948" s="34"/>
      <c r="BH948" s="34"/>
      <c r="BI948" s="34"/>
      <c r="BJ948" s="34"/>
      <c r="BK948" s="34"/>
      <c r="BL948" s="34"/>
      <c r="BM948" s="34"/>
      <c r="BN948" s="34"/>
      <c r="BO948" s="34"/>
      <c r="BP948" s="34"/>
      <c r="BQ948" s="34"/>
      <c r="BR948" s="34"/>
      <c r="BS948" s="34"/>
      <c r="BT948" s="34"/>
      <c r="BU948" s="34"/>
      <c r="BV948" s="34"/>
      <c r="BW948" s="34"/>
      <c r="BX948" s="34"/>
      <c r="BY948" s="34"/>
    </row>
    <row r="949" spans="1:77" x14ac:dyDescent="0.3">
      <c r="A949" s="39"/>
      <c r="B949" s="42"/>
      <c r="C949" s="42"/>
      <c r="D949" s="75"/>
      <c r="E949" s="75"/>
      <c r="F949" s="76"/>
      <c r="G949" s="47"/>
      <c r="H949" s="47"/>
      <c r="I949" s="75"/>
      <c r="J949" s="76"/>
      <c r="K949" s="76"/>
      <c r="L949" s="75"/>
      <c r="M949" s="49"/>
      <c r="N949" s="76"/>
      <c r="O949" s="49"/>
      <c r="P949" s="77"/>
      <c r="Q949" s="53"/>
      <c r="R949" s="54"/>
      <c r="S949" s="55"/>
      <c r="T949" s="56"/>
      <c r="U949" s="56"/>
      <c r="V949" s="42"/>
      <c r="W949" s="57"/>
      <c r="X949" s="58"/>
      <c r="Y949" s="75"/>
      <c r="Z949" s="59"/>
      <c r="AA949" s="61"/>
      <c r="AB949" s="61"/>
      <c r="AC949" s="61"/>
      <c r="AD949" s="62"/>
      <c r="AE949" s="62"/>
      <c r="AF949" s="34"/>
      <c r="AG949" s="34"/>
      <c r="AH949" s="34"/>
      <c r="AI949" s="34"/>
      <c r="AJ949" s="34"/>
      <c r="AK949" s="34"/>
      <c r="AL949" s="34"/>
      <c r="AM949" s="34"/>
      <c r="AN949" s="34"/>
      <c r="AO949" s="34"/>
      <c r="AP949" s="34"/>
      <c r="AQ949" s="34"/>
      <c r="AR949" s="34"/>
      <c r="AS949" s="34"/>
      <c r="AT949" s="34"/>
      <c r="AU949" s="34"/>
      <c r="AV949" s="34"/>
      <c r="AW949" s="34"/>
      <c r="AX949" s="34"/>
      <c r="AY949" s="34"/>
      <c r="AZ949" s="34"/>
      <c r="BA949" s="34"/>
      <c r="BB949" s="34"/>
      <c r="BD949" s="34"/>
      <c r="BE949" s="34"/>
      <c r="BF949" s="34"/>
      <c r="BG949" s="34"/>
      <c r="BH949" s="34"/>
      <c r="BI949" s="34"/>
      <c r="BJ949" s="34"/>
      <c r="BK949" s="34"/>
      <c r="BL949" s="34"/>
      <c r="BM949" s="34"/>
      <c r="BN949" s="34"/>
      <c r="BO949" s="34"/>
      <c r="BP949" s="34"/>
      <c r="BQ949" s="34"/>
      <c r="BR949" s="34"/>
      <c r="BS949" s="34"/>
      <c r="BT949" s="34"/>
      <c r="BU949" s="34"/>
      <c r="BV949" s="34"/>
      <c r="BW949" s="34"/>
      <c r="BX949" s="34"/>
      <c r="BY949" s="34"/>
    </row>
    <row r="950" spans="1:77" x14ac:dyDescent="0.3">
      <c r="A950" s="39"/>
      <c r="B950" s="42"/>
      <c r="C950" s="42"/>
      <c r="D950" s="75"/>
      <c r="E950" s="75"/>
      <c r="F950" s="76"/>
      <c r="G950" s="47"/>
      <c r="H950" s="47"/>
      <c r="I950" s="75"/>
      <c r="J950" s="76"/>
      <c r="K950" s="76"/>
      <c r="L950" s="75"/>
      <c r="M950" s="49"/>
      <c r="N950" s="76"/>
      <c r="O950" s="49"/>
      <c r="P950" s="77"/>
      <c r="Q950" s="53"/>
      <c r="R950" s="54"/>
      <c r="S950" s="55"/>
      <c r="T950" s="56"/>
      <c r="U950" s="56"/>
      <c r="V950" s="42"/>
      <c r="W950" s="57"/>
      <c r="X950" s="58"/>
      <c r="Y950" s="75"/>
      <c r="Z950" s="59"/>
      <c r="AA950" s="61"/>
      <c r="AB950" s="61"/>
      <c r="AC950" s="61"/>
      <c r="AD950" s="62"/>
      <c r="AE950" s="62"/>
      <c r="AF950" s="34"/>
      <c r="AG950" s="34"/>
      <c r="AH950" s="34"/>
      <c r="AI950" s="34"/>
      <c r="AJ950" s="34"/>
      <c r="AK950" s="34"/>
      <c r="AL950" s="34"/>
      <c r="AM950" s="34"/>
      <c r="AN950" s="34"/>
      <c r="AO950" s="34"/>
      <c r="AP950" s="34"/>
      <c r="AQ950" s="34"/>
      <c r="AR950" s="34"/>
      <c r="AS950" s="34"/>
      <c r="AT950" s="34"/>
      <c r="AU950" s="34"/>
      <c r="AV950" s="34"/>
      <c r="AW950" s="34"/>
      <c r="AX950" s="34"/>
      <c r="AY950" s="34"/>
      <c r="AZ950" s="34"/>
      <c r="BA950" s="34"/>
      <c r="BB950" s="34"/>
      <c r="BD950" s="34"/>
      <c r="BE950" s="34"/>
      <c r="BF950" s="34"/>
      <c r="BG950" s="34"/>
      <c r="BH950" s="34"/>
      <c r="BI950" s="34"/>
      <c r="BJ950" s="34"/>
      <c r="BK950" s="34"/>
      <c r="BL950" s="34"/>
      <c r="BM950" s="34"/>
      <c r="BN950" s="34"/>
      <c r="BO950" s="34"/>
      <c r="BP950" s="34"/>
      <c r="BQ950" s="34"/>
      <c r="BR950" s="34"/>
      <c r="BS950" s="34"/>
      <c r="BT950" s="34"/>
      <c r="BU950" s="34"/>
      <c r="BV950" s="34"/>
      <c r="BW950" s="34"/>
      <c r="BX950" s="34"/>
      <c r="BY950" s="34"/>
    </row>
    <row r="951" spans="1:77" x14ac:dyDescent="0.3">
      <c r="A951" s="39"/>
      <c r="B951" s="42"/>
      <c r="C951" s="42"/>
      <c r="D951" s="75"/>
      <c r="E951" s="75"/>
      <c r="F951" s="76"/>
      <c r="G951" s="47"/>
      <c r="H951" s="47"/>
      <c r="I951" s="75"/>
      <c r="J951" s="76"/>
      <c r="K951" s="76"/>
      <c r="L951" s="75"/>
      <c r="M951" s="49"/>
      <c r="N951" s="76"/>
      <c r="O951" s="49"/>
      <c r="P951" s="77"/>
      <c r="Q951" s="53"/>
      <c r="R951" s="54"/>
      <c r="S951" s="55"/>
      <c r="T951" s="56"/>
      <c r="U951" s="56"/>
      <c r="V951" s="42"/>
      <c r="W951" s="57"/>
      <c r="X951" s="58"/>
      <c r="Y951" s="75"/>
      <c r="Z951" s="59"/>
      <c r="AA951" s="61"/>
      <c r="AB951" s="61"/>
      <c r="AC951" s="61"/>
      <c r="AD951" s="62"/>
      <c r="AE951" s="62"/>
      <c r="AF951" s="34"/>
      <c r="AG951" s="34"/>
      <c r="AH951" s="34"/>
      <c r="AI951" s="34"/>
      <c r="AJ951" s="34"/>
      <c r="AK951" s="34"/>
      <c r="AL951" s="34"/>
      <c r="AM951" s="34"/>
      <c r="AN951" s="34"/>
      <c r="AO951" s="34"/>
      <c r="AP951" s="34"/>
      <c r="AQ951" s="34"/>
      <c r="AR951" s="34"/>
      <c r="AS951" s="34"/>
      <c r="AT951" s="34"/>
      <c r="AU951" s="34"/>
      <c r="AV951" s="34"/>
      <c r="AW951" s="34"/>
      <c r="AX951" s="34"/>
      <c r="AY951" s="34"/>
      <c r="AZ951" s="34"/>
      <c r="BA951" s="34"/>
      <c r="BB951" s="34"/>
      <c r="BD951" s="34"/>
      <c r="BE951" s="34"/>
      <c r="BF951" s="34"/>
      <c r="BG951" s="34"/>
      <c r="BH951" s="34"/>
      <c r="BI951" s="34"/>
      <c r="BJ951" s="34"/>
      <c r="BK951" s="34"/>
      <c r="BL951" s="34"/>
      <c r="BM951" s="34"/>
      <c r="BN951" s="34"/>
      <c r="BO951" s="34"/>
      <c r="BP951" s="34"/>
      <c r="BQ951" s="34"/>
      <c r="BR951" s="34"/>
      <c r="BS951" s="34"/>
      <c r="BT951" s="34"/>
      <c r="BU951" s="34"/>
      <c r="BV951" s="34"/>
      <c r="BW951" s="34"/>
      <c r="BX951" s="34"/>
      <c r="BY951" s="34"/>
    </row>
    <row r="952" spans="1:77" x14ac:dyDescent="0.3">
      <c r="A952" s="39"/>
      <c r="B952" s="42"/>
      <c r="C952" s="42"/>
      <c r="D952" s="75"/>
      <c r="E952" s="75"/>
      <c r="F952" s="76"/>
      <c r="G952" s="47"/>
      <c r="H952" s="47"/>
      <c r="I952" s="75"/>
      <c r="J952" s="76"/>
      <c r="K952" s="76"/>
      <c r="L952" s="75"/>
      <c r="M952" s="49"/>
      <c r="N952" s="76"/>
      <c r="O952" s="49"/>
      <c r="P952" s="77"/>
      <c r="Q952" s="53"/>
      <c r="R952" s="54"/>
      <c r="S952" s="55"/>
      <c r="T952" s="56"/>
      <c r="U952" s="56"/>
      <c r="V952" s="42"/>
      <c r="W952" s="57"/>
      <c r="X952" s="58"/>
      <c r="Y952" s="75"/>
      <c r="Z952" s="59"/>
      <c r="AA952" s="61"/>
      <c r="AB952" s="61"/>
      <c r="AC952" s="61"/>
      <c r="AD952" s="62"/>
      <c r="AE952" s="62"/>
      <c r="AF952" s="34"/>
      <c r="AG952" s="34"/>
      <c r="AH952" s="34"/>
      <c r="AI952" s="34"/>
      <c r="AJ952" s="34"/>
      <c r="AK952" s="34"/>
      <c r="AL952" s="34"/>
      <c r="AM952" s="34"/>
      <c r="AN952" s="34"/>
      <c r="AO952" s="34"/>
      <c r="AP952" s="34"/>
      <c r="AQ952" s="34"/>
      <c r="AR952" s="34"/>
      <c r="AS952" s="34"/>
      <c r="AT952" s="34"/>
      <c r="AU952" s="34"/>
      <c r="AV952" s="34"/>
      <c r="AW952" s="34"/>
      <c r="AX952" s="34"/>
      <c r="AY952" s="34"/>
      <c r="AZ952" s="34"/>
      <c r="BA952" s="34"/>
      <c r="BB952" s="34"/>
      <c r="BD952" s="34"/>
      <c r="BE952" s="34"/>
      <c r="BF952" s="34"/>
      <c r="BG952" s="34"/>
      <c r="BH952" s="34"/>
      <c r="BI952" s="34"/>
      <c r="BJ952" s="34"/>
      <c r="BK952" s="34"/>
      <c r="BL952" s="34"/>
      <c r="BM952" s="34"/>
      <c r="BN952" s="34"/>
      <c r="BO952" s="34"/>
      <c r="BP952" s="34"/>
      <c r="BQ952" s="34"/>
      <c r="BR952" s="34"/>
      <c r="BS952" s="34"/>
      <c r="BT952" s="34"/>
      <c r="BU952" s="34"/>
      <c r="BV952" s="34"/>
      <c r="BW952" s="34"/>
      <c r="BX952" s="34"/>
      <c r="BY952" s="34"/>
    </row>
    <row r="953" spans="1:77" x14ac:dyDescent="0.3">
      <c r="A953" s="39"/>
      <c r="B953" s="42"/>
      <c r="C953" s="42"/>
      <c r="D953" s="75"/>
      <c r="E953" s="75"/>
      <c r="F953" s="76"/>
      <c r="G953" s="47"/>
      <c r="H953" s="47"/>
      <c r="I953" s="75"/>
      <c r="J953" s="76"/>
      <c r="K953" s="76"/>
      <c r="L953" s="75"/>
      <c r="M953" s="49"/>
      <c r="N953" s="76"/>
      <c r="O953" s="49"/>
      <c r="P953" s="77"/>
      <c r="Q953" s="53"/>
      <c r="R953" s="54"/>
      <c r="S953" s="55"/>
      <c r="T953" s="56"/>
      <c r="U953" s="56"/>
      <c r="V953" s="42"/>
      <c r="W953" s="57"/>
      <c r="X953" s="58"/>
      <c r="Y953" s="75"/>
      <c r="Z953" s="59"/>
      <c r="AA953" s="61"/>
      <c r="AB953" s="61"/>
      <c r="AC953" s="61"/>
      <c r="AD953" s="62"/>
      <c r="AE953" s="62"/>
      <c r="AF953" s="34"/>
      <c r="AG953" s="34"/>
      <c r="AH953" s="34"/>
      <c r="AI953" s="34"/>
      <c r="AJ953" s="34"/>
      <c r="AK953" s="34"/>
      <c r="AL953" s="34"/>
      <c r="AM953" s="34"/>
      <c r="AN953" s="34"/>
      <c r="AO953" s="34"/>
      <c r="AP953" s="34"/>
      <c r="AQ953" s="34"/>
      <c r="AR953" s="34"/>
      <c r="AS953" s="34"/>
      <c r="AT953" s="34"/>
      <c r="AU953" s="34"/>
      <c r="AV953" s="34"/>
      <c r="AW953" s="34"/>
      <c r="AX953" s="34"/>
      <c r="AY953" s="34"/>
      <c r="AZ953" s="34"/>
      <c r="BA953" s="34"/>
      <c r="BB953" s="34"/>
      <c r="BD953" s="34"/>
      <c r="BE953" s="34"/>
      <c r="BF953" s="34"/>
      <c r="BG953" s="34"/>
      <c r="BH953" s="34"/>
      <c r="BI953" s="34"/>
      <c r="BJ953" s="34"/>
      <c r="BK953" s="34"/>
      <c r="BL953" s="34"/>
      <c r="BM953" s="34"/>
      <c r="BN953" s="34"/>
      <c r="BO953" s="34"/>
      <c r="BP953" s="34"/>
      <c r="BQ953" s="34"/>
      <c r="BR953" s="34"/>
      <c r="BS953" s="34"/>
      <c r="BT953" s="34"/>
      <c r="BU953" s="34"/>
      <c r="BV953" s="34"/>
      <c r="BW953" s="34"/>
      <c r="BX953" s="34"/>
      <c r="BY953" s="34"/>
    </row>
    <row r="954" spans="1:77" x14ac:dyDescent="0.3">
      <c r="A954" s="39"/>
      <c r="B954" s="42"/>
      <c r="C954" s="42"/>
      <c r="D954" s="75"/>
      <c r="E954" s="75"/>
      <c r="F954" s="76"/>
      <c r="G954" s="47"/>
      <c r="H954" s="47"/>
      <c r="I954" s="75"/>
      <c r="J954" s="76"/>
      <c r="K954" s="76"/>
      <c r="L954" s="75"/>
      <c r="M954" s="49"/>
      <c r="N954" s="76"/>
      <c r="O954" s="49"/>
      <c r="P954" s="77"/>
      <c r="Q954" s="53"/>
      <c r="R954" s="54"/>
      <c r="S954" s="55"/>
      <c r="T954" s="56"/>
      <c r="U954" s="56"/>
      <c r="V954" s="42"/>
      <c r="W954" s="57"/>
      <c r="X954" s="58"/>
      <c r="Y954" s="75"/>
      <c r="Z954" s="59"/>
      <c r="AA954" s="61"/>
      <c r="AB954" s="61"/>
      <c r="AC954" s="61"/>
      <c r="AD954" s="62"/>
      <c r="AE954" s="62"/>
      <c r="AF954" s="34"/>
      <c r="AG954" s="34"/>
      <c r="AH954" s="34"/>
      <c r="AI954" s="34"/>
      <c r="AJ954" s="34"/>
      <c r="AK954" s="34"/>
      <c r="AL954" s="34"/>
      <c r="AM954" s="34"/>
      <c r="AN954" s="34"/>
      <c r="AO954" s="34"/>
      <c r="AP954" s="34"/>
      <c r="AQ954" s="34"/>
      <c r="AR954" s="34"/>
      <c r="AS954" s="34"/>
      <c r="AT954" s="34"/>
      <c r="AU954" s="34"/>
      <c r="AV954" s="34"/>
      <c r="AW954" s="34"/>
      <c r="AX954" s="34"/>
      <c r="AY954" s="34"/>
      <c r="AZ954" s="34"/>
      <c r="BA954" s="34"/>
      <c r="BB954" s="34"/>
      <c r="BD954" s="34"/>
      <c r="BE954" s="34"/>
      <c r="BF954" s="34"/>
      <c r="BG954" s="34"/>
      <c r="BH954" s="34"/>
      <c r="BI954" s="34"/>
      <c r="BJ954" s="34"/>
      <c r="BK954" s="34"/>
      <c r="BL954" s="34"/>
      <c r="BM954" s="34"/>
      <c r="BN954" s="34"/>
      <c r="BO954" s="34"/>
      <c r="BP954" s="34"/>
      <c r="BQ954" s="34"/>
      <c r="BR954" s="34"/>
      <c r="BS954" s="34"/>
      <c r="BT954" s="34"/>
      <c r="BU954" s="34"/>
      <c r="BV954" s="34"/>
      <c r="BW954" s="34"/>
      <c r="BX954" s="34"/>
      <c r="BY954" s="34"/>
    </row>
    <row r="955" spans="1:77" x14ac:dyDescent="0.3">
      <c r="A955" s="39"/>
      <c r="B955" s="42"/>
      <c r="C955" s="42"/>
      <c r="D955" s="75"/>
      <c r="E955" s="75"/>
      <c r="F955" s="76"/>
      <c r="G955" s="47"/>
      <c r="H955" s="47"/>
      <c r="I955" s="75"/>
      <c r="J955" s="76"/>
      <c r="K955" s="76"/>
      <c r="L955" s="75"/>
      <c r="M955" s="49"/>
      <c r="N955" s="76"/>
      <c r="O955" s="49"/>
      <c r="P955" s="77"/>
      <c r="Q955" s="53"/>
      <c r="R955" s="54"/>
      <c r="S955" s="55"/>
      <c r="T955" s="56"/>
      <c r="U955" s="56"/>
      <c r="V955" s="42"/>
      <c r="W955" s="57"/>
      <c r="X955" s="58"/>
      <c r="Y955" s="75"/>
      <c r="Z955" s="59"/>
      <c r="AA955" s="61"/>
      <c r="AB955" s="61"/>
      <c r="AC955" s="61"/>
      <c r="AD955" s="62"/>
      <c r="AE955" s="62"/>
      <c r="AF955" s="34"/>
      <c r="AG955" s="34"/>
      <c r="AH955" s="34"/>
      <c r="AI955" s="34"/>
      <c r="AJ955" s="34"/>
      <c r="AK955" s="34"/>
      <c r="AL955" s="34"/>
      <c r="AM955" s="34"/>
      <c r="AN955" s="34"/>
      <c r="AO955" s="34"/>
      <c r="AP955" s="34"/>
      <c r="AQ955" s="34"/>
      <c r="AR955" s="34"/>
      <c r="AS955" s="34"/>
      <c r="AT955" s="34"/>
      <c r="AU955" s="34"/>
      <c r="AV955" s="34"/>
      <c r="AW955" s="34"/>
      <c r="AX955" s="34"/>
      <c r="AY955" s="34"/>
      <c r="AZ955" s="34"/>
      <c r="BA955" s="34"/>
      <c r="BB955" s="34"/>
      <c r="BD955" s="34"/>
      <c r="BE955" s="34"/>
      <c r="BF955" s="34"/>
      <c r="BG955" s="34"/>
      <c r="BH955" s="34"/>
      <c r="BI955" s="34"/>
      <c r="BJ955" s="34"/>
      <c r="BK955" s="34"/>
      <c r="BL955" s="34"/>
      <c r="BM955" s="34"/>
      <c r="BN955" s="34"/>
      <c r="BO955" s="34"/>
      <c r="BP955" s="34"/>
      <c r="BQ955" s="34"/>
      <c r="BR955" s="34"/>
      <c r="BS955" s="34"/>
      <c r="BT955" s="34"/>
      <c r="BU955" s="34"/>
      <c r="BV955" s="34"/>
      <c r="BW955" s="34"/>
      <c r="BX955" s="34"/>
      <c r="BY955" s="34"/>
    </row>
    <row r="956" spans="1:77" x14ac:dyDescent="0.3">
      <c r="A956" s="39"/>
      <c r="B956" s="42"/>
      <c r="C956" s="42"/>
      <c r="D956" s="75"/>
      <c r="E956" s="75"/>
      <c r="F956" s="76"/>
      <c r="G956" s="47"/>
      <c r="H956" s="47"/>
      <c r="I956" s="75"/>
      <c r="J956" s="76"/>
      <c r="K956" s="76"/>
      <c r="L956" s="75"/>
      <c r="M956" s="49"/>
      <c r="N956" s="76"/>
      <c r="O956" s="49"/>
      <c r="P956" s="77"/>
      <c r="Q956" s="53"/>
      <c r="R956" s="54"/>
      <c r="S956" s="55"/>
      <c r="T956" s="56"/>
      <c r="U956" s="56"/>
      <c r="V956" s="42"/>
      <c r="W956" s="57"/>
      <c r="X956" s="58"/>
      <c r="Y956" s="75"/>
      <c r="Z956" s="59"/>
      <c r="AA956" s="61"/>
      <c r="AB956" s="61"/>
      <c r="AC956" s="61"/>
      <c r="AD956" s="62"/>
      <c r="AE956" s="62"/>
      <c r="AF956" s="34"/>
      <c r="AG956" s="34"/>
      <c r="AH956" s="34"/>
      <c r="AI956" s="34"/>
      <c r="AJ956" s="34"/>
      <c r="AK956" s="34"/>
      <c r="AL956" s="34"/>
      <c r="AM956" s="34"/>
      <c r="AN956" s="34"/>
      <c r="AO956" s="34"/>
      <c r="AP956" s="34"/>
      <c r="AQ956" s="34"/>
      <c r="AR956" s="34"/>
      <c r="AS956" s="34"/>
      <c r="AT956" s="34"/>
      <c r="AU956" s="34"/>
      <c r="AV956" s="34"/>
      <c r="AW956" s="34"/>
      <c r="AX956" s="34"/>
      <c r="AY956" s="34"/>
      <c r="AZ956" s="34"/>
      <c r="BA956" s="34"/>
      <c r="BB956" s="34"/>
      <c r="BD956" s="34"/>
      <c r="BE956" s="34"/>
      <c r="BF956" s="34"/>
      <c r="BG956" s="34"/>
      <c r="BH956" s="34"/>
      <c r="BI956" s="34"/>
      <c r="BJ956" s="34"/>
      <c r="BK956" s="34"/>
      <c r="BL956" s="34"/>
      <c r="BM956" s="34"/>
      <c r="BN956" s="34"/>
      <c r="BO956" s="34"/>
      <c r="BP956" s="34"/>
      <c r="BQ956" s="34"/>
      <c r="BR956" s="34"/>
      <c r="BS956" s="34"/>
      <c r="BT956" s="34"/>
      <c r="BU956" s="34"/>
      <c r="BV956" s="34"/>
      <c r="BW956" s="34"/>
      <c r="BX956" s="34"/>
      <c r="BY956" s="34"/>
    </row>
    <row r="957" spans="1:77" x14ac:dyDescent="0.3">
      <c r="A957" s="39"/>
      <c r="B957" s="42"/>
      <c r="C957" s="42"/>
      <c r="D957" s="75"/>
      <c r="E957" s="75"/>
      <c r="F957" s="76"/>
      <c r="G957" s="47"/>
      <c r="H957" s="47"/>
      <c r="I957" s="75"/>
      <c r="J957" s="76"/>
      <c r="K957" s="76"/>
      <c r="L957" s="75"/>
      <c r="M957" s="49"/>
      <c r="N957" s="76"/>
      <c r="O957" s="49"/>
      <c r="P957" s="77"/>
      <c r="Q957" s="53"/>
      <c r="R957" s="54"/>
      <c r="S957" s="55"/>
      <c r="T957" s="56"/>
      <c r="U957" s="56"/>
      <c r="V957" s="42"/>
      <c r="W957" s="57"/>
      <c r="X957" s="58"/>
      <c r="Y957" s="75"/>
      <c r="Z957" s="59"/>
      <c r="AA957" s="61"/>
      <c r="AB957" s="61"/>
      <c r="AC957" s="61"/>
      <c r="AD957" s="62"/>
      <c r="AE957" s="62"/>
      <c r="AF957" s="34"/>
      <c r="AG957" s="34"/>
      <c r="AH957" s="34"/>
      <c r="AI957" s="34"/>
      <c r="AJ957" s="34"/>
      <c r="AK957" s="34"/>
      <c r="AL957" s="34"/>
      <c r="AM957" s="34"/>
      <c r="AN957" s="34"/>
      <c r="AO957" s="34"/>
      <c r="AP957" s="34"/>
      <c r="AQ957" s="34"/>
      <c r="AR957" s="34"/>
      <c r="AS957" s="34"/>
      <c r="AT957" s="34"/>
      <c r="AU957" s="34"/>
      <c r="AV957" s="34"/>
      <c r="AW957" s="34"/>
      <c r="AX957" s="34"/>
      <c r="AY957" s="34"/>
      <c r="AZ957" s="34"/>
      <c r="BA957" s="34"/>
      <c r="BB957" s="34"/>
      <c r="BD957" s="34"/>
      <c r="BE957" s="34"/>
      <c r="BF957" s="34"/>
      <c r="BG957" s="34"/>
      <c r="BH957" s="34"/>
      <c r="BI957" s="34"/>
      <c r="BJ957" s="34"/>
      <c r="BK957" s="34"/>
      <c r="BL957" s="34"/>
      <c r="BM957" s="34"/>
      <c r="BN957" s="34"/>
      <c r="BO957" s="34"/>
      <c r="BP957" s="34"/>
      <c r="BQ957" s="34"/>
      <c r="BR957" s="34"/>
      <c r="BS957" s="34"/>
      <c r="BT957" s="34"/>
      <c r="BU957" s="34"/>
      <c r="BV957" s="34"/>
      <c r="BW957" s="34"/>
      <c r="BX957" s="34"/>
      <c r="BY957" s="34"/>
    </row>
    <row r="958" spans="1:77" x14ac:dyDescent="0.3">
      <c r="A958" s="39"/>
      <c r="B958" s="42"/>
      <c r="C958" s="42"/>
      <c r="D958" s="75"/>
      <c r="E958" s="75"/>
      <c r="F958" s="76"/>
      <c r="G958" s="47"/>
      <c r="H958" s="47"/>
      <c r="I958" s="75"/>
      <c r="J958" s="76"/>
      <c r="K958" s="76"/>
      <c r="L958" s="75"/>
      <c r="M958" s="49"/>
      <c r="N958" s="76"/>
      <c r="O958" s="49"/>
      <c r="P958" s="77"/>
      <c r="Q958" s="53"/>
      <c r="R958" s="54"/>
      <c r="S958" s="55"/>
      <c r="T958" s="56"/>
      <c r="U958" s="56"/>
      <c r="V958" s="42"/>
      <c r="W958" s="57"/>
      <c r="X958" s="58"/>
      <c r="Y958" s="75"/>
      <c r="Z958" s="59"/>
      <c r="AA958" s="61"/>
      <c r="AB958" s="61"/>
      <c r="AC958" s="61"/>
      <c r="AD958" s="62"/>
      <c r="AE958" s="62"/>
      <c r="AF958" s="34"/>
      <c r="AG958" s="34"/>
      <c r="AH958" s="34"/>
      <c r="AI958" s="34"/>
      <c r="AJ958" s="34"/>
      <c r="AK958" s="34"/>
      <c r="AL958" s="34"/>
      <c r="AM958" s="34"/>
      <c r="AN958" s="34"/>
      <c r="AO958" s="34"/>
      <c r="AP958" s="34"/>
      <c r="AQ958" s="34"/>
      <c r="AR958" s="34"/>
      <c r="AS958" s="34"/>
      <c r="AT958" s="34"/>
      <c r="AU958" s="34"/>
      <c r="AV958" s="34"/>
      <c r="AW958" s="34"/>
      <c r="AX958" s="34"/>
      <c r="AY958" s="34"/>
      <c r="AZ958" s="34"/>
      <c r="BA958" s="34"/>
      <c r="BB958" s="34"/>
      <c r="BD958" s="34"/>
      <c r="BE958" s="34"/>
      <c r="BF958" s="34"/>
      <c r="BG958" s="34"/>
      <c r="BH958" s="34"/>
      <c r="BI958" s="34"/>
      <c r="BJ958" s="34"/>
      <c r="BK958" s="34"/>
      <c r="BL958" s="34"/>
      <c r="BM958" s="34"/>
      <c r="BN958" s="34"/>
      <c r="BO958" s="34"/>
      <c r="BP958" s="34"/>
      <c r="BQ958" s="34"/>
      <c r="BR958" s="34"/>
      <c r="BS958" s="34"/>
      <c r="BT958" s="34"/>
      <c r="BU958" s="34"/>
      <c r="BV958" s="34"/>
      <c r="BW958" s="34"/>
      <c r="BX958" s="34"/>
      <c r="BY958" s="34"/>
    </row>
    <row r="959" spans="1:77" x14ac:dyDescent="0.3">
      <c r="A959" s="39"/>
      <c r="B959" s="42"/>
      <c r="C959" s="42"/>
      <c r="D959" s="75"/>
      <c r="E959" s="75"/>
      <c r="F959" s="76"/>
      <c r="G959" s="47"/>
      <c r="H959" s="47"/>
      <c r="I959" s="75"/>
      <c r="J959" s="76"/>
      <c r="K959" s="76"/>
      <c r="L959" s="75"/>
      <c r="M959" s="49"/>
      <c r="N959" s="76"/>
      <c r="O959" s="49"/>
      <c r="P959" s="77"/>
      <c r="Q959" s="53"/>
      <c r="R959" s="54"/>
      <c r="S959" s="55"/>
      <c r="T959" s="56"/>
      <c r="U959" s="56"/>
      <c r="V959" s="42"/>
      <c r="W959" s="57"/>
      <c r="X959" s="58"/>
      <c r="Y959" s="75"/>
      <c r="Z959" s="59"/>
      <c r="AA959" s="61"/>
      <c r="AB959" s="61"/>
      <c r="AC959" s="61"/>
      <c r="AD959" s="62"/>
      <c r="AE959" s="62"/>
      <c r="AF959" s="34"/>
      <c r="AG959" s="34"/>
      <c r="AH959" s="34"/>
      <c r="AI959" s="34"/>
      <c r="AJ959" s="34"/>
      <c r="AK959" s="34"/>
      <c r="AL959" s="34"/>
      <c r="AM959" s="34"/>
      <c r="AN959" s="34"/>
      <c r="AO959" s="34"/>
      <c r="AP959" s="34"/>
      <c r="AQ959" s="34"/>
      <c r="AR959" s="34"/>
      <c r="AS959" s="34"/>
      <c r="AT959" s="34"/>
      <c r="AU959" s="34"/>
      <c r="AV959" s="34"/>
      <c r="AW959" s="34"/>
      <c r="AX959" s="34"/>
      <c r="AY959" s="34"/>
      <c r="AZ959" s="34"/>
      <c r="BA959" s="34"/>
      <c r="BB959" s="34"/>
      <c r="BD959" s="34"/>
      <c r="BE959" s="34"/>
      <c r="BF959" s="34"/>
      <c r="BG959" s="34"/>
      <c r="BH959" s="34"/>
      <c r="BI959" s="34"/>
      <c r="BJ959" s="34"/>
      <c r="BK959" s="34"/>
      <c r="BL959" s="34"/>
      <c r="BM959" s="34"/>
      <c r="BN959" s="34"/>
      <c r="BO959" s="34"/>
      <c r="BP959" s="34"/>
      <c r="BQ959" s="34"/>
      <c r="BR959" s="34"/>
      <c r="BS959" s="34"/>
      <c r="BT959" s="34"/>
      <c r="BU959" s="34"/>
      <c r="BV959" s="34"/>
      <c r="BW959" s="34"/>
      <c r="BX959" s="34"/>
      <c r="BY959" s="34"/>
    </row>
    <row r="960" spans="1:77" x14ac:dyDescent="0.3">
      <c r="A960" s="39"/>
      <c r="B960" s="42"/>
      <c r="C960" s="42"/>
      <c r="D960" s="75"/>
      <c r="E960" s="75"/>
      <c r="F960" s="76"/>
      <c r="G960" s="47"/>
      <c r="H960" s="47"/>
      <c r="I960" s="75"/>
      <c r="J960" s="76"/>
      <c r="K960" s="76"/>
      <c r="L960" s="75"/>
      <c r="M960" s="49"/>
      <c r="N960" s="76"/>
      <c r="O960" s="49"/>
      <c r="P960" s="77"/>
      <c r="Q960" s="53"/>
      <c r="R960" s="54"/>
      <c r="S960" s="55"/>
      <c r="T960" s="56"/>
      <c r="U960" s="56"/>
      <c r="V960" s="42"/>
      <c r="W960" s="57"/>
      <c r="X960" s="58"/>
      <c r="Y960" s="75"/>
      <c r="Z960" s="59"/>
      <c r="AA960" s="61"/>
      <c r="AB960" s="61"/>
      <c r="AC960" s="61"/>
      <c r="AD960" s="62"/>
      <c r="AE960" s="62"/>
      <c r="AF960" s="34"/>
      <c r="AG960" s="34"/>
      <c r="AH960" s="34"/>
      <c r="AI960" s="34"/>
      <c r="AJ960" s="34"/>
      <c r="AK960" s="34"/>
      <c r="AL960" s="34"/>
      <c r="AM960" s="34"/>
      <c r="AN960" s="34"/>
      <c r="AO960" s="34"/>
      <c r="AP960" s="34"/>
      <c r="AQ960" s="34"/>
      <c r="AR960" s="34"/>
      <c r="AS960" s="34"/>
      <c r="AT960" s="34"/>
      <c r="AU960" s="34"/>
      <c r="AV960" s="34"/>
      <c r="AW960" s="34"/>
      <c r="AX960" s="34"/>
      <c r="AY960" s="34"/>
      <c r="AZ960" s="34"/>
      <c r="BA960" s="34"/>
      <c r="BB960" s="34"/>
      <c r="BD960" s="34"/>
      <c r="BE960" s="34"/>
      <c r="BF960" s="34"/>
      <c r="BG960" s="34"/>
      <c r="BH960" s="34"/>
      <c r="BI960" s="34"/>
      <c r="BJ960" s="34"/>
      <c r="BK960" s="34"/>
      <c r="BL960" s="34"/>
      <c r="BM960" s="34"/>
      <c r="BN960" s="34"/>
      <c r="BO960" s="34"/>
      <c r="BP960" s="34"/>
      <c r="BQ960" s="34"/>
      <c r="BR960" s="34"/>
      <c r="BS960" s="34"/>
      <c r="BT960" s="34"/>
      <c r="BU960" s="34"/>
      <c r="BV960" s="34"/>
      <c r="BW960" s="34"/>
      <c r="BX960" s="34"/>
      <c r="BY960" s="34"/>
    </row>
    <row r="961" spans="1:77" x14ac:dyDescent="0.3">
      <c r="A961" s="39"/>
      <c r="B961" s="42"/>
      <c r="C961" s="42"/>
      <c r="D961" s="75"/>
      <c r="E961" s="75"/>
      <c r="F961" s="76"/>
      <c r="G961" s="47"/>
      <c r="H961" s="47"/>
      <c r="I961" s="75"/>
      <c r="J961" s="76"/>
      <c r="K961" s="76"/>
      <c r="L961" s="75"/>
      <c r="M961" s="49"/>
      <c r="N961" s="76"/>
      <c r="O961" s="49"/>
      <c r="P961" s="77"/>
      <c r="Q961" s="53"/>
      <c r="R961" s="54"/>
      <c r="S961" s="55"/>
      <c r="T961" s="56"/>
      <c r="U961" s="56"/>
      <c r="V961" s="42"/>
      <c r="W961" s="57"/>
      <c r="X961" s="58"/>
      <c r="Y961" s="75"/>
      <c r="Z961" s="59"/>
      <c r="AA961" s="61"/>
      <c r="AB961" s="61"/>
      <c r="AC961" s="61"/>
      <c r="AD961" s="62"/>
      <c r="AE961" s="62"/>
      <c r="AF961" s="34"/>
      <c r="AG961" s="34"/>
      <c r="AH961" s="34"/>
      <c r="AI961" s="34"/>
      <c r="AJ961" s="34"/>
      <c r="AK961" s="34"/>
      <c r="AL961" s="34"/>
      <c r="AM961" s="34"/>
      <c r="AN961" s="34"/>
      <c r="AO961" s="34"/>
      <c r="AP961" s="34"/>
      <c r="AQ961" s="34"/>
      <c r="AR961" s="34"/>
      <c r="AS961" s="34"/>
      <c r="AT961" s="34"/>
      <c r="AU961" s="34"/>
      <c r="AV961" s="34"/>
      <c r="AW961" s="34"/>
      <c r="AX961" s="34"/>
      <c r="AY961" s="34"/>
      <c r="AZ961" s="34"/>
      <c r="BA961" s="34"/>
      <c r="BB961" s="34"/>
      <c r="BD961" s="34"/>
      <c r="BE961" s="34"/>
      <c r="BF961" s="34"/>
      <c r="BG961" s="34"/>
      <c r="BH961" s="34"/>
      <c r="BI961" s="34"/>
      <c r="BJ961" s="34"/>
      <c r="BK961" s="34"/>
      <c r="BL961" s="34"/>
      <c r="BM961" s="34"/>
      <c r="BN961" s="34"/>
      <c r="BO961" s="34"/>
      <c r="BP961" s="34"/>
      <c r="BQ961" s="34"/>
      <c r="BR961" s="34"/>
      <c r="BS961" s="34"/>
      <c r="BT961" s="34"/>
      <c r="BU961" s="34"/>
      <c r="BV961" s="34"/>
      <c r="BW961" s="34"/>
      <c r="BX961" s="34"/>
      <c r="BY961" s="34"/>
    </row>
    <row r="962" spans="1:77" x14ac:dyDescent="0.3">
      <c r="A962" s="39"/>
      <c r="B962" s="42"/>
      <c r="C962" s="42"/>
      <c r="D962" s="75"/>
      <c r="E962" s="75"/>
      <c r="F962" s="76"/>
      <c r="G962" s="47"/>
      <c r="H962" s="47"/>
      <c r="I962" s="75"/>
      <c r="J962" s="76"/>
      <c r="K962" s="76"/>
      <c r="L962" s="75"/>
      <c r="M962" s="49"/>
      <c r="N962" s="76"/>
      <c r="O962" s="49"/>
      <c r="P962" s="77"/>
      <c r="Q962" s="53"/>
      <c r="R962" s="54"/>
      <c r="S962" s="55"/>
      <c r="T962" s="56"/>
      <c r="U962" s="56"/>
      <c r="V962" s="42"/>
      <c r="W962" s="57"/>
      <c r="X962" s="58"/>
      <c r="Y962" s="75"/>
      <c r="Z962" s="59"/>
      <c r="AA962" s="61"/>
      <c r="AB962" s="61"/>
      <c r="AC962" s="61"/>
      <c r="AD962" s="62"/>
      <c r="AE962" s="62"/>
      <c r="AF962" s="34"/>
      <c r="AG962" s="34"/>
      <c r="AH962" s="34"/>
      <c r="AI962" s="34"/>
      <c r="AJ962" s="34"/>
      <c r="AK962" s="34"/>
      <c r="AL962" s="34"/>
      <c r="AM962" s="34"/>
      <c r="AN962" s="34"/>
      <c r="AO962" s="34"/>
      <c r="AP962" s="34"/>
      <c r="AQ962" s="34"/>
      <c r="AR962" s="34"/>
      <c r="AS962" s="34"/>
      <c r="AT962" s="34"/>
      <c r="AU962" s="34"/>
      <c r="AV962" s="34"/>
      <c r="AW962" s="34"/>
      <c r="AX962" s="34"/>
      <c r="AY962" s="34"/>
      <c r="AZ962" s="34"/>
      <c r="BA962" s="34"/>
      <c r="BB962" s="34"/>
      <c r="BD962" s="34"/>
      <c r="BE962" s="34"/>
      <c r="BF962" s="34"/>
      <c r="BG962" s="34"/>
      <c r="BH962" s="34"/>
      <c r="BI962" s="34"/>
      <c r="BJ962" s="34"/>
      <c r="BK962" s="34"/>
      <c r="BL962" s="34"/>
      <c r="BM962" s="34"/>
      <c r="BN962" s="34"/>
      <c r="BO962" s="34"/>
      <c r="BP962" s="34"/>
      <c r="BQ962" s="34"/>
      <c r="BR962" s="34"/>
      <c r="BS962" s="34"/>
      <c r="BT962" s="34"/>
      <c r="BU962" s="34"/>
      <c r="BV962" s="34"/>
      <c r="BW962" s="34"/>
      <c r="BX962" s="34"/>
      <c r="BY962" s="34"/>
    </row>
    <row r="963" spans="1:77" x14ac:dyDescent="0.3">
      <c r="A963" s="39"/>
      <c r="B963" s="42"/>
      <c r="C963" s="42"/>
      <c r="D963" s="75"/>
      <c r="E963" s="75"/>
      <c r="F963" s="76"/>
      <c r="G963" s="47"/>
      <c r="H963" s="47"/>
      <c r="I963" s="75"/>
      <c r="J963" s="76"/>
      <c r="K963" s="76"/>
      <c r="L963" s="75"/>
      <c r="M963" s="49"/>
      <c r="N963" s="76"/>
      <c r="O963" s="49"/>
      <c r="P963" s="77"/>
      <c r="Q963" s="53"/>
      <c r="R963" s="54"/>
      <c r="S963" s="55"/>
      <c r="T963" s="56"/>
      <c r="U963" s="56"/>
      <c r="V963" s="42"/>
      <c r="W963" s="57"/>
      <c r="X963" s="58"/>
      <c r="Y963" s="75"/>
      <c r="Z963" s="59"/>
      <c r="AA963" s="61"/>
      <c r="AB963" s="61"/>
      <c r="AC963" s="61"/>
      <c r="AD963" s="62"/>
      <c r="AE963" s="62"/>
      <c r="AF963" s="34"/>
      <c r="AG963" s="34"/>
      <c r="AH963" s="34"/>
      <c r="AI963" s="34"/>
      <c r="AJ963" s="34"/>
      <c r="AK963" s="34"/>
      <c r="AL963" s="34"/>
      <c r="AM963" s="34"/>
      <c r="AN963" s="34"/>
      <c r="AO963" s="34"/>
      <c r="AP963" s="34"/>
      <c r="AQ963" s="34"/>
      <c r="AR963" s="34"/>
      <c r="AS963" s="34"/>
      <c r="AT963" s="34"/>
      <c r="AU963" s="34"/>
      <c r="AV963" s="34"/>
      <c r="AW963" s="34"/>
      <c r="AX963" s="34"/>
      <c r="AY963" s="34"/>
      <c r="AZ963" s="34"/>
      <c r="BA963" s="34"/>
      <c r="BB963" s="34"/>
      <c r="BD963" s="34"/>
      <c r="BE963" s="34"/>
      <c r="BF963" s="34"/>
      <c r="BG963" s="34"/>
      <c r="BH963" s="34"/>
      <c r="BI963" s="34"/>
      <c r="BJ963" s="34"/>
      <c r="BK963" s="34"/>
      <c r="BL963" s="34"/>
      <c r="BM963" s="34"/>
      <c r="BN963" s="34"/>
      <c r="BO963" s="34"/>
      <c r="BP963" s="34"/>
      <c r="BQ963" s="34"/>
      <c r="BR963" s="34"/>
      <c r="BS963" s="34"/>
      <c r="BT963" s="34"/>
      <c r="BU963" s="34"/>
      <c r="BV963" s="34"/>
      <c r="BW963" s="34"/>
      <c r="BX963" s="34"/>
      <c r="BY963" s="34"/>
    </row>
    <row r="964" spans="1:77" x14ac:dyDescent="0.3">
      <c r="A964" s="39"/>
      <c r="B964" s="42"/>
      <c r="C964" s="42"/>
      <c r="D964" s="75"/>
      <c r="E964" s="75"/>
      <c r="F964" s="76"/>
      <c r="G964" s="47"/>
      <c r="H964" s="47"/>
      <c r="I964" s="75"/>
      <c r="J964" s="76"/>
      <c r="K964" s="76"/>
      <c r="L964" s="75"/>
      <c r="M964" s="49"/>
      <c r="N964" s="76"/>
      <c r="O964" s="49"/>
      <c r="P964" s="77"/>
      <c r="Q964" s="53"/>
      <c r="R964" s="54"/>
      <c r="S964" s="55"/>
      <c r="T964" s="56"/>
      <c r="U964" s="56"/>
      <c r="V964" s="42"/>
      <c r="W964" s="57"/>
      <c r="X964" s="58"/>
      <c r="Y964" s="75"/>
      <c r="Z964" s="59"/>
      <c r="AA964" s="61"/>
      <c r="AB964" s="61"/>
      <c r="AC964" s="61"/>
      <c r="AD964" s="62"/>
      <c r="AE964" s="62"/>
      <c r="AF964" s="34"/>
      <c r="AG964" s="34"/>
      <c r="AH964" s="34"/>
      <c r="AI964" s="34"/>
      <c r="AJ964" s="34"/>
      <c r="AK964" s="34"/>
      <c r="AL964" s="34"/>
      <c r="AM964" s="34"/>
      <c r="AN964" s="34"/>
      <c r="AO964" s="34"/>
      <c r="AP964" s="34"/>
      <c r="AQ964" s="34"/>
      <c r="AR964" s="34"/>
      <c r="AS964" s="34"/>
      <c r="AT964" s="34"/>
      <c r="AU964" s="34"/>
      <c r="AV964" s="34"/>
      <c r="AW964" s="34"/>
      <c r="AX964" s="34"/>
      <c r="AY964" s="34"/>
      <c r="AZ964" s="34"/>
      <c r="BA964" s="34"/>
      <c r="BB964" s="34"/>
      <c r="BD964" s="34"/>
      <c r="BE964" s="34"/>
      <c r="BF964" s="34"/>
      <c r="BG964" s="34"/>
      <c r="BH964" s="34"/>
      <c r="BI964" s="34"/>
      <c r="BJ964" s="34"/>
      <c r="BK964" s="34"/>
      <c r="BL964" s="34"/>
      <c r="BM964" s="34"/>
      <c r="BN964" s="34"/>
      <c r="BO964" s="34"/>
      <c r="BP964" s="34"/>
      <c r="BQ964" s="34"/>
      <c r="BR964" s="34"/>
      <c r="BS964" s="34"/>
      <c r="BT964" s="34"/>
      <c r="BU964" s="34"/>
      <c r="BV964" s="34"/>
      <c r="BW964" s="34"/>
      <c r="BX964" s="34"/>
      <c r="BY964" s="34"/>
    </row>
    <row r="965" spans="1:77" x14ac:dyDescent="0.3">
      <c r="A965" s="39"/>
      <c r="B965" s="42"/>
      <c r="C965" s="42"/>
      <c r="D965" s="75"/>
      <c r="E965" s="75"/>
      <c r="F965" s="76"/>
      <c r="G965" s="47"/>
      <c r="H965" s="47"/>
      <c r="I965" s="75"/>
      <c r="J965" s="76"/>
      <c r="K965" s="76"/>
      <c r="L965" s="75"/>
      <c r="M965" s="49"/>
      <c r="N965" s="76"/>
      <c r="O965" s="49"/>
      <c r="P965" s="77"/>
      <c r="Q965" s="53"/>
      <c r="R965" s="54"/>
      <c r="S965" s="55"/>
      <c r="T965" s="56"/>
      <c r="U965" s="56"/>
      <c r="V965" s="42"/>
      <c r="W965" s="57"/>
      <c r="X965" s="58"/>
      <c r="Y965" s="75"/>
      <c r="Z965" s="59"/>
      <c r="AA965" s="61"/>
      <c r="AB965" s="61"/>
      <c r="AC965" s="61"/>
      <c r="AD965" s="62"/>
      <c r="AE965" s="62"/>
      <c r="AF965" s="34"/>
      <c r="AG965" s="34"/>
      <c r="AH965" s="34"/>
      <c r="AI965" s="34"/>
      <c r="AJ965" s="34"/>
      <c r="AK965" s="34"/>
      <c r="AL965" s="34"/>
      <c r="AM965" s="34"/>
      <c r="AN965" s="34"/>
      <c r="AO965" s="34"/>
      <c r="AP965" s="34"/>
      <c r="AQ965" s="34"/>
      <c r="AR965" s="34"/>
      <c r="AS965" s="34"/>
      <c r="AT965" s="34"/>
      <c r="AU965" s="34"/>
      <c r="AV965" s="34"/>
      <c r="AW965" s="34"/>
      <c r="AX965" s="34"/>
      <c r="AY965" s="34"/>
      <c r="AZ965" s="34"/>
      <c r="BA965" s="34"/>
      <c r="BB965" s="34"/>
      <c r="BD965" s="34"/>
      <c r="BE965" s="34"/>
      <c r="BF965" s="34"/>
      <c r="BG965" s="34"/>
      <c r="BH965" s="34"/>
      <c r="BI965" s="34"/>
      <c r="BJ965" s="34"/>
      <c r="BK965" s="34"/>
      <c r="BL965" s="34"/>
      <c r="BM965" s="34"/>
      <c r="BN965" s="34"/>
      <c r="BO965" s="34"/>
      <c r="BP965" s="34"/>
      <c r="BQ965" s="34"/>
      <c r="BR965" s="34"/>
      <c r="BS965" s="34"/>
      <c r="BT965" s="34"/>
      <c r="BU965" s="34"/>
      <c r="BV965" s="34"/>
      <c r="BW965" s="34"/>
      <c r="BX965" s="34"/>
      <c r="BY965" s="34"/>
    </row>
    <row r="966" spans="1:77" x14ac:dyDescent="0.3">
      <c r="A966" s="39"/>
      <c r="B966" s="42"/>
      <c r="C966" s="42"/>
      <c r="D966" s="75"/>
      <c r="E966" s="75"/>
      <c r="F966" s="76"/>
      <c r="G966" s="47"/>
      <c r="H966" s="47"/>
      <c r="I966" s="75"/>
      <c r="J966" s="76"/>
      <c r="K966" s="76"/>
      <c r="L966" s="75"/>
      <c r="M966" s="49"/>
      <c r="N966" s="76"/>
      <c r="O966" s="49"/>
      <c r="P966" s="77"/>
      <c r="Q966" s="53"/>
      <c r="R966" s="54"/>
      <c r="S966" s="55"/>
      <c r="T966" s="56"/>
      <c r="U966" s="56"/>
      <c r="V966" s="42"/>
      <c r="W966" s="57"/>
      <c r="X966" s="58"/>
      <c r="Y966" s="75"/>
      <c r="Z966" s="59"/>
      <c r="AA966" s="61"/>
      <c r="AB966" s="61"/>
      <c r="AC966" s="61"/>
      <c r="AD966" s="62"/>
      <c r="AE966" s="62"/>
      <c r="AF966" s="34"/>
      <c r="AG966" s="34"/>
      <c r="AH966" s="34"/>
      <c r="AI966" s="34"/>
      <c r="AJ966" s="34"/>
      <c r="AK966" s="34"/>
      <c r="AL966" s="34"/>
      <c r="AM966" s="34"/>
      <c r="AN966" s="34"/>
      <c r="AO966" s="34"/>
      <c r="AP966" s="34"/>
      <c r="AQ966" s="34"/>
      <c r="AR966" s="34"/>
      <c r="AS966" s="34"/>
      <c r="AT966" s="34"/>
      <c r="AU966" s="34"/>
      <c r="AV966" s="34"/>
      <c r="AW966" s="34"/>
      <c r="AX966" s="34"/>
      <c r="AY966" s="34"/>
      <c r="AZ966" s="34"/>
      <c r="BA966" s="34"/>
      <c r="BB966" s="34"/>
      <c r="BD966" s="34"/>
      <c r="BE966" s="34"/>
      <c r="BF966" s="34"/>
      <c r="BG966" s="34"/>
      <c r="BH966" s="34"/>
      <c r="BI966" s="34"/>
      <c r="BJ966" s="34"/>
      <c r="BK966" s="34"/>
      <c r="BL966" s="34"/>
      <c r="BM966" s="34"/>
      <c r="BN966" s="34"/>
      <c r="BO966" s="34"/>
      <c r="BP966" s="34"/>
      <c r="BQ966" s="34"/>
      <c r="BR966" s="34"/>
      <c r="BS966" s="34"/>
      <c r="BT966" s="34"/>
      <c r="BU966" s="34"/>
      <c r="BV966" s="34"/>
      <c r="BW966" s="34"/>
      <c r="BX966" s="34"/>
      <c r="BY966" s="34"/>
    </row>
    <row r="967" spans="1:77" x14ac:dyDescent="0.3">
      <c r="A967" s="39"/>
      <c r="B967" s="42"/>
      <c r="C967" s="42"/>
      <c r="D967" s="75"/>
      <c r="E967" s="75"/>
      <c r="F967" s="76"/>
      <c r="G967" s="47"/>
      <c r="H967" s="47"/>
      <c r="I967" s="75"/>
      <c r="J967" s="76"/>
      <c r="K967" s="76"/>
      <c r="L967" s="75"/>
      <c r="M967" s="49"/>
      <c r="N967" s="76"/>
      <c r="O967" s="49"/>
      <c r="P967" s="77"/>
      <c r="Q967" s="53"/>
      <c r="R967" s="54"/>
      <c r="S967" s="55"/>
      <c r="T967" s="56"/>
      <c r="U967" s="56"/>
      <c r="V967" s="42"/>
      <c r="W967" s="57"/>
      <c r="X967" s="58"/>
      <c r="Y967" s="75"/>
      <c r="Z967" s="59"/>
      <c r="AA967" s="61"/>
      <c r="AB967" s="61"/>
      <c r="AC967" s="61"/>
      <c r="AD967" s="62"/>
      <c r="AE967" s="62"/>
      <c r="AF967" s="34"/>
      <c r="AG967" s="34"/>
      <c r="AH967" s="34"/>
      <c r="AI967" s="34"/>
      <c r="AJ967" s="34"/>
      <c r="AK967" s="34"/>
      <c r="AL967" s="34"/>
      <c r="AM967" s="34"/>
      <c r="AN967" s="34"/>
      <c r="AO967" s="34"/>
      <c r="AP967" s="34"/>
      <c r="AQ967" s="34"/>
      <c r="AR967" s="34"/>
      <c r="AS967" s="34"/>
      <c r="AT967" s="34"/>
      <c r="AU967" s="34"/>
      <c r="AV967" s="34"/>
      <c r="AW967" s="34"/>
      <c r="AX967" s="34"/>
      <c r="AY967" s="34"/>
      <c r="AZ967" s="34"/>
      <c r="BA967" s="34"/>
      <c r="BB967" s="34"/>
      <c r="BD967" s="34"/>
      <c r="BE967" s="34"/>
      <c r="BF967" s="34"/>
      <c r="BG967" s="34"/>
      <c r="BH967" s="34"/>
      <c r="BI967" s="34"/>
      <c r="BJ967" s="34"/>
      <c r="BK967" s="34"/>
      <c r="BL967" s="34"/>
      <c r="BM967" s="34"/>
      <c r="BN967" s="34"/>
      <c r="BO967" s="34"/>
      <c r="BP967" s="34"/>
      <c r="BQ967" s="34"/>
      <c r="BR967" s="34"/>
      <c r="BS967" s="34"/>
      <c r="BT967" s="34"/>
      <c r="BU967" s="34"/>
      <c r="BV967" s="34"/>
      <c r="BW967" s="34"/>
      <c r="BX967" s="34"/>
      <c r="BY967" s="34"/>
    </row>
    <row r="968" spans="1:77" x14ac:dyDescent="0.3">
      <c r="A968" s="39"/>
      <c r="B968" s="42"/>
      <c r="C968" s="42"/>
      <c r="D968" s="75"/>
      <c r="E968" s="75"/>
      <c r="F968" s="76"/>
      <c r="G968" s="47"/>
      <c r="H968" s="47"/>
      <c r="I968" s="75"/>
      <c r="J968" s="76"/>
      <c r="K968" s="76"/>
      <c r="L968" s="75"/>
      <c r="M968" s="49"/>
      <c r="N968" s="76"/>
      <c r="O968" s="49"/>
      <c r="P968" s="77"/>
      <c r="Q968" s="53"/>
      <c r="R968" s="54"/>
      <c r="S968" s="55"/>
      <c r="T968" s="56"/>
      <c r="U968" s="56"/>
      <c r="V968" s="42"/>
      <c r="W968" s="57"/>
      <c r="X968" s="58"/>
      <c r="Y968" s="75"/>
      <c r="Z968" s="59"/>
      <c r="AA968" s="61"/>
      <c r="AB968" s="61"/>
      <c r="AC968" s="61"/>
      <c r="AD968" s="62"/>
      <c r="AE968" s="62"/>
      <c r="AF968" s="34"/>
      <c r="AG968" s="34"/>
      <c r="AH968" s="34"/>
      <c r="AI968" s="34"/>
      <c r="AJ968" s="34"/>
      <c r="AK968" s="34"/>
      <c r="AL968" s="34"/>
      <c r="AM968" s="34"/>
      <c r="AN968" s="34"/>
      <c r="AO968" s="34"/>
      <c r="AP968" s="34"/>
      <c r="AQ968" s="34"/>
      <c r="AR968" s="34"/>
      <c r="AS968" s="34"/>
      <c r="AT968" s="34"/>
      <c r="AU968" s="34"/>
      <c r="AV968" s="34"/>
      <c r="AW968" s="34"/>
      <c r="AX968" s="34"/>
      <c r="AY968" s="34"/>
      <c r="AZ968" s="34"/>
      <c r="BA968" s="34"/>
      <c r="BB968" s="34"/>
      <c r="BD968" s="34"/>
      <c r="BE968" s="34"/>
      <c r="BF968" s="34"/>
      <c r="BG968" s="34"/>
      <c r="BH968" s="34"/>
      <c r="BI968" s="34"/>
      <c r="BJ968" s="34"/>
      <c r="BK968" s="34"/>
      <c r="BL968" s="34"/>
      <c r="BM968" s="34"/>
      <c r="BN968" s="34"/>
      <c r="BO968" s="34"/>
      <c r="BP968" s="34"/>
      <c r="BQ968" s="34"/>
      <c r="BR968" s="34"/>
      <c r="BS968" s="34"/>
      <c r="BT968" s="34"/>
      <c r="BU968" s="34"/>
      <c r="BV968" s="34"/>
      <c r="BW968" s="34"/>
      <c r="BX968" s="34"/>
      <c r="BY968" s="34"/>
    </row>
    <row r="969" spans="1:77" x14ac:dyDescent="0.3">
      <c r="A969" s="39"/>
      <c r="B969" s="42"/>
      <c r="C969" s="42"/>
      <c r="D969" s="75"/>
      <c r="E969" s="75"/>
      <c r="F969" s="76"/>
      <c r="G969" s="47"/>
      <c r="H969" s="47"/>
      <c r="I969" s="75"/>
      <c r="J969" s="76"/>
      <c r="K969" s="76"/>
      <c r="L969" s="75"/>
      <c r="M969" s="49"/>
      <c r="N969" s="76"/>
      <c r="O969" s="49"/>
      <c r="P969" s="77"/>
      <c r="Q969" s="53"/>
      <c r="R969" s="54"/>
      <c r="S969" s="55"/>
      <c r="T969" s="56"/>
      <c r="U969" s="56"/>
      <c r="V969" s="42"/>
      <c r="W969" s="57"/>
      <c r="X969" s="58"/>
      <c r="Y969" s="75"/>
      <c r="Z969" s="59"/>
      <c r="AA969" s="61"/>
      <c r="AB969" s="61"/>
      <c r="AC969" s="61"/>
      <c r="AD969" s="62"/>
      <c r="AE969" s="62"/>
      <c r="AF969" s="34"/>
      <c r="AG969" s="34"/>
      <c r="AH969" s="34"/>
      <c r="AI969" s="34"/>
      <c r="AJ969" s="34"/>
      <c r="AK969" s="34"/>
      <c r="AL969" s="34"/>
      <c r="AM969" s="34"/>
      <c r="AN969" s="34"/>
      <c r="AO969" s="34"/>
      <c r="AP969" s="34"/>
      <c r="AQ969" s="34"/>
      <c r="AR969" s="34"/>
      <c r="AS969" s="34"/>
      <c r="AT969" s="34"/>
      <c r="AU969" s="34"/>
      <c r="AV969" s="34"/>
      <c r="AW969" s="34"/>
      <c r="AX969" s="34"/>
      <c r="AY969" s="34"/>
      <c r="AZ969" s="34"/>
      <c r="BA969" s="34"/>
      <c r="BB969" s="34"/>
      <c r="BD969" s="34"/>
      <c r="BE969" s="34"/>
      <c r="BF969" s="34"/>
      <c r="BG969" s="34"/>
      <c r="BH969" s="34"/>
      <c r="BI969" s="34"/>
      <c r="BJ969" s="34"/>
      <c r="BK969" s="34"/>
      <c r="BL969" s="34"/>
      <c r="BM969" s="34"/>
      <c r="BN969" s="34"/>
      <c r="BO969" s="34"/>
      <c r="BP969" s="34"/>
      <c r="BQ969" s="34"/>
      <c r="BR969" s="34"/>
      <c r="BS969" s="34"/>
      <c r="BT969" s="34"/>
      <c r="BU969" s="34"/>
      <c r="BV969" s="34"/>
      <c r="BW969" s="34"/>
      <c r="BX969" s="34"/>
      <c r="BY969" s="34"/>
    </row>
    <row r="970" spans="1:77" x14ac:dyDescent="0.3">
      <c r="A970" s="39"/>
      <c r="B970" s="42"/>
      <c r="C970" s="42"/>
      <c r="D970" s="75"/>
      <c r="E970" s="75"/>
      <c r="F970" s="76"/>
      <c r="G970" s="47"/>
      <c r="H970" s="47"/>
      <c r="I970" s="75"/>
      <c r="J970" s="76"/>
      <c r="K970" s="76"/>
      <c r="L970" s="75"/>
      <c r="M970" s="49"/>
      <c r="N970" s="76"/>
      <c r="O970" s="49"/>
      <c r="P970" s="77"/>
      <c r="Q970" s="53"/>
      <c r="R970" s="54"/>
      <c r="S970" s="55"/>
      <c r="T970" s="56"/>
      <c r="U970" s="56"/>
      <c r="V970" s="42"/>
      <c r="W970" s="57"/>
      <c r="X970" s="58"/>
      <c r="Y970" s="75"/>
      <c r="Z970" s="59"/>
      <c r="AA970" s="61"/>
      <c r="AB970" s="61"/>
      <c r="AC970" s="61"/>
      <c r="AD970" s="62"/>
      <c r="AE970" s="62"/>
      <c r="AF970" s="34"/>
      <c r="AG970" s="34"/>
      <c r="AH970" s="34"/>
      <c r="AI970" s="34"/>
      <c r="AJ970" s="34"/>
      <c r="AK970" s="34"/>
      <c r="AL970" s="34"/>
      <c r="AM970" s="34"/>
      <c r="AN970" s="34"/>
      <c r="AO970" s="34"/>
      <c r="AP970" s="34"/>
      <c r="AQ970" s="34"/>
      <c r="AR970" s="34"/>
      <c r="AS970" s="34"/>
      <c r="AT970" s="34"/>
      <c r="AU970" s="34"/>
      <c r="AV970" s="34"/>
      <c r="AW970" s="34"/>
      <c r="AX970" s="34"/>
      <c r="AY970" s="34"/>
      <c r="AZ970" s="34"/>
      <c r="BA970" s="34"/>
      <c r="BB970" s="34"/>
      <c r="BD970" s="34"/>
      <c r="BE970" s="34"/>
      <c r="BF970" s="34"/>
      <c r="BG970" s="34"/>
      <c r="BH970" s="34"/>
      <c r="BI970" s="34"/>
      <c r="BJ970" s="34"/>
      <c r="BK970" s="34"/>
      <c r="BL970" s="34"/>
      <c r="BM970" s="34"/>
      <c r="BN970" s="34"/>
      <c r="BO970" s="34"/>
      <c r="BP970" s="34"/>
      <c r="BQ970" s="34"/>
      <c r="BR970" s="34"/>
      <c r="BS970" s="34"/>
      <c r="BT970" s="34"/>
      <c r="BU970" s="34"/>
      <c r="BV970" s="34"/>
      <c r="BW970" s="34"/>
      <c r="BX970" s="34"/>
      <c r="BY970" s="34"/>
    </row>
    <row r="971" spans="1:77" x14ac:dyDescent="0.3">
      <c r="A971" s="39"/>
      <c r="B971" s="42"/>
      <c r="C971" s="42"/>
      <c r="D971" s="75"/>
      <c r="E971" s="75"/>
      <c r="F971" s="76"/>
      <c r="G971" s="47"/>
      <c r="H971" s="47"/>
      <c r="I971" s="75"/>
      <c r="J971" s="76"/>
      <c r="K971" s="76"/>
      <c r="L971" s="75"/>
      <c r="M971" s="49"/>
      <c r="N971" s="76"/>
      <c r="O971" s="49"/>
      <c r="P971" s="77"/>
      <c r="Q971" s="53"/>
      <c r="R971" s="54"/>
      <c r="S971" s="55"/>
      <c r="T971" s="56"/>
      <c r="U971" s="56"/>
      <c r="V971" s="42"/>
      <c r="W971" s="57"/>
      <c r="X971" s="58"/>
      <c r="Y971" s="75"/>
      <c r="Z971" s="59"/>
      <c r="AA971" s="61"/>
      <c r="AB971" s="61"/>
      <c r="AC971" s="61"/>
      <c r="AD971" s="62"/>
      <c r="AE971" s="62"/>
      <c r="AF971" s="34"/>
      <c r="AG971" s="34"/>
      <c r="AH971" s="34"/>
      <c r="AI971" s="34"/>
      <c r="AJ971" s="34"/>
      <c r="AK971" s="34"/>
      <c r="AL971" s="34"/>
      <c r="AM971" s="34"/>
      <c r="AN971" s="34"/>
      <c r="AO971" s="34"/>
      <c r="AP971" s="34"/>
      <c r="AQ971" s="34"/>
      <c r="AR971" s="34"/>
      <c r="AS971" s="34"/>
      <c r="AT971" s="34"/>
      <c r="AU971" s="34"/>
      <c r="AV971" s="34"/>
      <c r="AW971" s="34"/>
      <c r="AX971" s="34"/>
      <c r="AY971" s="34"/>
      <c r="AZ971" s="34"/>
      <c r="BA971" s="34"/>
      <c r="BB971" s="34"/>
      <c r="BD971" s="34"/>
      <c r="BE971" s="34"/>
      <c r="BF971" s="34"/>
      <c r="BG971" s="34"/>
      <c r="BH971" s="34"/>
      <c r="BI971" s="34"/>
      <c r="BJ971" s="34"/>
      <c r="BK971" s="34"/>
      <c r="BL971" s="34"/>
      <c r="BM971" s="34"/>
      <c r="BN971" s="34"/>
      <c r="BO971" s="34"/>
      <c r="BP971" s="34"/>
      <c r="BQ971" s="34"/>
      <c r="BR971" s="34"/>
      <c r="BS971" s="34"/>
      <c r="BT971" s="34"/>
      <c r="BU971" s="34"/>
      <c r="BV971" s="34"/>
      <c r="BW971" s="34"/>
      <c r="BX971" s="34"/>
      <c r="BY971" s="34"/>
    </row>
    <row r="972" spans="1:77" x14ac:dyDescent="0.3">
      <c r="A972" s="39"/>
      <c r="B972" s="42"/>
      <c r="C972" s="42"/>
      <c r="D972" s="75"/>
      <c r="E972" s="75"/>
      <c r="F972" s="76"/>
      <c r="G972" s="47"/>
      <c r="H972" s="47"/>
      <c r="I972" s="75"/>
      <c r="J972" s="76"/>
      <c r="K972" s="76"/>
      <c r="L972" s="75"/>
      <c r="M972" s="49"/>
      <c r="N972" s="76"/>
      <c r="O972" s="49"/>
      <c r="P972" s="77"/>
      <c r="Q972" s="53"/>
      <c r="R972" s="54"/>
      <c r="S972" s="55"/>
      <c r="T972" s="56"/>
      <c r="U972" s="56"/>
      <c r="V972" s="42"/>
      <c r="W972" s="57"/>
      <c r="X972" s="58"/>
      <c r="Y972" s="75"/>
      <c r="Z972" s="59"/>
      <c r="AA972" s="61"/>
      <c r="AB972" s="61"/>
      <c r="AC972" s="61"/>
      <c r="AD972" s="62"/>
      <c r="AE972" s="62"/>
      <c r="AF972" s="34"/>
      <c r="AG972" s="34"/>
      <c r="AH972" s="34"/>
      <c r="AI972" s="34"/>
      <c r="AJ972" s="34"/>
      <c r="AK972" s="34"/>
      <c r="AL972" s="34"/>
      <c r="AM972" s="34"/>
      <c r="AN972" s="34"/>
      <c r="AO972" s="34"/>
      <c r="AP972" s="34"/>
      <c r="AQ972" s="34"/>
      <c r="AR972" s="34"/>
      <c r="AS972" s="34"/>
      <c r="AT972" s="34"/>
      <c r="AU972" s="34"/>
      <c r="AV972" s="34"/>
      <c r="AW972" s="34"/>
      <c r="AX972" s="34"/>
      <c r="AY972" s="34"/>
      <c r="AZ972" s="34"/>
      <c r="BA972" s="34"/>
      <c r="BB972" s="34"/>
      <c r="BD972" s="34"/>
      <c r="BE972" s="34"/>
      <c r="BF972" s="34"/>
      <c r="BG972" s="34"/>
      <c r="BH972" s="34"/>
      <c r="BI972" s="34"/>
      <c r="BJ972" s="34"/>
      <c r="BK972" s="34"/>
      <c r="BL972" s="34"/>
      <c r="BM972" s="34"/>
      <c r="BN972" s="34"/>
      <c r="BO972" s="34"/>
      <c r="BP972" s="34"/>
      <c r="BQ972" s="34"/>
      <c r="BR972" s="34"/>
      <c r="BS972" s="34"/>
      <c r="BT972" s="34"/>
      <c r="BU972" s="34"/>
      <c r="BV972" s="34"/>
      <c r="BW972" s="34"/>
      <c r="BX972" s="34"/>
      <c r="BY972" s="34"/>
    </row>
    <row r="973" spans="1:77" x14ac:dyDescent="0.3">
      <c r="A973" s="39"/>
      <c r="B973" s="42"/>
      <c r="C973" s="42"/>
      <c r="D973" s="75"/>
      <c r="E973" s="75"/>
      <c r="F973" s="76"/>
      <c r="G973" s="47"/>
      <c r="H973" s="47"/>
      <c r="I973" s="75"/>
      <c r="J973" s="76"/>
      <c r="K973" s="76"/>
      <c r="L973" s="75"/>
      <c r="M973" s="49"/>
      <c r="N973" s="76"/>
      <c r="O973" s="49"/>
      <c r="P973" s="77"/>
      <c r="Q973" s="53"/>
      <c r="R973" s="54"/>
      <c r="S973" s="55"/>
      <c r="T973" s="56"/>
      <c r="U973" s="56"/>
      <c r="V973" s="42"/>
      <c r="W973" s="57"/>
      <c r="X973" s="58"/>
      <c r="Y973" s="75"/>
      <c r="Z973" s="59"/>
      <c r="AA973" s="61"/>
      <c r="AB973" s="61"/>
      <c r="AC973" s="61"/>
      <c r="AD973" s="62"/>
      <c r="AE973" s="62"/>
      <c r="AF973" s="34"/>
      <c r="AG973" s="34"/>
      <c r="AH973" s="34"/>
      <c r="AI973" s="34"/>
      <c r="AJ973" s="34"/>
      <c r="AK973" s="34"/>
      <c r="AL973" s="34"/>
      <c r="AM973" s="34"/>
      <c r="AN973" s="34"/>
      <c r="AO973" s="34"/>
      <c r="AP973" s="34"/>
      <c r="AQ973" s="34"/>
      <c r="AR973" s="34"/>
      <c r="AS973" s="34"/>
      <c r="AT973" s="34"/>
      <c r="AU973" s="34"/>
      <c r="AV973" s="34"/>
      <c r="AW973" s="34"/>
      <c r="AX973" s="34"/>
      <c r="AY973" s="34"/>
      <c r="AZ973" s="34"/>
      <c r="BA973" s="34"/>
      <c r="BB973" s="34"/>
      <c r="BD973" s="34"/>
      <c r="BE973" s="34"/>
      <c r="BF973" s="34"/>
      <c r="BG973" s="34"/>
      <c r="BH973" s="34"/>
      <c r="BI973" s="34"/>
      <c r="BJ973" s="34"/>
      <c r="BK973" s="34"/>
      <c r="BL973" s="34"/>
      <c r="BM973" s="34"/>
      <c r="BN973" s="34"/>
      <c r="BO973" s="34"/>
      <c r="BP973" s="34"/>
      <c r="BQ973" s="34"/>
      <c r="BR973" s="34"/>
      <c r="BS973" s="34"/>
      <c r="BT973" s="34"/>
      <c r="BU973" s="34"/>
      <c r="BV973" s="34"/>
      <c r="BW973" s="34"/>
      <c r="BX973" s="34"/>
      <c r="BY973" s="34"/>
    </row>
    <row r="974" spans="1:77" x14ac:dyDescent="0.3">
      <c r="A974" s="39"/>
      <c r="B974" s="42"/>
      <c r="C974" s="42"/>
      <c r="D974" s="75"/>
      <c r="E974" s="75"/>
      <c r="F974" s="76"/>
      <c r="G974" s="47"/>
      <c r="H974" s="47"/>
      <c r="I974" s="75"/>
      <c r="J974" s="76"/>
      <c r="K974" s="76"/>
      <c r="L974" s="75"/>
      <c r="M974" s="49"/>
      <c r="N974" s="76"/>
      <c r="O974" s="49"/>
      <c r="P974" s="77"/>
      <c r="Q974" s="53"/>
      <c r="R974" s="54"/>
      <c r="S974" s="55"/>
      <c r="T974" s="56"/>
      <c r="U974" s="56"/>
      <c r="V974" s="42"/>
      <c r="W974" s="57"/>
      <c r="X974" s="58"/>
      <c r="Y974" s="75"/>
      <c r="Z974" s="59"/>
      <c r="AA974" s="61"/>
      <c r="AB974" s="61"/>
      <c r="AC974" s="61"/>
      <c r="AD974" s="62"/>
      <c r="AE974" s="62"/>
      <c r="AF974" s="34"/>
      <c r="AG974" s="34"/>
      <c r="AH974" s="34"/>
      <c r="AI974" s="34"/>
      <c r="AJ974" s="34"/>
      <c r="AK974" s="34"/>
      <c r="AL974" s="34"/>
      <c r="AM974" s="34"/>
      <c r="AN974" s="34"/>
      <c r="AO974" s="34"/>
      <c r="AP974" s="34"/>
      <c r="AQ974" s="34"/>
      <c r="AR974" s="34"/>
      <c r="AS974" s="34"/>
      <c r="AT974" s="34"/>
      <c r="AU974" s="34"/>
      <c r="AV974" s="34"/>
      <c r="AW974" s="34"/>
      <c r="AX974" s="34"/>
      <c r="AY974" s="34"/>
      <c r="AZ974" s="34"/>
      <c r="BA974" s="34"/>
      <c r="BB974" s="34"/>
      <c r="BD974" s="34"/>
      <c r="BE974" s="34"/>
      <c r="BF974" s="34"/>
      <c r="BG974" s="34"/>
      <c r="BH974" s="34"/>
      <c r="BI974" s="34"/>
      <c r="BJ974" s="34"/>
      <c r="BK974" s="34"/>
      <c r="BL974" s="34"/>
      <c r="BM974" s="34"/>
      <c r="BN974" s="34"/>
      <c r="BO974" s="34"/>
      <c r="BP974" s="34"/>
      <c r="BQ974" s="34"/>
      <c r="BR974" s="34"/>
      <c r="BS974" s="34"/>
      <c r="BT974" s="34"/>
      <c r="BU974" s="34"/>
      <c r="BV974" s="34"/>
      <c r="BW974" s="34"/>
      <c r="BX974" s="34"/>
      <c r="BY974" s="34"/>
    </row>
    <row r="975" spans="1:77" x14ac:dyDescent="0.3">
      <c r="A975" s="39"/>
      <c r="B975" s="42"/>
      <c r="C975" s="42"/>
      <c r="D975" s="75"/>
      <c r="E975" s="75"/>
      <c r="F975" s="76"/>
      <c r="G975" s="47"/>
      <c r="H975" s="47"/>
      <c r="I975" s="75"/>
      <c r="J975" s="76"/>
      <c r="K975" s="76"/>
      <c r="L975" s="75"/>
      <c r="M975" s="49"/>
      <c r="N975" s="76"/>
      <c r="O975" s="49"/>
      <c r="P975" s="77"/>
      <c r="Q975" s="53"/>
      <c r="R975" s="54"/>
      <c r="S975" s="55"/>
      <c r="T975" s="56"/>
      <c r="U975" s="56"/>
      <c r="V975" s="42"/>
      <c r="W975" s="57"/>
      <c r="X975" s="58"/>
      <c r="Y975" s="75"/>
      <c r="Z975" s="59"/>
      <c r="AA975" s="61"/>
      <c r="AB975" s="61"/>
      <c r="AC975" s="61"/>
      <c r="AD975" s="62"/>
      <c r="AE975" s="62"/>
      <c r="AF975" s="34"/>
      <c r="AG975" s="34"/>
      <c r="AH975" s="34"/>
      <c r="AI975" s="34"/>
      <c r="AJ975" s="34"/>
      <c r="AK975" s="34"/>
      <c r="AL975" s="34"/>
      <c r="AM975" s="34"/>
      <c r="AN975" s="34"/>
      <c r="AO975" s="34"/>
      <c r="AP975" s="34"/>
      <c r="AQ975" s="34"/>
      <c r="AR975" s="34"/>
      <c r="AS975" s="34"/>
      <c r="AT975" s="34"/>
      <c r="AU975" s="34"/>
      <c r="AV975" s="34"/>
      <c r="AW975" s="34"/>
      <c r="AX975" s="34"/>
      <c r="AY975" s="34"/>
      <c r="AZ975" s="34"/>
      <c r="BA975" s="34"/>
      <c r="BB975" s="34"/>
      <c r="BD975" s="34"/>
      <c r="BE975" s="34"/>
      <c r="BF975" s="34"/>
      <c r="BG975" s="34"/>
      <c r="BH975" s="34"/>
      <c r="BI975" s="34"/>
      <c r="BJ975" s="34"/>
      <c r="BK975" s="34"/>
      <c r="BL975" s="34"/>
      <c r="BM975" s="34"/>
      <c r="BN975" s="34"/>
      <c r="BO975" s="34"/>
      <c r="BP975" s="34"/>
      <c r="BQ975" s="34"/>
      <c r="BR975" s="34"/>
      <c r="BS975" s="34"/>
      <c r="BT975" s="34"/>
      <c r="BU975" s="34"/>
      <c r="BV975" s="34"/>
      <c r="BW975" s="34"/>
      <c r="BX975" s="34"/>
      <c r="BY975" s="34"/>
    </row>
    <row r="976" spans="1:77" x14ac:dyDescent="0.3">
      <c r="A976" s="39"/>
      <c r="B976" s="42"/>
      <c r="C976" s="42"/>
      <c r="D976" s="75"/>
      <c r="E976" s="75"/>
      <c r="F976" s="76"/>
      <c r="G976" s="47"/>
      <c r="H976" s="47"/>
      <c r="I976" s="75"/>
      <c r="J976" s="76"/>
      <c r="K976" s="76"/>
      <c r="L976" s="75"/>
      <c r="M976" s="49"/>
      <c r="N976" s="76"/>
      <c r="O976" s="49"/>
      <c r="P976" s="77"/>
      <c r="Q976" s="53"/>
      <c r="R976" s="54"/>
      <c r="S976" s="55"/>
      <c r="T976" s="56"/>
      <c r="U976" s="56"/>
      <c r="V976" s="42"/>
      <c r="W976" s="57"/>
      <c r="X976" s="58"/>
      <c r="Y976" s="75"/>
      <c r="Z976" s="59"/>
      <c r="AA976" s="61"/>
      <c r="AB976" s="61"/>
      <c r="AC976" s="61"/>
      <c r="AD976" s="62"/>
      <c r="AE976" s="62"/>
      <c r="AF976" s="34"/>
      <c r="AG976" s="34"/>
      <c r="AH976" s="34"/>
      <c r="AI976" s="34"/>
      <c r="AJ976" s="34"/>
      <c r="AK976" s="34"/>
      <c r="AL976" s="34"/>
      <c r="AM976" s="34"/>
      <c r="AN976" s="34"/>
      <c r="AO976" s="34"/>
      <c r="AP976" s="34"/>
      <c r="AQ976" s="34"/>
      <c r="AR976" s="34"/>
      <c r="AS976" s="34"/>
      <c r="AT976" s="34"/>
      <c r="AU976" s="34"/>
      <c r="AV976" s="34"/>
      <c r="AW976" s="34"/>
      <c r="AX976" s="34"/>
      <c r="AY976" s="34"/>
      <c r="AZ976" s="34"/>
      <c r="BA976" s="34"/>
      <c r="BB976" s="34"/>
      <c r="BD976" s="34"/>
      <c r="BE976" s="34"/>
      <c r="BF976" s="34"/>
      <c r="BG976" s="34"/>
      <c r="BH976" s="34"/>
      <c r="BI976" s="34"/>
      <c r="BJ976" s="34"/>
      <c r="BK976" s="34"/>
      <c r="BL976" s="34"/>
      <c r="BM976" s="34"/>
      <c r="BN976" s="34"/>
      <c r="BO976" s="34"/>
      <c r="BP976" s="34"/>
      <c r="BQ976" s="34"/>
      <c r="BR976" s="34"/>
      <c r="BS976" s="34"/>
      <c r="BT976" s="34"/>
      <c r="BU976" s="34"/>
      <c r="BV976" s="34"/>
      <c r="BW976" s="34"/>
      <c r="BX976" s="34"/>
      <c r="BY976" s="34"/>
    </row>
    <row r="977" spans="1:77" x14ac:dyDescent="0.3">
      <c r="A977" s="39"/>
      <c r="B977" s="42"/>
      <c r="C977" s="42"/>
      <c r="D977" s="75"/>
      <c r="E977" s="75"/>
      <c r="F977" s="76"/>
      <c r="G977" s="47"/>
      <c r="H977" s="47"/>
      <c r="I977" s="75"/>
      <c r="J977" s="76"/>
      <c r="K977" s="76"/>
      <c r="L977" s="75"/>
      <c r="M977" s="49"/>
      <c r="N977" s="76"/>
      <c r="O977" s="49"/>
      <c r="P977" s="77"/>
      <c r="Q977" s="53"/>
      <c r="R977" s="54"/>
      <c r="S977" s="55"/>
      <c r="T977" s="56"/>
      <c r="U977" s="56"/>
      <c r="V977" s="42"/>
      <c r="W977" s="57"/>
      <c r="X977" s="58"/>
      <c r="Y977" s="75"/>
      <c r="Z977" s="59"/>
      <c r="AA977" s="61"/>
      <c r="AB977" s="61"/>
      <c r="AC977" s="61"/>
      <c r="AD977" s="62"/>
      <c r="AE977" s="62"/>
      <c r="AF977" s="34"/>
      <c r="AG977" s="34"/>
      <c r="AH977" s="34"/>
      <c r="AI977" s="34"/>
      <c r="AJ977" s="34"/>
      <c r="AK977" s="34"/>
      <c r="AL977" s="34"/>
      <c r="AM977" s="34"/>
      <c r="AN977" s="34"/>
      <c r="AO977" s="34"/>
      <c r="AP977" s="34"/>
      <c r="AQ977" s="34"/>
      <c r="AR977" s="34"/>
      <c r="AS977" s="34"/>
      <c r="AT977" s="34"/>
      <c r="AU977" s="34"/>
      <c r="AV977" s="34"/>
      <c r="AW977" s="34"/>
      <c r="AX977" s="34"/>
      <c r="AY977" s="34"/>
      <c r="AZ977" s="34"/>
      <c r="BA977" s="34"/>
      <c r="BB977" s="34"/>
      <c r="BD977" s="34"/>
      <c r="BE977" s="34"/>
      <c r="BF977" s="34"/>
      <c r="BG977" s="34"/>
      <c r="BH977" s="34"/>
      <c r="BI977" s="34"/>
      <c r="BJ977" s="34"/>
      <c r="BK977" s="34"/>
      <c r="BL977" s="34"/>
      <c r="BM977" s="34"/>
      <c r="BN977" s="34"/>
      <c r="BO977" s="34"/>
      <c r="BP977" s="34"/>
      <c r="BQ977" s="34"/>
      <c r="BR977" s="34"/>
      <c r="BS977" s="34"/>
      <c r="BT977" s="34"/>
      <c r="BU977" s="34"/>
      <c r="BV977" s="34"/>
      <c r="BW977" s="34"/>
      <c r="BX977" s="34"/>
      <c r="BY977" s="34"/>
    </row>
    <row r="978" spans="1:77" x14ac:dyDescent="0.3">
      <c r="A978" s="39"/>
      <c r="B978" s="42"/>
      <c r="C978" s="42"/>
      <c r="D978" s="75"/>
      <c r="E978" s="75"/>
      <c r="F978" s="76"/>
      <c r="G978" s="47"/>
      <c r="H978" s="47"/>
      <c r="I978" s="75"/>
      <c r="J978" s="76"/>
      <c r="K978" s="76"/>
      <c r="L978" s="75"/>
      <c r="M978" s="49"/>
      <c r="N978" s="76"/>
      <c r="O978" s="49"/>
      <c r="P978" s="77"/>
      <c r="Q978" s="53"/>
      <c r="R978" s="54"/>
      <c r="S978" s="55"/>
      <c r="T978" s="56"/>
      <c r="U978" s="56"/>
      <c r="V978" s="42"/>
      <c r="W978" s="57"/>
      <c r="X978" s="58"/>
      <c r="Y978" s="75"/>
      <c r="Z978" s="59"/>
      <c r="AA978" s="61"/>
      <c r="AB978" s="61"/>
      <c r="AC978" s="61"/>
      <c r="AD978" s="62"/>
      <c r="AE978" s="62"/>
      <c r="AF978" s="34"/>
      <c r="AG978" s="34"/>
      <c r="AH978" s="34"/>
      <c r="AI978" s="34"/>
      <c r="AJ978" s="34"/>
      <c r="AK978" s="34"/>
      <c r="AL978" s="34"/>
      <c r="AM978" s="34"/>
      <c r="AN978" s="34"/>
      <c r="AO978" s="34"/>
      <c r="AP978" s="34"/>
      <c r="AQ978" s="34"/>
      <c r="AR978" s="34"/>
      <c r="AS978" s="34"/>
      <c r="AT978" s="34"/>
      <c r="AU978" s="34"/>
      <c r="AV978" s="34"/>
      <c r="AW978" s="34"/>
      <c r="AX978" s="34"/>
      <c r="AY978" s="34"/>
      <c r="AZ978" s="34"/>
      <c r="BA978" s="34"/>
      <c r="BB978" s="34"/>
      <c r="BD978" s="34"/>
      <c r="BE978" s="34"/>
      <c r="BF978" s="34"/>
      <c r="BG978" s="34"/>
      <c r="BH978" s="34"/>
      <c r="BI978" s="34"/>
      <c r="BJ978" s="34"/>
      <c r="BK978" s="34"/>
      <c r="BL978" s="34"/>
      <c r="BM978" s="34"/>
      <c r="BN978" s="34"/>
      <c r="BO978" s="34"/>
      <c r="BP978" s="34"/>
      <c r="BQ978" s="34"/>
      <c r="BR978" s="34"/>
      <c r="BS978" s="34"/>
      <c r="BT978" s="34"/>
      <c r="BU978" s="34"/>
      <c r="BV978" s="34"/>
      <c r="BW978" s="34"/>
      <c r="BX978" s="34"/>
      <c r="BY978" s="34"/>
    </row>
    <row r="979" spans="1:77" x14ac:dyDescent="0.3">
      <c r="A979" s="39"/>
      <c r="B979" s="42"/>
      <c r="C979" s="42"/>
      <c r="D979" s="75"/>
      <c r="E979" s="75"/>
      <c r="F979" s="76"/>
      <c r="G979" s="47"/>
      <c r="H979" s="47"/>
      <c r="I979" s="75"/>
      <c r="J979" s="76"/>
      <c r="K979" s="76"/>
      <c r="L979" s="75"/>
      <c r="M979" s="49"/>
      <c r="N979" s="76"/>
      <c r="O979" s="49"/>
      <c r="P979" s="77"/>
      <c r="Q979" s="53"/>
      <c r="R979" s="54"/>
      <c r="S979" s="55"/>
      <c r="T979" s="56"/>
      <c r="U979" s="56"/>
      <c r="V979" s="42"/>
      <c r="W979" s="57"/>
      <c r="X979" s="58"/>
      <c r="Y979" s="75"/>
      <c r="Z979" s="59"/>
      <c r="AA979" s="61"/>
      <c r="AB979" s="61"/>
      <c r="AC979" s="61"/>
      <c r="AD979" s="62"/>
      <c r="AE979" s="62"/>
      <c r="AF979" s="34"/>
      <c r="AG979" s="34"/>
      <c r="AH979" s="34"/>
      <c r="AI979" s="34"/>
      <c r="AJ979" s="34"/>
      <c r="AK979" s="34"/>
      <c r="AL979" s="34"/>
      <c r="AM979" s="34"/>
      <c r="AN979" s="34"/>
      <c r="AO979" s="34"/>
      <c r="AP979" s="34"/>
      <c r="AQ979" s="34"/>
      <c r="AR979" s="34"/>
      <c r="AS979" s="34"/>
      <c r="AT979" s="34"/>
      <c r="AU979" s="34"/>
      <c r="AV979" s="34"/>
      <c r="AW979" s="34"/>
      <c r="AX979" s="34"/>
      <c r="AY979" s="34"/>
      <c r="AZ979" s="34"/>
      <c r="BA979" s="34"/>
      <c r="BB979" s="34"/>
      <c r="BD979" s="34"/>
      <c r="BE979" s="34"/>
      <c r="BF979" s="34"/>
      <c r="BG979" s="34"/>
      <c r="BH979" s="34"/>
      <c r="BI979" s="34"/>
      <c r="BJ979" s="34"/>
      <c r="BK979" s="34"/>
      <c r="BL979" s="34"/>
      <c r="BM979" s="34"/>
      <c r="BN979" s="34"/>
      <c r="BO979" s="34"/>
      <c r="BP979" s="34"/>
      <c r="BQ979" s="34"/>
      <c r="BR979" s="34"/>
      <c r="BS979" s="34"/>
      <c r="BT979" s="34"/>
      <c r="BU979" s="34"/>
      <c r="BV979" s="34"/>
      <c r="BW979" s="34"/>
      <c r="BX979" s="34"/>
      <c r="BY979" s="34"/>
    </row>
    <row r="980" spans="1:77" x14ac:dyDescent="0.3">
      <c r="A980" s="39"/>
      <c r="B980" s="42"/>
      <c r="C980" s="42"/>
      <c r="D980" s="75"/>
      <c r="E980" s="75"/>
      <c r="F980" s="76"/>
      <c r="G980" s="47"/>
      <c r="H980" s="47"/>
      <c r="I980" s="75"/>
      <c r="J980" s="76"/>
      <c r="K980" s="76"/>
      <c r="L980" s="75"/>
      <c r="M980" s="49"/>
      <c r="N980" s="76"/>
      <c r="O980" s="49"/>
      <c r="P980" s="77"/>
      <c r="Q980" s="53"/>
      <c r="R980" s="54"/>
      <c r="S980" s="55"/>
      <c r="T980" s="56"/>
      <c r="U980" s="56"/>
      <c r="V980" s="42"/>
      <c r="W980" s="57"/>
      <c r="X980" s="58"/>
      <c r="Y980" s="75"/>
      <c r="Z980" s="59"/>
      <c r="AA980" s="61"/>
      <c r="AB980" s="61"/>
      <c r="AC980" s="61"/>
      <c r="AD980" s="62"/>
      <c r="AE980" s="62"/>
      <c r="AF980" s="34"/>
      <c r="AG980" s="34"/>
      <c r="AH980" s="34"/>
      <c r="AI980" s="34"/>
      <c r="AJ980" s="34"/>
      <c r="AK980" s="34"/>
      <c r="AL980" s="34"/>
      <c r="AM980" s="34"/>
      <c r="AN980" s="34"/>
      <c r="AO980" s="34"/>
      <c r="AP980" s="34"/>
      <c r="AQ980" s="34"/>
      <c r="AR980" s="34"/>
      <c r="AS980" s="34"/>
      <c r="AT980" s="34"/>
      <c r="AU980" s="34"/>
      <c r="AV980" s="34"/>
      <c r="AW980" s="34"/>
      <c r="AX980" s="34"/>
      <c r="AY980" s="34"/>
      <c r="AZ980" s="34"/>
      <c r="BA980" s="34"/>
      <c r="BB980" s="34"/>
      <c r="BD980" s="34"/>
      <c r="BE980" s="34"/>
      <c r="BF980" s="34"/>
      <c r="BG980" s="34"/>
      <c r="BH980" s="34"/>
      <c r="BI980" s="34"/>
      <c r="BJ980" s="34"/>
      <c r="BK980" s="34"/>
      <c r="BL980" s="34"/>
      <c r="BM980" s="34"/>
      <c r="BN980" s="34"/>
      <c r="BO980" s="34"/>
      <c r="BP980" s="34"/>
      <c r="BQ980" s="34"/>
      <c r="BR980" s="34"/>
      <c r="BS980" s="34"/>
      <c r="BT980" s="34"/>
      <c r="BU980" s="34"/>
      <c r="BV980" s="34"/>
      <c r="BW980" s="34"/>
      <c r="BX980" s="34"/>
      <c r="BY980" s="34"/>
    </row>
    <row r="981" spans="1:77" x14ac:dyDescent="0.3">
      <c r="A981" s="39"/>
      <c r="B981" s="42"/>
      <c r="C981" s="42"/>
      <c r="D981" s="75"/>
      <c r="E981" s="75"/>
      <c r="F981" s="76"/>
      <c r="G981" s="47"/>
      <c r="H981" s="47"/>
      <c r="I981" s="75"/>
      <c r="J981" s="76"/>
      <c r="K981" s="76"/>
      <c r="L981" s="75"/>
      <c r="M981" s="49"/>
      <c r="N981" s="76"/>
      <c r="O981" s="49"/>
      <c r="P981" s="77"/>
      <c r="Q981" s="53"/>
      <c r="R981" s="54"/>
      <c r="S981" s="55"/>
      <c r="T981" s="56"/>
      <c r="U981" s="56"/>
      <c r="V981" s="42"/>
      <c r="W981" s="57"/>
      <c r="X981" s="58"/>
      <c r="Y981" s="75"/>
      <c r="Z981" s="59"/>
      <c r="AA981" s="61"/>
      <c r="AB981" s="61"/>
      <c r="AC981" s="61"/>
      <c r="AD981" s="62"/>
      <c r="AE981" s="62"/>
      <c r="AF981" s="34"/>
      <c r="AG981" s="34"/>
      <c r="AH981" s="34"/>
      <c r="AI981" s="34"/>
      <c r="AJ981" s="34"/>
      <c r="AK981" s="34"/>
      <c r="AL981" s="34"/>
      <c r="AM981" s="34"/>
      <c r="AN981" s="34"/>
      <c r="AO981" s="34"/>
      <c r="AP981" s="34"/>
      <c r="AQ981" s="34"/>
      <c r="AR981" s="34"/>
      <c r="AS981" s="34"/>
      <c r="AT981" s="34"/>
      <c r="AU981" s="34"/>
      <c r="AV981" s="34"/>
      <c r="AW981" s="34"/>
      <c r="AX981" s="34"/>
      <c r="AY981" s="34"/>
      <c r="AZ981" s="34"/>
      <c r="BA981" s="34"/>
      <c r="BB981" s="34"/>
      <c r="BD981" s="34"/>
      <c r="BE981" s="34"/>
      <c r="BF981" s="34"/>
      <c r="BG981" s="34"/>
      <c r="BH981" s="34"/>
      <c r="BI981" s="34"/>
      <c r="BJ981" s="34"/>
      <c r="BK981" s="34"/>
      <c r="BL981" s="34"/>
      <c r="BM981" s="34"/>
      <c r="BN981" s="34"/>
      <c r="BO981" s="34"/>
      <c r="BP981" s="34"/>
      <c r="BQ981" s="34"/>
      <c r="BR981" s="34"/>
      <c r="BS981" s="34"/>
      <c r="BT981" s="34"/>
      <c r="BU981" s="34"/>
      <c r="BV981" s="34"/>
      <c r="BW981" s="34"/>
      <c r="BX981" s="34"/>
      <c r="BY981" s="34"/>
    </row>
    <row r="982" spans="1:77" x14ac:dyDescent="0.3">
      <c r="A982" s="39"/>
      <c r="B982" s="42"/>
      <c r="C982" s="42"/>
      <c r="D982" s="75"/>
      <c r="E982" s="75"/>
      <c r="F982" s="76"/>
      <c r="G982" s="47"/>
      <c r="H982" s="47"/>
      <c r="I982" s="75"/>
      <c r="J982" s="76"/>
      <c r="K982" s="76"/>
      <c r="L982" s="75"/>
      <c r="M982" s="49"/>
      <c r="N982" s="76"/>
      <c r="O982" s="49"/>
      <c r="P982" s="77"/>
      <c r="Q982" s="53"/>
      <c r="R982" s="54"/>
      <c r="S982" s="55"/>
      <c r="T982" s="56"/>
      <c r="U982" s="56"/>
      <c r="V982" s="42"/>
      <c r="W982" s="57"/>
      <c r="X982" s="58"/>
      <c r="Y982" s="75"/>
      <c r="Z982" s="59"/>
      <c r="AA982" s="61"/>
      <c r="AB982" s="61"/>
      <c r="AC982" s="61"/>
      <c r="AD982" s="62"/>
      <c r="AE982" s="62"/>
      <c r="AF982" s="34"/>
      <c r="AG982" s="34"/>
      <c r="AH982" s="34"/>
      <c r="AI982" s="34"/>
      <c r="AJ982" s="34"/>
      <c r="AK982" s="34"/>
      <c r="AL982" s="34"/>
      <c r="AM982" s="34"/>
      <c r="AN982" s="34"/>
      <c r="AO982" s="34"/>
      <c r="AP982" s="34"/>
      <c r="AQ982" s="34"/>
      <c r="AR982" s="34"/>
      <c r="AS982" s="34"/>
      <c r="AT982" s="34"/>
      <c r="AU982" s="34"/>
      <c r="AV982" s="34"/>
      <c r="AW982" s="34"/>
      <c r="AX982" s="34"/>
      <c r="AY982" s="34"/>
      <c r="AZ982" s="34"/>
      <c r="BA982" s="34"/>
      <c r="BB982" s="34"/>
      <c r="BD982" s="34"/>
      <c r="BE982" s="34"/>
      <c r="BF982" s="34"/>
      <c r="BG982" s="34"/>
      <c r="BH982" s="34"/>
      <c r="BI982" s="34"/>
      <c r="BJ982" s="34"/>
      <c r="BK982" s="34"/>
      <c r="BL982" s="34"/>
      <c r="BM982" s="34"/>
      <c r="BN982" s="34"/>
      <c r="BO982" s="34"/>
      <c r="BP982" s="34"/>
      <c r="BQ982" s="34"/>
      <c r="BR982" s="34"/>
      <c r="BS982" s="34"/>
      <c r="BT982" s="34"/>
      <c r="BU982" s="34"/>
      <c r="BV982" s="34"/>
      <c r="BW982" s="34"/>
      <c r="BX982" s="34"/>
      <c r="BY982" s="34"/>
    </row>
    <row r="983" spans="1:77" x14ac:dyDescent="0.3">
      <c r="A983" s="39"/>
      <c r="B983" s="42"/>
      <c r="C983" s="42"/>
      <c r="D983" s="75"/>
      <c r="E983" s="75"/>
      <c r="F983" s="76"/>
      <c r="G983" s="47"/>
      <c r="H983" s="47"/>
      <c r="I983" s="75"/>
      <c r="J983" s="76"/>
      <c r="K983" s="76"/>
      <c r="L983" s="75"/>
      <c r="M983" s="49"/>
      <c r="N983" s="76"/>
      <c r="O983" s="49"/>
      <c r="P983" s="77"/>
      <c r="Q983" s="53"/>
      <c r="R983" s="54"/>
      <c r="S983" s="55"/>
      <c r="T983" s="56"/>
      <c r="U983" s="56"/>
      <c r="V983" s="42"/>
      <c r="W983" s="57"/>
      <c r="X983" s="58"/>
      <c r="Y983" s="75"/>
      <c r="Z983" s="59"/>
      <c r="AA983" s="61"/>
      <c r="AB983" s="61"/>
      <c r="AC983" s="61"/>
      <c r="AD983" s="62"/>
      <c r="AE983" s="62"/>
      <c r="AF983" s="34"/>
      <c r="AG983" s="34"/>
      <c r="AH983" s="34"/>
      <c r="AI983" s="34"/>
      <c r="AJ983" s="34"/>
      <c r="AK983" s="34"/>
      <c r="AL983" s="34"/>
      <c r="AM983" s="34"/>
      <c r="AN983" s="34"/>
      <c r="AO983" s="34"/>
      <c r="AP983" s="34"/>
      <c r="AQ983" s="34"/>
      <c r="AR983" s="34"/>
      <c r="AS983" s="34"/>
      <c r="AT983" s="34"/>
      <c r="AU983" s="34"/>
      <c r="AV983" s="34"/>
      <c r="AW983" s="34"/>
      <c r="AX983" s="34"/>
      <c r="AY983" s="34"/>
      <c r="AZ983" s="34"/>
      <c r="BA983" s="34"/>
      <c r="BB983" s="34"/>
      <c r="BD983" s="34"/>
      <c r="BE983" s="34"/>
      <c r="BF983" s="34"/>
      <c r="BG983" s="34"/>
      <c r="BH983" s="34"/>
      <c r="BI983" s="34"/>
      <c r="BJ983" s="34"/>
      <c r="BK983" s="34"/>
      <c r="BL983" s="34"/>
      <c r="BM983" s="34"/>
      <c r="BN983" s="34"/>
      <c r="BO983" s="34"/>
      <c r="BP983" s="34"/>
      <c r="BQ983" s="34"/>
      <c r="BR983" s="34"/>
      <c r="BS983" s="34"/>
      <c r="BT983" s="34"/>
      <c r="BU983" s="34"/>
      <c r="BV983" s="34"/>
      <c r="BW983" s="34"/>
      <c r="BX983" s="34"/>
      <c r="BY983" s="34"/>
    </row>
    <row r="984" spans="1:77" x14ac:dyDescent="0.3">
      <c r="A984" s="39"/>
      <c r="B984" s="42"/>
      <c r="C984" s="42"/>
      <c r="D984" s="75"/>
      <c r="E984" s="75"/>
      <c r="F984" s="76"/>
      <c r="G984" s="47"/>
      <c r="H984" s="47"/>
      <c r="I984" s="75"/>
      <c r="J984" s="76"/>
      <c r="K984" s="76"/>
      <c r="L984" s="75"/>
      <c r="M984" s="49"/>
      <c r="N984" s="76"/>
      <c r="O984" s="49"/>
      <c r="P984" s="77"/>
      <c r="Q984" s="53"/>
      <c r="R984" s="54"/>
      <c r="S984" s="55"/>
      <c r="T984" s="56"/>
      <c r="U984" s="56"/>
      <c r="V984" s="42"/>
      <c r="W984" s="57"/>
      <c r="X984" s="58"/>
      <c r="Y984" s="75"/>
      <c r="Z984" s="59"/>
      <c r="AA984" s="61"/>
      <c r="AB984" s="61"/>
      <c r="AC984" s="61"/>
      <c r="AD984" s="62"/>
      <c r="AE984" s="62"/>
      <c r="AF984" s="34"/>
      <c r="AG984" s="34"/>
      <c r="AH984" s="34"/>
      <c r="AI984" s="34"/>
      <c r="AJ984" s="34"/>
      <c r="AK984" s="34"/>
      <c r="AL984" s="34"/>
      <c r="AM984" s="34"/>
      <c r="AN984" s="34"/>
      <c r="AO984" s="34"/>
      <c r="AP984" s="34"/>
      <c r="AQ984" s="34"/>
      <c r="AR984" s="34"/>
      <c r="AS984" s="34"/>
      <c r="AT984" s="34"/>
      <c r="AU984" s="34"/>
      <c r="AV984" s="34"/>
      <c r="AW984" s="34"/>
      <c r="AX984" s="34"/>
      <c r="AY984" s="34"/>
      <c r="AZ984" s="34"/>
      <c r="BA984" s="34"/>
      <c r="BB984" s="34"/>
      <c r="BD984" s="34"/>
      <c r="BE984" s="34"/>
      <c r="BF984" s="34"/>
      <c r="BG984" s="34"/>
      <c r="BH984" s="34"/>
      <c r="BI984" s="34"/>
      <c r="BJ984" s="34"/>
      <c r="BK984" s="34"/>
      <c r="BL984" s="34"/>
      <c r="BM984" s="34"/>
      <c r="BN984" s="34"/>
      <c r="BO984" s="34"/>
      <c r="BP984" s="34"/>
      <c r="BQ984" s="34"/>
      <c r="BR984" s="34"/>
      <c r="BS984" s="34"/>
      <c r="BT984" s="34"/>
      <c r="BU984" s="34"/>
      <c r="BV984" s="34"/>
      <c r="BW984" s="34"/>
      <c r="BX984" s="34"/>
      <c r="BY984" s="34"/>
    </row>
    <row r="985" spans="1:77" x14ac:dyDescent="0.3">
      <c r="A985" s="39"/>
      <c r="B985" s="42"/>
      <c r="C985" s="42"/>
      <c r="D985" s="75"/>
      <c r="E985" s="75"/>
      <c r="F985" s="76"/>
      <c r="G985" s="47"/>
      <c r="H985" s="47"/>
      <c r="I985" s="75"/>
      <c r="J985" s="76"/>
      <c r="K985" s="76"/>
      <c r="L985" s="75"/>
      <c r="M985" s="49"/>
      <c r="N985" s="76"/>
      <c r="O985" s="49"/>
      <c r="P985" s="77"/>
      <c r="Q985" s="53"/>
      <c r="R985" s="54"/>
      <c r="S985" s="55"/>
      <c r="T985" s="56"/>
      <c r="U985" s="56"/>
      <c r="V985" s="42"/>
      <c r="W985" s="57"/>
      <c r="X985" s="58"/>
      <c r="Y985" s="75"/>
      <c r="Z985" s="59"/>
      <c r="AA985" s="61"/>
      <c r="AB985" s="61"/>
      <c r="AC985" s="61"/>
      <c r="AD985" s="62"/>
      <c r="AE985" s="62"/>
      <c r="AF985" s="34"/>
      <c r="AG985" s="34"/>
      <c r="AH985" s="34"/>
      <c r="AI985" s="34"/>
      <c r="AJ985" s="34"/>
      <c r="AK985" s="34"/>
      <c r="AL985" s="34"/>
      <c r="AM985" s="34"/>
      <c r="AN985" s="34"/>
      <c r="AO985" s="34"/>
      <c r="AP985" s="34"/>
      <c r="AQ985" s="34"/>
      <c r="AR985" s="34"/>
      <c r="AS985" s="34"/>
      <c r="AT985" s="34"/>
      <c r="AU985" s="34"/>
      <c r="AV985" s="34"/>
      <c r="AW985" s="34"/>
      <c r="AX985" s="34"/>
      <c r="AY985" s="34"/>
      <c r="AZ985" s="34"/>
      <c r="BA985" s="34"/>
      <c r="BB985" s="34"/>
      <c r="BD985" s="34"/>
      <c r="BE985" s="34"/>
      <c r="BF985" s="34"/>
      <c r="BG985" s="34"/>
      <c r="BH985" s="34"/>
      <c r="BI985" s="34"/>
      <c r="BJ985" s="34"/>
      <c r="BK985" s="34"/>
      <c r="BL985" s="34"/>
      <c r="BM985" s="34"/>
      <c r="BN985" s="34"/>
      <c r="BO985" s="34"/>
      <c r="BP985" s="34"/>
      <c r="BQ985" s="34"/>
      <c r="BR985" s="34"/>
      <c r="BS985" s="34"/>
      <c r="BT985" s="34"/>
      <c r="BU985" s="34"/>
      <c r="BV985" s="34"/>
      <c r="BW985" s="34"/>
      <c r="BX985" s="34"/>
      <c r="BY985" s="34"/>
    </row>
    <row r="986" spans="1:77" x14ac:dyDescent="0.3">
      <c r="A986" s="39"/>
      <c r="B986" s="42"/>
      <c r="C986" s="42"/>
      <c r="D986" s="75"/>
      <c r="E986" s="75"/>
      <c r="F986" s="76"/>
      <c r="G986" s="47"/>
      <c r="H986" s="47"/>
      <c r="I986" s="75"/>
      <c r="J986" s="76"/>
      <c r="K986" s="76"/>
      <c r="L986" s="75"/>
      <c r="M986" s="49"/>
      <c r="N986" s="76"/>
      <c r="O986" s="49"/>
      <c r="P986" s="77"/>
      <c r="Q986" s="53"/>
      <c r="R986" s="54"/>
      <c r="S986" s="55"/>
      <c r="T986" s="56"/>
      <c r="U986" s="56"/>
      <c r="V986" s="42"/>
      <c r="W986" s="57"/>
      <c r="X986" s="58"/>
      <c r="Y986" s="75"/>
      <c r="Z986" s="59"/>
      <c r="AA986" s="61"/>
      <c r="AB986" s="61"/>
      <c r="AC986" s="61"/>
      <c r="AD986" s="62"/>
      <c r="AE986" s="62"/>
      <c r="AF986" s="34"/>
      <c r="AG986" s="34"/>
      <c r="AH986" s="34"/>
      <c r="AI986" s="34"/>
      <c r="AJ986" s="34"/>
      <c r="AK986" s="34"/>
      <c r="AL986" s="34"/>
      <c r="AM986" s="34"/>
      <c r="AN986" s="34"/>
      <c r="AO986" s="34"/>
      <c r="AP986" s="34"/>
      <c r="AQ986" s="34"/>
      <c r="AR986" s="34"/>
      <c r="AS986" s="34"/>
      <c r="AT986" s="34"/>
      <c r="AU986" s="34"/>
      <c r="AV986" s="34"/>
      <c r="AW986" s="34"/>
      <c r="AX986" s="34"/>
      <c r="AY986" s="34"/>
      <c r="AZ986" s="34"/>
      <c r="BA986" s="34"/>
      <c r="BB986" s="34"/>
      <c r="BD986" s="34"/>
      <c r="BE986" s="34"/>
      <c r="BF986" s="34"/>
      <c r="BG986" s="34"/>
      <c r="BH986" s="34"/>
      <c r="BI986" s="34"/>
      <c r="BJ986" s="34"/>
      <c r="BK986" s="34"/>
      <c r="BL986" s="34"/>
      <c r="BM986" s="34"/>
      <c r="BN986" s="34"/>
      <c r="BO986" s="34"/>
      <c r="BP986" s="34"/>
      <c r="BQ986" s="34"/>
      <c r="BR986" s="34"/>
      <c r="BS986" s="34"/>
      <c r="BT986" s="34"/>
      <c r="BU986" s="34"/>
      <c r="BV986" s="34"/>
      <c r="BW986" s="34"/>
      <c r="BX986" s="34"/>
      <c r="BY986" s="34"/>
    </row>
    <row r="987" spans="1:77" x14ac:dyDescent="0.3">
      <c r="A987" s="39"/>
      <c r="B987" s="42"/>
      <c r="C987" s="42"/>
      <c r="D987" s="75"/>
      <c r="E987" s="75"/>
      <c r="F987" s="76"/>
      <c r="G987" s="47"/>
      <c r="H987" s="47"/>
      <c r="I987" s="75"/>
      <c r="J987" s="76"/>
      <c r="K987" s="76"/>
      <c r="L987" s="75"/>
      <c r="M987" s="49"/>
      <c r="N987" s="76"/>
      <c r="O987" s="49"/>
      <c r="P987" s="77"/>
      <c r="Q987" s="53"/>
      <c r="R987" s="54"/>
      <c r="S987" s="55"/>
      <c r="T987" s="56"/>
      <c r="U987" s="56"/>
      <c r="V987" s="42"/>
      <c r="W987" s="57"/>
      <c r="X987" s="58"/>
      <c r="Y987" s="75"/>
      <c r="Z987" s="59"/>
      <c r="AA987" s="61"/>
      <c r="AB987" s="61"/>
      <c r="AC987" s="61"/>
      <c r="AD987" s="62"/>
      <c r="AE987" s="62"/>
      <c r="AF987" s="34"/>
      <c r="AG987" s="34"/>
      <c r="AH987" s="34"/>
      <c r="AI987" s="34"/>
      <c r="AJ987" s="34"/>
      <c r="AK987" s="34"/>
      <c r="AL987" s="34"/>
      <c r="AM987" s="34"/>
      <c r="AN987" s="34"/>
      <c r="AO987" s="34"/>
      <c r="AP987" s="34"/>
      <c r="AQ987" s="34"/>
      <c r="AR987" s="34"/>
      <c r="AS987" s="34"/>
      <c r="AT987" s="34"/>
      <c r="AU987" s="34"/>
      <c r="AV987" s="34"/>
      <c r="AW987" s="34"/>
      <c r="AX987" s="34"/>
      <c r="AY987" s="34"/>
      <c r="AZ987" s="34"/>
      <c r="BA987" s="34"/>
      <c r="BB987" s="34"/>
      <c r="BD987" s="34"/>
      <c r="BE987" s="34"/>
      <c r="BF987" s="34"/>
      <c r="BG987" s="34"/>
      <c r="BH987" s="34"/>
      <c r="BI987" s="34"/>
      <c r="BJ987" s="34"/>
      <c r="BK987" s="34"/>
      <c r="BL987" s="34"/>
      <c r="BM987" s="34"/>
      <c r="BN987" s="34"/>
      <c r="BO987" s="34"/>
      <c r="BP987" s="34"/>
      <c r="BQ987" s="34"/>
      <c r="BR987" s="34"/>
      <c r="BS987" s="34"/>
      <c r="BT987" s="34"/>
      <c r="BU987" s="34"/>
      <c r="BV987" s="34"/>
      <c r="BW987" s="34"/>
      <c r="BX987" s="34"/>
      <c r="BY987" s="34"/>
    </row>
    <row r="988" spans="1:77" x14ac:dyDescent="0.3">
      <c r="A988" s="39"/>
      <c r="B988" s="42"/>
      <c r="C988" s="42"/>
      <c r="D988" s="75"/>
      <c r="E988" s="75"/>
      <c r="F988" s="76"/>
      <c r="G988" s="47"/>
      <c r="H988" s="47"/>
      <c r="I988" s="75"/>
      <c r="J988" s="76"/>
      <c r="K988" s="76"/>
      <c r="L988" s="75"/>
      <c r="M988" s="49"/>
      <c r="N988" s="76"/>
      <c r="O988" s="49"/>
      <c r="P988" s="77"/>
      <c r="Q988" s="53"/>
      <c r="R988" s="54"/>
      <c r="S988" s="55"/>
      <c r="T988" s="56"/>
      <c r="U988" s="56"/>
      <c r="V988" s="42"/>
      <c r="W988" s="57"/>
      <c r="X988" s="58"/>
      <c r="Y988" s="75"/>
      <c r="Z988" s="59"/>
      <c r="AA988" s="61"/>
      <c r="AB988" s="61"/>
      <c r="AC988" s="61"/>
      <c r="AD988" s="62"/>
      <c r="AE988" s="62"/>
      <c r="AF988" s="34"/>
      <c r="AG988" s="34"/>
      <c r="AH988" s="34"/>
      <c r="AI988" s="34"/>
      <c r="AJ988" s="34"/>
      <c r="AK988" s="34"/>
      <c r="AL988" s="34"/>
      <c r="AM988" s="34"/>
      <c r="AN988" s="34"/>
      <c r="AO988" s="34"/>
      <c r="AP988" s="34"/>
      <c r="AQ988" s="34"/>
      <c r="AR988" s="34"/>
      <c r="AS988" s="34"/>
      <c r="AT988" s="34"/>
      <c r="AU988" s="34"/>
      <c r="AV988" s="34"/>
      <c r="AW988" s="34"/>
      <c r="AX988" s="34"/>
      <c r="AY988" s="34"/>
      <c r="AZ988" s="34"/>
      <c r="BA988" s="34"/>
      <c r="BB988" s="34"/>
      <c r="BD988" s="34"/>
      <c r="BE988" s="34"/>
      <c r="BF988" s="34"/>
      <c r="BG988" s="34"/>
      <c r="BH988" s="34"/>
      <c r="BI988" s="34"/>
      <c r="BJ988" s="34"/>
      <c r="BK988" s="34"/>
      <c r="BL988" s="34"/>
      <c r="BM988" s="34"/>
      <c r="BN988" s="34"/>
      <c r="BO988" s="34"/>
      <c r="BP988" s="34"/>
      <c r="BQ988" s="34"/>
      <c r="BR988" s="34"/>
      <c r="BS988" s="34"/>
      <c r="BT988" s="34"/>
      <c r="BU988" s="34"/>
      <c r="BV988" s="34"/>
      <c r="BW988" s="34"/>
      <c r="BX988" s="34"/>
      <c r="BY988" s="34"/>
    </row>
    <row r="989" spans="1:77" x14ac:dyDescent="0.3">
      <c r="A989" s="39"/>
      <c r="B989" s="42"/>
      <c r="C989" s="42"/>
      <c r="D989" s="75"/>
      <c r="E989" s="75"/>
      <c r="F989" s="76"/>
      <c r="G989" s="47"/>
      <c r="H989" s="47"/>
      <c r="I989" s="75"/>
      <c r="J989" s="76"/>
      <c r="K989" s="76"/>
      <c r="L989" s="75"/>
      <c r="M989" s="49"/>
      <c r="N989" s="76"/>
      <c r="O989" s="49"/>
      <c r="P989" s="77"/>
      <c r="Q989" s="53"/>
      <c r="R989" s="54"/>
      <c r="S989" s="55"/>
      <c r="T989" s="56"/>
      <c r="U989" s="56"/>
      <c r="V989" s="42"/>
      <c r="W989" s="57"/>
      <c r="X989" s="58"/>
      <c r="Y989" s="75"/>
      <c r="Z989" s="59"/>
      <c r="AA989" s="61"/>
      <c r="AB989" s="61"/>
      <c r="AC989" s="61"/>
      <c r="AD989" s="62"/>
      <c r="AE989" s="62"/>
      <c r="AF989" s="34"/>
      <c r="AG989" s="34"/>
      <c r="AH989" s="34"/>
      <c r="AI989" s="34"/>
      <c r="AJ989" s="34"/>
      <c r="AK989" s="34"/>
      <c r="AL989" s="34"/>
      <c r="AM989" s="34"/>
      <c r="AN989" s="34"/>
      <c r="AO989" s="34"/>
      <c r="AP989" s="34"/>
      <c r="AQ989" s="34"/>
      <c r="AR989" s="34"/>
      <c r="AS989" s="34"/>
      <c r="AT989" s="34"/>
      <c r="AU989" s="34"/>
      <c r="AV989" s="34"/>
      <c r="AW989" s="34"/>
      <c r="AX989" s="34"/>
      <c r="AY989" s="34"/>
      <c r="AZ989" s="34"/>
      <c r="BA989" s="34"/>
      <c r="BB989" s="34"/>
      <c r="BD989" s="34"/>
      <c r="BE989" s="34"/>
      <c r="BF989" s="34"/>
      <c r="BG989" s="34"/>
      <c r="BH989" s="34"/>
      <c r="BI989" s="34"/>
      <c r="BJ989" s="34"/>
      <c r="BK989" s="34"/>
      <c r="BL989" s="34"/>
      <c r="BM989" s="34"/>
      <c r="BN989" s="34"/>
      <c r="BO989" s="34"/>
      <c r="BP989" s="34"/>
      <c r="BQ989" s="34"/>
      <c r="BR989" s="34"/>
      <c r="BS989" s="34"/>
      <c r="BT989" s="34"/>
      <c r="BU989" s="34"/>
      <c r="BV989" s="34"/>
      <c r="BW989" s="34"/>
      <c r="BX989" s="34"/>
      <c r="BY989" s="34"/>
    </row>
    <row r="990" spans="1:77" x14ac:dyDescent="0.3">
      <c r="A990" s="39"/>
      <c r="B990" s="42"/>
      <c r="C990" s="42"/>
      <c r="D990" s="75"/>
      <c r="E990" s="75"/>
      <c r="F990" s="76"/>
      <c r="G990" s="47"/>
      <c r="H990" s="47"/>
      <c r="I990" s="75"/>
      <c r="J990" s="76"/>
      <c r="K990" s="76"/>
      <c r="L990" s="75"/>
      <c r="M990" s="49"/>
      <c r="N990" s="76"/>
      <c r="O990" s="49"/>
      <c r="P990" s="77"/>
      <c r="Q990" s="53"/>
      <c r="R990" s="54"/>
      <c r="S990" s="55"/>
      <c r="T990" s="56"/>
      <c r="U990" s="56"/>
      <c r="V990" s="42"/>
      <c r="W990" s="57"/>
      <c r="X990" s="58"/>
      <c r="Y990" s="75"/>
      <c r="Z990" s="59"/>
      <c r="AA990" s="61"/>
      <c r="AB990" s="61"/>
      <c r="AC990" s="61"/>
      <c r="AD990" s="62"/>
      <c r="AE990" s="62"/>
      <c r="AF990" s="34"/>
      <c r="AG990" s="34"/>
      <c r="AH990" s="34"/>
      <c r="AI990" s="34"/>
      <c r="AJ990" s="34"/>
      <c r="AK990" s="34"/>
      <c r="AL990" s="34"/>
      <c r="AM990" s="34"/>
      <c r="AN990" s="34"/>
      <c r="AO990" s="34"/>
      <c r="AP990" s="34"/>
      <c r="AQ990" s="34"/>
      <c r="AR990" s="34"/>
      <c r="AS990" s="34"/>
      <c r="AT990" s="34"/>
      <c r="AU990" s="34"/>
      <c r="AV990" s="34"/>
      <c r="AW990" s="34"/>
      <c r="AX990" s="34"/>
      <c r="AY990" s="34"/>
      <c r="AZ990" s="34"/>
      <c r="BA990" s="34"/>
      <c r="BB990" s="34"/>
      <c r="BD990" s="34"/>
      <c r="BE990" s="34"/>
      <c r="BF990" s="34"/>
      <c r="BG990" s="34"/>
      <c r="BH990" s="34"/>
      <c r="BI990" s="34"/>
      <c r="BJ990" s="34"/>
      <c r="BK990" s="34"/>
      <c r="BL990" s="34"/>
      <c r="BM990" s="34"/>
      <c r="BN990" s="34"/>
      <c r="BO990" s="34"/>
      <c r="BP990" s="34"/>
      <c r="BQ990" s="34"/>
      <c r="BR990" s="34"/>
      <c r="BS990" s="34"/>
      <c r="BT990" s="34"/>
      <c r="BU990" s="34"/>
      <c r="BV990" s="34"/>
      <c r="BW990" s="34"/>
      <c r="BX990" s="34"/>
      <c r="BY990" s="34"/>
    </row>
    <row r="991" spans="1:77" x14ac:dyDescent="0.3">
      <c r="A991" s="39"/>
      <c r="B991" s="42"/>
      <c r="C991" s="42"/>
      <c r="D991" s="75"/>
      <c r="E991" s="75"/>
      <c r="F991" s="76"/>
      <c r="G991" s="47"/>
      <c r="H991" s="47"/>
      <c r="I991" s="75"/>
      <c r="J991" s="76"/>
      <c r="K991" s="76"/>
      <c r="L991" s="75"/>
      <c r="M991" s="49"/>
      <c r="N991" s="76"/>
      <c r="O991" s="49"/>
      <c r="P991" s="77"/>
      <c r="Q991" s="53"/>
      <c r="R991" s="54"/>
      <c r="S991" s="55"/>
      <c r="T991" s="56"/>
      <c r="U991" s="56"/>
      <c r="V991" s="42"/>
      <c r="W991" s="57"/>
      <c r="X991" s="58"/>
      <c r="Y991" s="75"/>
      <c r="Z991" s="59"/>
      <c r="AA991" s="61"/>
      <c r="AB991" s="61"/>
      <c r="AC991" s="61"/>
      <c r="AD991" s="62"/>
      <c r="AE991" s="62"/>
      <c r="AF991" s="34"/>
      <c r="AG991" s="34"/>
      <c r="AH991" s="34"/>
      <c r="AI991" s="34"/>
      <c r="AJ991" s="34"/>
      <c r="AK991" s="34"/>
      <c r="AL991" s="34"/>
      <c r="AM991" s="34"/>
      <c r="AN991" s="34"/>
      <c r="AO991" s="34"/>
      <c r="AP991" s="34"/>
      <c r="AQ991" s="34"/>
      <c r="AR991" s="34"/>
      <c r="AS991" s="34"/>
      <c r="AT991" s="34"/>
      <c r="AU991" s="34"/>
      <c r="AV991" s="34"/>
      <c r="AW991" s="34"/>
      <c r="AX991" s="34"/>
      <c r="AY991" s="34"/>
      <c r="AZ991" s="34"/>
      <c r="BA991" s="34"/>
      <c r="BB991" s="34"/>
      <c r="BD991" s="34"/>
      <c r="BE991" s="34"/>
      <c r="BF991" s="34"/>
      <c r="BG991" s="34"/>
      <c r="BH991" s="34"/>
      <c r="BI991" s="34"/>
      <c r="BJ991" s="34"/>
      <c r="BK991" s="34"/>
      <c r="BL991" s="34"/>
      <c r="BM991" s="34"/>
      <c r="BN991" s="34"/>
      <c r="BO991" s="34"/>
      <c r="BP991" s="34"/>
      <c r="BQ991" s="34"/>
      <c r="BR991" s="34"/>
      <c r="BS991" s="34"/>
      <c r="BT991" s="34"/>
      <c r="BU991" s="34"/>
      <c r="BV991" s="34"/>
      <c r="BW991" s="34"/>
      <c r="BX991" s="34"/>
      <c r="BY991" s="34"/>
    </row>
    <row r="992" spans="1:77" x14ac:dyDescent="0.3">
      <c r="A992" s="39"/>
      <c r="B992" s="42"/>
      <c r="C992" s="42"/>
      <c r="D992" s="75"/>
      <c r="E992" s="75"/>
      <c r="F992" s="76"/>
      <c r="G992" s="47"/>
      <c r="H992" s="47"/>
      <c r="I992" s="75"/>
      <c r="J992" s="76"/>
      <c r="K992" s="76"/>
      <c r="L992" s="75"/>
      <c r="M992" s="49"/>
      <c r="N992" s="76"/>
      <c r="O992" s="49"/>
      <c r="P992" s="77"/>
      <c r="Q992" s="53"/>
      <c r="R992" s="54"/>
      <c r="S992" s="55"/>
      <c r="T992" s="56"/>
      <c r="U992" s="56"/>
      <c r="V992" s="42"/>
      <c r="W992" s="57"/>
      <c r="X992" s="58"/>
      <c r="Y992" s="75"/>
      <c r="Z992" s="59"/>
      <c r="AA992" s="61"/>
      <c r="AB992" s="61"/>
      <c r="AC992" s="61"/>
      <c r="AD992" s="62"/>
      <c r="AE992" s="62"/>
      <c r="AF992" s="34"/>
      <c r="AG992" s="34"/>
      <c r="AH992" s="34"/>
      <c r="AI992" s="34"/>
      <c r="AJ992" s="34"/>
      <c r="AK992" s="34"/>
      <c r="AL992" s="34"/>
      <c r="AM992" s="34"/>
      <c r="AN992" s="34"/>
      <c r="AO992" s="34"/>
      <c r="AP992" s="34"/>
      <c r="AQ992" s="34"/>
      <c r="AR992" s="34"/>
      <c r="AS992" s="34"/>
      <c r="AT992" s="34"/>
      <c r="AU992" s="34"/>
      <c r="AV992" s="34"/>
      <c r="AW992" s="34"/>
      <c r="AX992" s="34"/>
      <c r="AY992" s="34"/>
      <c r="AZ992" s="34"/>
      <c r="BA992" s="34"/>
      <c r="BB992" s="34"/>
      <c r="BD992" s="34"/>
      <c r="BE992" s="34"/>
      <c r="BF992" s="34"/>
      <c r="BG992" s="34"/>
      <c r="BH992" s="34"/>
      <c r="BI992" s="34"/>
      <c r="BJ992" s="34"/>
      <c r="BK992" s="34"/>
      <c r="BL992" s="34"/>
      <c r="BM992" s="34"/>
      <c r="BN992" s="34"/>
      <c r="BO992" s="34"/>
      <c r="BP992" s="34"/>
      <c r="BQ992" s="34"/>
      <c r="BR992" s="34"/>
      <c r="BS992" s="34"/>
      <c r="BT992" s="34"/>
      <c r="BU992" s="34"/>
      <c r="BV992" s="34"/>
      <c r="BW992" s="34"/>
      <c r="BX992" s="34"/>
      <c r="BY992" s="34"/>
    </row>
    <row r="993" spans="1:77" x14ac:dyDescent="0.3">
      <c r="A993" s="39"/>
      <c r="B993" s="42"/>
      <c r="C993" s="42"/>
      <c r="D993" s="75"/>
      <c r="E993" s="75"/>
      <c r="F993" s="76"/>
      <c r="G993" s="47"/>
      <c r="H993" s="47"/>
      <c r="I993" s="75"/>
      <c r="J993" s="76"/>
      <c r="K993" s="76"/>
      <c r="L993" s="75"/>
      <c r="M993" s="49"/>
      <c r="N993" s="76"/>
      <c r="O993" s="49"/>
      <c r="P993" s="77"/>
      <c r="Q993" s="53"/>
      <c r="R993" s="54"/>
      <c r="S993" s="55"/>
      <c r="T993" s="56"/>
      <c r="U993" s="56"/>
      <c r="V993" s="42"/>
      <c r="W993" s="57"/>
      <c r="X993" s="58"/>
      <c r="Y993" s="75"/>
      <c r="Z993" s="59"/>
      <c r="AA993" s="61"/>
      <c r="AB993" s="61"/>
      <c r="AC993" s="61"/>
      <c r="AD993" s="62"/>
      <c r="AE993" s="62"/>
      <c r="AF993" s="34"/>
      <c r="AG993" s="34"/>
      <c r="AH993" s="34"/>
      <c r="AI993" s="34"/>
      <c r="AJ993" s="34"/>
      <c r="AK993" s="34"/>
      <c r="AL993" s="34"/>
      <c r="AM993" s="34"/>
      <c r="AN993" s="34"/>
      <c r="AO993" s="34"/>
      <c r="AP993" s="34"/>
      <c r="AQ993" s="34"/>
      <c r="AR993" s="34"/>
      <c r="AS993" s="34"/>
      <c r="AT993" s="34"/>
      <c r="AU993" s="34"/>
      <c r="AV993" s="34"/>
      <c r="AW993" s="34"/>
      <c r="AX993" s="34"/>
      <c r="AY993" s="34"/>
      <c r="AZ993" s="34"/>
      <c r="BA993" s="34"/>
      <c r="BB993" s="34"/>
      <c r="BD993" s="34"/>
      <c r="BE993" s="34"/>
      <c r="BF993" s="34"/>
      <c r="BG993" s="34"/>
      <c r="BH993" s="34"/>
      <c r="BI993" s="34"/>
      <c r="BJ993" s="34"/>
      <c r="BK993" s="34"/>
      <c r="BL993" s="34"/>
      <c r="BM993" s="34"/>
      <c r="BN993" s="34"/>
      <c r="BO993" s="34"/>
      <c r="BP993" s="34"/>
      <c r="BQ993" s="34"/>
      <c r="BR993" s="34"/>
      <c r="BS993" s="34"/>
      <c r="BT993" s="34"/>
      <c r="BU993" s="34"/>
      <c r="BV993" s="34"/>
      <c r="BW993" s="34"/>
      <c r="BX993" s="34"/>
      <c r="BY993" s="34"/>
    </row>
    <row r="994" spans="1:77" x14ac:dyDescent="0.3">
      <c r="A994" s="39"/>
      <c r="B994" s="42"/>
      <c r="C994" s="42"/>
      <c r="D994" s="75"/>
      <c r="E994" s="75"/>
      <c r="F994" s="76"/>
      <c r="G994" s="47"/>
      <c r="H994" s="47"/>
      <c r="I994" s="75"/>
      <c r="J994" s="76"/>
      <c r="K994" s="76"/>
      <c r="L994" s="75"/>
      <c r="M994" s="49"/>
      <c r="N994" s="76"/>
      <c r="O994" s="49"/>
      <c r="P994" s="77"/>
      <c r="Q994" s="53"/>
      <c r="R994" s="54"/>
      <c r="S994" s="55"/>
      <c r="T994" s="56"/>
      <c r="U994" s="56"/>
      <c r="V994" s="42"/>
      <c r="W994" s="57"/>
      <c r="X994" s="58"/>
      <c r="Y994" s="75"/>
      <c r="Z994" s="59"/>
      <c r="AA994" s="61"/>
      <c r="AB994" s="61"/>
      <c r="AC994" s="61"/>
      <c r="AD994" s="62"/>
      <c r="AE994" s="62"/>
      <c r="AF994" s="34"/>
      <c r="AG994" s="34"/>
      <c r="AH994" s="34"/>
      <c r="AI994" s="34"/>
      <c r="AJ994" s="34"/>
      <c r="AK994" s="34"/>
      <c r="AL994" s="34"/>
      <c r="AM994" s="34"/>
      <c r="AN994" s="34"/>
      <c r="AO994" s="34"/>
      <c r="AP994" s="34"/>
      <c r="AQ994" s="34"/>
      <c r="AR994" s="34"/>
      <c r="AS994" s="34"/>
      <c r="AT994" s="34"/>
      <c r="AU994" s="34"/>
      <c r="AV994" s="34"/>
      <c r="AW994" s="34"/>
      <c r="AX994" s="34"/>
      <c r="AY994" s="34"/>
      <c r="AZ994" s="34"/>
      <c r="BA994" s="34"/>
      <c r="BB994" s="34"/>
      <c r="BD994" s="34"/>
      <c r="BE994" s="34"/>
      <c r="BF994" s="34"/>
      <c r="BG994" s="34"/>
      <c r="BH994" s="34"/>
      <c r="BI994" s="34"/>
      <c r="BJ994" s="34"/>
      <c r="BK994" s="34"/>
      <c r="BL994" s="34"/>
      <c r="BM994" s="34"/>
      <c r="BN994" s="34"/>
      <c r="BO994" s="34"/>
      <c r="BP994" s="34"/>
      <c r="BQ994" s="34"/>
      <c r="BR994" s="34"/>
      <c r="BS994" s="34"/>
      <c r="BT994" s="34"/>
      <c r="BU994" s="34"/>
      <c r="BV994" s="34"/>
      <c r="BW994" s="34"/>
      <c r="BX994" s="34"/>
      <c r="BY994" s="34"/>
    </row>
    <row r="995" spans="1:77" x14ac:dyDescent="0.3">
      <c r="A995" s="39"/>
      <c r="B995" s="42"/>
      <c r="C995" s="42"/>
      <c r="D995" s="75"/>
      <c r="E995" s="75"/>
      <c r="F995" s="76"/>
      <c r="G995" s="47"/>
      <c r="H995" s="47"/>
      <c r="I995" s="75"/>
      <c r="J995" s="76"/>
      <c r="K995" s="76"/>
      <c r="L995" s="75"/>
      <c r="M995" s="49"/>
      <c r="N995" s="76"/>
      <c r="O995" s="49"/>
      <c r="P995" s="77"/>
      <c r="Q995" s="53"/>
      <c r="R995" s="54"/>
      <c r="S995" s="55"/>
      <c r="T995" s="56"/>
      <c r="U995" s="56"/>
      <c r="V995" s="42"/>
      <c r="W995" s="57"/>
      <c r="X995" s="58"/>
      <c r="Y995" s="75"/>
      <c r="Z995" s="59"/>
      <c r="AA995" s="61"/>
      <c r="AB995" s="61"/>
      <c r="AC995" s="61"/>
      <c r="AD995" s="62"/>
      <c r="AE995" s="62"/>
      <c r="AF995" s="34"/>
      <c r="AG995" s="34"/>
      <c r="AH995" s="34"/>
      <c r="AI995" s="34"/>
      <c r="AJ995" s="34"/>
      <c r="AK995" s="34"/>
      <c r="AL995" s="34"/>
      <c r="AM995" s="34"/>
      <c r="AN995" s="34"/>
      <c r="AO995" s="34"/>
      <c r="AP995" s="34"/>
      <c r="AQ995" s="34"/>
      <c r="AR995" s="34"/>
      <c r="AS995" s="34"/>
      <c r="AT995" s="34"/>
      <c r="AU995" s="34"/>
      <c r="AV995" s="34"/>
      <c r="AW995" s="34"/>
      <c r="AX995" s="34"/>
      <c r="AY995" s="34"/>
      <c r="AZ995" s="34"/>
      <c r="BA995" s="34"/>
      <c r="BB995" s="34"/>
      <c r="BD995" s="34"/>
      <c r="BE995" s="34"/>
      <c r="BF995" s="34"/>
      <c r="BG995" s="34"/>
      <c r="BH995" s="34"/>
      <c r="BI995" s="34"/>
      <c r="BJ995" s="34"/>
      <c r="BK995" s="34"/>
      <c r="BL995" s="34"/>
      <c r="BM995" s="34"/>
      <c r="BN995" s="34"/>
      <c r="BO995" s="34"/>
      <c r="BP995" s="34"/>
      <c r="BQ995" s="34"/>
      <c r="BR995" s="34"/>
      <c r="BS995" s="34"/>
      <c r="BT995" s="34"/>
      <c r="BU995" s="34"/>
      <c r="BV995" s="34"/>
      <c r="BW995" s="34"/>
      <c r="BX995" s="34"/>
      <c r="BY995" s="34"/>
    </row>
    <row r="996" spans="1:77" x14ac:dyDescent="0.3">
      <c r="A996" s="39"/>
      <c r="B996" s="42"/>
      <c r="C996" s="42"/>
      <c r="D996" s="75"/>
      <c r="E996" s="75"/>
      <c r="F996" s="76"/>
      <c r="G996" s="47"/>
      <c r="H996" s="47"/>
      <c r="I996" s="75"/>
      <c r="J996" s="76"/>
      <c r="K996" s="76"/>
      <c r="L996" s="75"/>
      <c r="M996" s="49"/>
      <c r="N996" s="76"/>
      <c r="O996" s="49"/>
      <c r="P996" s="77"/>
      <c r="Q996" s="53"/>
      <c r="R996" s="54"/>
      <c r="S996" s="55"/>
      <c r="T996" s="56"/>
      <c r="U996" s="56"/>
      <c r="V996" s="42"/>
      <c r="W996" s="57"/>
      <c r="X996" s="58"/>
      <c r="Y996" s="75"/>
      <c r="Z996" s="59"/>
      <c r="AA996" s="61"/>
      <c r="AB996" s="61"/>
      <c r="AC996" s="61"/>
      <c r="AD996" s="62"/>
      <c r="AE996" s="62"/>
      <c r="AF996" s="34"/>
      <c r="AG996" s="34"/>
      <c r="AH996" s="34"/>
      <c r="AI996" s="34"/>
      <c r="AJ996" s="34"/>
      <c r="AK996" s="34"/>
      <c r="AL996" s="34"/>
      <c r="AM996" s="34"/>
      <c r="AN996" s="34"/>
      <c r="AO996" s="34"/>
      <c r="AP996" s="34"/>
      <c r="AQ996" s="34"/>
      <c r="AR996" s="34"/>
      <c r="AS996" s="34"/>
      <c r="AT996" s="34"/>
      <c r="AU996" s="34"/>
      <c r="AV996" s="34"/>
      <c r="AW996" s="34"/>
      <c r="AX996" s="34"/>
      <c r="AY996" s="34"/>
      <c r="AZ996" s="34"/>
      <c r="BA996" s="34"/>
      <c r="BB996" s="34"/>
      <c r="BD996" s="34"/>
      <c r="BE996" s="34"/>
      <c r="BF996" s="34"/>
      <c r="BG996" s="34"/>
      <c r="BH996" s="34"/>
      <c r="BI996" s="34"/>
      <c r="BJ996" s="34"/>
      <c r="BK996" s="34"/>
      <c r="BL996" s="34"/>
      <c r="BM996" s="34"/>
      <c r="BN996" s="34"/>
      <c r="BO996" s="34"/>
      <c r="BP996" s="34"/>
      <c r="BQ996" s="34"/>
      <c r="BR996" s="34"/>
      <c r="BS996" s="34"/>
      <c r="BT996" s="34"/>
      <c r="BU996" s="34"/>
      <c r="BV996" s="34"/>
      <c r="BW996" s="34"/>
      <c r="BX996" s="34"/>
      <c r="BY996" s="34"/>
    </row>
    <row r="997" spans="1:77" x14ac:dyDescent="0.3">
      <c r="A997" s="39"/>
      <c r="B997" s="42"/>
      <c r="C997" s="42"/>
      <c r="D997" s="75"/>
      <c r="E997" s="75"/>
      <c r="F997" s="76"/>
      <c r="G997" s="47"/>
      <c r="H997" s="47"/>
      <c r="I997" s="75"/>
      <c r="J997" s="76"/>
      <c r="K997" s="76"/>
      <c r="L997" s="75"/>
      <c r="M997" s="49"/>
      <c r="N997" s="76"/>
      <c r="O997" s="49"/>
      <c r="P997" s="77"/>
      <c r="Q997" s="53"/>
      <c r="R997" s="54"/>
      <c r="S997" s="55"/>
      <c r="T997" s="56"/>
      <c r="U997" s="56"/>
      <c r="V997" s="42"/>
      <c r="W997" s="57"/>
      <c r="X997" s="58"/>
      <c r="Y997" s="75"/>
      <c r="Z997" s="59"/>
      <c r="AA997" s="61"/>
      <c r="AB997" s="61"/>
      <c r="AC997" s="61"/>
      <c r="AD997" s="62"/>
      <c r="AE997" s="62"/>
      <c r="AF997" s="34"/>
      <c r="AG997" s="34"/>
      <c r="AH997" s="34"/>
      <c r="AI997" s="34"/>
      <c r="AJ997" s="34"/>
      <c r="AK997" s="34"/>
      <c r="AL997" s="34"/>
      <c r="AM997" s="34"/>
      <c r="AN997" s="34"/>
      <c r="AO997" s="34"/>
      <c r="AP997" s="34"/>
      <c r="AQ997" s="34"/>
      <c r="AR997" s="34"/>
      <c r="AS997" s="34"/>
      <c r="AT997" s="34"/>
      <c r="AU997" s="34"/>
      <c r="AV997" s="34"/>
      <c r="AW997" s="34"/>
      <c r="AX997" s="34"/>
      <c r="AY997" s="34"/>
      <c r="AZ997" s="34"/>
      <c r="BA997" s="34"/>
      <c r="BB997" s="34"/>
      <c r="BD997" s="34"/>
      <c r="BE997" s="34"/>
      <c r="BF997" s="34"/>
      <c r="BG997" s="34"/>
      <c r="BH997" s="34"/>
      <c r="BI997" s="34"/>
      <c r="BJ997" s="34"/>
      <c r="BK997" s="34"/>
      <c r="BL997" s="34"/>
      <c r="BM997" s="34"/>
      <c r="BN997" s="34"/>
      <c r="BO997" s="34"/>
      <c r="BP997" s="34"/>
      <c r="BQ997" s="34"/>
      <c r="BR997" s="34"/>
      <c r="BS997" s="34"/>
      <c r="BT997" s="34"/>
      <c r="BU997" s="34"/>
      <c r="BV997" s="34"/>
      <c r="BW997" s="34"/>
      <c r="BX997" s="34"/>
      <c r="BY997" s="34"/>
    </row>
    <row r="998" spans="1:77" x14ac:dyDescent="0.3">
      <c r="A998" s="39"/>
      <c r="B998" s="42"/>
      <c r="C998" s="42"/>
      <c r="D998" s="75"/>
      <c r="E998" s="75"/>
      <c r="F998" s="76"/>
      <c r="G998" s="47"/>
      <c r="H998" s="47"/>
      <c r="I998" s="75"/>
      <c r="J998" s="76"/>
      <c r="K998" s="76"/>
      <c r="L998" s="75"/>
      <c r="M998" s="49"/>
      <c r="N998" s="76"/>
      <c r="O998" s="49"/>
      <c r="P998" s="77"/>
      <c r="Q998" s="53"/>
      <c r="R998" s="54"/>
      <c r="S998" s="55"/>
      <c r="T998" s="56"/>
      <c r="U998" s="56"/>
      <c r="V998" s="42"/>
      <c r="W998" s="57"/>
      <c r="X998" s="58"/>
      <c r="Y998" s="75"/>
      <c r="Z998" s="59"/>
      <c r="AA998" s="61"/>
      <c r="AB998" s="61"/>
      <c r="AC998" s="61"/>
      <c r="AD998" s="62"/>
      <c r="AE998" s="62"/>
      <c r="AF998" s="34"/>
      <c r="AG998" s="34"/>
      <c r="AH998" s="34"/>
      <c r="AI998" s="34"/>
      <c r="AJ998" s="34"/>
      <c r="AK998" s="34"/>
      <c r="AL998" s="34"/>
      <c r="AM998" s="34"/>
      <c r="AN998" s="34"/>
      <c r="AO998" s="34"/>
      <c r="AP998" s="34"/>
      <c r="AQ998" s="34"/>
      <c r="AR998" s="34"/>
      <c r="AS998" s="34"/>
      <c r="AT998" s="34"/>
      <c r="AU998" s="34"/>
      <c r="AV998" s="34"/>
      <c r="AW998" s="34"/>
      <c r="AX998" s="34"/>
      <c r="AY998" s="34"/>
      <c r="AZ998" s="34"/>
      <c r="BA998" s="34"/>
      <c r="BB998" s="34"/>
      <c r="BD998" s="34"/>
      <c r="BE998" s="34"/>
      <c r="BF998" s="34"/>
      <c r="BG998" s="34"/>
      <c r="BH998" s="34"/>
      <c r="BI998" s="34"/>
      <c r="BJ998" s="34"/>
      <c r="BK998" s="34"/>
      <c r="BL998" s="34"/>
      <c r="BM998" s="34"/>
      <c r="BN998" s="34"/>
      <c r="BO998" s="34"/>
      <c r="BP998" s="34"/>
      <c r="BQ998" s="34"/>
      <c r="BR998" s="34"/>
      <c r="BS998" s="34"/>
      <c r="BT998" s="34"/>
      <c r="BU998" s="34"/>
      <c r="BV998" s="34"/>
      <c r="BW998" s="34"/>
      <c r="BX998" s="34"/>
      <c r="BY998" s="34"/>
    </row>
    <row r="999" spans="1:77" x14ac:dyDescent="0.3">
      <c r="A999" s="39"/>
      <c r="B999" s="42"/>
      <c r="C999" s="42"/>
      <c r="D999" s="75"/>
      <c r="E999" s="75"/>
      <c r="F999" s="76"/>
      <c r="G999" s="47"/>
      <c r="H999" s="47"/>
      <c r="I999" s="75"/>
      <c r="J999" s="76"/>
      <c r="K999" s="76"/>
      <c r="L999" s="75"/>
      <c r="M999" s="49"/>
      <c r="N999" s="76"/>
      <c r="O999" s="49"/>
      <c r="P999" s="77"/>
      <c r="Q999" s="53"/>
      <c r="R999" s="54"/>
      <c r="S999" s="55"/>
      <c r="T999" s="56"/>
      <c r="U999" s="56"/>
      <c r="V999" s="42"/>
      <c r="W999" s="57"/>
      <c r="X999" s="58"/>
      <c r="Y999" s="75"/>
      <c r="Z999" s="59"/>
      <c r="AA999" s="61"/>
      <c r="AB999" s="61"/>
      <c r="AC999" s="61"/>
      <c r="AD999" s="62"/>
      <c r="AE999" s="62"/>
      <c r="AF999" s="34"/>
      <c r="AG999" s="34"/>
      <c r="AH999" s="34"/>
      <c r="AI999" s="34"/>
      <c r="AJ999" s="34"/>
      <c r="AK999" s="34"/>
      <c r="AL999" s="34"/>
      <c r="AM999" s="34"/>
      <c r="AN999" s="34"/>
      <c r="AO999" s="34"/>
      <c r="AP999" s="34"/>
      <c r="AQ999" s="34"/>
      <c r="AR999" s="34"/>
      <c r="AS999" s="34"/>
      <c r="AT999" s="34"/>
      <c r="AU999" s="34"/>
      <c r="AV999" s="34"/>
      <c r="AW999" s="34"/>
      <c r="AX999" s="34"/>
      <c r="AY999" s="34"/>
      <c r="AZ999" s="34"/>
      <c r="BA999" s="34"/>
      <c r="BB999" s="34"/>
      <c r="BD999" s="34"/>
      <c r="BE999" s="34"/>
      <c r="BF999" s="34"/>
      <c r="BG999" s="34"/>
      <c r="BH999" s="34"/>
      <c r="BI999" s="34"/>
      <c r="BJ999" s="34"/>
      <c r="BK999" s="34"/>
      <c r="BL999" s="34"/>
      <c r="BM999" s="34"/>
      <c r="BN999" s="34"/>
      <c r="BO999" s="34"/>
      <c r="BP999" s="34"/>
      <c r="BQ999" s="34"/>
      <c r="BR999" s="34"/>
      <c r="BS999" s="34"/>
      <c r="BT999" s="34"/>
      <c r="BU999" s="34"/>
      <c r="BV999" s="34"/>
      <c r="BW999" s="34"/>
      <c r="BX999" s="34"/>
      <c r="BY999" s="34"/>
    </row>
    <row r="1000" spans="1:77" x14ac:dyDescent="0.3">
      <c r="A1000" s="39"/>
      <c r="B1000" s="42"/>
      <c r="C1000" s="42"/>
      <c r="D1000" s="75"/>
      <c r="E1000" s="75"/>
      <c r="F1000" s="76"/>
      <c r="G1000" s="47"/>
      <c r="H1000" s="47"/>
      <c r="I1000" s="75"/>
      <c r="J1000" s="76"/>
      <c r="K1000" s="76"/>
      <c r="L1000" s="75"/>
      <c r="M1000" s="49"/>
      <c r="N1000" s="76"/>
      <c r="O1000" s="49"/>
      <c r="P1000" s="77"/>
      <c r="Q1000" s="53"/>
      <c r="R1000" s="54"/>
      <c r="S1000" s="55"/>
      <c r="T1000" s="56"/>
      <c r="U1000" s="56"/>
      <c r="V1000" s="42"/>
      <c r="W1000" s="57"/>
      <c r="X1000" s="58"/>
      <c r="Y1000" s="75"/>
      <c r="Z1000" s="59"/>
      <c r="AA1000" s="61"/>
      <c r="AB1000" s="61"/>
      <c r="AC1000" s="61"/>
      <c r="AD1000" s="62"/>
      <c r="AE1000" s="62"/>
      <c r="AF1000" s="34"/>
      <c r="AG1000" s="34"/>
      <c r="AH1000" s="34"/>
      <c r="AI1000" s="34"/>
      <c r="AJ1000" s="34"/>
      <c r="AK1000" s="34"/>
      <c r="AL1000" s="34"/>
      <c r="AM1000" s="34"/>
      <c r="AN1000" s="34"/>
      <c r="AO1000" s="34"/>
      <c r="AP1000" s="34"/>
      <c r="AQ1000" s="34"/>
      <c r="AR1000" s="34"/>
      <c r="AS1000" s="34"/>
      <c r="AT1000" s="34"/>
      <c r="AU1000" s="34"/>
      <c r="AV1000" s="34"/>
      <c r="AW1000" s="34"/>
      <c r="AX1000" s="34"/>
      <c r="AY1000" s="34"/>
      <c r="AZ1000" s="34"/>
      <c r="BA1000" s="34"/>
      <c r="BB1000" s="34"/>
      <c r="BD1000" s="34"/>
      <c r="BE1000" s="34"/>
      <c r="BF1000" s="34"/>
      <c r="BG1000" s="34"/>
      <c r="BH1000" s="34"/>
      <c r="BI1000" s="34"/>
      <c r="BJ1000" s="34"/>
      <c r="BK1000" s="34"/>
      <c r="BL1000" s="34"/>
      <c r="BM1000" s="34"/>
      <c r="BN1000" s="34"/>
      <c r="BO1000" s="34"/>
      <c r="BP1000" s="34"/>
      <c r="BQ1000" s="34"/>
      <c r="BR1000" s="34"/>
      <c r="BS1000" s="34"/>
      <c r="BT1000" s="34"/>
      <c r="BU1000" s="34"/>
      <c r="BV1000" s="34"/>
      <c r="BW1000" s="34"/>
      <c r="BX1000" s="34"/>
      <c r="BY1000" s="34"/>
    </row>
  </sheetData>
  <sheetProtection formatCells="0" formatColumns="0" formatRows="0" sort="0" autoFilter="0"/>
  <autoFilter ref="A2:AD1000" xr:uid="{00000000-0009-0000-0000-000004000000}"/>
  <mergeCells count="7">
    <mergeCell ref="W1:X1"/>
    <mergeCell ref="Y1:AD1"/>
    <mergeCell ref="A1:C1"/>
    <mergeCell ref="E1:H1"/>
    <mergeCell ref="I1:K1"/>
    <mergeCell ref="L1:O1"/>
    <mergeCell ref="R1:V1"/>
  </mergeCells>
  <phoneticPr fontId="3" type="noConversion"/>
  <conditionalFormatting sqref="A3:CA3000">
    <cfRule type="expression" dxfId="3" priority="1" stopIfTrue="1">
      <formula>$CA3="вводной узел"</formula>
    </cfRule>
    <cfRule type="expression" dxfId="2" priority="2" stopIfTrue="1">
      <formula>ODD($BZ3)</formula>
    </cfRule>
    <cfRule type="expression" dxfId="1" priority="3" stopIfTrue="1">
      <formula>AND($A3&lt;&gt;"",$A3&lt;&gt;$A2)</formula>
    </cfRule>
  </conditionalFormatting>
  <dataValidations count="6">
    <dataValidation type="list" allowBlank="1" sqref="E3:E1000" xr:uid="{00000000-0002-0000-0500-000000000000}">
      <formula1>Список_автоматов</formula1>
    </dataValidation>
    <dataValidation type="list" allowBlank="1" sqref="F3:F1000" xr:uid="{00000000-0002-0000-0500-000001000000}">
      <formula1>"да,нет"</formula1>
    </dataValidation>
    <dataValidation type="list" allowBlank="1" sqref="I3:K1000" xr:uid="{00000000-0002-0000-0500-000002000000}">
      <formula1>Список_аппаратов</formula1>
    </dataValidation>
    <dataValidation type="list" allowBlank="1" sqref="L3:L1000" xr:uid="{00000000-0002-0000-0500-000003000000}">
      <formula1>Список_модулей</formula1>
    </dataValidation>
    <dataValidation type="list" allowBlank="1" sqref="N3:N1000" xr:uid="{00000000-0002-0000-0500-000004000000}">
      <formula1>"+,=,р,б/к"</formula1>
    </dataValidation>
    <dataValidation type="list" allowBlank="1" sqref="Y3:Y1000" xr:uid="{00000000-0002-0000-0500-000005000000}">
      <formula1>"вручную"</formula1>
    </dataValidation>
  </dataValidations>
  <pageMargins left="0.4" right="0.4" top="0.5" bottom="0.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460DF-5547-4C44-98CC-F4B5A8B0B139}">
  <sheetPr codeName="Лист20">
    <tabColor rgb="FFA6A6A6"/>
  </sheetPr>
  <dimension ref="B1:AF503"/>
  <sheetViews>
    <sheetView workbookViewId="0"/>
  </sheetViews>
  <sheetFormatPr defaultRowHeight="14.4" x14ac:dyDescent="0.3"/>
  <cols>
    <col min="2" max="2" width="18.109375" customWidth="1"/>
    <col min="3" max="3" width="7" bestFit="1" customWidth="1"/>
    <col min="4" max="4" width="9" bestFit="1" customWidth="1"/>
    <col min="5" max="6" width="6.109375" bestFit="1" customWidth="1"/>
    <col min="8" max="8" width="8.5546875" bestFit="1" customWidth="1"/>
    <col min="10" max="10" width="8.5546875" bestFit="1" customWidth="1"/>
    <col min="11" max="11" width="9.5546875" bestFit="1" customWidth="1"/>
    <col min="13" max="13" width="14.5546875" bestFit="1" customWidth="1"/>
    <col min="17" max="17" width="19.33203125" customWidth="1"/>
    <col min="18" max="18" width="15" customWidth="1"/>
    <col min="20" max="20" width="20.88671875" style="22" bestFit="1" customWidth="1"/>
    <col min="21" max="21" width="19" bestFit="1" customWidth="1"/>
    <col min="22" max="22" width="17.33203125" bestFit="1" customWidth="1"/>
    <col min="23" max="24" width="17.33203125" customWidth="1"/>
    <col min="26" max="26" width="10.88671875" bestFit="1" customWidth="1"/>
    <col min="27" max="27" width="7.88671875" bestFit="1" customWidth="1"/>
    <col min="30" max="30" width="11.33203125" bestFit="1" customWidth="1"/>
    <col min="31" max="31" width="10.88671875" bestFit="1" customWidth="1"/>
  </cols>
  <sheetData>
    <row r="1" spans="2:32" x14ac:dyDescent="0.3">
      <c r="T1" s="22">
        <v>1</v>
      </c>
      <c r="U1">
        <v>2</v>
      </c>
      <c r="V1">
        <v>3</v>
      </c>
      <c r="W1">
        <v>4</v>
      </c>
      <c r="X1">
        <v>5</v>
      </c>
    </row>
    <row r="2" spans="2:32" x14ac:dyDescent="0.3">
      <c r="B2" s="3" t="s">
        <v>160</v>
      </c>
      <c r="C2" s="20"/>
      <c r="D2" s="20"/>
      <c r="E2" s="20"/>
      <c r="F2" s="20"/>
      <c r="M2" s="3" t="s">
        <v>161</v>
      </c>
      <c r="Q2" s="3" t="s">
        <v>171</v>
      </c>
      <c r="Z2" s="3" t="s">
        <v>178</v>
      </c>
      <c r="AA2" t="s">
        <v>179</v>
      </c>
      <c r="AD2" s="3" t="s">
        <v>177</v>
      </c>
      <c r="AE2" t="s">
        <v>180</v>
      </c>
    </row>
    <row r="3" spans="2:32" x14ac:dyDescent="0.3">
      <c r="B3" s="3" t="s">
        <v>1</v>
      </c>
      <c r="C3" s="3" t="s">
        <v>166</v>
      </c>
      <c r="D3" s="3" t="s">
        <v>167</v>
      </c>
      <c r="E3" s="3" t="s">
        <v>168</v>
      </c>
      <c r="F3" s="3" t="s">
        <v>169</v>
      </c>
      <c r="G3" s="3" t="s">
        <v>157</v>
      </c>
      <c r="H3" s="3" t="s">
        <v>163</v>
      </c>
      <c r="I3" s="3" t="s">
        <v>158</v>
      </c>
      <c r="J3" s="3" t="s">
        <v>162</v>
      </c>
      <c r="K3" s="3" t="s">
        <v>159</v>
      </c>
      <c r="M3" s="3" t="s">
        <v>1</v>
      </c>
      <c r="N3" s="3" t="s">
        <v>164</v>
      </c>
      <c r="O3" s="3" t="s">
        <v>165</v>
      </c>
      <c r="Q3" s="3" t="s">
        <v>24</v>
      </c>
      <c r="R3" s="3" t="s">
        <v>172</v>
      </c>
      <c r="S3" s="3" t="s">
        <v>3</v>
      </c>
      <c r="T3" s="3" t="s">
        <v>9</v>
      </c>
      <c r="U3" s="3" t="s">
        <v>173</v>
      </c>
      <c r="V3" s="3" t="s">
        <v>191</v>
      </c>
      <c r="W3" s="3" t="s">
        <v>201</v>
      </c>
      <c r="X3" s="3" t="s">
        <v>202</v>
      </c>
      <c r="Z3" s="3" t="s">
        <v>176</v>
      </c>
      <c r="AA3" s="3" t="s">
        <v>155</v>
      </c>
      <c r="AB3" s="3" t="s">
        <v>175</v>
      </c>
      <c r="AD3" s="3" t="s">
        <v>176</v>
      </c>
      <c r="AE3" s="3" t="s">
        <v>155</v>
      </c>
      <c r="AF3" s="3" t="s">
        <v>175</v>
      </c>
    </row>
    <row r="4" spans="2:32" x14ac:dyDescent="0.3">
      <c r="B4" s="3">
        <v>0.09</v>
      </c>
      <c r="C4" s="3">
        <v>0.37</v>
      </c>
      <c r="D4" s="3">
        <v>1.67</v>
      </c>
      <c r="E4" s="3">
        <f>ROUNDUP(B4/G4/K4/0.22,2)</f>
        <v>0.85</v>
      </c>
      <c r="F4" s="3">
        <f>ROUNDUP(E4*J4,2)</f>
        <v>2.98</v>
      </c>
      <c r="G4" s="3">
        <v>0.56999999999999995</v>
      </c>
      <c r="H4" s="3">
        <v>4.5</v>
      </c>
      <c r="I4" s="3">
        <v>0.65</v>
      </c>
      <c r="J4" s="3">
        <v>3.5</v>
      </c>
      <c r="K4" s="3">
        <v>0.85</v>
      </c>
      <c r="M4" s="3">
        <v>0.01</v>
      </c>
      <c r="N4" s="3">
        <v>40</v>
      </c>
      <c r="O4" s="3">
        <v>0.11</v>
      </c>
      <c r="Q4" s="3" t="s">
        <v>12</v>
      </c>
      <c r="R4" s="3">
        <v>1</v>
      </c>
      <c r="S4" s="3">
        <v>1.5</v>
      </c>
      <c r="T4" s="21" t="str">
        <f>Q4&amp;" ("&amp;R4&amp;"х"&amp;S4&amp;")"</f>
        <v>ВВГнг(А)-LS (1х1,5)</v>
      </c>
      <c r="U4" s="3">
        <v>5.4</v>
      </c>
      <c r="V4" s="3">
        <f>IF((U4*1.2)&lt;14,14,U4*1.2)</f>
        <v>14</v>
      </c>
      <c r="W4" s="3" t="str">
        <f>"Ø"&amp;VLOOKUP(V4,$Z$4:$AA$10,2,TRUE)</f>
        <v>Ø20</v>
      </c>
      <c r="X4" s="3" t="str">
        <f>"Ø"&amp;VLOOKUP(V4,$AD$4:$AE$10,2,TRUE)</f>
        <v>Ø20</v>
      </c>
      <c r="Z4" s="3">
        <v>0</v>
      </c>
      <c r="AA4" s="3">
        <v>16</v>
      </c>
      <c r="AB4" s="3">
        <v>16</v>
      </c>
      <c r="AD4" s="3">
        <v>0</v>
      </c>
      <c r="AE4" s="3">
        <v>16</v>
      </c>
      <c r="AF4" s="3">
        <v>16</v>
      </c>
    </row>
    <row r="5" spans="2:32" x14ac:dyDescent="0.3">
      <c r="B5" s="3">
        <v>0.12</v>
      </c>
      <c r="C5" s="3">
        <v>0.49</v>
      </c>
      <c r="D5" s="3">
        <v>2.4500000000000002</v>
      </c>
      <c r="E5" s="3">
        <f t="shared" ref="E5:E16" si="0">ROUNDUP(B5/G5/K5/0.22,2)</f>
        <v>1.1300000000000001</v>
      </c>
      <c r="F5" s="3">
        <f t="shared" ref="F5:F16" si="1">ROUNDUP(E5*J5,2)</f>
        <v>3.96</v>
      </c>
      <c r="G5" s="3">
        <v>0.56999999999999995</v>
      </c>
      <c r="H5" s="3">
        <v>5</v>
      </c>
      <c r="I5" s="3">
        <v>0.66</v>
      </c>
      <c r="J5" s="3">
        <v>3.5</v>
      </c>
      <c r="K5" s="3">
        <v>0.85</v>
      </c>
      <c r="M5" s="3">
        <v>1.2E-2</v>
      </c>
      <c r="N5" s="3">
        <v>40</v>
      </c>
      <c r="O5" s="3">
        <v>0.13</v>
      </c>
      <c r="Q5" s="3" t="s">
        <v>12</v>
      </c>
      <c r="R5" s="3">
        <v>2</v>
      </c>
      <c r="S5" s="3">
        <v>1.5</v>
      </c>
      <c r="T5" s="21" t="str">
        <f t="shared" ref="T5:T23" si="2">Q5&amp;" ("&amp;R5&amp;"х"&amp;S5&amp;")"</f>
        <v>ВВГнг(А)-LS (2х1,5)</v>
      </c>
      <c r="U5" s="3">
        <v>9</v>
      </c>
      <c r="V5" s="3">
        <f t="shared" ref="V5:V68" si="3">IF((U5*1.2)&lt;14,14,U5*1.2)</f>
        <v>14</v>
      </c>
      <c r="W5" s="3" t="str">
        <f t="shared" ref="W5:W68" si="4">"Ø"&amp;VLOOKUP(V5,$Z$4:$AA$10,2,TRUE)</f>
        <v>Ø20</v>
      </c>
      <c r="X5" s="3" t="str">
        <f t="shared" ref="X5:X68" si="5">"Ø"&amp;VLOOKUP(V5,$AD$4:$AE$10,2,TRUE)</f>
        <v>Ø20</v>
      </c>
      <c r="Z5" s="3">
        <v>11.5</v>
      </c>
      <c r="AA5" s="3">
        <v>20</v>
      </c>
      <c r="AB5" s="3">
        <v>20</v>
      </c>
      <c r="AD5" s="3">
        <v>11.3</v>
      </c>
      <c r="AE5" s="3">
        <v>20</v>
      </c>
      <c r="AF5" s="3">
        <v>20</v>
      </c>
    </row>
    <row r="6" spans="2:32" x14ac:dyDescent="0.3">
      <c r="B6" s="3">
        <v>0.18</v>
      </c>
      <c r="C6" s="3">
        <v>0.67</v>
      </c>
      <c r="D6" s="3">
        <v>3.35</v>
      </c>
      <c r="E6" s="3">
        <f t="shared" si="0"/>
        <v>1.57</v>
      </c>
      <c r="F6" s="3">
        <f t="shared" si="1"/>
        <v>5.5</v>
      </c>
      <c r="G6" s="3">
        <v>0.6</v>
      </c>
      <c r="H6" s="3">
        <v>5</v>
      </c>
      <c r="I6" s="3">
        <v>0.68</v>
      </c>
      <c r="J6" s="3">
        <v>3.5</v>
      </c>
      <c r="K6" s="3">
        <v>0.87</v>
      </c>
      <c r="M6" s="3">
        <v>1.4999999999999999E-2</v>
      </c>
      <c r="N6" s="3">
        <v>45</v>
      </c>
      <c r="O6" s="3">
        <v>0.16</v>
      </c>
      <c r="Q6" s="3" t="s">
        <v>12</v>
      </c>
      <c r="R6" s="3">
        <v>3</v>
      </c>
      <c r="S6" s="3">
        <v>1.5</v>
      </c>
      <c r="T6" s="21" t="str">
        <f t="shared" si="2"/>
        <v>ВВГнг(А)-LS (3х1,5)</v>
      </c>
      <c r="U6" s="3">
        <v>9.4</v>
      </c>
      <c r="V6" s="3">
        <f t="shared" si="3"/>
        <v>14</v>
      </c>
      <c r="W6" s="3" t="str">
        <f t="shared" si="4"/>
        <v>Ø20</v>
      </c>
      <c r="X6" s="3" t="str">
        <f t="shared" si="5"/>
        <v>Ø20</v>
      </c>
      <c r="Z6" s="3">
        <v>14.9</v>
      </c>
      <c r="AA6" s="3">
        <v>25</v>
      </c>
      <c r="AB6" s="3">
        <v>25</v>
      </c>
      <c r="AD6" s="3">
        <v>14.5</v>
      </c>
      <c r="AE6" s="3">
        <v>25</v>
      </c>
      <c r="AF6" s="3">
        <v>25</v>
      </c>
    </row>
    <row r="7" spans="2:32" x14ac:dyDescent="0.3">
      <c r="B7" s="3">
        <v>0.25</v>
      </c>
      <c r="C7" s="3">
        <v>0.87</v>
      </c>
      <c r="D7" s="3">
        <v>4.3499999999999996</v>
      </c>
      <c r="E7" s="3">
        <f t="shared" si="0"/>
        <v>1.95</v>
      </c>
      <c r="F7" s="3">
        <f t="shared" si="1"/>
        <v>6.83</v>
      </c>
      <c r="G7" s="3">
        <v>0.65</v>
      </c>
      <c r="H7" s="3">
        <v>5</v>
      </c>
      <c r="I7" s="3">
        <v>0.67</v>
      </c>
      <c r="J7" s="3">
        <v>3.5</v>
      </c>
      <c r="K7" s="3">
        <v>0.9</v>
      </c>
      <c r="M7" s="3">
        <v>0.02</v>
      </c>
      <c r="N7" s="3">
        <v>45</v>
      </c>
      <c r="O7" s="3">
        <v>0.22</v>
      </c>
      <c r="Q7" s="3" t="s">
        <v>12</v>
      </c>
      <c r="R7" s="3">
        <v>4</v>
      </c>
      <c r="S7" s="3">
        <v>1.5</v>
      </c>
      <c r="T7" s="21" t="str">
        <f t="shared" si="2"/>
        <v>ВВГнг(А)-LS (4х1,5)</v>
      </c>
      <c r="U7" s="3">
        <v>10.199999999999999</v>
      </c>
      <c r="V7" s="3">
        <f t="shared" si="3"/>
        <v>14</v>
      </c>
      <c r="W7" s="3" t="str">
        <f t="shared" si="4"/>
        <v>Ø20</v>
      </c>
      <c r="X7" s="3" t="str">
        <f t="shared" si="5"/>
        <v>Ø20</v>
      </c>
      <c r="Z7" s="3">
        <v>19</v>
      </c>
      <c r="AA7" s="3">
        <v>32</v>
      </c>
      <c r="AB7" s="3">
        <v>32</v>
      </c>
      <c r="AD7" s="3">
        <v>18.7</v>
      </c>
      <c r="AE7" s="3">
        <v>32</v>
      </c>
      <c r="AF7" s="3">
        <v>32</v>
      </c>
    </row>
    <row r="8" spans="2:32" x14ac:dyDescent="0.3">
      <c r="B8" s="3">
        <v>0.37</v>
      </c>
      <c r="C8" s="3">
        <v>1.18</v>
      </c>
      <c r="D8" s="3">
        <v>5.8999999999999995</v>
      </c>
      <c r="E8" s="3">
        <f t="shared" si="0"/>
        <v>2.69</v>
      </c>
      <c r="F8" s="3">
        <f t="shared" si="1"/>
        <v>9.42</v>
      </c>
      <c r="G8" s="3">
        <v>0.68</v>
      </c>
      <c r="H8" s="3">
        <v>5</v>
      </c>
      <c r="I8" s="3">
        <v>0.7</v>
      </c>
      <c r="J8" s="3">
        <v>3.5</v>
      </c>
      <c r="K8" s="3">
        <v>0.92</v>
      </c>
      <c r="M8" s="3">
        <v>0.03</v>
      </c>
      <c r="N8" s="3">
        <v>50</v>
      </c>
      <c r="O8" s="3">
        <v>0.31</v>
      </c>
      <c r="Q8" s="3" t="s">
        <v>12</v>
      </c>
      <c r="R8" s="3">
        <v>5</v>
      </c>
      <c r="S8" s="3">
        <v>1.5</v>
      </c>
      <c r="T8" s="21" t="str">
        <f t="shared" si="2"/>
        <v>ВВГнг(А)-LS (5х1,5)</v>
      </c>
      <c r="U8" s="3">
        <v>11</v>
      </c>
      <c r="V8" s="3">
        <f t="shared" si="3"/>
        <v>14</v>
      </c>
      <c r="W8" s="3" t="str">
        <f t="shared" si="4"/>
        <v>Ø20</v>
      </c>
      <c r="X8" s="3" t="str">
        <f t="shared" si="5"/>
        <v>Ø20</v>
      </c>
      <c r="Z8" s="3">
        <v>24.9</v>
      </c>
      <c r="AA8" s="3">
        <v>40</v>
      </c>
      <c r="AB8" s="3">
        <v>40</v>
      </c>
      <c r="AD8" s="3">
        <v>24.3</v>
      </c>
      <c r="AE8" s="3">
        <v>40</v>
      </c>
      <c r="AF8" s="3">
        <v>40</v>
      </c>
    </row>
    <row r="9" spans="2:32" x14ac:dyDescent="0.3">
      <c r="B9" s="3">
        <v>0.55000000000000004</v>
      </c>
      <c r="C9" s="3">
        <v>1.66</v>
      </c>
      <c r="D9" s="3">
        <v>8.2999999999999989</v>
      </c>
      <c r="E9" s="3">
        <f t="shared" si="0"/>
        <v>3.7899999999999996</v>
      </c>
      <c r="F9" s="3">
        <f t="shared" si="1"/>
        <v>13.27</v>
      </c>
      <c r="G9" s="3">
        <v>0.71</v>
      </c>
      <c r="H9" s="3">
        <v>5</v>
      </c>
      <c r="I9" s="3">
        <v>0.71</v>
      </c>
      <c r="J9" s="3">
        <v>3.5</v>
      </c>
      <c r="K9" s="3">
        <v>0.93</v>
      </c>
      <c r="M9" s="3">
        <v>3.5999999999999997E-2</v>
      </c>
      <c r="N9" s="3">
        <v>50</v>
      </c>
      <c r="O9" s="3">
        <v>0.38</v>
      </c>
      <c r="Q9" s="3" t="s">
        <v>12</v>
      </c>
      <c r="R9" s="3">
        <v>1</v>
      </c>
      <c r="S9" s="3">
        <v>2.5</v>
      </c>
      <c r="T9" s="21" t="str">
        <f t="shared" si="2"/>
        <v>ВВГнг(А)-LS (1х2,5)</v>
      </c>
      <c r="U9" s="3">
        <v>5.8</v>
      </c>
      <c r="V9" s="3">
        <f t="shared" si="3"/>
        <v>14</v>
      </c>
      <c r="W9" s="3" t="str">
        <f t="shared" si="4"/>
        <v>Ø20</v>
      </c>
      <c r="X9" s="3" t="str">
        <f t="shared" si="5"/>
        <v>Ø20</v>
      </c>
      <c r="Z9" s="3">
        <v>31.8</v>
      </c>
      <c r="AA9" s="3">
        <v>50</v>
      </c>
      <c r="AB9" s="3">
        <v>50</v>
      </c>
      <c r="AD9" s="3">
        <v>30.7</v>
      </c>
      <c r="AE9" s="3">
        <v>50</v>
      </c>
      <c r="AF9" s="3">
        <v>50</v>
      </c>
    </row>
    <row r="10" spans="2:32" x14ac:dyDescent="0.3">
      <c r="B10" s="3">
        <v>0.75</v>
      </c>
      <c r="C10" s="3">
        <v>2.08</v>
      </c>
      <c r="D10" s="3">
        <v>10.4</v>
      </c>
      <c r="E10" s="3">
        <f t="shared" si="0"/>
        <v>4.97</v>
      </c>
      <c r="F10" s="3">
        <f t="shared" si="1"/>
        <v>17.400000000000002</v>
      </c>
      <c r="G10" s="3">
        <v>0.73</v>
      </c>
      <c r="H10" s="3">
        <v>5</v>
      </c>
      <c r="I10" s="3">
        <v>0.75</v>
      </c>
      <c r="J10" s="3">
        <v>3.5</v>
      </c>
      <c r="K10" s="3">
        <v>0.94</v>
      </c>
      <c r="M10" s="3">
        <v>0.04</v>
      </c>
      <c r="N10" s="3">
        <v>50</v>
      </c>
      <c r="O10" s="3">
        <v>0.4</v>
      </c>
      <c r="Q10" s="3" t="s">
        <v>12</v>
      </c>
      <c r="R10" s="3">
        <v>2</v>
      </c>
      <c r="S10" s="3">
        <v>2.5</v>
      </c>
      <c r="T10" s="21" t="str">
        <f t="shared" si="2"/>
        <v>ВВГнг(А)-LS (2х2,5)</v>
      </c>
      <c r="U10" s="3">
        <v>9.6999999999999993</v>
      </c>
      <c r="V10" s="3">
        <f t="shared" si="3"/>
        <v>14</v>
      </c>
      <c r="W10" s="3" t="str">
        <f t="shared" si="4"/>
        <v>Ø20</v>
      </c>
      <c r="X10" s="3" t="str">
        <f t="shared" si="5"/>
        <v>Ø20</v>
      </c>
      <c r="Z10" s="3">
        <v>40.200000000000003</v>
      </c>
      <c r="AA10" s="3" t="s">
        <v>203</v>
      </c>
      <c r="AB10" s="3" t="s">
        <v>203</v>
      </c>
      <c r="AD10" s="3">
        <v>38.9</v>
      </c>
      <c r="AE10" s="3" t="s">
        <v>203</v>
      </c>
      <c r="AF10" s="3" t="s">
        <v>203</v>
      </c>
    </row>
    <row r="11" spans="2:32" x14ac:dyDescent="0.3">
      <c r="B11" s="3">
        <v>1.1000000000000001</v>
      </c>
      <c r="C11" s="3">
        <v>2.85</v>
      </c>
      <c r="D11" s="3">
        <v>14.25</v>
      </c>
      <c r="E11" s="3">
        <f t="shared" si="0"/>
        <v>6.91</v>
      </c>
      <c r="F11" s="3">
        <f t="shared" si="1"/>
        <v>24.19</v>
      </c>
      <c r="G11" s="3">
        <v>0.76200000000000001</v>
      </c>
      <c r="H11" s="3">
        <v>5</v>
      </c>
      <c r="I11" s="3">
        <v>0.77</v>
      </c>
      <c r="J11" s="3">
        <v>3.5</v>
      </c>
      <c r="K11" s="3">
        <v>0.95</v>
      </c>
      <c r="M11" s="3">
        <v>4.4999999999999998E-2</v>
      </c>
      <c r="N11" s="3">
        <v>50</v>
      </c>
      <c r="O11" s="3">
        <v>0.45</v>
      </c>
      <c r="Q11" s="3" t="s">
        <v>12</v>
      </c>
      <c r="R11" s="3">
        <v>3</v>
      </c>
      <c r="S11" s="3">
        <v>2.5</v>
      </c>
      <c r="T11" s="21" t="str">
        <f t="shared" si="2"/>
        <v>ВВГнг(А)-LS (3х2,5)</v>
      </c>
      <c r="U11" s="3">
        <v>10.199999999999999</v>
      </c>
      <c r="V11" s="3">
        <f t="shared" si="3"/>
        <v>14</v>
      </c>
      <c r="W11" s="3" t="str">
        <f t="shared" si="4"/>
        <v>Ø20</v>
      </c>
      <c r="X11" s="3" t="str">
        <f t="shared" si="5"/>
        <v>Ø20</v>
      </c>
    </row>
    <row r="12" spans="2:32" x14ac:dyDescent="0.3">
      <c r="B12" s="3">
        <v>1.5</v>
      </c>
      <c r="C12" s="3">
        <v>3.63</v>
      </c>
      <c r="D12" s="3">
        <v>19.239999999999998</v>
      </c>
      <c r="E12" s="3">
        <f t="shared" si="0"/>
        <v>9.15</v>
      </c>
      <c r="F12" s="3">
        <f t="shared" si="1"/>
        <v>32.03</v>
      </c>
      <c r="G12" s="3">
        <v>0.78500000000000003</v>
      </c>
      <c r="H12" s="3">
        <v>5.3</v>
      </c>
      <c r="I12" s="3">
        <v>0.8</v>
      </c>
      <c r="J12" s="3">
        <v>3.5</v>
      </c>
      <c r="K12" s="3">
        <v>0.95</v>
      </c>
      <c r="M12" s="3">
        <v>0.06</v>
      </c>
      <c r="N12" s="3">
        <v>50</v>
      </c>
      <c r="O12" s="3">
        <v>0.75</v>
      </c>
      <c r="Q12" s="3" t="s">
        <v>12</v>
      </c>
      <c r="R12" s="3">
        <v>4</v>
      </c>
      <c r="S12" s="3">
        <v>2.5</v>
      </c>
      <c r="T12" s="21" t="str">
        <f t="shared" si="2"/>
        <v>ВВГнг(А)-LS (4х2,5)</v>
      </c>
      <c r="U12" s="3">
        <v>11.1</v>
      </c>
      <c r="V12" s="3">
        <f t="shared" si="3"/>
        <v>14</v>
      </c>
      <c r="W12" s="3" t="str">
        <f t="shared" si="4"/>
        <v>Ø20</v>
      </c>
      <c r="X12" s="3" t="str">
        <f t="shared" si="5"/>
        <v>Ø20</v>
      </c>
    </row>
    <row r="13" spans="2:32" x14ac:dyDescent="0.3">
      <c r="B13" s="3">
        <v>2.2000000000000002</v>
      </c>
      <c r="C13" s="3">
        <v>5.29</v>
      </c>
      <c r="D13" s="3">
        <v>31.740000000000002</v>
      </c>
      <c r="E13" s="3">
        <f t="shared" si="0"/>
        <v>13.16</v>
      </c>
      <c r="F13" s="3">
        <f t="shared" si="1"/>
        <v>46.06</v>
      </c>
      <c r="G13" s="3">
        <v>0.8</v>
      </c>
      <c r="H13" s="3">
        <v>6</v>
      </c>
      <c r="I13" s="3">
        <v>0.79</v>
      </c>
      <c r="J13" s="3">
        <v>3.5</v>
      </c>
      <c r="K13" s="3">
        <v>0.95</v>
      </c>
      <c r="M13" s="3">
        <v>0.08</v>
      </c>
      <c r="N13" s="3">
        <v>50</v>
      </c>
      <c r="O13" s="3">
        <v>0.81</v>
      </c>
      <c r="Q13" s="3" t="s">
        <v>12</v>
      </c>
      <c r="R13" s="3">
        <v>5</v>
      </c>
      <c r="S13" s="3">
        <v>2.5</v>
      </c>
      <c r="T13" s="21" t="str">
        <f t="shared" si="2"/>
        <v>ВВГнг(А)-LS (5х2,5)</v>
      </c>
      <c r="U13" s="3">
        <v>12</v>
      </c>
      <c r="V13" s="3">
        <f t="shared" si="3"/>
        <v>14.399999999999999</v>
      </c>
      <c r="W13" s="3" t="str">
        <f t="shared" si="4"/>
        <v>Ø20</v>
      </c>
      <c r="X13" s="3" t="str">
        <f t="shared" si="5"/>
        <v>Ø20</v>
      </c>
    </row>
    <row r="14" spans="2:32" x14ac:dyDescent="0.3">
      <c r="B14" s="3">
        <v>3</v>
      </c>
      <c r="C14" s="3">
        <v>6.73</v>
      </c>
      <c r="D14" s="3">
        <v>47.11</v>
      </c>
      <c r="E14" s="3">
        <f t="shared" si="0"/>
        <v>17.380000000000003</v>
      </c>
      <c r="F14" s="3">
        <f t="shared" si="1"/>
        <v>60.83</v>
      </c>
      <c r="G14" s="3">
        <v>0.82599999999999996</v>
      </c>
      <c r="H14" s="3">
        <v>7</v>
      </c>
      <c r="I14" s="3">
        <v>0.82</v>
      </c>
      <c r="J14" s="3">
        <v>3.5</v>
      </c>
      <c r="K14" s="3">
        <v>0.95</v>
      </c>
      <c r="M14" s="3">
        <v>0.1</v>
      </c>
      <c r="N14" s="3">
        <v>50</v>
      </c>
      <c r="O14" s="3">
        <v>1</v>
      </c>
      <c r="Q14" s="3" t="s">
        <v>12</v>
      </c>
      <c r="R14" s="3">
        <v>1</v>
      </c>
      <c r="S14" s="3">
        <v>4</v>
      </c>
      <c r="T14" s="21" t="str">
        <f t="shared" si="2"/>
        <v>ВВГнг(А)-LS (1х4)</v>
      </c>
      <c r="U14" s="3">
        <v>6.6</v>
      </c>
      <c r="V14" s="3">
        <f t="shared" si="3"/>
        <v>14</v>
      </c>
      <c r="W14" s="3" t="str">
        <f t="shared" si="4"/>
        <v>Ø20</v>
      </c>
      <c r="X14" s="3" t="str">
        <f t="shared" si="5"/>
        <v>Ø20</v>
      </c>
    </row>
    <row r="15" spans="2:32" x14ac:dyDescent="0.3">
      <c r="B15" s="3">
        <v>3.7</v>
      </c>
      <c r="C15" s="3">
        <v>8.1199999999999992</v>
      </c>
      <c r="D15" s="3">
        <v>56.839999999999996</v>
      </c>
      <c r="E15" s="3">
        <f t="shared" si="0"/>
        <v>21.23</v>
      </c>
      <c r="F15" s="3">
        <f t="shared" si="1"/>
        <v>74.31</v>
      </c>
      <c r="G15" s="3">
        <v>0.83400000000000007</v>
      </c>
      <c r="H15" s="3">
        <v>7</v>
      </c>
      <c r="I15" s="3">
        <v>0.83</v>
      </c>
      <c r="J15" s="3">
        <v>3.5</v>
      </c>
      <c r="K15" s="3">
        <v>0.95</v>
      </c>
      <c r="M15" s="3">
        <v>0.15</v>
      </c>
      <c r="N15" s="3">
        <v>65</v>
      </c>
      <c r="O15" s="3">
        <v>1.6</v>
      </c>
      <c r="Q15" s="3" t="s">
        <v>12</v>
      </c>
      <c r="R15" s="3">
        <v>2</v>
      </c>
      <c r="S15" s="3">
        <v>4</v>
      </c>
      <c r="T15" s="21" t="str">
        <f t="shared" si="2"/>
        <v>ВВГнг(А)-LS (2х4)</v>
      </c>
      <c r="U15" s="3">
        <v>11.4</v>
      </c>
      <c r="V15" s="3">
        <f t="shared" si="3"/>
        <v>14</v>
      </c>
      <c r="W15" s="3" t="str">
        <f t="shared" si="4"/>
        <v>Ø20</v>
      </c>
      <c r="X15" s="3" t="str">
        <f t="shared" si="5"/>
        <v>Ø20</v>
      </c>
    </row>
    <row r="16" spans="2:32" x14ac:dyDescent="0.3">
      <c r="B16" s="3">
        <v>4</v>
      </c>
      <c r="C16" s="3">
        <v>8.59</v>
      </c>
      <c r="D16" s="3">
        <v>60.129999999999995</v>
      </c>
      <c r="E16" s="3">
        <f t="shared" si="0"/>
        <v>22.740000000000002</v>
      </c>
      <c r="F16" s="3">
        <f t="shared" si="1"/>
        <v>79.59</v>
      </c>
      <c r="G16" s="3">
        <v>0.84200000000000008</v>
      </c>
      <c r="H16" s="3">
        <v>7</v>
      </c>
      <c r="I16" s="3">
        <v>0.84</v>
      </c>
      <c r="J16" s="3">
        <v>3.5</v>
      </c>
      <c r="K16" s="3">
        <v>0.95</v>
      </c>
      <c r="M16" s="3">
        <v>0.2</v>
      </c>
      <c r="N16" s="3">
        <v>65</v>
      </c>
      <c r="O16" s="3">
        <v>2</v>
      </c>
      <c r="Q16" s="3" t="s">
        <v>12</v>
      </c>
      <c r="R16" s="3">
        <v>3</v>
      </c>
      <c r="S16" s="3">
        <v>4</v>
      </c>
      <c r="T16" s="21" t="str">
        <f t="shared" si="2"/>
        <v>ВВГнг(А)-LS (3х4)</v>
      </c>
      <c r="U16" s="3">
        <v>12.1</v>
      </c>
      <c r="V16" s="3">
        <f t="shared" si="3"/>
        <v>14.52</v>
      </c>
      <c r="W16" s="3" t="str">
        <f t="shared" si="4"/>
        <v>Ø20</v>
      </c>
      <c r="X16" s="3" t="str">
        <f t="shared" si="5"/>
        <v>Ø25</v>
      </c>
    </row>
    <row r="17" spans="2:24" x14ac:dyDescent="0.3">
      <c r="B17" s="3">
        <v>5.5</v>
      </c>
      <c r="C17" s="3">
        <v>11.34</v>
      </c>
      <c r="D17" s="3">
        <v>79.38</v>
      </c>
      <c r="E17" s="3">
        <f t="shared" ref="E17" si="6">ROUNDUP(B17/G17/K17/0.22,2)</f>
        <v>30.71</v>
      </c>
      <c r="F17" s="3">
        <f t="shared" ref="F17" si="7">ROUNDUP(E17*J17,2)</f>
        <v>199.62</v>
      </c>
      <c r="G17" s="3">
        <v>0.85699999999999998</v>
      </c>
      <c r="H17" s="3">
        <v>7</v>
      </c>
      <c r="I17" s="3">
        <v>0.86</v>
      </c>
      <c r="J17" s="3">
        <v>6.5</v>
      </c>
      <c r="K17" s="3">
        <v>0.95</v>
      </c>
      <c r="M17" s="3">
        <v>0.25</v>
      </c>
      <c r="N17" s="3">
        <v>65</v>
      </c>
      <c r="O17" s="3">
        <v>2.6</v>
      </c>
      <c r="Q17" s="3" t="s">
        <v>12</v>
      </c>
      <c r="R17" s="3">
        <v>4</v>
      </c>
      <c r="S17" s="3">
        <v>4</v>
      </c>
      <c r="T17" s="21" t="str">
        <f t="shared" si="2"/>
        <v>ВВГнг(А)-LS (4х4)</v>
      </c>
      <c r="U17" s="3">
        <v>13.2</v>
      </c>
      <c r="V17" s="3">
        <f t="shared" si="3"/>
        <v>15.839999999999998</v>
      </c>
      <c r="W17" s="3" t="str">
        <f t="shared" si="4"/>
        <v>Ø25</v>
      </c>
      <c r="X17" s="3" t="str">
        <f t="shared" si="5"/>
        <v>Ø25</v>
      </c>
    </row>
    <row r="18" spans="2:24" x14ac:dyDescent="0.3">
      <c r="B18" s="3">
        <v>7.5</v>
      </c>
      <c r="C18" s="3">
        <v>15.23</v>
      </c>
      <c r="D18" s="3">
        <v>114.26</v>
      </c>
      <c r="E18" s="3"/>
      <c r="F18" s="3"/>
      <c r="G18" s="3">
        <v>0.87</v>
      </c>
      <c r="H18" s="3">
        <v>7.5</v>
      </c>
      <c r="I18" s="3">
        <v>0.86</v>
      </c>
      <c r="J18" s="3"/>
      <c r="K18" s="3"/>
      <c r="M18" s="3">
        <v>0.3</v>
      </c>
      <c r="N18" s="3">
        <v>70</v>
      </c>
      <c r="O18" s="3">
        <v>2.8</v>
      </c>
      <c r="Q18" s="3" t="s">
        <v>12</v>
      </c>
      <c r="R18" s="3">
        <v>5</v>
      </c>
      <c r="S18" s="3">
        <v>4</v>
      </c>
      <c r="T18" s="21" t="str">
        <f t="shared" si="2"/>
        <v>ВВГнг(А)-LS (5х4)</v>
      </c>
      <c r="U18" s="3">
        <v>14.4</v>
      </c>
      <c r="V18" s="3">
        <f t="shared" si="3"/>
        <v>17.28</v>
      </c>
      <c r="W18" s="3" t="str">
        <f t="shared" si="4"/>
        <v>Ø25</v>
      </c>
      <c r="X18" s="3" t="str">
        <f t="shared" si="5"/>
        <v>Ø25</v>
      </c>
    </row>
    <row r="19" spans="2:24" x14ac:dyDescent="0.3">
      <c r="B19" s="3">
        <v>9.1999999999999993</v>
      </c>
      <c r="C19" s="3">
        <v>18.79</v>
      </c>
      <c r="D19" s="3">
        <v>131.53</v>
      </c>
      <c r="E19" s="3"/>
      <c r="F19" s="3"/>
      <c r="G19" s="3">
        <v>0.875</v>
      </c>
      <c r="H19" s="3">
        <v>7</v>
      </c>
      <c r="I19" s="3">
        <v>0.85</v>
      </c>
      <c r="J19" s="3"/>
      <c r="K19" s="3"/>
      <c r="M19" s="3">
        <v>0.4</v>
      </c>
      <c r="N19" s="3">
        <v>70</v>
      </c>
      <c r="O19" s="3">
        <v>3.6</v>
      </c>
      <c r="Q19" s="3" t="s">
        <v>12</v>
      </c>
      <c r="R19" s="3">
        <v>1</v>
      </c>
      <c r="S19" s="3">
        <v>6</v>
      </c>
      <c r="T19" s="21" t="str">
        <f t="shared" si="2"/>
        <v>ВВГнг(А)-LS (1х6)</v>
      </c>
      <c r="U19" s="3">
        <v>7.1</v>
      </c>
      <c r="V19" s="3">
        <f t="shared" si="3"/>
        <v>14</v>
      </c>
      <c r="W19" s="3" t="str">
        <f t="shared" si="4"/>
        <v>Ø20</v>
      </c>
      <c r="X19" s="3" t="str">
        <f t="shared" si="5"/>
        <v>Ø20</v>
      </c>
    </row>
    <row r="20" spans="2:24" x14ac:dyDescent="0.3">
      <c r="B20" s="3">
        <v>11</v>
      </c>
      <c r="C20" s="3">
        <v>22.24</v>
      </c>
      <c r="D20" s="3">
        <v>166.79999999999998</v>
      </c>
      <c r="E20" s="3"/>
      <c r="F20" s="3"/>
      <c r="G20" s="3">
        <v>0.88400000000000001</v>
      </c>
      <c r="H20" s="3">
        <v>7.5</v>
      </c>
      <c r="I20" s="3">
        <v>0.85</v>
      </c>
      <c r="J20" s="3"/>
      <c r="K20" s="3"/>
      <c r="Q20" s="3" t="s">
        <v>12</v>
      </c>
      <c r="R20" s="3">
        <v>2</v>
      </c>
      <c r="S20" s="3">
        <v>6</v>
      </c>
      <c r="T20" s="21" t="str">
        <f t="shared" si="2"/>
        <v>ВВГнг(А)-LS (2х6)</v>
      </c>
      <c r="U20" s="3">
        <v>12.4</v>
      </c>
      <c r="V20" s="3">
        <f t="shared" si="3"/>
        <v>14.879999999999999</v>
      </c>
      <c r="W20" s="3" t="str">
        <f t="shared" si="4"/>
        <v>Ø20</v>
      </c>
      <c r="X20" s="3" t="str">
        <f t="shared" si="5"/>
        <v>Ø25</v>
      </c>
    </row>
    <row r="21" spans="2:24" x14ac:dyDescent="0.3">
      <c r="B21" s="3">
        <v>15</v>
      </c>
      <c r="C21" s="3">
        <v>29.3</v>
      </c>
      <c r="D21" s="3">
        <v>205.1</v>
      </c>
      <c r="E21" s="3"/>
      <c r="F21" s="3"/>
      <c r="G21" s="3">
        <v>0.89400000000000002</v>
      </c>
      <c r="H21" s="3">
        <v>7</v>
      </c>
      <c r="I21" s="3">
        <v>0.87</v>
      </c>
      <c r="J21" s="3"/>
      <c r="K21" s="3"/>
      <c r="Q21" s="3" t="s">
        <v>12</v>
      </c>
      <c r="R21" s="3">
        <v>3</v>
      </c>
      <c r="S21" s="3">
        <v>6</v>
      </c>
      <c r="T21" s="21" t="str">
        <f t="shared" si="2"/>
        <v>ВВГнг(А)-LS (3х6)</v>
      </c>
      <c r="U21" s="3">
        <v>13.1</v>
      </c>
      <c r="V21" s="3">
        <f t="shared" si="3"/>
        <v>15.719999999999999</v>
      </c>
      <c r="W21" s="3" t="str">
        <f t="shared" si="4"/>
        <v>Ø25</v>
      </c>
      <c r="X21" s="3" t="str">
        <f t="shared" si="5"/>
        <v>Ø25</v>
      </c>
    </row>
    <row r="22" spans="2:24" x14ac:dyDescent="0.3">
      <c r="B22" s="3">
        <v>18.5</v>
      </c>
      <c r="C22" s="3">
        <v>35.9</v>
      </c>
      <c r="D22" s="3">
        <v>251.29999999999998</v>
      </c>
      <c r="E22" s="3"/>
      <c r="F22" s="3"/>
      <c r="G22" s="3">
        <v>0.9</v>
      </c>
      <c r="H22" s="3">
        <v>7</v>
      </c>
      <c r="I22" s="3">
        <v>0.87</v>
      </c>
      <c r="J22" s="3"/>
      <c r="K22" s="3"/>
      <c r="Q22" s="3" t="s">
        <v>12</v>
      </c>
      <c r="R22" s="3">
        <v>4</v>
      </c>
      <c r="S22" s="3">
        <v>6</v>
      </c>
      <c r="T22" s="21" t="str">
        <f t="shared" si="2"/>
        <v>ВВГнг(А)-LS (4х6)</v>
      </c>
      <c r="U22" s="3">
        <v>14.4</v>
      </c>
      <c r="V22" s="3">
        <f t="shared" si="3"/>
        <v>17.28</v>
      </c>
      <c r="W22" s="3" t="str">
        <f t="shared" si="4"/>
        <v>Ø25</v>
      </c>
      <c r="X22" s="3" t="str">
        <f t="shared" si="5"/>
        <v>Ø25</v>
      </c>
    </row>
    <row r="23" spans="2:24" x14ac:dyDescent="0.3">
      <c r="B23" s="3">
        <v>22</v>
      </c>
      <c r="C23" s="3">
        <v>42.45</v>
      </c>
      <c r="D23" s="3">
        <v>297.15000000000003</v>
      </c>
      <c r="E23" s="3"/>
      <c r="F23" s="3"/>
      <c r="G23" s="3">
        <v>0.90500000000000003</v>
      </c>
      <c r="H23" s="3">
        <v>7</v>
      </c>
      <c r="I23" s="3">
        <v>0.87</v>
      </c>
      <c r="J23" s="3"/>
      <c r="K23" s="3"/>
      <c r="Q23" s="3" t="s">
        <v>12</v>
      </c>
      <c r="R23" s="3">
        <v>5</v>
      </c>
      <c r="S23" s="3">
        <v>6</v>
      </c>
      <c r="T23" s="21" t="str">
        <f t="shared" si="2"/>
        <v>ВВГнг(А)-LS (5х6)</v>
      </c>
      <c r="U23" s="3">
        <v>15.7</v>
      </c>
      <c r="V23" s="3">
        <f t="shared" si="3"/>
        <v>18.84</v>
      </c>
      <c r="W23" s="3" t="str">
        <f t="shared" si="4"/>
        <v>Ø25</v>
      </c>
      <c r="X23" s="3" t="str">
        <f t="shared" si="5"/>
        <v>Ø32</v>
      </c>
    </row>
    <row r="24" spans="2:24" x14ac:dyDescent="0.3">
      <c r="B24" s="3">
        <v>27</v>
      </c>
      <c r="C24" s="3">
        <v>51.82</v>
      </c>
      <c r="D24" s="3">
        <v>362.74</v>
      </c>
      <c r="E24" s="3"/>
      <c r="F24" s="3"/>
      <c r="G24" s="3">
        <v>0.91</v>
      </c>
      <c r="H24" s="3">
        <v>7</v>
      </c>
      <c r="I24" s="3">
        <v>0.87</v>
      </c>
      <c r="J24" s="3"/>
      <c r="K24" s="3"/>
      <c r="Q24" s="3" t="s">
        <v>147</v>
      </c>
      <c r="R24" s="3">
        <v>1</v>
      </c>
      <c r="S24" s="3">
        <v>1.5</v>
      </c>
      <c r="T24" s="21" t="str">
        <f>Q24&amp;" ("&amp;R24&amp;"х"&amp;S24&amp;")"</f>
        <v>ВВГнг(А)-FRLS (1х1,5)</v>
      </c>
      <c r="U24" s="3">
        <v>7.2</v>
      </c>
      <c r="V24" s="3">
        <f t="shared" si="3"/>
        <v>14</v>
      </c>
      <c r="W24" s="3" t="str">
        <f t="shared" si="4"/>
        <v>Ø20</v>
      </c>
      <c r="X24" s="3" t="str">
        <f t="shared" si="5"/>
        <v>Ø20</v>
      </c>
    </row>
    <row r="25" spans="2:24" x14ac:dyDescent="0.3">
      <c r="B25" s="3">
        <v>30</v>
      </c>
      <c r="C25" s="3">
        <v>56.03</v>
      </c>
      <c r="D25" s="3">
        <v>392.21000000000004</v>
      </c>
      <c r="E25" s="3"/>
      <c r="F25" s="3"/>
      <c r="G25" s="3">
        <v>0.91400000000000003</v>
      </c>
      <c r="H25" s="3">
        <v>7</v>
      </c>
      <c r="I25" s="3">
        <v>0.89</v>
      </c>
      <c r="J25" s="3"/>
      <c r="K25" s="3"/>
      <c r="Q25" s="3" t="s">
        <v>147</v>
      </c>
      <c r="R25" s="3">
        <v>2</v>
      </c>
      <c r="S25" s="3">
        <v>1.5</v>
      </c>
      <c r="T25" s="21" t="str">
        <f t="shared" ref="T25:T43" si="8">Q25&amp;" ("&amp;R25&amp;"х"&amp;S25&amp;")"</f>
        <v>ВВГнг(А)-FRLS (2х1,5)</v>
      </c>
      <c r="U25" s="3">
        <v>14.1</v>
      </c>
      <c r="V25" s="3">
        <f t="shared" si="3"/>
        <v>16.919999999999998</v>
      </c>
      <c r="W25" s="3" t="str">
        <f t="shared" si="4"/>
        <v>Ø25</v>
      </c>
      <c r="X25" s="3" t="str">
        <f t="shared" si="5"/>
        <v>Ø25</v>
      </c>
    </row>
    <row r="26" spans="2:24" x14ac:dyDescent="0.3">
      <c r="B26" s="3">
        <v>37</v>
      </c>
      <c r="C26" s="3">
        <v>68.66</v>
      </c>
      <c r="D26" s="3">
        <v>514.94999999999993</v>
      </c>
      <c r="E26" s="3"/>
      <c r="F26" s="3"/>
      <c r="G26" s="3">
        <v>0.92</v>
      </c>
      <c r="H26" s="3">
        <v>7.5</v>
      </c>
      <c r="I26" s="3">
        <v>0.89</v>
      </c>
      <c r="J26" s="3"/>
      <c r="K26" s="3"/>
      <c r="Q26" s="3" t="s">
        <v>147</v>
      </c>
      <c r="R26" s="3">
        <v>3</v>
      </c>
      <c r="S26" s="3">
        <v>1.5</v>
      </c>
      <c r="T26" s="21" t="str">
        <f t="shared" si="8"/>
        <v>ВВГнг(А)-FRLS (3х1,5)</v>
      </c>
      <c r="U26" s="3">
        <v>14.8</v>
      </c>
      <c r="V26" s="3">
        <f t="shared" si="3"/>
        <v>17.760000000000002</v>
      </c>
      <c r="W26" s="3" t="str">
        <f t="shared" si="4"/>
        <v>Ø25</v>
      </c>
      <c r="X26" s="3" t="str">
        <f t="shared" si="5"/>
        <v>Ø25</v>
      </c>
    </row>
    <row r="27" spans="2:24" x14ac:dyDescent="0.3">
      <c r="B27" s="3">
        <v>45</v>
      </c>
      <c r="C27" s="3">
        <v>83.05</v>
      </c>
      <c r="D27" s="3">
        <v>622.86</v>
      </c>
      <c r="E27" s="3"/>
      <c r="F27" s="3"/>
      <c r="G27" s="3">
        <v>0.92500000000000004</v>
      </c>
      <c r="H27" s="3">
        <v>7.5</v>
      </c>
      <c r="I27" s="3">
        <v>0.89</v>
      </c>
      <c r="J27" s="3"/>
      <c r="K27" s="3"/>
      <c r="Q27" s="3" t="s">
        <v>147</v>
      </c>
      <c r="R27" s="3">
        <v>4</v>
      </c>
      <c r="S27" s="3">
        <v>1.5</v>
      </c>
      <c r="T27" s="21" t="str">
        <f t="shared" si="8"/>
        <v>ВВГнг(А)-FRLS (4х1,5)</v>
      </c>
      <c r="U27" s="3">
        <v>15.9</v>
      </c>
      <c r="V27" s="3">
        <f t="shared" si="3"/>
        <v>19.079999999999998</v>
      </c>
      <c r="W27" s="3" t="str">
        <f t="shared" si="4"/>
        <v>Ø32</v>
      </c>
      <c r="X27" s="3" t="str">
        <f t="shared" si="5"/>
        <v>Ø32</v>
      </c>
    </row>
    <row r="28" spans="2:24" x14ac:dyDescent="0.3">
      <c r="B28" s="3">
        <v>55</v>
      </c>
      <c r="C28" s="3">
        <v>100.96</v>
      </c>
      <c r="D28" s="3">
        <v>706.71999999999991</v>
      </c>
      <c r="E28" s="3"/>
      <c r="F28" s="3"/>
      <c r="G28" s="3">
        <v>0.93</v>
      </c>
      <c r="H28" s="3">
        <v>7</v>
      </c>
      <c r="I28" s="3">
        <v>0.89</v>
      </c>
      <c r="J28" s="3"/>
      <c r="K28" s="3"/>
      <c r="Q28" s="3" t="s">
        <v>147</v>
      </c>
      <c r="R28" s="3">
        <v>5</v>
      </c>
      <c r="S28" s="3">
        <v>1.5</v>
      </c>
      <c r="T28" s="21" t="str">
        <f t="shared" si="8"/>
        <v>ВВГнг(А)-FRLS (5х1,5)</v>
      </c>
      <c r="U28" s="3">
        <v>17.2</v>
      </c>
      <c r="V28" s="3">
        <f t="shared" si="3"/>
        <v>20.639999999999997</v>
      </c>
      <c r="W28" s="3" t="str">
        <f t="shared" si="4"/>
        <v>Ø32</v>
      </c>
      <c r="X28" s="3" t="str">
        <f t="shared" si="5"/>
        <v>Ø32</v>
      </c>
    </row>
    <row r="29" spans="2:24" x14ac:dyDescent="0.3">
      <c r="B29" s="3">
        <v>75</v>
      </c>
      <c r="C29" s="3">
        <v>138.35</v>
      </c>
      <c r="D29" s="3">
        <v>1037.6300000000001</v>
      </c>
      <c r="E29" s="3"/>
      <c r="F29" s="3"/>
      <c r="G29" s="3">
        <v>0.93599999999999994</v>
      </c>
      <c r="H29" s="3">
        <v>7.5</v>
      </c>
      <c r="I29" s="3">
        <v>0.88</v>
      </c>
      <c r="J29" s="3"/>
      <c r="K29" s="3"/>
      <c r="Q29" s="3" t="s">
        <v>147</v>
      </c>
      <c r="R29" s="3">
        <v>1</v>
      </c>
      <c r="S29" s="3">
        <v>2.5</v>
      </c>
      <c r="T29" s="21" t="str">
        <f t="shared" si="8"/>
        <v>ВВГнг(А)-FRLS (1х2,5)</v>
      </c>
      <c r="U29" s="3">
        <v>7.6</v>
      </c>
      <c r="V29" s="3">
        <f t="shared" si="3"/>
        <v>14</v>
      </c>
      <c r="W29" s="3" t="str">
        <f t="shared" si="4"/>
        <v>Ø20</v>
      </c>
      <c r="X29" s="3" t="str">
        <f t="shared" si="5"/>
        <v>Ø20</v>
      </c>
    </row>
    <row r="30" spans="2:24" x14ac:dyDescent="0.3">
      <c r="B30" s="3">
        <v>76</v>
      </c>
      <c r="C30" s="3">
        <v>140.19</v>
      </c>
      <c r="D30" s="3">
        <v>1051.43</v>
      </c>
      <c r="E30" s="3"/>
      <c r="F30" s="3"/>
      <c r="G30" s="3">
        <v>0.93599999999999994</v>
      </c>
      <c r="H30" s="3">
        <v>7.5</v>
      </c>
      <c r="I30" s="3">
        <v>0.88</v>
      </c>
      <c r="J30" s="3"/>
      <c r="K30" s="3"/>
      <c r="Q30" s="3" t="s">
        <v>147</v>
      </c>
      <c r="R30" s="3">
        <v>2</v>
      </c>
      <c r="S30" s="3">
        <v>2.5</v>
      </c>
      <c r="T30" s="21" t="str">
        <f t="shared" si="8"/>
        <v>ВВГнг(А)-FRLS (2х2,5)</v>
      </c>
      <c r="U30" s="3">
        <v>14.9</v>
      </c>
      <c r="V30" s="3">
        <f t="shared" si="3"/>
        <v>17.88</v>
      </c>
      <c r="W30" s="3" t="str">
        <f t="shared" si="4"/>
        <v>Ø25</v>
      </c>
      <c r="X30" s="3" t="str">
        <f t="shared" si="5"/>
        <v>Ø25</v>
      </c>
    </row>
    <row r="31" spans="2:24" x14ac:dyDescent="0.3">
      <c r="B31" s="3">
        <v>90</v>
      </c>
      <c r="C31" s="3">
        <v>163.63</v>
      </c>
      <c r="D31" s="3">
        <v>1227.23</v>
      </c>
      <c r="E31" s="3"/>
      <c r="F31" s="3"/>
      <c r="G31" s="3">
        <v>0.93900000000000006</v>
      </c>
      <c r="H31" s="3">
        <v>7.5</v>
      </c>
      <c r="I31" s="3">
        <v>0.89</v>
      </c>
      <c r="J31" s="3"/>
      <c r="K31" s="3"/>
      <c r="Q31" s="3" t="s">
        <v>147</v>
      </c>
      <c r="R31" s="3">
        <v>3</v>
      </c>
      <c r="S31" s="3">
        <v>2.5</v>
      </c>
      <c r="T31" s="21" t="str">
        <f t="shared" si="8"/>
        <v>ВВГнг(А)-FRLS (3х2,5)</v>
      </c>
      <c r="U31" s="3">
        <v>15.6</v>
      </c>
      <c r="V31" s="3">
        <f t="shared" si="3"/>
        <v>18.72</v>
      </c>
      <c r="W31" s="3" t="str">
        <f t="shared" si="4"/>
        <v>Ø25</v>
      </c>
      <c r="X31" s="3" t="str">
        <f t="shared" si="5"/>
        <v>Ø32</v>
      </c>
    </row>
    <row r="32" spans="2:24" x14ac:dyDescent="0.3">
      <c r="B32" s="3">
        <v>110</v>
      </c>
      <c r="C32" s="3">
        <v>198.72</v>
      </c>
      <c r="D32" s="3">
        <v>1291.68</v>
      </c>
      <c r="E32" s="3"/>
      <c r="F32" s="3"/>
      <c r="G32" s="3">
        <v>0.94499999999999995</v>
      </c>
      <c r="H32" s="3">
        <v>6.5</v>
      </c>
      <c r="I32" s="3">
        <v>0.89</v>
      </c>
      <c r="J32" s="3"/>
      <c r="K32" s="3"/>
      <c r="Q32" s="3" t="s">
        <v>147</v>
      </c>
      <c r="R32" s="3">
        <v>4</v>
      </c>
      <c r="S32" s="3">
        <v>2.5</v>
      </c>
      <c r="T32" s="21" t="str">
        <f t="shared" si="8"/>
        <v>ВВГнг(А)-FRLS (4х2,5)</v>
      </c>
      <c r="U32" s="3">
        <v>16.8</v>
      </c>
      <c r="V32" s="3">
        <f t="shared" si="3"/>
        <v>20.16</v>
      </c>
      <c r="W32" s="3" t="str">
        <f t="shared" si="4"/>
        <v>Ø32</v>
      </c>
      <c r="X32" s="3" t="str">
        <f t="shared" si="5"/>
        <v>Ø32</v>
      </c>
    </row>
    <row r="33" spans="2:24" x14ac:dyDescent="0.3">
      <c r="B33" s="3">
        <v>132</v>
      </c>
      <c r="C33" s="3">
        <v>237.71</v>
      </c>
      <c r="D33" s="3">
        <v>1545.12</v>
      </c>
      <c r="E33" s="3"/>
      <c r="F33" s="3"/>
      <c r="G33" s="3">
        <v>0.94799999999999995</v>
      </c>
      <c r="H33" s="3">
        <v>6.5</v>
      </c>
      <c r="I33" s="3">
        <v>0.89</v>
      </c>
      <c r="J33" s="3"/>
      <c r="K33" s="3"/>
      <c r="Q33" s="3" t="s">
        <v>147</v>
      </c>
      <c r="R33" s="3">
        <v>5</v>
      </c>
      <c r="S33" s="3">
        <v>2.5</v>
      </c>
      <c r="T33" s="21" t="str">
        <f t="shared" si="8"/>
        <v>ВВГнг(А)-FRLS (5х2,5)</v>
      </c>
      <c r="U33" s="3">
        <v>18.2</v>
      </c>
      <c r="V33" s="3">
        <f t="shared" si="3"/>
        <v>21.84</v>
      </c>
      <c r="W33" s="3" t="str">
        <f t="shared" si="4"/>
        <v>Ø32</v>
      </c>
      <c r="X33" s="3" t="str">
        <f t="shared" si="5"/>
        <v>Ø32</v>
      </c>
    </row>
    <row r="34" spans="2:24" x14ac:dyDescent="0.3">
      <c r="B34" s="3">
        <v>160</v>
      </c>
      <c r="C34" s="3">
        <v>281.5</v>
      </c>
      <c r="D34" s="3">
        <v>1548.25</v>
      </c>
      <c r="E34" s="3"/>
      <c r="F34" s="3"/>
      <c r="G34" s="3">
        <v>0.94900000000000007</v>
      </c>
      <c r="H34" s="3">
        <v>5.5</v>
      </c>
      <c r="I34" s="3">
        <v>0.91</v>
      </c>
      <c r="J34" s="3"/>
      <c r="K34" s="3"/>
      <c r="Q34" s="3" t="s">
        <v>147</v>
      </c>
      <c r="R34" s="3">
        <v>1</v>
      </c>
      <c r="S34" s="3">
        <v>4</v>
      </c>
      <c r="T34" s="21" t="str">
        <f t="shared" si="8"/>
        <v>ВВГнг(А)-FRLS (1х4)</v>
      </c>
      <c r="U34" s="3">
        <v>8.5</v>
      </c>
      <c r="V34" s="3">
        <f t="shared" si="3"/>
        <v>14</v>
      </c>
      <c r="W34" s="3" t="str">
        <f t="shared" si="4"/>
        <v>Ø20</v>
      </c>
      <c r="X34" s="3" t="str">
        <f t="shared" si="5"/>
        <v>Ø20</v>
      </c>
    </row>
    <row r="35" spans="2:24" x14ac:dyDescent="0.3">
      <c r="B35" s="3">
        <v>200</v>
      </c>
      <c r="C35" s="3">
        <v>348.05</v>
      </c>
      <c r="D35" s="3">
        <v>1914.26</v>
      </c>
      <c r="E35" s="3"/>
      <c r="F35" s="3"/>
      <c r="G35" s="3">
        <v>0.94900000000000007</v>
      </c>
      <c r="H35" s="3">
        <v>5.5</v>
      </c>
      <c r="I35" s="3">
        <v>0.92</v>
      </c>
      <c r="J35" s="3"/>
      <c r="K35" s="3"/>
      <c r="Q35" s="3" t="s">
        <v>147</v>
      </c>
      <c r="R35" s="3">
        <v>2</v>
      </c>
      <c r="S35" s="3">
        <v>4</v>
      </c>
      <c r="T35" s="21" t="str">
        <f t="shared" si="8"/>
        <v>ВВГнг(А)-FRLS (2х4)</v>
      </c>
      <c r="U35" s="3">
        <v>16.600000000000001</v>
      </c>
      <c r="V35" s="3">
        <f t="shared" si="3"/>
        <v>19.920000000000002</v>
      </c>
      <c r="W35" s="3" t="str">
        <f t="shared" si="4"/>
        <v>Ø32</v>
      </c>
      <c r="X35" s="3" t="str">
        <f t="shared" si="5"/>
        <v>Ø32</v>
      </c>
    </row>
    <row r="36" spans="2:24" x14ac:dyDescent="0.3">
      <c r="B36" s="3">
        <v>250</v>
      </c>
      <c r="C36" s="3">
        <v>433.69</v>
      </c>
      <c r="D36" s="3">
        <v>2992.46</v>
      </c>
      <c r="E36" s="3"/>
      <c r="F36" s="3"/>
      <c r="G36" s="3">
        <v>0.95200000000000007</v>
      </c>
      <c r="H36" s="3">
        <v>6.9</v>
      </c>
      <c r="I36" s="3">
        <v>0.92</v>
      </c>
      <c r="J36" s="3"/>
      <c r="K36" s="3"/>
      <c r="Q36" s="3" t="s">
        <v>147</v>
      </c>
      <c r="R36" s="3">
        <v>3</v>
      </c>
      <c r="S36" s="3">
        <v>4</v>
      </c>
      <c r="T36" s="21" t="str">
        <f t="shared" si="8"/>
        <v>ВВГнг(А)-FRLS (3х4)</v>
      </c>
      <c r="U36" s="3">
        <v>17.5</v>
      </c>
      <c r="V36" s="3">
        <f t="shared" si="3"/>
        <v>21</v>
      </c>
      <c r="W36" s="3" t="str">
        <f t="shared" si="4"/>
        <v>Ø32</v>
      </c>
      <c r="X36" s="3" t="str">
        <f t="shared" si="5"/>
        <v>Ø32</v>
      </c>
    </row>
    <row r="37" spans="2:24" x14ac:dyDescent="0.3">
      <c r="B37" s="3">
        <v>315</v>
      </c>
      <c r="C37" s="3">
        <v>546.45000000000005</v>
      </c>
      <c r="D37" s="3">
        <v>3770.51</v>
      </c>
      <c r="E37" s="3"/>
      <c r="F37" s="3"/>
      <c r="G37" s="3">
        <v>0.95200000000000007</v>
      </c>
      <c r="H37" s="3">
        <v>6.9</v>
      </c>
      <c r="I37" s="3">
        <v>0.92</v>
      </c>
      <c r="J37" s="3"/>
      <c r="K37" s="3"/>
      <c r="Q37" s="3" t="s">
        <v>147</v>
      </c>
      <c r="R37" s="3">
        <v>4</v>
      </c>
      <c r="S37" s="3">
        <v>4</v>
      </c>
      <c r="T37" s="21" t="str">
        <f t="shared" si="8"/>
        <v>ВВГнг(А)-FRLS (4х4)</v>
      </c>
      <c r="U37" s="3">
        <v>18.899999999999999</v>
      </c>
      <c r="V37" s="3">
        <f t="shared" si="3"/>
        <v>22.679999999999996</v>
      </c>
      <c r="W37" s="3" t="str">
        <f t="shared" si="4"/>
        <v>Ø32</v>
      </c>
      <c r="X37" s="3" t="str">
        <f t="shared" si="5"/>
        <v>Ø32</v>
      </c>
    </row>
    <row r="38" spans="2:24" x14ac:dyDescent="0.3">
      <c r="Q38" s="3" t="s">
        <v>147</v>
      </c>
      <c r="R38" s="3">
        <v>5</v>
      </c>
      <c r="S38" s="3">
        <v>4</v>
      </c>
      <c r="T38" s="21" t="str">
        <f t="shared" si="8"/>
        <v>ВВГнг(А)-FRLS (5х4)</v>
      </c>
      <c r="U38" s="3">
        <v>20.6</v>
      </c>
      <c r="V38" s="3">
        <f t="shared" si="3"/>
        <v>24.720000000000002</v>
      </c>
      <c r="W38" s="3" t="str">
        <f t="shared" si="4"/>
        <v>Ø32</v>
      </c>
      <c r="X38" s="3" t="str">
        <f t="shared" si="5"/>
        <v>Ø40</v>
      </c>
    </row>
    <row r="39" spans="2:24" x14ac:dyDescent="0.3">
      <c r="Q39" s="3" t="s">
        <v>147</v>
      </c>
      <c r="R39" s="3">
        <v>1</v>
      </c>
      <c r="S39" s="3">
        <v>6</v>
      </c>
      <c r="T39" s="21" t="str">
        <f t="shared" si="8"/>
        <v>ВВГнг(А)-FRLS (1х6)</v>
      </c>
      <c r="U39" s="3">
        <v>9.1999999999999993</v>
      </c>
      <c r="V39" s="3">
        <f t="shared" si="3"/>
        <v>14</v>
      </c>
      <c r="W39" s="3" t="str">
        <f t="shared" si="4"/>
        <v>Ø20</v>
      </c>
      <c r="X39" s="3" t="str">
        <f t="shared" si="5"/>
        <v>Ø20</v>
      </c>
    </row>
    <row r="40" spans="2:24" x14ac:dyDescent="0.3">
      <c r="Q40" s="3" t="s">
        <v>147</v>
      </c>
      <c r="R40" s="3">
        <v>2</v>
      </c>
      <c r="S40" s="3">
        <v>6</v>
      </c>
      <c r="T40" s="21" t="str">
        <f t="shared" si="8"/>
        <v>ВВГнг(А)-FRLS (2х6)</v>
      </c>
      <c r="U40" s="3">
        <v>17.600000000000001</v>
      </c>
      <c r="V40" s="3">
        <f t="shared" si="3"/>
        <v>21.12</v>
      </c>
      <c r="W40" s="3" t="str">
        <f t="shared" si="4"/>
        <v>Ø32</v>
      </c>
      <c r="X40" s="3" t="str">
        <f t="shared" si="5"/>
        <v>Ø32</v>
      </c>
    </row>
    <row r="41" spans="2:24" x14ac:dyDescent="0.3">
      <c r="Q41" s="3" t="s">
        <v>147</v>
      </c>
      <c r="R41" s="3">
        <v>3</v>
      </c>
      <c r="S41" s="3">
        <v>6</v>
      </c>
      <c r="T41" s="21" t="str">
        <f t="shared" si="8"/>
        <v>ВВГнг(А)-FRLS (3х6)</v>
      </c>
      <c r="U41" s="3">
        <v>18.5</v>
      </c>
      <c r="V41" s="3">
        <f t="shared" si="3"/>
        <v>22.2</v>
      </c>
      <c r="W41" s="3" t="str">
        <f t="shared" si="4"/>
        <v>Ø32</v>
      </c>
      <c r="X41" s="3" t="str">
        <f t="shared" si="5"/>
        <v>Ø32</v>
      </c>
    </row>
    <row r="42" spans="2:24" x14ac:dyDescent="0.3">
      <c r="Q42" s="3" t="s">
        <v>147</v>
      </c>
      <c r="R42" s="3">
        <v>4</v>
      </c>
      <c r="S42" s="3">
        <v>6</v>
      </c>
      <c r="T42" s="21" t="str">
        <f t="shared" si="8"/>
        <v>ВВГнг(А)-FRLS (4х6)</v>
      </c>
      <c r="U42" s="3">
        <v>20.100000000000001</v>
      </c>
      <c r="V42" s="3">
        <f t="shared" si="3"/>
        <v>24.12</v>
      </c>
      <c r="W42" s="3" t="str">
        <f t="shared" si="4"/>
        <v>Ø32</v>
      </c>
      <c r="X42" s="3" t="str">
        <f t="shared" si="5"/>
        <v>Ø32</v>
      </c>
    </row>
    <row r="43" spans="2:24" x14ac:dyDescent="0.3">
      <c r="Q43" s="3" t="s">
        <v>147</v>
      </c>
      <c r="R43" s="3">
        <v>5</v>
      </c>
      <c r="S43" s="3">
        <v>6</v>
      </c>
      <c r="T43" s="21" t="str">
        <f t="shared" si="8"/>
        <v>ВВГнг(А)-FRLS (5х6)</v>
      </c>
      <c r="U43" s="3">
        <v>21.9</v>
      </c>
      <c r="V43" s="3">
        <f t="shared" si="3"/>
        <v>26.279999999999998</v>
      </c>
      <c r="W43" s="3" t="str">
        <f t="shared" si="4"/>
        <v>Ø40</v>
      </c>
      <c r="X43" s="3" t="str">
        <f t="shared" si="5"/>
        <v>Ø40</v>
      </c>
    </row>
    <row r="44" spans="2:24" x14ac:dyDescent="0.3">
      <c r="Q44" s="3" t="s">
        <v>143</v>
      </c>
      <c r="R44" s="3">
        <v>1</v>
      </c>
      <c r="S44" s="3">
        <v>1.5</v>
      </c>
      <c r="T44" s="21" t="str">
        <f>Q44&amp;" ("&amp;R44&amp;"х"&amp;S44&amp;")"</f>
        <v>ППГнг(А)-HF (1х1,5)</v>
      </c>
      <c r="U44" s="3">
        <v>5.5</v>
      </c>
      <c r="V44" s="3">
        <f t="shared" si="3"/>
        <v>14</v>
      </c>
      <c r="W44" s="3" t="str">
        <f t="shared" si="4"/>
        <v>Ø20</v>
      </c>
      <c r="X44" s="3" t="str">
        <f t="shared" si="5"/>
        <v>Ø20</v>
      </c>
    </row>
    <row r="45" spans="2:24" x14ac:dyDescent="0.3">
      <c r="Q45" s="3" t="s">
        <v>143</v>
      </c>
      <c r="R45" s="3">
        <v>2</v>
      </c>
      <c r="S45" s="3">
        <v>1.5</v>
      </c>
      <c r="T45" s="21" t="str">
        <f t="shared" ref="T45:T63" si="9">Q45&amp;" ("&amp;R45&amp;"х"&amp;S45&amp;")"</f>
        <v>ППГнг(А)-HF (2х1,5)</v>
      </c>
      <c r="U45" s="3">
        <v>9</v>
      </c>
      <c r="V45" s="3">
        <f t="shared" si="3"/>
        <v>14</v>
      </c>
      <c r="W45" s="3" t="str">
        <f t="shared" si="4"/>
        <v>Ø20</v>
      </c>
      <c r="X45" s="3" t="str">
        <f t="shared" si="5"/>
        <v>Ø20</v>
      </c>
    </row>
    <row r="46" spans="2:24" x14ac:dyDescent="0.3">
      <c r="Q46" s="3" t="s">
        <v>143</v>
      </c>
      <c r="R46" s="3">
        <v>3</v>
      </c>
      <c r="S46" s="3">
        <v>1.5</v>
      </c>
      <c r="T46" s="21" t="str">
        <f t="shared" si="9"/>
        <v>ППГнг(А)-HF (3х1,5)</v>
      </c>
      <c r="U46" s="3">
        <v>9.4</v>
      </c>
      <c r="V46" s="3">
        <f t="shared" si="3"/>
        <v>14</v>
      </c>
      <c r="W46" s="3" t="str">
        <f t="shared" si="4"/>
        <v>Ø20</v>
      </c>
      <c r="X46" s="3" t="str">
        <f t="shared" si="5"/>
        <v>Ø20</v>
      </c>
    </row>
    <row r="47" spans="2:24" x14ac:dyDescent="0.3">
      <c r="Q47" s="3" t="s">
        <v>143</v>
      </c>
      <c r="R47" s="3">
        <v>4</v>
      </c>
      <c r="S47" s="3">
        <v>1.5</v>
      </c>
      <c r="T47" s="21" t="str">
        <f t="shared" si="9"/>
        <v>ППГнг(А)-HF (4х1,5)</v>
      </c>
      <c r="U47" s="3">
        <v>10.1</v>
      </c>
      <c r="V47" s="3">
        <f t="shared" si="3"/>
        <v>14</v>
      </c>
      <c r="W47" s="3" t="str">
        <f t="shared" si="4"/>
        <v>Ø20</v>
      </c>
      <c r="X47" s="3" t="str">
        <f t="shared" si="5"/>
        <v>Ø20</v>
      </c>
    </row>
    <row r="48" spans="2:24" x14ac:dyDescent="0.3">
      <c r="Q48" s="3" t="s">
        <v>143</v>
      </c>
      <c r="R48" s="3">
        <v>5</v>
      </c>
      <c r="S48" s="3">
        <v>1.5</v>
      </c>
      <c r="T48" s="21" t="str">
        <f t="shared" si="9"/>
        <v>ППГнг(А)-HF (5х1,5)</v>
      </c>
      <c r="U48" s="3">
        <v>10.8</v>
      </c>
      <c r="V48" s="3">
        <f t="shared" si="3"/>
        <v>14</v>
      </c>
      <c r="W48" s="3" t="str">
        <f t="shared" si="4"/>
        <v>Ø20</v>
      </c>
      <c r="X48" s="3" t="str">
        <f t="shared" si="5"/>
        <v>Ø20</v>
      </c>
    </row>
    <row r="49" spans="17:24" x14ac:dyDescent="0.3">
      <c r="Q49" s="3" t="s">
        <v>143</v>
      </c>
      <c r="R49" s="3">
        <v>1</v>
      </c>
      <c r="S49" s="3">
        <v>2.5</v>
      </c>
      <c r="T49" s="21" t="str">
        <f t="shared" si="9"/>
        <v>ППГнг(А)-HF (1х2,5)</v>
      </c>
      <c r="U49" s="3">
        <v>5.9</v>
      </c>
      <c r="V49" s="3">
        <f t="shared" si="3"/>
        <v>14</v>
      </c>
      <c r="W49" s="3" t="str">
        <f t="shared" si="4"/>
        <v>Ø20</v>
      </c>
      <c r="X49" s="3" t="str">
        <f t="shared" si="5"/>
        <v>Ø20</v>
      </c>
    </row>
    <row r="50" spans="17:24" x14ac:dyDescent="0.3">
      <c r="Q50" s="3" t="s">
        <v>143</v>
      </c>
      <c r="R50" s="3">
        <v>2</v>
      </c>
      <c r="S50" s="3">
        <v>2.5</v>
      </c>
      <c r="T50" s="21" t="str">
        <f t="shared" si="9"/>
        <v>ППГнг(А)-HF (2х2,5)</v>
      </c>
      <c r="U50" s="3">
        <v>9.6999999999999993</v>
      </c>
      <c r="V50" s="3">
        <f t="shared" si="3"/>
        <v>14</v>
      </c>
      <c r="W50" s="3" t="str">
        <f t="shared" si="4"/>
        <v>Ø20</v>
      </c>
      <c r="X50" s="3" t="str">
        <f t="shared" si="5"/>
        <v>Ø20</v>
      </c>
    </row>
    <row r="51" spans="17:24" x14ac:dyDescent="0.3">
      <c r="Q51" s="3" t="s">
        <v>143</v>
      </c>
      <c r="R51" s="3">
        <v>3</v>
      </c>
      <c r="S51" s="3">
        <v>2.5</v>
      </c>
      <c r="T51" s="21" t="str">
        <f t="shared" si="9"/>
        <v>ППГнг(А)-HF (3х2,5)</v>
      </c>
      <c r="U51" s="3">
        <v>10.199999999999999</v>
      </c>
      <c r="V51" s="3">
        <f t="shared" si="3"/>
        <v>14</v>
      </c>
      <c r="W51" s="3" t="str">
        <f t="shared" si="4"/>
        <v>Ø20</v>
      </c>
      <c r="X51" s="3" t="str">
        <f t="shared" si="5"/>
        <v>Ø20</v>
      </c>
    </row>
    <row r="52" spans="17:24" x14ac:dyDescent="0.3">
      <c r="Q52" s="3" t="s">
        <v>143</v>
      </c>
      <c r="R52" s="3">
        <v>4</v>
      </c>
      <c r="S52" s="3">
        <v>2.5</v>
      </c>
      <c r="T52" s="21" t="str">
        <f t="shared" si="9"/>
        <v>ППГнг(А)-HF (4х2,5)</v>
      </c>
      <c r="U52" s="3">
        <v>11</v>
      </c>
      <c r="V52" s="3">
        <f t="shared" si="3"/>
        <v>14</v>
      </c>
      <c r="W52" s="3" t="str">
        <f t="shared" si="4"/>
        <v>Ø20</v>
      </c>
      <c r="X52" s="3" t="str">
        <f t="shared" si="5"/>
        <v>Ø20</v>
      </c>
    </row>
    <row r="53" spans="17:24" x14ac:dyDescent="0.3">
      <c r="Q53" s="3" t="s">
        <v>143</v>
      </c>
      <c r="R53" s="3">
        <v>5</v>
      </c>
      <c r="S53" s="3">
        <v>2.5</v>
      </c>
      <c r="T53" s="21" t="str">
        <f t="shared" si="9"/>
        <v>ППГнг(А)-HF (5х2,5)</v>
      </c>
      <c r="U53" s="3">
        <v>11.9</v>
      </c>
      <c r="V53" s="3">
        <f t="shared" si="3"/>
        <v>14.28</v>
      </c>
      <c r="W53" s="3" t="str">
        <f t="shared" si="4"/>
        <v>Ø20</v>
      </c>
      <c r="X53" s="3" t="str">
        <f t="shared" si="5"/>
        <v>Ø20</v>
      </c>
    </row>
    <row r="54" spans="17:24" x14ac:dyDescent="0.3">
      <c r="Q54" s="3" t="s">
        <v>143</v>
      </c>
      <c r="R54" s="3">
        <v>1</v>
      </c>
      <c r="S54" s="3">
        <v>4</v>
      </c>
      <c r="T54" s="21" t="str">
        <f t="shared" si="9"/>
        <v>ППГнг(А)-HF (1х4)</v>
      </c>
      <c r="U54" s="3">
        <v>6.5</v>
      </c>
      <c r="V54" s="3">
        <f t="shared" si="3"/>
        <v>14</v>
      </c>
      <c r="W54" s="3" t="str">
        <f t="shared" si="4"/>
        <v>Ø20</v>
      </c>
      <c r="X54" s="3" t="str">
        <f t="shared" si="5"/>
        <v>Ø20</v>
      </c>
    </row>
    <row r="55" spans="17:24" x14ac:dyDescent="0.3">
      <c r="Q55" s="3" t="s">
        <v>143</v>
      </c>
      <c r="R55" s="3">
        <v>2</v>
      </c>
      <c r="S55" s="3">
        <v>4</v>
      </c>
      <c r="T55" s="21" t="str">
        <f t="shared" si="9"/>
        <v>ППГнг(А)-HF (2х4)</v>
      </c>
      <c r="U55" s="3">
        <v>11.1</v>
      </c>
      <c r="V55" s="3">
        <f t="shared" si="3"/>
        <v>14</v>
      </c>
      <c r="W55" s="3" t="str">
        <f t="shared" si="4"/>
        <v>Ø20</v>
      </c>
      <c r="X55" s="3" t="str">
        <f t="shared" si="5"/>
        <v>Ø20</v>
      </c>
    </row>
    <row r="56" spans="17:24" x14ac:dyDescent="0.3">
      <c r="Q56" s="3" t="s">
        <v>143</v>
      </c>
      <c r="R56" s="3">
        <v>3</v>
      </c>
      <c r="S56" s="3">
        <v>4</v>
      </c>
      <c r="T56" s="21" t="str">
        <f t="shared" si="9"/>
        <v>ППГнг(А)-HF (3х4)</v>
      </c>
      <c r="U56" s="3">
        <v>11.6</v>
      </c>
      <c r="V56" s="3">
        <f t="shared" si="3"/>
        <v>14</v>
      </c>
      <c r="W56" s="3" t="str">
        <f t="shared" si="4"/>
        <v>Ø20</v>
      </c>
      <c r="X56" s="3" t="str">
        <f t="shared" si="5"/>
        <v>Ø20</v>
      </c>
    </row>
    <row r="57" spans="17:24" x14ac:dyDescent="0.3">
      <c r="Q57" s="3" t="s">
        <v>143</v>
      </c>
      <c r="R57" s="3">
        <v>4</v>
      </c>
      <c r="S57" s="3">
        <v>4</v>
      </c>
      <c r="T57" s="21" t="str">
        <f t="shared" si="9"/>
        <v>ППГнг(А)-HF (4х4)</v>
      </c>
      <c r="U57" s="3">
        <v>12.6</v>
      </c>
      <c r="V57" s="3">
        <f t="shared" si="3"/>
        <v>15.12</v>
      </c>
      <c r="W57" s="3" t="str">
        <f t="shared" si="4"/>
        <v>Ø25</v>
      </c>
      <c r="X57" s="3" t="str">
        <f t="shared" si="5"/>
        <v>Ø25</v>
      </c>
    </row>
    <row r="58" spans="17:24" x14ac:dyDescent="0.3">
      <c r="Q58" s="3" t="s">
        <v>143</v>
      </c>
      <c r="R58" s="3">
        <v>5</v>
      </c>
      <c r="S58" s="3">
        <v>4</v>
      </c>
      <c r="T58" s="21" t="str">
        <f t="shared" si="9"/>
        <v>ППГнг(А)-HF (5х4)</v>
      </c>
      <c r="U58" s="3">
        <v>13.7</v>
      </c>
      <c r="V58" s="3">
        <f t="shared" si="3"/>
        <v>16.439999999999998</v>
      </c>
      <c r="W58" s="3" t="str">
        <f t="shared" si="4"/>
        <v>Ø25</v>
      </c>
      <c r="X58" s="3" t="str">
        <f t="shared" si="5"/>
        <v>Ø25</v>
      </c>
    </row>
    <row r="59" spans="17:24" x14ac:dyDescent="0.3">
      <c r="Q59" s="3" t="s">
        <v>143</v>
      </c>
      <c r="R59" s="3">
        <v>1</v>
      </c>
      <c r="S59" s="3">
        <v>6</v>
      </c>
      <c r="T59" s="21" t="str">
        <f t="shared" si="9"/>
        <v>ППГнг(А)-HF (1х6)</v>
      </c>
      <c r="U59" s="3">
        <v>7</v>
      </c>
      <c r="V59" s="3">
        <f t="shared" si="3"/>
        <v>14</v>
      </c>
      <c r="W59" s="3" t="str">
        <f t="shared" si="4"/>
        <v>Ø20</v>
      </c>
      <c r="X59" s="3" t="str">
        <f t="shared" si="5"/>
        <v>Ø20</v>
      </c>
    </row>
    <row r="60" spans="17:24" x14ac:dyDescent="0.3">
      <c r="Q60" s="3" t="s">
        <v>143</v>
      </c>
      <c r="R60" s="3">
        <v>2</v>
      </c>
      <c r="S60" s="3">
        <v>6</v>
      </c>
      <c r="T60" s="21" t="str">
        <f t="shared" si="9"/>
        <v>ППГнг(А)-HF (2х6)</v>
      </c>
      <c r="U60" s="3">
        <v>12.1</v>
      </c>
      <c r="V60" s="3">
        <f t="shared" si="3"/>
        <v>14.52</v>
      </c>
      <c r="W60" s="3" t="str">
        <f t="shared" si="4"/>
        <v>Ø20</v>
      </c>
      <c r="X60" s="3" t="str">
        <f t="shared" si="5"/>
        <v>Ø25</v>
      </c>
    </row>
    <row r="61" spans="17:24" x14ac:dyDescent="0.3">
      <c r="Q61" s="3" t="s">
        <v>143</v>
      </c>
      <c r="R61" s="3">
        <v>3</v>
      </c>
      <c r="S61" s="3">
        <v>6</v>
      </c>
      <c r="T61" s="21" t="str">
        <f t="shared" si="9"/>
        <v>ППГнг(А)-HF (3х6)</v>
      </c>
      <c r="U61" s="3">
        <v>12.7</v>
      </c>
      <c r="V61" s="3">
        <f t="shared" si="3"/>
        <v>15.239999999999998</v>
      </c>
      <c r="W61" s="3" t="str">
        <f t="shared" si="4"/>
        <v>Ø25</v>
      </c>
      <c r="X61" s="3" t="str">
        <f t="shared" si="5"/>
        <v>Ø25</v>
      </c>
    </row>
    <row r="62" spans="17:24" x14ac:dyDescent="0.3">
      <c r="Q62" s="3" t="s">
        <v>143</v>
      </c>
      <c r="R62" s="3">
        <v>4</v>
      </c>
      <c r="S62" s="3">
        <v>6</v>
      </c>
      <c r="T62" s="21" t="str">
        <f t="shared" si="9"/>
        <v>ППГнг(А)-HF (4х6)</v>
      </c>
      <c r="U62" s="3">
        <v>13.8</v>
      </c>
      <c r="V62" s="3">
        <f t="shared" si="3"/>
        <v>16.559999999999999</v>
      </c>
      <c r="W62" s="3" t="str">
        <f t="shared" si="4"/>
        <v>Ø25</v>
      </c>
      <c r="X62" s="3" t="str">
        <f t="shared" si="5"/>
        <v>Ø25</v>
      </c>
    </row>
    <row r="63" spans="17:24" x14ac:dyDescent="0.3">
      <c r="Q63" s="3" t="s">
        <v>143</v>
      </c>
      <c r="R63" s="3">
        <v>5</v>
      </c>
      <c r="S63" s="3">
        <v>6</v>
      </c>
      <c r="T63" s="21" t="str">
        <f t="shared" si="9"/>
        <v>ППГнг(А)-HF (5х6)</v>
      </c>
      <c r="U63" s="3">
        <v>15</v>
      </c>
      <c r="V63" s="3">
        <f t="shared" si="3"/>
        <v>18</v>
      </c>
      <c r="W63" s="3" t="str">
        <f t="shared" si="4"/>
        <v>Ø25</v>
      </c>
      <c r="X63" s="3" t="str">
        <f t="shared" si="5"/>
        <v>Ø25</v>
      </c>
    </row>
    <row r="64" spans="17:24" x14ac:dyDescent="0.3">
      <c r="Q64" s="3" t="s">
        <v>141</v>
      </c>
      <c r="R64" s="3">
        <v>1</v>
      </c>
      <c r="S64" s="3">
        <v>1.5</v>
      </c>
      <c r="T64" s="21" t="str">
        <f>Q64&amp;" ("&amp;R64&amp;"х"&amp;S64&amp;")"</f>
        <v>ППГнг(А)-FRHF (1х1,5)</v>
      </c>
      <c r="U64" s="3">
        <v>6.5</v>
      </c>
      <c r="V64" s="3">
        <f t="shared" si="3"/>
        <v>14</v>
      </c>
      <c r="W64" s="3" t="str">
        <f t="shared" si="4"/>
        <v>Ø20</v>
      </c>
      <c r="X64" s="3" t="str">
        <f t="shared" si="5"/>
        <v>Ø20</v>
      </c>
    </row>
    <row r="65" spans="17:24" x14ac:dyDescent="0.3">
      <c r="Q65" s="3" t="s">
        <v>141</v>
      </c>
      <c r="R65" s="3">
        <v>2</v>
      </c>
      <c r="S65" s="3">
        <v>1.5</v>
      </c>
      <c r="T65" s="21" t="str">
        <f t="shared" ref="T65:T91" si="10">Q65&amp;" ("&amp;R65&amp;"х"&amp;S65&amp;")"</f>
        <v>ППГнг(А)-FRHF (2х1,5)</v>
      </c>
      <c r="U65" s="3">
        <v>10.3</v>
      </c>
      <c r="V65" s="3">
        <f t="shared" si="3"/>
        <v>14</v>
      </c>
      <c r="W65" s="3" t="str">
        <f t="shared" si="4"/>
        <v>Ø20</v>
      </c>
      <c r="X65" s="3" t="str">
        <f t="shared" si="5"/>
        <v>Ø20</v>
      </c>
    </row>
    <row r="66" spans="17:24" x14ac:dyDescent="0.3">
      <c r="Q66" s="3" t="s">
        <v>141</v>
      </c>
      <c r="R66" s="3">
        <v>3</v>
      </c>
      <c r="S66" s="3">
        <v>1.5</v>
      </c>
      <c r="T66" s="21" t="str">
        <f t="shared" si="10"/>
        <v>ППГнг(А)-FRHF (3х1,5)</v>
      </c>
      <c r="U66" s="3">
        <v>10.8</v>
      </c>
      <c r="V66" s="3">
        <f t="shared" si="3"/>
        <v>14</v>
      </c>
      <c r="W66" s="3" t="str">
        <f t="shared" si="4"/>
        <v>Ø20</v>
      </c>
      <c r="X66" s="3" t="str">
        <f t="shared" si="5"/>
        <v>Ø20</v>
      </c>
    </row>
    <row r="67" spans="17:24" x14ac:dyDescent="0.3">
      <c r="Q67" s="3" t="s">
        <v>141</v>
      </c>
      <c r="R67" s="3">
        <v>4</v>
      </c>
      <c r="S67" s="3">
        <v>1.5</v>
      </c>
      <c r="T67" s="21" t="str">
        <f t="shared" si="10"/>
        <v>ППГнг(А)-FRHF (4х1,5)</v>
      </c>
      <c r="U67" s="3">
        <v>11.7</v>
      </c>
      <c r="V67" s="3">
        <f t="shared" si="3"/>
        <v>14.04</v>
      </c>
      <c r="W67" s="3" t="str">
        <f t="shared" si="4"/>
        <v>Ø20</v>
      </c>
      <c r="X67" s="3" t="str">
        <f t="shared" si="5"/>
        <v>Ø20</v>
      </c>
    </row>
    <row r="68" spans="17:24" x14ac:dyDescent="0.3">
      <c r="Q68" s="3" t="s">
        <v>141</v>
      </c>
      <c r="R68" s="3">
        <v>5</v>
      </c>
      <c r="S68" s="3">
        <v>1.5</v>
      </c>
      <c r="T68" s="21" t="str">
        <f t="shared" si="10"/>
        <v>ППГнг(А)-FRHF (5х1,5)</v>
      </c>
      <c r="U68" s="3">
        <v>13.1</v>
      </c>
      <c r="V68" s="3">
        <f t="shared" si="3"/>
        <v>15.719999999999999</v>
      </c>
      <c r="W68" s="3" t="str">
        <f t="shared" si="4"/>
        <v>Ø25</v>
      </c>
      <c r="X68" s="3" t="str">
        <f t="shared" si="5"/>
        <v>Ø25</v>
      </c>
    </row>
    <row r="69" spans="17:24" x14ac:dyDescent="0.3">
      <c r="Q69" s="3" t="s">
        <v>141</v>
      </c>
      <c r="R69" s="3">
        <v>1</v>
      </c>
      <c r="S69" s="3">
        <v>2.5</v>
      </c>
      <c r="T69" s="21" t="str">
        <f t="shared" si="10"/>
        <v>ППГнг(А)-FRHF (1х2,5)</v>
      </c>
      <c r="U69" s="3">
        <v>6.9</v>
      </c>
      <c r="V69" s="3">
        <f t="shared" ref="V69:V132" si="11">IF((U69*1.2)&lt;14,14,U69*1.2)</f>
        <v>14</v>
      </c>
      <c r="W69" s="3" t="str">
        <f t="shared" ref="W69:W132" si="12">"Ø"&amp;VLOOKUP(V69,$Z$4:$AA$10,2,TRUE)</f>
        <v>Ø20</v>
      </c>
      <c r="X69" s="3" t="str">
        <f t="shared" ref="X69:X132" si="13">"Ø"&amp;VLOOKUP(V69,$AD$4:$AE$10,2,TRUE)</f>
        <v>Ø20</v>
      </c>
    </row>
    <row r="70" spans="17:24" x14ac:dyDescent="0.3">
      <c r="Q70" s="3" t="s">
        <v>141</v>
      </c>
      <c r="R70" s="3">
        <v>2</v>
      </c>
      <c r="S70" s="3">
        <v>2.5</v>
      </c>
      <c r="T70" s="21" t="str">
        <f t="shared" si="10"/>
        <v>ППГнг(А)-FRHF (2х2,5)</v>
      </c>
      <c r="U70" s="3">
        <v>11.1</v>
      </c>
      <c r="V70" s="3">
        <f t="shared" si="11"/>
        <v>14</v>
      </c>
      <c r="W70" s="3" t="str">
        <f t="shared" si="12"/>
        <v>Ø20</v>
      </c>
      <c r="X70" s="3" t="str">
        <f t="shared" si="13"/>
        <v>Ø20</v>
      </c>
    </row>
    <row r="71" spans="17:24" x14ac:dyDescent="0.3">
      <c r="Q71" s="3" t="s">
        <v>141</v>
      </c>
      <c r="R71" s="3">
        <v>3</v>
      </c>
      <c r="S71" s="3">
        <v>2.5</v>
      </c>
      <c r="T71" s="21" t="str">
        <f t="shared" si="10"/>
        <v>ППГнг(А)-FRHF (3х2,5)</v>
      </c>
      <c r="U71" s="3">
        <v>11.6</v>
      </c>
      <c r="V71" s="3">
        <f t="shared" si="11"/>
        <v>14</v>
      </c>
      <c r="W71" s="3" t="str">
        <f t="shared" si="12"/>
        <v>Ø20</v>
      </c>
      <c r="X71" s="3" t="str">
        <f t="shared" si="13"/>
        <v>Ø20</v>
      </c>
    </row>
    <row r="72" spans="17:24" x14ac:dyDescent="0.3">
      <c r="Q72" s="3" t="s">
        <v>141</v>
      </c>
      <c r="R72" s="3">
        <v>4</v>
      </c>
      <c r="S72" s="3">
        <v>2.5</v>
      </c>
      <c r="T72" s="21" t="str">
        <f t="shared" si="10"/>
        <v>ППГнг(А)-FRHF (4х2,5)</v>
      </c>
      <c r="U72" s="3">
        <v>12.5</v>
      </c>
      <c r="V72" s="3">
        <f t="shared" si="11"/>
        <v>15</v>
      </c>
      <c r="W72" s="3" t="str">
        <f t="shared" si="12"/>
        <v>Ø25</v>
      </c>
      <c r="X72" s="3" t="str">
        <f t="shared" si="13"/>
        <v>Ø25</v>
      </c>
    </row>
    <row r="73" spans="17:24" x14ac:dyDescent="0.3">
      <c r="Q73" s="3" t="s">
        <v>141</v>
      </c>
      <c r="R73" s="3">
        <v>5</v>
      </c>
      <c r="S73" s="3">
        <v>2.5</v>
      </c>
      <c r="T73" s="21" t="str">
        <f t="shared" si="10"/>
        <v>ППГнг(А)-FRHF (5х2,5)</v>
      </c>
      <c r="U73" s="3">
        <v>13.6</v>
      </c>
      <c r="V73" s="3">
        <f t="shared" si="11"/>
        <v>16.32</v>
      </c>
      <c r="W73" s="3" t="str">
        <f t="shared" si="12"/>
        <v>Ø25</v>
      </c>
      <c r="X73" s="3" t="str">
        <f t="shared" si="13"/>
        <v>Ø25</v>
      </c>
    </row>
    <row r="74" spans="17:24" x14ac:dyDescent="0.3">
      <c r="Q74" s="3" t="s">
        <v>141</v>
      </c>
      <c r="R74" s="3">
        <v>1</v>
      </c>
      <c r="S74" s="3">
        <v>4</v>
      </c>
      <c r="T74" s="21" t="str">
        <f t="shared" si="10"/>
        <v>ППГнг(А)-FRHF (1х4)</v>
      </c>
      <c r="U74" s="3">
        <v>7.6</v>
      </c>
      <c r="V74" s="3">
        <f t="shared" si="11"/>
        <v>14</v>
      </c>
      <c r="W74" s="3" t="str">
        <f t="shared" si="12"/>
        <v>Ø20</v>
      </c>
      <c r="X74" s="3" t="str">
        <f t="shared" si="13"/>
        <v>Ø20</v>
      </c>
    </row>
    <row r="75" spans="17:24" x14ac:dyDescent="0.3">
      <c r="Q75" s="3" t="s">
        <v>141</v>
      </c>
      <c r="R75" s="3">
        <v>2</v>
      </c>
      <c r="S75" s="3">
        <v>4</v>
      </c>
      <c r="T75" s="21" t="str">
        <f t="shared" si="10"/>
        <v>ППГнг(А)-FRHF (2х4)</v>
      </c>
      <c r="U75" s="3">
        <v>12.4</v>
      </c>
      <c r="V75" s="3">
        <f t="shared" si="11"/>
        <v>14.879999999999999</v>
      </c>
      <c r="W75" s="3" t="str">
        <f t="shared" si="12"/>
        <v>Ø20</v>
      </c>
      <c r="X75" s="3" t="str">
        <f t="shared" si="13"/>
        <v>Ø25</v>
      </c>
    </row>
    <row r="76" spans="17:24" x14ac:dyDescent="0.3">
      <c r="Q76" s="3" t="s">
        <v>141</v>
      </c>
      <c r="R76" s="3">
        <v>3</v>
      </c>
      <c r="S76" s="3">
        <v>4</v>
      </c>
      <c r="T76" s="21" t="str">
        <f t="shared" si="10"/>
        <v>ППГнг(А)-FRHF (3х4)</v>
      </c>
      <c r="U76" s="3">
        <v>13.1</v>
      </c>
      <c r="V76" s="3">
        <f t="shared" si="11"/>
        <v>15.719999999999999</v>
      </c>
      <c r="W76" s="3" t="str">
        <f t="shared" si="12"/>
        <v>Ø25</v>
      </c>
      <c r="X76" s="3" t="str">
        <f t="shared" si="13"/>
        <v>Ø25</v>
      </c>
    </row>
    <row r="77" spans="17:24" x14ac:dyDescent="0.3">
      <c r="Q77" s="3" t="s">
        <v>141</v>
      </c>
      <c r="R77" s="3">
        <v>4</v>
      </c>
      <c r="S77" s="3">
        <v>4</v>
      </c>
      <c r="T77" s="21" t="str">
        <f t="shared" si="10"/>
        <v>ППГнг(А)-FRHF (4х4)</v>
      </c>
      <c r="U77" s="3">
        <v>14.2</v>
      </c>
      <c r="V77" s="3">
        <f t="shared" si="11"/>
        <v>17.04</v>
      </c>
      <c r="W77" s="3" t="str">
        <f t="shared" si="12"/>
        <v>Ø25</v>
      </c>
      <c r="X77" s="3" t="str">
        <f t="shared" si="13"/>
        <v>Ø25</v>
      </c>
    </row>
    <row r="78" spans="17:24" x14ac:dyDescent="0.3">
      <c r="Q78" s="3" t="s">
        <v>141</v>
      </c>
      <c r="R78" s="3">
        <v>5</v>
      </c>
      <c r="S78" s="3">
        <v>4</v>
      </c>
      <c r="T78" s="21" t="str">
        <f t="shared" si="10"/>
        <v>ППГнг(А)-FRHF (5х4)</v>
      </c>
      <c r="U78" s="3">
        <v>15.4</v>
      </c>
      <c r="V78" s="3">
        <f t="shared" si="11"/>
        <v>18.48</v>
      </c>
      <c r="W78" s="3" t="str">
        <f t="shared" si="12"/>
        <v>Ø25</v>
      </c>
      <c r="X78" s="3" t="str">
        <f t="shared" si="13"/>
        <v>Ø25</v>
      </c>
    </row>
    <row r="79" spans="17:24" x14ac:dyDescent="0.3">
      <c r="Q79" s="3" t="s">
        <v>141</v>
      </c>
      <c r="R79" s="3">
        <v>1</v>
      </c>
      <c r="S79" s="3">
        <v>6</v>
      </c>
      <c r="T79" s="21" t="str">
        <f t="shared" si="10"/>
        <v>ППГнг(А)-FRHF (1х6)</v>
      </c>
      <c r="U79" s="3">
        <v>9</v>
      </c>
      <c r="V79" s="3">
        <f t="shared" si="11"/>
        <v>14</v>
      </c>
      <c r="W79" s="3" t="str">
        <f t="shared" si="12"/>
        <v>Ø20</v>
      </c>
      <c r="X79" s="3" t="str">
        <f t="shared" si="13"/>
        <v>Ø20</v>
      </c>
    </row>
    <row r="80" spans="17:24" x14ac:dyDescent="0.3">
      <c r="Q80" s="3" t="s">
        <v>141</v>
      </c>
      <c r="R80" s="3">
        <v>2</v>
      </c>
      <c r="S80" s="3">
        <v>6</v>
      </c>
      <c r="T80" s="21" t="str">
        <f t="shared" si="10"/>
        <v>ППГнг(А)-FRHF (2х6)</v>
      </c>
      <c r="U80" s="3">
        <v>14</v>
      </c>
      <c r="V80" s="3">
        <f t="shared" si="11"/>
        <v>16.8</v>
      </c>
      <c r="W80" s="3" t="str">
        <f t="shared" si="12"/>
        <v>Ø25</v>
      </c>
      <c r="X80" s="3" t="str">
        <f t="shared" si="13"/>
        <v>Ø25</v>
      </c>
    </row>
    <row r="81" spans="17:24" x14ac:dyDescent="0.3">
      <c r="Q81" s="3" t="s">
        <v>141</v>
      </c>
      <c r="R81" s="3">
        <v>3</v>
      </c>
      <c r="S81" s="3">
        <v>6</v>
      </c>
      <c r="T81" s="21" t="str">
        <f t="shared" si="10"/>
        <v>ППГнг(А)-FRHF (3х6)</v>
      </c>
      <c r="U81" s="3">
        <v>14.8</v>
      </c>
      <c r="V81" s="3">
        <f t="shared" si="11"/>
        <v>17.760000000000002</v>
      </c>
      <c r="W81" s="3" t="str">
        <f t="shared" si="12"/>
        <v>Ø25</v>
      </c>
      <c r="X81" s="3" t="str">
        <f t="shared" si="13"/>
        <v>Ø25</v>
      </c>
    </row>
    <row r="82" spans="17:24" x14ac:dyDescent="0.3">
      <c r="Q82" s="3" t="s">
        <v>141</v>
      </c>
      <c r="R82" s="3">
        <v>4</v>
      </c>
      <c r="S82" s="3">
        <v>6</v>
      </c>
      <c r="T82" s="21" t="str">
        <f t="shared" si="10"/>
        <v>ППГнг(А)-FRHF (4х6)</v>
      </c>
      <c r="U82" s="3">
        <v>16.100000000000001</v>
      </c>
      <c r="V82" s="3">
        <f t="shared" si="11"/>
        <v>19.32</v>
      </c>
      <c r="W82" s="3" t="str">
        <f t="shared" si="12"/>
        <v>Ø32</v>
      </c>
      <c r="X82" s="3" t="str">
        <f t="shared" si="13"/>
        <v>Ø32</v>
      </c>
    </row>
    <row r="83" spans="17:24" x14ac:dyDescent="0.3">
      <c r="Q83" s="3" t="s">
        <v>141</v>
      </c>
      <c r="R83" s="3">
        <v>5</v>
      </c>
      <c r="S83" s="3">
        <v>6</v>
      </c>
      <c r="T83" s="21" t="str">
        <f t="shared" si="10"/>
        <v>ППГнг(А)-FRHF (5х6)</v>
      </c>
      <c r="U83" s="3">
        <v>17.600000000000001</v>
      </c>
      <c r="V83" s="3">
        <f t="shared" si="11"/>
        <v>21.12</v>
      </c>
      <c r="W83" s="3" t="str">
        <f t="shared" si="12"/>
        <v>Ø32</v>
      </c>
      <c r="X83" s="3" t="str">
        <f t="shared" si="13"/>
        <v>Ø32</v>
      </c>
    </row>
    <row r="84" spans="17:24" x14ac:dyDescent="0.3">
      <c r="Q84" s="3" t="s">
        <v>137</v>
      </c>
      <c r="R84" s="3">
        <v>1</v>
      </c>
      <c r="S84" s="3">
        <v>0.75</v>
      </c>
      <c r="T84" s="21" t="str">
        <f t="shared" si="10"/>
        <v>КГВВнг(А)-LS (1х0,75)</v>
      </c>
      <c r="U84" s="3">
        <v>2.2999999999999998</v>
      </c>
      <c r="V84" s="3">
        <f t="shared" si="11"/>
        <v>14</v>
      </c>
      <c r="W84" s="3" t="str">
        <f t="shared" si="12"/>
        <v>Ø20</v>
      </c>
      <c r="X84" s="3" t="str">
        <f t="shared" si="13"/>
        <v>Ø20</v>
      </c>
    </row>
    <row r="85" spans="17:24" x14ac:dyDescent="0.3">
      <c r="Q85" s="25" t="s">
        <v>137</v>
      </c>
      <c r="R85" s="3">
        <v>2</v>
      </c>
      <c r="S85" s="3">
        <v>0.75</v>
      </c>
      <c r="T85" s="21" t="str">
        <f t="shared" si="10"/>
        <v>КГВВнг(А)-LS (2х0,75)</v>
      </c>
      <c r="U85" s="3">
        <v>7</v>
      </c>
      <c r="V85" s="3">
        <f t="shared" si="11"/>
        <v>14</v>
      </c>
      <c r="W85" s="3" t="str">
        <f t="shared" si="12"/>
        <v>Ø20</v>
      </c>
      <c r="X85" s="3" t="str">
        <f t="shared" si="13"/>
        <v>Ø20</v>
      </c>
    </row>
    <row r="86" spans="17:24" x14ac:dyDescent="0.3">
      <c r="Q86" s="25" t="s">
        <v>137</v>
      </c>
      <c r="R86" s="3">
        <v>3</v>
      </c>
      <c r="S86" s="3">
        <v>0.75</v>
      </c>
      <c r="T86" s="21" t="str">
        <f t="shared" si="10"/>
        <v>КГВВнг(А)-LS (3х0,75)</v>
      </c>
      <c r="U86" s="3">
        <v>7.3</v>
      </c>
      <c r="V86" s="3">
        <f t="shared" si="11"/>
        <v>14</v>
      </c>
      <c r="W86" s="3" t="str">
        <f t="shared" si="12"/>
        <v>Ø20</v>
      </c>
      <c r="X86" s="3" t="str">
        <f t="shared" si="13"/>
        <v>Ø20</v>
      </c>
    </row>
    <row r="87" spans="17:24" x14ac:dyDescent="0.3">
      <c r="Q87" s="25" t="s">
        <v>137</v>
      </c>
      <c r="R87" s="3">
        <v>4</v>
      </c>
      <c r="S87" s="3">
        <v>0.75</v>
      </c>
      <c r="T87" s="21" t="str">
        <f t="shared" si="10"/>
        <v>КГВВнг(А)-LS (4х0,75)</v>
      </c>
      <c r="U87" s="3">
        <v>7.9</v>
      </c>
      <c r="V87" s="3">
        <f t="shared" si="11"/>
        <v>14</v>
      </c>
      <c r="W87" s="3" t="str">
        <f t="shared" si="12"/>
        <v>Ø20</v>
      </c>
      <c r="X87" s="3" t="str">
        <f t="shared" si="13"/>
        <v>Ø20</v>
      </c>
    </row>
    <row r="88" spans="17:24" x14ac:dyDescent="0.3">
      <c r="Q88" s="25" t="s">
        <v>137</v>
      </c>
      <c r="R88" s="3">
        <v>5</v>
      </c>
      <c r="S88" s="3">
        <v>0.75</v>
      </c>
      <c r="T88" s="21" t="str">
        <f t="shared" si="10"/>
        <v>КГВВнг(А)-LS (5х0,75)</v>
      </c>
      <c r="U88" s="3">
        <v>9.1999999999999993</v>
      </c>
      <c r="V88" s="3">
        <f t="shared" si="11"/>
        <v>14</v>
      </c>
      <c r="W88" s="3" t="str">
        <f t="shared" si="12"/>
        <v>Ø20</v>
      </c>
      <c r="X88" s="3" t="str">
        <f t="shared" si="13"/>
        <v>Ø20</v>
      </c>
    </row>
    <row r="89" spans="17:24" x14ac:dyDescent="0.3">
      <c r="Q89" s="25" t="s">
        <v>137</v>
      </c>
      <c r="R89" s="3">
        <v>6</v>
      </c>
      <c r="S89" s="3">
        <v>0.75</v>
      </c>
      <c r="T89" s="21" t="str">
        <f t="shared" si="10"/>
        <v>КГВВнг(А)-LS (6х0,75)</v>
      </c>
      <c r="U89" s="3">
        <v>9.6</v>
      </c>
      <c r="V89" s="3">
        <f t="shared" si="11"/>
        <v>14</v>
      </c>
      <c r="W89" s="3" t="str">
        <f t="shared" si="12"/>
        <v>Ø20</v>
      </c>
      <c r="X89" s="3" t="str">
        <f t="shared" si="13"/>
        <v>Ø20</v>
      </c>
    </row>
    <row r="90" spans="17:24" x14ac:dyDescent="0.3">
      <c r="Q90" s="25" t="s">
        <v>137</v>
      </c>
      <c r="R90" s="3">
        <v>7</v>
      </c>
      <c r="S90" s="3">
        <v>0.75</v>
      </c>
      <c r="T90" s="21" t="str">
        <f t="shared" si="10"/>
        <v>КГВВнг(А)-LS (7х0,75)</v>
      </c>
      <c r="U90" s="3">
        <v>9.9</v>
      </c>
      <c r="V90" s="3">
        <f t="shared" si="11"/>
        <v>14</v>
      </c>
      <c r="W90" s="3" t="str">
        <f t="shared" si="12"/>
        <v>Ø20</v>
      </c>
      <c r="X90" s="3" t="str">
        <f t="shared" si="13"/>
        <v>Ø20</v>
      </c>
    </row>
    <row r="91" spans="17:24" x14ac:dyDescent="0.3">
      <c r="Q91" s="25" t="s">
        <v>137</v>
      </c>
      <c r="R91" s="3">
        <v>10</v>
      </c>
      <c r="S91" s="3">
        <v>0.75</v>
      </c>
      <c r="T91" s="21" t="str">
        <f t="shared" si="10"/>
        <v>КГВВнг(А)-LS (10х0,75)</v>
      </c>
      <c r="U91" s="3">
        <v>11.6</v>
      </c>
      <c r="V91" s="3">
        <f t="shared" si="11"/>
        <v>14</v>
      </c>
      <c r="W91" s="3" t="str">
        <f t="shared" si="12"/>
        <v>Ø20</v>
      </c>
      <c r="X91" s="3" t="str">
        <f t="shared" si="13"/>
        <v>Ø20</v>
      </c>
    </row>
    <row r="92" spans="17:24" x14ac:dyDescent="0.3">
      <c r="Q92" s="25" t="s">
        <v>137</v>
      </c>
      <c r="R92" s="3">
        <v>14</v>
      </c>
      <c r="S92" s="3">
        <v>0.75</v>
      </c>
      <c r="T92" s="21" t="str">
        <f t="shared" ref="T92:T96" si="14">Q92&amp;" ("&amp;R92&amp;"х"&amp;S92&amp;")"</f>
        <v>КГВВнг(А)-LS (14х0,75)</v>
      </c>
      <c r="U92" s="3">
        <v>13.1</v>
      </c>
      <c r="V92" s="3">
        <f t="shared" si="11"/>
        <v>15.719999999999999</v>
      </c>
      <c r="W92" s="3" t="str">
        <f t="shared" si="12"/>
        <v>Ø25</v>
      </c>
      <c r="X92" s="3" t="str">
        <f t="shared" si="13"/>
        <v>Ø25</v>
      </c>
    </row>
    <row r="93" spans="17:24" x14ac:dyDescent="0.3">
      <c r="Q93" s="25" t="s">
        <v>137</v>
      </c>
      <c r="R93" s="3">
        <v>19</v>
      </c>
      <c r="S93" s="3">
        <v>0.75</v>
      </c>
      <c r="T93" s="21" t="str">
        <f t="shared" si="14"/>
        <v>КГВВнг(А)-LS (19х0,75)</v>
      </c>
      <c r="U93" s="3">
        <v>14.5</v>
      </c>
      <c r="V93" s="3">
        <f t="shared" si="11"/>
        <v>17.399999999999999</v>
      </c>
      <c r="W93" s="3" t="str">
        <f t="shared" si="12"/>
        <v>Ø25</v>
      </c>
      <c r="X93" s="3" t="str">
        <f t="shared" si="13"/>
        <v>Ø25</v>
      </c>
    </row>
    <row r="94" spans="17:24" x14ac:dyDescent="0.3">
      <c r="Q94" s="25" t="s">
        <v>137</v>
      </c>
      <c r="R94" s="3">
        <v>27</v>
      </c>
      <c r="S94" s="3">
        <v>0.75</v>
      </c>
      <c r="T94" s="21" t="str">
        <f t="shared" si="14"/>
        <v>КГВВнг(А)-LS (27х0,75)</v>
      </c>
      <c r="U94" s="3">
        <v>17.2</v>
      </c>
      <c r="V94" s="3">
        <f t="shared" si="11"/>
        <v>20.639999999999997</v>
      </c>
      <c r="W94" s="3" t="str">
        <f t="shared" si="12"/>
        <v>Ø32</v>
      </c>
      <c r="X94" s="3" t="str">
        <f t="shared" si="13"/>
        <v>Ø32</v>
      </c>
    </row>
    <row r="95" spans="17:24" x14ac:dyDescent="0.3">
      <c r="Q95" s="25" t="s">
        <v>137</v>
      </c>
      <c r="R95" s="3">
        <v>37</v>
      </c>
      <c r="S95" s="3">
        <v>0.75</v>
      </c>
      <c r="T95" s="21" t="str">
        <f t="shared" si="14"/>
        <v>КГВВнг(А)-LS (37х0,75)</v>
      </c>
      <c r="U95" s="3">
        <v>18.5</v>
      </c>
      <c r="V95" s="3">
        <f t="shared" si="11"/>
        <v>22.2</v>
      </c>
      <c r="W95" s="3" t="str">
        <f t="shared" si="12"/>
        <v>Ø32</v>
      </c>
      <c r="X95" s="3" t="str">
        <f t="shared" si="13"/>
        <v>Ø32</v>
      </c>
    </row>
    <row r="96" spans="17:24" x14ac:dyDescent="0.3">
      <c r="Q96" s="25" t="s">
        <v>137</v>
      </c>
      <c r="R96" s="3">
        <v>52</v>
      </c>
      <c r="S96" s="3">
        <v>0.75</v>
      </c>
      <c r="T96" s="21" t="str">
        <f t="shared" si="14"/>
        <v>КГВВнг(А)-LS (52х0,75)</v>
      </c>
      <c r="U96" s="3">
        <v>21.6</v>
      </c>
      <c r="V96" s="3">
        <f t="shared" si="11"/>
        <v>25.92</v>
      </c>
      <c r="W96" s="3" t="str">
        <f t="shared" si="12"/>
        <v>Ø40</v>
      </c>
      <c r="X96" s="3" t="str">
        <f t="shared" si="13"/>
        <v>Ø40</v>
      </c>
    </row>
    <row r="97" spans="17:24" x14ac:dyDescent="0.3">
      <c r="Q97" s="25" t="s">
        <v>137</v>
      </c>
      <c r="R97" s="3">
        <v>1</v>
      </c>
      <c r="S97" s="3">
        <v>1</v>
      </c>
      <c r="T97" s="21" t="str">
        <f t="shared" ref="T97:T101" si="15">Q97&amp;" ("&amp;R97&amp;"х"&amp;S97&amp;")"</f>
        <v>КГВВнг(А)-LS (1х1)</v>
      </c>
      <c r="U97" s="3">
        <v>2.8</v>
      </c>
      <c r="V97" s="3">
        <f t="shared" si="11"/>
        <v>14</v>
      </c>
      <c r="W97" s="3" t="str">
        <f t="shared" si="12"/>
        <v>Ø20</v>
      </c>
      <c r="X97" s="3" t="str">
        <f t="shared" si="13"/>
        <v>Ø20</v>
      </c>
    </row>
    <row r="98" spans="17:24" x14ac:dyDescent="0.3">
      <c r="Q98" s="25" t="s">
        <v>137</v>
      </c>
      <c r="R98" s="3">
        <v>2</v>
      </c>
      <c r="S98" s="3">
        <v>1</v>
      </c>
      <c r="T98" s="21" t="str">
        <f t="shared" si="15"/>
        <v>КГВВнг(А)-LS (2х1)</v>
      </c>
      <c r="U98" s="3">
        <v>7.3</v>
      </c>
      <c r="V98" s="3">
        <f t="shared" si="11"/>
        <v>14</v>
      </c>
      <c r="W98" s="3" t="str">
        <f t="shared" si="12"/>
        <v>Ø20</v>
      </c>
      <c r="X98" s="3" t="str">
        <f t="shared" si="13"/>
        <v>Ø20</v>
      </c>
    </row>
    <row r="99" spans="17:24" x14ac:dyDescent="0.3">
      <c r="Q99" s="25" t="s">
        <v>137</v>
      </c>
      <c r="R99" s="3">
        <v>3</v>
      </c>
      <c r="S99" s="3">
        <v>1</v>
      </c>
      <c r="T99" s="21" t="str">
        <f t="shared" si="15"/>
        <v>КГВВнг(А)-LS (3х1)</v>
      </c>
      <c r="U99" s="3">
        <v>7.7</v>
      </c>
      <c r="V99" s="3">
        <f t="shared" si="11"/>
        <v>14</v>
      </c>
      <c r="W99" s="3" t="str">
        <f t="shared" si="12"/>
        <v>Ø20</v>
      </c>
      <c r="X99" s="3" t="str">
        <f t="shared" si="13"/>
        <v>Ø20</v>
      </c>
    </row>
    <row r="100" spans="17:24" x14ac:dyDescent="0.3">
      <c r="Q100" s="25" t="s">
        <v>137</v>
      </c>
      <c r="R100" s="3">
        <v>4</v>
      </c>
      <c r="S100" s="3">
        <v>1</v>
      </c>
      <c r="T100" s="21" t="str">
        <f t="shared" si="15"/>
        <v>КГВВнг(А)-LS (4х1)</v>
      </c>
      <c r="U100" s="3">
        <v>8.3000000000000007</v>
      </c>
      <c r="V100" s="3">
        <f t="shared" si="11"/>
        <v>14</v>
      </c>
      <c r="W100" s="3" t="str">
        <f t="shared" si="12"/>
        <v>Ø20</v>
      </c>
      <c r="X100" s="3" t="str">
        <f t="shared" si="13"/>
        <v>Ø20</v>
      </c>
    </row>
    <row r="101" spans="17:24" x14ac:dyDescent="0.3">
      <c r="Q101" s="25" t="s">
        <v>137</v>
      </c>
      <c r="R101" s="3">
        <v>5</v>
      </c>
      <c r="S101" s="3">
        <v>1</v>
      </c>
      <c r="T101" s="21" t="str">
        <f t="shared" si="15"/>
        <v>КГВВнг(А)-LS (5х1)</v>
      </c>
      <c r="U101" s="3">
        <v>9.6</v>
      </c>
      <c r="V101" s="3">
        <f t="shared" si="11"/>
        <v>14</v>
      </c>
      <c r="W101" s="3" t="str">
        <f t="shared" si="12"/>
        <v>Ø20</v>
      </c>
      <c r="X101" s="3" t="str">
        <f t="shared" si="13"/>
        <v>Ø20</v>
      </c>
    </row>
    <row r="102" spans="17:24" x14ac:dyDescent="0.3">
      <c r="Q102" s="25" t="s">
        <v>137</v>
      </c>
      <c r="R102" s="3">
        <v>7</v>
      </c>
      <c r="S102" s="3">
        <v>1</v>
      </c>
      <c r="T102" s="21" t="str">
        <f t="shared" ref="T102:T113" si="16">Q102&amp;" ("&amp;R102&amp;"х"&amp;S102&amp;")"</f>
        <v>КГВВнг(А)-LS (7х1)</v>
      </c>
      <c r="U102" s="3">
        <v>10.4</v>
      </c>
      <c r="V102" s="3">
        <f t="shared" si="11"/>
        <v>14</v>
      </c>
      <c r="W102" s="3" t="str">
        <f t="shared" si="12"/>
        <v>Ø20</v>
      </c>
      <c r="X102" s="3" t="str">
        <f t="shared" si="13"/>
        <v>Ø20</v>
      </c>
    </row>
    <row r="103" spans="17:24" x14ac:dyDescent="0.3">
      <c r="Q103" s="25" t="s">
        <v>137</v>
      </c>
      <c r="R103" s="3">
        <v>10</v>
      </c>
      <c r="S103" s="3">
        <v>1</v>
      </c>
      <c r="T103" s="21" t="str">
        <f t="shared" si="16"/>
        <v>КГВВнг(А)-LS (10х1)</v>
      </c>
      <c r="U103" s="3">
        <v>12.8</v>
      </c>
      <c r="V103" s="3">
        <f t="shared" si="11"/>
        <v>15.36</v>
      </c>
      <c r="W103" s="3" t="str">
        <f t="shared" si="12"/>
        <v>Ø25</v>
      </c>
      <c r="X103" s="3" t="str">
        <f t="shared" si="13"/>
        <v>Ø25</v>
      </c>
    </row>
    <row r="104" spans="17:24" x14ac:dyDescent="0.3">
      <c r="Q104" s="25" t="s">
        <v>137</v>
      </c>
      <c r="R104" s="3">
        <v>14</v>
      </c>
      <c r="S104" s="3">
        <v>1</v>
      </c>
      <c r="T104" s="21" t="str">
        <f t="shared" si="16"/>
        <v>КГВВнг(А)-LS (14х1)</v>
      </c>
      <c r="U104" s="3">
        <v>13.9</v>
      </c>
      <c r="V104" s="3">
        <f t="shared" si="11"/>
        <v>16.68</v>
      </c>
      <c r="W104" s="3" t="str">
        <f t="shared" si="12"/>
        <v>Ø25</v>
      </c>
      <c r="X104" s="3" t="str">
        <f t="shared" si="13"/>
        <v>Ø25</v>
      </c>
    </row>
    <row r="105" spans="17:24" x14ac:dyDescent="0.3">
      <c r="Q105" s="25" t="s">
        <v>137</v>
      </c>
      <c r="R105" s="3">
        <v>19</v>
      </c>
      <c r="S105" s="3">
        <v>1</v>
      </c>
      <c r="T105" s="21" t="str">
        <f t="shared" si="16"/>
        <v>КГВВнг(А)-LS (19х1)</v>
      </c>
      <c r="U105" s="3">
        <v>14.6</v>
      </c>
      <c r="V105" s="3">
        <f t="shared" si="11"/>
        <v>17.52</v>
      </c>
      <c r="W105" s="3" t="str">
        <f t="shared" si="12"/>
        <v>Ø25</v>
      </c>
      <c r="X105" s="3" t="str">
        <f t="shared" si="13"/>
        <v>Ø25</v>
      </c>
    </row>
    <row r="106" spans="17:24" x14ac:dyDescent="0.3">
      <c r="Q106" s="25" t="s">
        <v>137</v>
      </c>
      <c r="R106" s="3">
        <v>27</v>
      </c>
      <c r="S106" s="3">
        <v>1</v>
      </c>
      <c r="T106" s="21" t="str">
        <f t="shared" si="16"/>
        <v>КГВВнг(А)-LS (27х1)</v>
      </c>
      <c r="U106" s="3">
        <v>17.3</v>
      </c>
      <c r="V106" s="3">
        <f t="shared" si="11"/>
        <v>20.76</v>
      </c>
      <c r="W106" s="3" t="str">
        <f t="shared" si="12"/>
        <v>Ø32</v>
      </c>
      <c r="X106" s="3" t="str">
        <f t="shared" si="13"/>
        <v>Ø32</v>
      </c>
    </row>
    <row r="107" spans="17:24" x14ac:dyDescent="0.3">
      <c r="Q107" s="25" t="s">
        <v>137</v>
      </c>
      <c r="R107" s="3">
        <v>37</v>
      </c>
      <c r="S107" s="3">
        <v>1</v>
      </c>
      <c r="T107" s="21" t="str">
        <f t="shared" si="16"/>
        <v>КГВВнг(А)-LS (37х1)</v>
      </c>
      <c r="U107" s="3">
        <v>19.600000000000001</v>
      </c>
      <c r="V107" s="3">
        <f t="shared" si="11"/>
        <v>23.52</v>
      </c>
      <c r="W107" s="3" t="str">
        <f t="shared" si="12"/>
        <v>Ø32</v>
      </c>
      <c r="X107" s="3" t="str">
        <f t="shared" si="13"/>
        <v>Ø32</v>
      </c>
    </row>
    <row r="108" spans="17:24" x14ac:dyDescent="0.3">
      <c r="Q108" s="25" t="s">
        <v>137</v>
      </c>
      <c r="R108" s="3">
        <v>52</v>
      </c>
      <c r="S108" s="3">
        <v>1</v>
      </c>
      <c r="T108" s="21" t="str">
        <f t="shared" si="16"/>
        <v>КГВВнг(А)-LS (52х1)</v>
      </c>
      <c r="U108" s="3">
        <v>22.9</v>
      </c>
      <c r="V108" s="3">
        <f t="shared" si="11"/>
        <v>27.479999999999997</v>
      </c>
      <c r="W108" s="3" t="str">
        <f t="shared" si="12"/>
        <v>Ø40</v>
      </c>
      <c r="X108" s="3" t="str">
        <f t="shared" si="13"/>
        <v>Ø40</v>
      </c>
    </row>
    <row r="109" spans="17:24" x14ac:dyDescent="0.3">
      <c r="Q109" s="25" t="s">
        <v>137</v>
      </c>
      <c r="R109" s="3">
        <v>1</v>
      </c>
      <c r="S109" s="3">
        <v>1.5</v>
      </c>
      <c r="T109" s="21" t="str">
        <f t="shared" si="16"/>
        <v>КГВВнг(А)-LS (1х1,5)</v>
      </c>
      <c r="U109" s="3">
        <v>5.6</v>
      </c>
      <c r="V109" s="3">
        <f t="shared" si="11"/>
        <v>14</v>
      </c>
      <c r="W109" s="3" t="str">
        <f t="shared" si="12"/>
        <v>Ø20</v>
      </c>
      <c r="X109" s="3" t="str">
        <f t="shared" si="13"/>
        <v>Ø20</v>
      </c>
    </row>
    <row r="110" spans="17:24" x14ac:dyDescent="0.3">
      <c r="Q110" s="25" t="s">
        <v>137</v>
      </c>
      <c r="R110" s="3">
        <v>2</v>
      </c>
      <c r="S110" s="3">
        <v>1.5</v>
      </c>
      <c r="T110" s="21" t="str">
        <f t="shared" si="16"/>
        <v>КГВВнг(А)-LS (2х1,5)</v>
      </c>
      <c r="U110" s="3">
        <v>8.1999999999999993</v>
      </c>
      <c r="V110" s="3">
        <f t="shared" si="11"/>
        <v>14</v>
      </c>
      <c r="W110" s="3" t="str">
        <f t="shared" si="12"/>
        <v>Ø20</v>
      </c>
      <c r="X110" s="3" t="str">
        <f t="shared" si="13"/>
        <v>Ø20</v>
      </c>
    </row>
    <row r="111" spans="17:24" x14ac:dyDescent="0.3">
      <c r="Q111" s="25" t="s">
        <v>137</v>
      </c>
      <c r="R111" s="3">
        <v>3</v>
      </c>
      <c r="S111" s="3">
        <v>1.5</v>
      </c>
      <c r="T111" s="21" t="str">
        <f t="shared" si="16"/>
        <v>КГВВнг(А)-LS (3х1,5)</v>
      </c>
      <c r="U111" s="3">
        <v>9.3000000000000007</v>
      </c>
      <c r="V111" s="3">
        <f t="shared" si="11"/>
        <v>14</v>
      </c>
      <c r="W111" s="3" t="str">
        <f t="shared" si="12"/>
        <v>Ø20</v>
      </c>
      <c r="X111" s="3" t="str">
        <f t="shared" si="13"/>
        <v>Ø20</v>
      </c>
    </row>
    <row r="112" spans="17:24" x14ac:dyDescent="0.3">
      <c r="Q112" s="25" t="s">
        <v>137</v>
      </c>
      <c r="R112" s="3">
        <v>4</v>
      </c>
      <c r="S112" s="3">
        <v>1.5</v>
      </c>
      <c r="T112" s="21" t="str">
        <f t="shared" si="16"/>
        <v>КГВВнг(А)-LS (4х1,5)</v>
      </c>
      <c r="U112" s="3">
        <v>10</v>
      </c>
      <c r="V112" s="3">
        <f t="shared" si="11"/>
        <v>14</v>
      </c>
      <c r="W112" s="3" t="str">
        <f t="shared" si="12"/>
        <v>Ø20</v>
      </c>
      <c r="X112" s="3" t="str">
        <f t="shared" si="13"/>
        <v>Ø20</v>
      </c>
    </row>
    <row r="113" spans="17:24" x14ac:dyDescent="0.3">
      <c r="Q113" s="25" t="s">
        <v>137</v>
      </c>
      <c r="R113" s="3">
        <v>5</v>
      </c>
      <c r="S113" s="3">
        <v>1.5</v>
      </c>
      <c r="T113" s="21" t="str">
        <f t="shared" si="16"/>
        <v>КГВВнг(А)-LS (5х1,5)</v>
      </c>
      <c r="U113" s="3">
        <v>11.2</v>
      </c>
      <c r="V113" s="3">
        <f t="shared" si="11"/>
        <v>14</v>
      </c>
      <c r="W113" s="3" t="str">
        <f t="shared" si="12"/>
        <v>Ø20</v>
      </c>
      <c r="X113" s="3" t="str">
        <f t="shared" si="13"/>
        <v>Ø20</v>
      </c>
    </row>
    <row r="114" spans="17:24" x14ac:dyDescent="0.3">
      <c r="Q114" s="25" t="s">
        <v>137</v>
      </c>
      <c r="R114" s="3">
        <v>7</v>
      </c>
      <c r="S114" s="3">
        <v>1.5</v>
      </c>
      <c r="T114" s="21" t="str">
        <f t="shared" ref="T114:T158" si="17">Q114&amp;" ("&amp;R114&amp;"х"&amp;S114&amp;")"</f>
        <v>КГВВнг(А)-LS (7х1,5)</v>
      </c>
      <c r="U114" s="3">
        <v>11.8</v>
      </c>
      <c r="V114" s="3">
        <f t="shared" si="11"/>
        <v>14.16</v>
      </c>
      <c r="W114" s="3" t="str">
        <f t="shared" si="12"/>
        <v>Ø20</v>
      </c>
      <c r="X114" s="3" t="str">
        <f t="shared" si="13"/>
        <v>Ø20</v>
      </c>
    </row>
    <row r="115" spans="17:24" x14ac:dyDescent="0.3">
      <c r="Q115" s="25" t="s">
        <v>137</v>
      </c>
      <c r="R115" s="3">
        <v>10</v>
      </c>
      <c r="S115" s="3">
        <v>1.5</v>
      </c>
      <c r="T115" s="21" t="str">
        <f t="shared" si="17"/>
        <v>КГВВнг(А)-LS (10х1,5)</v>
      </c>
      <c r="U115" s="3">
        <v>14.7</v>
      </c>
      <c r="V115" s="3">
        <f t="shared" si="11"/>
        <v>17.639999999999997</v>
      </c>
      <c r="W115" s="3" t="str">
        <f t="shared" si="12"/>
        <v>Ø25</v>
      </c>
      <c r="X115" s="3" t="str">
        <f t="shared" si="13"/>
        <v>Ø25</v>
      </c>
    </row>
    <row r="116" spans="17:24" x14ac:dyDescent="0.3">
      <c r="Q116" s="25" t="s">
        <v>137</v>
      </c>
      <c r="R116" s="3">
        <v>14</v>
      </c>
      <c r="S116" s="3">
        <v>1.5</v>
      </c>
      <c r="T116" s="21" t="str">
        <f t="shared" si="17"/>
        <v>КГВВнг(А)-LS (14х1,5)</v>
      </c>
      <c r="U116" s="3">
        <v>15.9</v>
      </c>
      <c r="V116" s="3">
        <f t="shared" si="11"/>
        <v>19.079999999999998</v>
      </c>
      <c r="W116" s="3" t="str">
        <f t="shared" si="12"/>
        <v>Ø32</v>
      </c>
      <c r="X116" s="3" t="str">
        <f t="shared" si="13"/>
        <v>Ø32</v>
      </c>
    </row>
    <row r="117" spans="17:24" x14ac:dyDescent="0.3">
      <c r="Q117" s="25" t="s">
        <v>137</v>
      </c>
      <c r="R117" s="3">
        <v>19</v>
      </c>
      <c r="S117" s="3">
        <v>1.5</v>
      </c>
      <c r="T117" s="21" t="str">
        <f t="shared" si="17"/>
        <v>КГВВнг(А)-LS (19х1,5)</v>
      </c>
      <c r="U117" s="3">
        <v>17.600000000000001</v>
      </c>
      <c r="V117" s="3">
        <f t="shared" si="11"/>
        <v>21.12</v>
      </c>
      <c r="W117" s="3" t="str">
        <f t="shared" si="12"/>
        <v>Ø32</v>
      </c>
      <c r="X117" s="3" t="str">
        <f t="shared" si="13"/>
        <v>Ø32</v>
      </c>
    </row>
    <row r="118" spans="17:24" x14ac:dyDescent="0.3">
      <c r="Q118" s="25" t="s">
        <v>137</v>
      </c>
      <c r="R118" s="3">
        <v>27</v>
      </c>
      <c r="S118" s="3">
        <v>1.5</v>
      </c>
      <c r="T118" s="21" t="str">
        <f t="shared" si="17"/>
        <v>КГВВнг(А)-LS (27х1,5)</v>
      </c>
      <c r="U118" s="3">
        <v>21.4</v>
      </c>
      <c r="V118" s="3">
        <f t="shared" si="11"/>
        <v>25.679999999999996</v>
      </c>
      <c r="W118" s="3" t="str">
        <f t="shared" si="12"/>
        <v>Ø40</v>
      </c>
      <c r="X118" s="3" t="str">
        <f t="shared" si="13"/>
        <v>Ø40</v>
      </c>
    </row>
    <row r="119" spans="17:24" x14ac:dyDescent="0.3">
      <c r="Q119" s="25" t="s">
        <v>137</v>
      </c>
      <c r="R119" s="3">
        <v>37</v>
      </c>
      <c r="S119" s="3">
        <v>1.5</v>
      </c>
      <c r="T119" s="21" t="str">
        <f t="shared" si="17"/>
        <v>КГВВнг(А)-LS (37х1,5)</v>
      </c>
      <c r="U119" s="3">
        <v>22.3</v>
      </c>
      <c r="V119" s="3">
        <f t="shared" si="11"/>
        <v>26.76</v>
      </c>
      <c r="W119" s="3" t="str">
        <f t="shared" si="12"/>
        <v>Ø40</v>
      </c>
      <c r="X119" s="3" t="str">
        <f t="shared" si="13"/>
        <v>Ø40</v>
      </c>
    </row>
    <row r="120" spans="17:24" x14ac:dyDescent="0.3">
      <c r="Q120" s="25" t="s">
        <v>137</v>
      </c>
      <c r="R120" s="3">
        <v>52</v>
      </c>
      <c r="S120" s="3">
        <v>1.5</v>
      </c>
      <c r="T120" s="21" t="str">
        <f t="shared" si="17"/>
        <v>КГВВнг(А)-LS (52х1,5)</v>
      </c>
      <c r="U120" s="3">
        <v>25.3</v>
      </c>
      <c r="V120" s="3">
        <f t="shared" si="11"/>
        <v>30.36</v>
      </c>
      <c r="W120" s="3" t="str">
        <f t="shared" si="12"/>
        <v>Ø40</v>
      </c>
      <c r="X120" s="3" t="str">
        <f t="shared" si="13"/>
        <v>Ø40</v>
      </c>
    </row>
    <row r="121" spans="17:24" x14ac:dyDescent="0.3">
      <c r="Q121" s="25" t="s">
        <v>137</v>
      </c>
      <c r="R121" s="3">
        <v>1</v>
      </c>
      <c r="S121" s="3">
        <v>2.5</v>
      </c>
      <c r="T121" s="21" t="str">
        <f t="shared" si="17"/>
        <v>КГВВнг(А)-LS (1х2,5)</v>
      </c>
      <c r="U121" s="3">
        <v>6.1</v>
      </c>
      <c r="V121" s="3">
        <f t="shared" si="11"/>
        <v>14</v>
      </c>
      <c r="W121" s="3" t="str">
        <f t="shared" si="12"/>
        <v>Ø20</v>
      </c>
      <c r="X121" s="3" t="str">
        <f t="shared" si="13"/>
        <v>Ø20</v>
      </c>
    </row>
    <row r="122" spans="17:24" x14ac:dyDescent="0.3">
      <c r="Q122" s="25" t="s">
        <v>137</v>
      </c>
      <c r="R122" s="3">
        <v>2</v>
      </c>
      <c r="S122" s="3">
        <v>2.5</v>
      </c>
      <c r="T122" s="21" t="str">
        <f t="shared" si="17"/>
        <v>КГВВнг(А)-LS (2х2,5)</v>
      </c>
      <c r="U122" s="3">
        <v>10.1</v>
      </c>
      <c r="V122" s="3">
        <f t="shared" si="11"/>
        <v>14</v>
      </c>
      <c r="W122" s="3" t="str">
        <f t="shared" si="12"/>
        <v>Ø20</v>
      </c>
      <c r="X122" s="3" t="str">
        <f t="shared" si="13"/>
        <v>Ø20</v>
      </c>
    </row>
    <row r="123" spans="17:24" x14ac:dyDescent="0.3">
      <c r="Q123" s="25" t="s">
        <v>137</v>
      </c>
      <c r="R123" s="3">
        <v>3</v>
      </c>
      <c r="S123" s="3">
        <v>2.5</v>
      </c>
      <c r="T123" s="21" t="str">
        <f t="shared" si="17"/>
        <v>КГВВнг(А)-LS (3х2,5)</v>
      </c>
      <c r="U123" s="3">
        <v>10.6</v>
      </c>
      <c r="V123" s="3">
        <f t="shared" si="11"/>
        <v>14</v>
      </c>
      <c r="W123" s="3" t="str">
        <f t="shared" si="12"/>
        <v>Ø20</v>
      </c>
      <c r="X123" s="3" t="str">
        <f t="shared" si="13"/>
        <v>Ø20</v>
      </c>
    </row>
    <row r="124" spans="17:24" x14ac:dyDescent="0.3">
      <c r="Q124" s="25" t="s">
        <v>137</v>
      </c>
      <c r="R124" s="3">
        <v>4</v>
      </c>
      <c r="S124" s="3">
        <v>2.5</v>
      </c>
      <c r="T124" s="21" t="str">
        <f t="shared" si="17"/>
        <v>КГВВнг(А)-LS (4х2,5)</v>
      </c>
      <c r="U124" s="3">
        <v>11.6</v>
      </c>
      <c r="V124" s="3">
        <f t="shared" si="11"/>
        <v>14</v>
      </c>
      <c r="W124" s="3" t="str">
        <f t="shared" si="12"/>
        <v>Ø20</v>
      </c>
      <c r="X124" s="3" t="str">
        <f t="shared" si="13"/>
        <v>Ø20</v>
      </c>
    </row>
    <row r="125" spans="17:24" x14ac:dyDescent="0.3">
      <c r="Q125" s="25" t="s">
        <v>137</v>
      </c>
      <c r="R125" s="3">
        <v>5</v>
      </c>
      <c r="S125" s="3">
        <v>2.5</v>
      </c>
      <c r="T125" s="21" t="str">
        <f t="shared" si="17"/>
        <v>КГВВнг(А)-LS (5х2,5)</v>
      </c>
      <c r="U125" s="3">
        <v>11</v>
      </c>
      <c r="V125" s="3">
        <f t="shared" si="11"/>
        <v>14</v>
      </c>
      <c r="W125" s="3" t="str">
        <f t="shared" si="12"/>
        <v>Ø20</v>
      </c>
      <c r="X125" s="3" t="str">
        <f t="shared" si="13"/>
        <v>Ø20</v>
      </c>
    </row>
    <row r="126" spans="17:24" x14ac:dyDescent="0.3">
      <c r="Q126" s="25" t="s">
        <v>137</v>
      </c>
      <c r="R126" s="3">
        <v>7</v>
      </c>
      <c r="S126" s="3">
        <v>2.5</v>
      </c>
      <c r="T126" s="21" t="str">
        <f t="shared" si="17"/>
        <v>КГВВнг(А)-LS (7х2,5)</v>
      </c>
      <c r="U126" s="3">
        <v>11.8</v>
      </c>
      <c r="V126" s="3">
        <f t="shared" si="11"/>
        <v>14.16</v>
      </c>
      <c r="W126" s="3" t="str">
        <f t="shared" si="12"/>
        <v>Ø20</v>
      </c>
      <c r="X126" s="3" t="str">
        <f t="shared" si="13"/>
        <v>Ø20</v>
      </c>
    </row>
    <row r="127" spans="17:24" x14ac:dyDescent="0.3">
      <c r="Q127" s="25" t="s">
        <v>137</v>
      </c>
      <c r="R127" s="3">
        <v>10</v>
      </c>
      <c r="S127" s="3">
        <v>2.5</v>
      </c>
      <c r="T127" s="21" t="str">
        <f t="shared" si="17"/>
        <v>КГВВнг(А)-LS (10х2,5)</v>
      </c>
      <c r="U127" s="3">
        <v>14.8</v>
      </c>
      <c r="V127" s="3">
        <f t="shared" si="11"/>
        <v>17.760000000000002</v>
      </c>
      <c r="W127" s="3" t="str">
        <f t="shared" si="12"/>
        <v>Ø25</v>
      </c>
      <c r="X127" s="3" t="str">
        <f t="shared" si="13"/>
        <v>Ø25</v>
      </c>
    </row>
    <row r="128" spans="17:24" x14ac:dyDescent="0.3">
      <c r="Q128" s="25" t="s">
        <v>137</v>
      </c>
      <c r="R128" s="3">
        <v>14</v>
      </c>
      <c r="S128" s="3">
        <v>2.5</v>
      </c>
      <c r="T128" s="21" t="str">
        <f t="shared" si="17"/>
        <v>КГВВнг(А)-LS (14х2,5)</v>
      </c>
      <c r="U128" s="3">
        <v>16</v>
      </c>
      <c r="V128" s="3">
        <f t="shared" si="11"/>
        <v>19.2</v>
      </c>
      <c r="W128" s="3" t="str">
        <f t="shared" si="12"/>
        <v>Ø32</v>
      </c>
      <c r="X128" s="3" t="str">
        <f t="shared" si="13"/>
        <v>Ø32</v>
      </c>
    </row>
    <row r="129" spans="17:24" x14ac:dyDescent="0.3">
      <c r="Q129" s="25" t="s">
        <v>137</v>
      </c>
      <c r="R129" s="3">
        <v>19</v>
      </c>
      <c r="S129" s="3">
        <v>2.5</v>
      </c>
      <c r="T129" s="21" t="str">
        <f t="shared" si="17"/>
        <v>КГВВнг(А)-LS (19х2,5)</v>
      </c>
      <c r="U129" s="3">
        <v>17.7</v>
      </c>
      <c r="V129" s="3">
        <f t="shared" si="11"/>
        <v>21.24</v>
      </c>
      <c r="W129" s="3" t="str">
        <f t="shared" si="12"/>
        <v>Ø32</v>
      </c>
      <c r="X129" s="3" t="str">
        <f t="shared" si="13"/>
        <v>Ø32</v>
      </c>
    </row>
    <row r="130" spans="17:24" x14ac:dyDescent="0.3">
      <c r="Q130" s="25" t="s">
        <v>137</v>
      </c>
      <c r="R130" s="3">
        <v>27</v>
      </c>
      <c r="S130" s="3">
        <v>2.5</v>
      </c>
      <c r="T130" s="21" t="str">
        <f t="shared" si="17"/>
        <v>КГВВнг(А)-LS (27х2,5)</v>
      </c>
      <c r="U130" s="3">
        <v>21.5</v>
      </c>
      <c r="V130" s="3">
        <f t="shared" si="11"/>
        <v>25.8</v>
      </c>
      <c r="W130" s="3" t="str">
        <f t="shared" si="12"/>
        <v>Ø40</v>
      </c>
      <c r="X130" s="3" t="str">
        <f t="shared" si="13"/>
        <v>Ø40</v>
      </c>
    </row>
    <row r="131" spans="17:24" x14ac:dyDescent="0.3">
      <c r="Q131" s="25" t="s">
        <v>137</v>
      </c>
      <c r="R131" s="3">
        <v>37</v>
      </c>
      <c r="S131" s="3">
        <v>2.5</v>
      </c>
      <c r="T131" s="21" t="str">
        <f t="shared" si="17"/>
        <v>КГВВнг(А)-LS (37х2,5)</v>
      </c>
      <c r="U131" s="3">
        <v>24.4</v>
      </c>
      <c r="V131" s="3">
        <f t="shared" si="11"/>
        <v>29.279999999999998</v>
      </c>
      <c r="W131" s="3" t="str">
        <f t="shared" si="12"/>
        <v>Ø40</v>
      </c>
      <c r="X131" s="3" t="str">
        <f t="shared" si="13"/>
        <v>Ø40</v>
      </c>
    </row>
    <row r="132" spans="17:24" x14ac:dyDescent="0.3">
      <c r="Q132" s="25" t="s">
        <v>137</v>
      </c>
      <c r="R132" s="3">
        <v>1</v>
      </c>
      <c r="S132" s="3">
        <v>4</v>
      </c>
      <c r="T132" s="21" t="str">
        <f t="shared" si="17"/>
        <v>КГВВнг(А)-LS (1х4)</v>
      </c>
      <c r="U132" s="3">
        <v>6.8</v>
      </c>
      <c r="V132" s="3">
        <f t="shared" si="11"/>
        <v>14</v>
      </c>
      <c r="W132" s="3" t="str">
        <f t="shared" si="12"/>
        <v>Ø20</v>
      </c>
      <c r="X132" s="3" t="str">
        <f t="shared" si="13"/>
        <v>Ø20</v>
      </c>
    </row>
    <row r="133" spans="17:24" x14ac:dyDescent="0.3">
      <c r="Q133" s="25" t="s">
        <v>137</v>
      </c>
      <c r="R133" s="3">
        <v>2</v>
      </c>
      <c r="S133" s="3">
        <v>4</v>
      </c>
      <c r="T133" s="21" t="str">
        <f t="shared" si="17"/>
        <v>КГВВнг(А)-LS (2х4)</v>
      </c>
      <c r="U133" s="3">
        <v>11.1</v>
      </c>
      <c r="V133" s="3">
        <f t="shared" ref="V133:V158" si="18">IF((U133*1.2)&lt;14,14,U133*1.2)</f>
        <v>14</v>
      </c>
      <c r="W133" s="3" t="str">
        <f t="shared" ref="W133:W196" si="19">"Ø"&amp;VLOOKUP(V133,$Z$4:$AA$10,2,TRUE)</f>
        <v>Ø20</v>
      </c>
      <c r="X133" s="3" t="str">
        <f t="shared" ref="X133:X196" si="20">"Ø"&amp;VLOOKUP(V133,$AD$4:$AE$10,2,TRUE)</f>
        <v>Ø20</v>
      </c>
    </row>
    <row r="134" spans="17:24" x14ac:dyDescent="0.3">
      <c r="Q134" s="25" t="s">
        <v>137</v>
      </c>
      <c r="R134" s="3">
        <v>3</v>
      </c>
      <c r="S134" s="3">
        <v>4</v>
      </c>
      <c r="T134" s="21" t="str">
        <f t="shared" si="17"/>
        <v>КГВВнг(А)-LS (3х4)</v>
      </c>
      <c r="U134" s="3">
        <v>11.8</v>
      </c>
      <c r="V134" s="3">
        <f t="shared" si="18"/>
        <v>14.16</v>
      </c>
      <c r="W134" s="3" t="str">
        <f t="shared" si="19"/>
        <v>Ø20</v>
      </c>
      <c r="X134" s="3" t="str">
        <f t="shared" si="20"/>
        <v>Ø20</v>
      </c>
    </row>
    <row r="135" spans="17:24" x14ac:dyDescent="0.3">
      <c r="Q135" s="25" t="s">
        <v>137</v>
      </c>
      <c r="R135" s="3">
        <v>4</v>
      </c>
      <c r="S135" s="3">
        <v>4</v>
      </c>
      <c r="T135" s="21" t="str">
        <f t="shared" si="17"/>
        <v>КГВВнг(А)-LS (4х4)</v>
      </c>
      <c r="U135" s="3">
        <v>12.8</v>
      </c>
      <c r="V135" s="3">
        <f t="shared" si="18"/>
        <v>15.36</v>
      </c>
      <c r="W135" s="3" t="str">
        <f t="shared" si="19"/>
        <v>Ø25</v>
      </c>
      <c r="X135" s="3" t="str">
        <f t="shared" si="20"/>
        <v>Ø25</v>
      </c>
    </row>
    <row r="136" spans="17:24" x14ac:dyDescent="0.3">
      <c r="Q136" s="25" t="s">
        <v>137</v>
      </c>
      <c r="R136" s="3">
        <v>5</v>
      </c>
      <c r="S136" s="3">
        <v>4</v>
      </c>
      <c r="T136" s="21" t="str">
        <f t="shared" si="17"/>
        <v>КГВВнг(А)-LS (5х4)</v>
      </c>
      <c r="U136" s="3">
        <v>14</v>
      </c>
      <c r="V136" s="3">
        <f t="shared" si="18"/>
        <v>16.8</v>
      </c>
      <c r="W136" s="3" t="str">
        <f t="shared" si="19"/>
        <v>Ø25</v>
      </c>
      <c r="X136" s="3" t="str">
        <f t="shared" si="20"/>
        <v>Ø25</v>
      </c>
    </row>
    <row r="137" spans="17:24" x14ac:dyDescent="0.3">
      <c r="Q137" s="25" t="s">
        <v>137</v>
      </c>
      <c r="R137" s="3">
        <v>7</v>
      </c>
      <c r="S137" s="3">
        <v>4</v>
      </c>
      <c r="T137" s="21" t="str">
        <f t="shared" si="17"/>
        <v>КГВВнг(А)-LS (7х4)</v>
      </c>
      <c r="U137" s="3">
        <v>15.1</v>
      </c>
      <c r="V137" s="3">
        <f t="shared" si="18"/>
        <v>18.119999999999997</v>
      </c>
      <c r="W137" s="3" t="str">
        <f t="shared" si="19"/>
        <v>Ø25</v>
      </c>
      <c r="X137" s="3" t="str">
        <f t="shared" si="20"/>
        <v>Ø25</v>
      </c>
    </row>
    <row r="138" spans="17:24" x14ac:dyDescent="0.3">
      <c r="Q138" s="25" t="s">
        <v>137</v>
      </c>
      <c r="R138" s="3">
        <v>10</v>
      </c>
      <c r="S138" s="3">
        <v>4</v>
      </c>
      <c r="T138" s="21" t="str">
        <f t="shared" si="17"/>
        <v>КГВВнг(А)-LS (10х4)</v>
      </c>
      <c r="U138" s="3">
        <v>17.600000000000001</v>
      </c>
      <c r="V138" s="3">
        <f t="shared" si="18"/>
        <v>21.12</v>
      </c>
      <c r="W138" s="3" t="str">
        <f t="shared" si="19"/>
        <v>Ø32</v>
      </c>
      <c r="X138" s="3" t="str">
        <f t="shared" si="20"/>
        <v>Ø32</v>
      </c>
    </row>
    <row r="139" spans="17:24" x14ac:dyDescent="0.3">
      <c r="Q139" s="25" t="s">
        <v>137</v>
      </c>
      <c r="R139" s="3">
        <v>1</v>
      </c>
      <c r="S139" s="3">
        <v>6</v>
      </c>
      <c r="T139" s="21" t="str">
        <f t="shared" si="17"/>
        <v>КГВВнг(А)-LS (1х6)</v>
      </c>
      <c r="U139" s="3">
        <v>7.3</v>
      </c>
      <c r="V139" s="3">
        <f t="shared" si="18"/>
        <v>14</v>
      </c>
      <c r="W139" s="3" t="str">
        <f t="shared" si="19"/>
        <v>Ø20</v>
      </c>
      <c r="X139" s="3" t="str">
        <f t="shared" si="20"/>
        <v>Ø20</v>
      </c>
    </row>
    <row r="140" spans="17:24" x14ac:dyDescent="0.3">
      <c r="Q140" s="25" t="s">
        <v>137</v>
      </c>
      <c r="R140" s="3">
        <v>2</v>
      </c>
      <c r="S140" s="3">
        <v>6</v>
      </c>
      <c r="T140" s="21" t="str">
        <f t="shared" si="17"/>
        <v>КГВВнг(А)-LS (2х6)</v>
      </c>
      <c r="U140" s="3">
        <v>12.3</v>
      </c>
      <c r="V140" s="3">
        <f t="shared" si="18"/>
        <v>14.76</v>
      </c>
      <c r="W140" s="3" t="str">
        <f t="shared" si="19"/>
        <v>Ø20</v>
      </c>
      <c r="X140" s="3" t="str">
        <f t="shared" si="20"/>
        <v>Ø25</v>
      </c>
    </row>
    <row r="141" spans="17:24" x14ac:dyDescent="0.3">
      <c r="Q141" s="25" t="s">
        <v>137</v>
      </c>
      <c r="R141" s="3">
        <v>3</v>
      </c>
      <c r="S141" s="3">
        <v>6</v>
      </c>
      <c r="T141" s="21" t="str">
        <f t="shared" si="17"/>
        <v>КГВВнг(А)-LS (3х6)</v>
      </c>
      <c r="U141" s="3">
        <v>13</v>
      </c>
      <c r="V141" s="3">
        <f t="shared" si="18"/>
        <v>15.6</v>
      </c>
      <c r="W141" s="3" t="str">
        <f t="shared" si="19"/>
        <v>Ø25</v>
      </c>
      <c r="X141" s="3" t="str">
        <f t="shared" si="20"/>
        <v>Ø25</v>
      </c>
    </row>
    <row r="142" spans="17:24" x14ac:dyDescent="0.3">
      <c r="Q142" s="25" t="s">
        <v>137</v>
      </c>
      <c r="R142" s="3">
        <v>4</v>
      </c>
      <c r="S142" s="3">
        <v>6</v>
      </c>
      <c r="T142" s="21" t="str">
        <f t="shared" si="17"/>
        <v>КГВВнг(А)-LS (4х6)</v>
      </c>
      <c r="U142" s="3">
        <v>14.2</v>
      </c>
      <c r="V142" s="3">
        <f t="shared" si="18"/>
        <v>17.04</v>
      </c>
      <c r="W142" s="3" t="str">
        <f t="shared" si="19"/>
        <v>Ø25</v>
      </c>
      <c r="X142" s="3" t="str">
        <f t="shared" si="20"/>
        <v>Ø25</v>
      </c>
    </row>
    <row r="143" spans="17:24" x14ac:dyDescent="0.3">
      <c r="Q143" s="25" t="s">
        <v>137</v>
      </c>
      <c r="R143" s="3">
        <v>5</v>
      </c>
      <c r="S143" s="3">
        <v>6</v>
      </c>
      <c r="T143" s="21" t="str">
        <f t="shared" si="17"/>
        <v>КГВВнг(А)-LS (5х6)</v>
      </c>
      <c r="U143" s="3">
        <v>15.6</v>
      </c>
      <c r="V143" s="3">
        <f t="shared" si="18"/>
        <v>18.72</v>
      </c>
      <c r="W143" s="3" t="str">
        <f t="shared" si="19"/>
        <v>Ø25</v>
      </c>
      <c r="X143" s="3" t="str">
        <f t="shared" si="20"/>
        <v>Ø32</v>
      </c>
    </row>
    <row r="144" spans="17:24" x14ac:dyDescent="0.3">
      <c r="Q144" s="3" t="s">
        <v>174</v>
      </c>
      <c r="R144" s="3">
        <v>1</v>
      </c>
      <c r="S144" s="3">
        <v>1.5</v>
      </c>
      <c r="T144" s="21" t="str">
        <f t="shared" si="17"/>
        <v>ПуГВ (1х1,5)</v>
      </c>
      <c r="U144" s="3">
        <v>3</v>
      </c>
      <c r="V144" s="3">
        <f t="shared" si="18"/>
        <v>14</v>
      </c>
      <c r="W144" s="3" t="str">
        <f t="shared" si="19"/>
        <v>Ø20</v>
      </c>
      <c r="X144" s="3" t="str">
        <f t="shared" si="20"/>
        <v>Ø20</v>
      </c>
    </row>
    <row r="145" spans="17:24" x14ac:dyDescent="0.3">
      <c r="Q145" s="3" t="s">
        <v>174</v>
      </c>
      <c r="R145" s="3">
        <v>1</v>
      </c>
      <c r="S145" s="3">
        <v>2.5</v>
      </c>
      <c r="T145" s="21" t="str">
        <f t="shared" si="17"/>
        <v>ПуГВ (1х2,5)</v>
      </c>
      <c r="U145" s="3">
        <v>3.6</v>
      </c>
      <c r="V145" s="3">
        <f t="shared" si="18"/>
        <v>14</v>
      </c>
      <c r="W145" s="3" t="str">
        <f t="shared" si="19"/>
        <v>Ø20</v>
      </c>
      <c r="X145" s="3" t="str">
        <f t="shared" si="20"/>
        <v>Ø20</v>
      </c>
    </row>
    <row r="146" spans="17:24" x14ac:dyDescent="0.3">
      <c r="Q146" s="3" t="s">
        <v>174</v>
      </c>
      <c r="R146" s="3">
        <v>1</v>
      </c>
      <c r="S146" s="3">
        <v>4</v>
      </c>
      <c r="T146" s="21" t="str">
        <f t="shared" si="17"/>
        <v>ПуГВ (1х4)</v>
      </c>
      <c r="U146" s="3">
        <v>3.9</v>
      </c>
      <c r="V146" s="3">
        <f t="shared" si="18"/>
        <v>14</v>
      </c>
      <c r="W146" s="3" t="str">
        <f t="shared" si="19"/>
        <v>Ø20</v>
      </c>
      <c r="X146" s="3" t="str">
        <f t="shared" si="20"/>
        <v>Ø20</v>
      </c>
    </row>
    <row r="147" spans="17:24" x14ac:dyDescent="0.3">
      <c r="Q147" s="3" t="s">
        <v>174</v>
      </c>
      <c r="R147" s="3">
        <v>1</v>
      </c>
      <c r="S147" s="3">
        <v>6</v>
      </c>
      <c r="T147" s="21" t="str">
        <f t="shared" si="17"/>
        <v>ПуГВ (1х6)</v>
      </c>
      <c r="U147" s="3">
        <v>4.7</v>
      </c>
      <c r="V147" s="3">
        <f t="shared" si="18"/>
        <v>14</v>
      </c>
      <c r="W147" s="3" t="str">
        <f t="shared" si="19"/>
        <v>Ø20</v>
      </c>
      <c r="X147" s="3" t="str">
        <f t="shared" si="20"/>
        <v>Ø20</v>
      </c>
    </row>
    <row r="148" spans="17:24" x14ac:dyDescent="0.3">
      <c r="Q148" s="3" t="s">
        <v>174</v>
      </c>
      <c r="R148" s="3">
        <v>1</v>
      </c>
      <c r="S148" s="3">
        <v>10</v>
      </c>
      <c r="T148" s="21" t="str">
        <f t="shared" si="17"/>
        <v>ПуГВ (1х10)</v>
      </c>
      <c r="U148" s="3">
        <v>6</v>
      </c>
      <c r="V148" s="3">
        <f t="shared" si="18"/>
        <v>14</v>
      </c>
      <c r="W148" s="3" t="str">
        <f t="shared" si="19"/>
        <v>Ø20</v>
      </c>
      <c r="X148" s="3" t="str">
        <f t="shared" si="20"/>
        <v>Ø20</v>
      </c>
    </row>
    <row r="149" spans="17:24" x14ac:dyDescent="0.3">
      <c r="Q149" s="3" t="s">
        <v>174</v>
      </c>
      <c r="R149" s="3">
        <v>1</v>
      </c>
      <c r="S149" s="3">
        <v>16</v>
      </c>
      <c r="T149" s="21" t="str">
        <f t="shared" si="17"/>
        <v>ПуГВ (1х16)</v>
      </c>
      <c r="U149" s="3">
        <v>7.6</v>
      </c>
      <c r="V149" s="3">
        <f t="shared" si="18"/>
        <v>14</v>
      </c>
      <c r="W149" s="3" t="str">
        <f t="shared" si="19"/>
        <v>Ø20</v>
      </c>
      <c r="X149" s="3" t="str">
        <f t="shared" si="20"/>
        <v>Ø20</v>
      </c>
    </row>
    <row r="150" spans="17:24" x14ac:dyDescent="0.3">
      <c r="Q150" s="3" t="s">
        <v>174</v>
      </c>
      <c r="R150" s="3">
        <v>1</v>
      </c>
      <c r="S150" s="3">
        <v>25</v>
      </c>
      <c r="T150" s="21" t="str">
        <f t="shared" si="17"/>
        <v>ПуГВ (1х25)</v>
      </c>
      <c r="U150" s="3">
        <v>9.6</v>
      </c>
      <c r="V150" s="3">
        <f t="shared" si="18"/>
        <v>14</v>
      </c>
      <c r="W150" s="3" t="str">
        <f t="shared" si="19"/>
        <v>Ø20</v>
      </c>
      <c r="X150" s="3" t="str">
        <f t="shared" si="20"/>
        <v>Ø20</v>
      </c>
    </row>
    <row r="151" spans="17:24" x14ac:dyDescent="0.3">
      <c r="Q151" s="3" t="s">
        <v>174</v>
      </c>
      <c r="R151" s="3">
        <v>1</v>
      </c>
      <c r="S151" s="3">
        <v>35</v>
      </c>
      <c r="T151" s="21" t="str">
        <f t="shared" si="17"/>
        <v>ПуГВ (1х35)</v>
      </c>
      <c r="U151" s="3">
        <v>10.9</v>
      </c>
      <c r="V151" s="3">
        <f t="shared" si="18"/>
        <v>14</v>
      </c>
      <c r="W151" s="3" t="str">
        <f t="shared" si="19"/>
        <v>Ø20</v>
      </c>
      <c r="X151" s="3" t="str">
        <f t="shared" si="20"/>
        <v>Ø20</v>
      </c>
    </row>
    <row r="152" spans="17:24" x14ac:dyDescent="0.3">
      <c r="Q152" s="3" t="s">
        <v>174</v>
      </c>
      <c r="R152" s="3">
        <v>1</v>
      </c>
      <c r="S152" s="3">
        <v>50</v>
      </c>
      <c r="T152" s="21" t="str">
        <f t="shared" si="17"/>
        <v>ПуГВ (1х50)</v>
      </c>
      <c r="U152" s="3">
        <v>12.6</v>
      </c>
      <c r="V152" s="3">
        <f t="shared" si="18"/>
        <v>15.12</v>
      </c>
      <c r="W152" s="3" t="str">
        <f t="shared" si="19"/>
        <v>Ø25</v>
      </c>
      <c r="X152" s="3" t="str">
        <f t="shared" si="20"/>
        <v>Ø25</v>
      </c>
    </row>
    <row r="153" spans="17:24" x14ac:dyDescent="0.3">
      <c r="Q153" s="3" t="s">
        <v>174</v>
      </c>
      <c r="R153" s="3">
        <v>1</v>
      </c>
      <c r="S153" s="3">
        <v>70</v>
      </c>
      <c r="T153" s="21" t="str">
        <f t="shared" si="17"/>
        <v>ПуГВ (1х70)</v>
      </c>
      <c r="U153" s="3">
        <v>14.6</v>
      </c>
      <c r="V153" s="3">
        <f t="shared" si="18"/>
        <v>17.52</v>
      </c>
      <c r="W153" s="3" t="str">
        <f t="shared" si="19"/>
        <v>Ø25</v>
      </c>
      <c r="X153" s="3" t="str">
        <f t="shared" si="20"/>
        <v>Ø25</v>
      </c>
    </row>
    <row r="154" spans="17:24" x14ac:dyDescent="0.3">
      <c r="Q154" s="3" t="s">
        <v>174</v>
      </c>
      <c r="R154" s="3">
        <v>1</v>
      </c>
      <c r="S154" s="3">
        <v>95</v>
      </c>
      <c r="T154" s="21" t="str">
        <f t="shared" si="17"/>
        <v>ПуГВ (1х95)</v>
      </c>
      <c r="U154" s="3">
        <v>17.2</v>
      </c>
      <c r="V154" s="3">
        <f t="shared" si="18"/>
        <v>20.639999999999997</v>
      </c>
      <c r="W154" s="3" t="str">
        <f t="shared" si="19"/>
        <v>Ø32</v>
      </c>
      <c r="X154" s="3" t="str">
        <f t="shared" si="20"/>
        <v>Ø32</v>
      </c>
    </row>
    <row r="155" spans="17:24" x14ac:dyDescent="0.3">
      <c r="Q155" s="3" t="s">
        <v>174</v>
      </c>
      <c r="R155" s="3">
        <v>1</v>
      </c>
      <c r="S155" s="3">
        <v>120</v>
      </c>
      <c r="T155" s="21" t="str">
        <f t="shared" si="17"/>
        <v>ПуГВ (1х120)</v>
      </c>
      <c r="U155" s="3">
        <v>18.8</v>
      </c>
      <c r="V155" s="3">
        <f t="shared" si="18"/>
        <v>22.56</v>
      </c>
      <c r="W155" s="3" t="str">
        <f t="shared" si="19"/>
        <v>Ø32</v>
      </c>
      <c r="X155" s="3" t="str">
        <f t="shared" si="20"/>
        <v>Ø32</v>
      </c>
    </row>
    <row r="156" spans="17:24" x14ac:dyDescent="0.3">
      <c r="Q156" s="3" t="s">
        <v>174</v>
      </c>
      <c r="R156" s="3">
        <v>1</v>
      </c>
      <c r="S156" s="3">
        <v>150</v>
      </c>
      <c r="T156" s="21" t="str">
        <f t="shared" si="17"/>
        <v>ПуГВ (1х150)</v>
      </c>
      <c r="U156" s="3">
        <v>21</v>
      </c>
      <c r="V156" s="3">
        <f t="shared" si="18"/>
        <v>25.2</v>
      </c>
      <c r="W156" s="3" t="str">
        <f t="shared" si="19"/>
        <v>Ø40</v>
      </c>
      <c r="X156" s="3" t="str">
        <f t="shared" si="20"/>
        <v>Ø40</v>
      </c>
    </row>
    <row r="157" spans="17:24" x14ac:dyDescent="0.3">
      <c r="Q157" s="3" t="s">
        <v>174</v>
      </c>
      <c r="R157" s="3">
        <v>1</v>
      </c>
      <c r="S157" s="3">
        <v>185</v>
      </c>
      <c r="T157" s="21" t="str">
        <f t="shared" si="17"/>
        <v>ПуГВ (1х185)</v>
      </c>
      <c r="U157" s="3">
        <v>23.4</v>
      </c>
      <c r="V157" s="3">
        <f t="shared" si="18"/>
        <v>28.08</v>
      </c>
      <c r="W157" s="3" t="str">
        <f t="shared" si="19"/>
        <v>Ø40</v>
      </c>
      <c r="X157" s="3" t="str">
        <f t="shared" si="20"/>
        <v>Ø40</v>
      </c>
    </row>
    <row r="158" spans="17:24" x14ac:dyDescent="0.3">
      <c r="Q158" s="3" t="s">
        <v>174</v>
      </c>
      <c r="R158" s="3">
        <v>1</v>
      </c>
      <c r="S158" s="3">
        <v>240</v>
      </c>
      <c r="T158" s="21" t="str">
        <f t="shared" si="17"/>
        <v>ПуГВ (1х240)</v>
      </c>
      <c r="U158" s="3">
        <v>27.3</v>
      </c>
      <c r="V158" s="3">
        <f t="shared" si="18"/>
        <v>32.76</v>
      </c>
      <c r="W158" s="3" t="str">
        <f t="shared" si="19"/>
        <v>Ø50</v>
      </c>
      <c r="X158" s="3" t="str">
        <f t="shared" si="20"/>
        <v>Ø50</v>
      </c>
    </row>
    <row r="159" spans="17:24" x14ac:dyDescent="0.3">
      <c r="Q159" s="3"/>
      <c r="R159" s="3"/>
      <c r="S159" s="3"/>
      <c r="T159" s="21" t="s">
        <v>227</v>
      </c>
      <c r="U159" s="3">
        <v>4.9000000000000004</v>
      </c>
      <c r="V159" s="3">
        <f t="shared" ref="V159:V196" si="21">U159*1.2</f>
        <v>5.88</v>
      </c>
      <c r="W159" s="3" t="str">
        <f t="shared" si="19"/>
        <v>Ø16</v>
      </c>
      <c r="X159" s="3" t="str">
        <f t="shared" si="20"/>
        <v>Ø16</v>
      </c>
    </row>
    <row r="160" spans="17:24" x14ac:dyDescent="0.3">
      <c r="Q160" s="3"/>
      <c r="R160" s="3"/>
      <c r="S160" s="3"/>
      <c r="T160" s="21" t="s">
        <v>207</v>
      </c>
      <c r="U160" s="3">
        <v>7</v>
      </c>
      <c r="V160" s="3">
        <f t="shared" si="21"/>
        <v>8.4</v>
      </c>
      <c r="W160" s="3" t="str">
        <f t="shared" si="19"/>
        <v>Ø16</v>
      </c>
      <c r="X160" s="3" t="str">
        <f t="shared" si="20"/>
        <v>Ø16</v>
      </c>
    </row>
    <row r="161" spans="17:25" x14ac:dyDescent="0.3">
      <c r="Q161" s="3"/>
      <c r="R161" s="3"/>
      <c r="S161" s="3"/>
      <c r="T161" s="21" t="s">
        <v>197</v>
      </c>
      <c r="U161" s="3"/>
      <c r="V161" s="3">
        <f t="shared" si="21"/>
        <v>0</v>
      </c>
      <c r="W161" s="3" t="str">
        <f t="shared" si="19"/>
        <v>Ø16</v>
      </c>
      <c r="X161" s="3" t="str">
        <f t="shared" si="20"/>
        <v>Ø16</v>
      </c>
    </row>
    <row r="162" spans="17:25" x14ac:dyDescent="0.3">
      <c r="Q162" s="3"/>
      <c r="R162" s="3"/>
      <c r="S162" s="3"/>
      <c r="T162" s="21" t="s">
        <v>198</v>
      </c>
      <c r="U162" s="3"/>
      <c r="V162" s="3">
        <f t="shared" si="21"/>
        <v>0</v>
      </c>
      <c r="W162" s="3" t="str">
        <f t="shared" si="19"/>
        <v>Ø16</v>
      </c>
      <c r="X162" s="3" t="str">
        <f t="shared" si="20"/>
        <v>Ø16</v>
      </c>
    </row>
    <row r="163" spans="17:25" x14ac:dyDescent="0.3">
      <c r="Q163" s="3"/>
      <c r="R163" s="3"/>
      <c r="S163" s="3"/>
      <c r="T163" s="21" t="s">
        <v>209</v>
      </c>
      <c r="U163" s="3"/>
      <c r="V163" s="3">
        <f t="shared" si="21"/>
        <v>0</v>
      </c>
      <c r="W163" s="3" t="str">
        <f t="shared" si="19"/>
        <v>Ø16</v>
      </c>
      <c r="X163" s="3" t="str">
        <f t="shared" si="20"/>
        <v>Ø16</v>
      </c>
    </row>
    <row r="164" spans="17:25" x14ac:dyDescent="0.3">
      <c r="Q164" s="3" t="s">
        <v>193</v>
      </c>
      <c r="R164" s="3"/>
      <c r="S164" s="3"/>
      <c r="T164" s="21"/>
      <c r="U164" s="3"/>
      <c r="V164" s="3">
        <f t="shared" si="21"/>
        <v>0</v>
      </c>
      <c r="W164" s="3" t="str">
        <f t="shared" si="19"/>
        <v>Ø16</v>
      </c>
      <c r="X164" s="3" t="str">
        <f t="shared" si="20"/>
        <v>Ø16</v>
      </c>
    </row>
    <row r="165" spans="17:25" x14ac:dyDescent="0.3">
      <c r="Q165" s="3"/>
      <c r="R165" s="3"/>
      <c r="S165" s="3"/>
      <c r="T165" s="21"/>
      <c r="U165" s="3"/>
      <c r="V165" s="3">
        <f t="shared" si="21"/>
        <v>0</v>
      </c>
      <c r="W165" s="3" t="str">
        <f t="shared" si="19"/>
        <v>Ø16</v>
      </c>
      <c r="X165" s="3" t="str">
        <f t="shared" si="20"/>
        <v>Ø16</v>
      </c>
    </row>
    <row r="166" spans="17:25" x14ac:dyDescent="0.3">
      <c r="Q166" s="3"/>
      <c r="R166" s="3"/>
      <c r="S166" s="3"/>
      <c r="T166" s="21"/>
      <c r="U166" s="3"/>
      <c r="V166" s="3">
        <f t="shared" si="21"/>
        <v>0</v>
      </c>
      <c r="W166" s="3" t="str">
        <f t="shared" si="19"/>
        <v>Ø16</v>
      </c>
      <c r="X166" s="3" t="str">
        <f t="shared" si="20"/>
        <v>Ø16</v>
      </c>
    </row>
    <row r="167" spans="17:25" x14ac:dyDescent="0.3">
      <c r="Q167" s="3" t="s">
        <v>194</v>
      </c>
      <c r="R167" s="3"/>
      <c r="S167" s="3"/>
      <c r="T167" s="21"/>
      <c r="U167" s="3"/>
      <c r="V167" s="3">
        <f t="shared" si="21"/>
        <v>0</v>
      </c>
      <c r="W167" s="3" t="str">
        <f t="shared" si="19"/>
        <v>Ø16</v>
      </c>
      <c r="X167" s="3" t="str">
        <f t="shared" si="20"/>
        <v>Ø16</v>
      </c>
    </row>
    <row r="168" spans="17:25" x14ac:dyDescent="0.3">
      <c r="Q168" s="3" t="s">
        <v>196</v>
      </c>
      <c r="R168" s="3"/>
      <c r="S168" s="3"/>
      <c r="T168" s="21"/>
      <c r="U168" s="3"/>
      <c r="V168" s="3">
        <f t="shared" si="21"/>
        <v>0</v>
      </c>
      <c r="W168" s="3" t="str">
        <f t="shared" si="19"/>
        <v>Ø16</v>
      </c>
      <c r="X168" s="3" t="str">
        <f t="shared" si="20"/>
        <v>Ø16</v>
      </c>
    </row>
    <row r="169" spans="17:25" x14ac:dyDescent="0.3">
      <c r="Q169" s="3" t="s">
        <v>12</v>
      </c>
      <c r="R169" s="3">
        <v>1</v>
      </c>
      <c r="S169" s="3">
        <v>10</v>
      </c>
      <c r="T169" s="21" t="str">
        <f>Q169&amp;" ("&amp;R169&amp;"х"&amp;S169&amp;")"</f>
        <v>ВВГнг(А)-LS (1х10)</v>
      </c>
      <c r="U169" s="3">
        <v>9.1999999999999993</v>
      </c>
      <c r="V169" s="3">
        <f>IF((U169*1.2)&lt;14,14,U169*1.2)</f>
        <v>14</v>
      </c>
      <c r="W169" s="3" t="str">
        <f>"Ø"&amp;VLOOKUP(V169,$Z$4:$AA$10,2,TRUE)</f>
        <v>Ø20</v>
      </c>
      <c r="X169" s="3" t="str">
        <f>"Ø"&amp;VLOOKUP(V169,$AD$4:$AE$10,2,TRUE)</f>
        <v>Ø20</v>
      </c>
      <c r="Y169" s="120" t="s">
        <v>1304</v>
      </c>
    </row>
    <row r="170" spans="17:25" x14ac:dyDescent="0.3">
      <c r="Q170" s="3" t="s">
        <v>12</v>
      </c>
      <c r="R170" s="3">
        <v>1</v>
      </c>
      <c r="S170" s="3">
        <v>16</v>
      </c>
      <c r="T170" s="21" t="str">
        <f>Q170&amp;" ("&amp;R170&amp;"х"&amp;S170&amp;")"</f>
        <v>ВВГнг(А)-LS (1х16)</v>
      </c>
      <c r="U170" s="3">
        <v>10.1</v>
      </c>
      <c r="V170" s="3">
        <f>IF((U170*1.2)&lt;14,14,U170*1.2)</f>
        <v>14</v>
      </c>
      <c r="W170" s="3" t="str">
        <f>"Ø"&amp;VLOOKUP(V170,$Z$4:$AA$10,2,TRUE)</f>
        <v>Ø20</v>
      </c>
      <c r="X170" s="3" t="str">
        <f>"Ø"&amp;VLOOKUP(V170,$AD$4:$AE$10,2,TRUE)</f>
        <v>Ø20</v>
      </c>
    </row>
    <row r="171" spans="17:25" x14ac:dyDescent="0.3">
      <c r="Q171" s="3" t="s">
        <v>12</v>
      </c>
      <c r="R171" s="3">
        <v>1</v>
      </c>
      <c r="S171" s="3">
        <v>25</v>
      </c>
      <c r="T171" s="21" t="str">
        <f>Q171&amp;" ("&amp;R171&amp;"х"&amp;S171&amp;")"</f>
        <v>ВВГнг(А)-LS (1х25)</v>
      </c>
      <c r="U171" s="3">
        <v>11.6</v>
      </c>
      <c r="V171" s="3">
        <f>IF((U171*1.2)&lt;14,14,U171*1.2)</f>
        <v>14</v>
      </c>
      <c r="W171" s="3" t="str">
        <f>"Ø"&amp;VLOOKUP(V171,$Z$4:$AA$10,2,TRUE)</f>
        <v>Ø20</v>
      </c>
      <c r="X171" s="3" t="str">
        <f>"Ø"&amp;VLOOKUP(V171,$AD$4:$AE$10,2,TRUE)</f>
        <v>Ø20</v>
      </c>
    </row>
    <row r="172" spans="17:25" x14ac:dyDescent="0.3">
      <c r="Q172" s="3" t="s">
        <v>12</v>
      </c>
      <c r="R172" s="3">
        <v>1</v>
      </c>
      <c r="S172" s="3">
        <v>35</v>
      </c>
      <c r="T172" s="21" t="str">
        <f>Q172&amp;" ("&amp;R172&amp;"х"&amp;S172&amp;")"</f>
        <v>ВВГнг(А)-LS (1х35)</v>
      </c>
      <c r="U172" s="25">
        <v>12.6</v>
      </c>
      <c r="V172" s="25">
        <f>IF((U172*1.2)&lt;14,14,U172*1.2)</f>
        <v>15.12</v>
      </c>
      <c r="W172" s="25" t="str">
        <f>"Ø"&amp;VLOOKUP(V172,$Z$4:$AA$10,2,TRUE)</f>
        <v>Ø25</v>
      </c>
      <c r="X172" s="25" t="str">
        <f>"Ø"&amp;VLOOKUP(V172,$AD$4:$AE$10,2,TRUE)</f>
        <v>Ø25</v>
      </c>
    </row>
    <row r="173" spans="17:25" x14ac:dyDescent="0.3">
      <c r="Q173" s="3" t="s">
        <v>12</v>
      </c>
      <c r="R173" s="3">
        <v>1</v>
      </c>
      <c r="S173" s="3">
        <v>50</v>
      </c>
      <c r="T173" s="21" t="str">
        <f>Q173&amp;" ("&amp;R173&amp;"х"&amp;S173&amp;")"</f>
        <v>ВВГнг(А)-LS (1х50)</v>
      </c>
      <c r="U173" s="3">
        <v>14.3</v>
      </c>
      <c r="V173" s="3">
        <f>IF((U173*1.2)&lt;14,14,U173*1.2)</f>
        <v>17.16</v>
      </c>
      <c r="W173" s="3" t="str">
        <f>"Ø"&amp;VLOOKUP(V173,$Z$4:$AA$10,2,TRUE)</f>
        <v>Ø25</v>
      </c>
      <c r="X173" s="3" t="str">
        <f>"Ø"&amp;VLOOKUP(V173,$AD$4:$AE$10,2,TRUE)</f>
        <v>Ø25</v>
      </c>
    </row>
    <row r="174" spans="17:25" x14ac:dyDescent="0.3">
      <c r="Q174" s="3" t="s">
        <v>12</v>
      </c>
      <c r="R174" s="3">
        <v>1</v>
      </c>
      <c r="S174" s="3">
        <v>70</v>
      </c>
      <c r="T174" s="21" t="str">
        <f>Q174&amp;" ("&amp;R174&amp;"х"&amp;S174&amp;")"</f>
        <v>ВВГнг(А)-LS (1х70)</v>
      </c>
      <c r="U174" s="3">
        <v>16</v>
      </c>
      <c r="V174" s="3">
        <f>IF((U174*1.2)&lt;14,14,U174*1.2)</f>
        <v>19.2</v>
      </c>
      <c r="W174" s="3" t="str">
        <f>"Ø"&amp;VLOOKUP(V174,$Z$4:$AA$10,2,TRUE)</f>
        <v>Ø32</v>
      </c>
      <c r="X174" s="3" t="str">
        <f>"Ø"&amp;VLOOKUP(V174,$AD$4:$AE$10,2,TRUE)</f>
        <v>Ø32</v>
      </c>
    </row>
    <row r="175" spans="17:25" x14ac:dyDescent="0.3">
      <c r="Q175" s="3" t="s">
        <v>12</v>
      </c>
      <c r="R175" s="3">
        <v>1</v>
      </c>
      <c r="S175" s="3">
        <v>95</v>
      </c>
      <c r="T175" s="21" t="str">
        <f>Q175&amp;" ("&amp;R175&amp;"х"&amp;S175&amp;")"</f>
        <v>ВВГнг(А)-LS (1х95)</v>
      </c>
      <c r="U175" s="3">
        <v>18</v>
      </c>
      <c r="V175" s="3">
        <f>IF((U175*1.2)&lt;14,14,U175*1.2)</f>
        <v>21.599999999999998</v>
      </c>
      <c r="W175" s="3" t="str">
        <f>"Ø"&amp;VLOOKUP(V175,$Z$4:$AA$10,2,TRUE)</f>
        <v>Ø32</v>
      </c>
      <c r="X175" s="3" t="str">
        <f>"Ø"&amp;VLOOKUP(V175,$AD$4:$AE$10,2,TRUE)</f>
        <v>Ø32</v>
      </c>
    </row>
    <row r="176" spans="17:25" x14ac:dyDescent="0.3">
      <c r="Q176" s="3" t="s">
        <v>12</v>
      </c>
      <c r="R176" s="3">
        <v>1</v>
      </c>
      <c r="S176" s="3">
        <v>120</v>
      </c>
      <c r="T176" s="21" t="str">
        <f>Q176&amp;" ("&amp;R176&amp;"х"&amp;S176&amp;")"</f>
        <v>ВВГнг(А)-LS (1х120)</v>
      </c>
      <c r="U176" s="3">
        <v>19.600000000000001</v>
      </c>
      <c r="V176" s="3">
        <f>IF((U176*1.2)&lt;14,14,U176*1.2)</f>
        <v>23.52</v>
      </c>
      <c r="W176" s="3" t="str">
        <f>"Ø"&amp;VLOOKUP(V176,$Z$4:$AA$10,2,TRUE)</f>
        <v>Ø32</v>
      </c>
      <c r="X176" s="3" t="str">
        <f>"Ø"&amp;VLOOKUP(V176,$AD$4:$AE$10,2,TRUE)</f>
        <v>Ø32</v>
      </c>
    </row>
    <row r="177" spans="17:24" x14ac:dyDescent="0.3">
      <c r="Q177" s="3" t="s">
        <v>12</v>
      </c>
      <c r="R177" s="3">
        <v>1</v>
      </c>
      <c r="S177" s="3">
        <v>150</v>
      </c>
      <c r="T177" s="21" t="str">
        <f>Q177&amp;" ("&amp;R177&amp;"х"&amp;S177&amp;")"</f>
        <v>ВВГнг(А)-LS (1х150)</v>
      </c>
      <c r="U177" s="3">
        <v>21.6</v>
      </c>
      <c r="V177" s="3">
        <f>IF((U177*1.2)&lt;14,14,U177*1.2)</f>
        <v>25.92</v>
      </c>
      <c r="W177" s="3" t="str">
        <f>"Ø"&amp;VLOOKUP(V177,$Z$4:$AA$10,2,TRUE)</f>
        <v>Ø40</v>
      </c>
      <c r="X177" s="3" t="str">
        <f>"Ø"&amp;VLOOKUP(V177,$AD$4:$AE$10,2,TRUE)</f>
        <v>Ø40</v>
      </c>
    </row>
    <row r="178" spans="17:24" x14ac:dyDescent="0.3">
      <c r="Q178" s="3" t="s">
        <v>12</v>
      </c>
      <c r="R178" s="3">
        <v>1</v>
      </c>
      <c r="S178" s="3">
        <v>185</v>
      </c>
      <c r="T178" s="21" t="str">
        <f>Q178&amp;" ("&amp;R178&amp;"х"&amp;S178&amp;")"</f>
        <v>ВВГнг(А)-LS (1х185)</v>
      </c>
      <c r="U178" s="3">
        <v>23.8</v>
      </c>
      <c r="V178" s="3">
        <f>IF((U178*1.2)&lt;14,14,U178*1.2)</f>
        <v>28.56</v>
      </c>
      <c r="W178" s="3" t="str">
        <f>"Ø"&amp;VLOOKUP(V178,$Z$4:$AA$10,2,TRUE)</f>
        <v>Ø40</v>
      </c>
      <c r="X178" s="3" t="str">
        <f>"Ø"&amp;VLOOKUP(V178,$AD$4:$AE$10,2,TRUE)</f>
        <v>Ø40</v>
      </c>
    </row>
    <row r="179" spans="17:24" x14ac:dyDescent="0.3">
      <c r="Q179" s="3" t="s">
        <v>12</v>
      </c>
      <c r="R179" s="3">
        <v>1</v>
      </c>
      <c r="S179" s="3">
        <v>240</v>
      </c>
      <c r="T179" s="21" t="str">
        <f>Q179&amp;" ("&amp;R179&amp;"х"&amp;S179&amp;")"</f>
        <v>ВВГнг(А)-LS (1х240)</v>
      </c>
      <c r="U179" s="3">
        <v>26.8</v>
      </c>
      <c r="V179" s="3">
        <f>IF((U179*1.2)&lt;14,14,U179*1.2)</f>
        <v>32.159999999999997</v>
      </c>
      <c r="W179" s="3" t="str">
        <f>"Ø"&amp;VLOOKUP(V179,$Z$4:$AA$10,2,TRUE)</f>
        <v>Ø50</v>
      </c>
      <c r="X179" s="3" t="str">
        <f>"Ø"&amp;VLOOKUP(V179,$AD$4:$AE$10,2,TRUE)</f>
        <v>Ø50</v>
      </c>
    </row>
    <row r="180" spans="17:24" x14ac:dyDescent="0.3">
      <c r="Q180" s="3" t="s">
        <v>12</v>
      </c>
      <c r="R180" s="3">
        <v>2</v>
      </c>
      <c r="S180" s="3">
        <v>10</v>
      </c>
      <c r="T180" s="21" t="str">
        <f>Q180&amp;" ("&amp;R180&amp;"х"&amp;S180&amp;")"</f>
        <v>ВВГнг(А)-LS (2х10)</v>
      </c>
      <c r="U180" s="3">
        <v>14.5</v>
      </c>
      <c r="V180" s="3">
        <f>IF((U180*1.2)&lt;14,14,U180*1.2)</f>
        <v>17.399999999999999</v>
      </c>
      <c r="W180" s="3" t="str">
        <f>"Ø"&amp;VLOOKUP(V180,$Z$4:$AA$10,2,TRUE)</f>
        <v>Ø25</v>
      </c>
      <c r="X180" s="3" t="str">
        <f>"Ø"&amp;VLOOKUP(V180,$AD$4:$AE$10,2,TRUE)</f>
        <v>Ø25</v>
      </c>
    </row>
    <row r="181" spans="17:24" x14ac:dyDescent="0.3">
      <c r="Q181" s="3" t="s">
        <v>12</v>
      </c>
      <c r="R181" s="3">
        <v>2</v>
      </c>
      <c r="S181" s="3">
        <v>16</v>
      </c>
      <c r="T181" s="21" t="str">
        <f>Q181&amp;" ("&amp;R181&amp;"х"&amp;S181&amp;")"</f>
        <v>ВВГнг(А)-LS (2х16)</v>
      </c>
      <c r="U181" s="3">
        <v>16.399999999999999</v>
      </c>
      <c r="V181" s="3">
        <f>IF((U181*1.2)&lt;14,14,U181*1.2)</f>
        <v>19.679999999999996</v>
      </c>
      <c r="W181" s="3" t="str">
        <f>"Ø"&amp;VLOOKUP(V181,$Z$4:$AA$10,2,TRUE)</f>
        <v>Ø32</v>
      </c>
      <c r="X181" s="3" t="str">
        <f>"Ø"&amp;VLOOKUP(V181,$AD$4:$AE$10,2,TRUE)</f>
        <v>Ø32</v>
      </c>
    </row>
    <row r="182" spans="17:24" x14ac:dyDescent="0.3">
      <c r="Q182" s="3" t="s">
        <v>12</v>
      </c>
      <c r="R182" s="3">
        <v>2</v>
      </c>
      <c r="S182" s="3">
        <v>25</v>
      </c>
      <c r="T182" s="21" t="str">
        <f>Q182&amp;" ("&amp;R182&amp;"х"&amp;S182&amp;")"</f>
        <v>ВВГнг(А)-LS (2х25)</v>
      </c>
      <c r="U182" s="3">
        <v>19.7</v>
      </c>
      <c r="V182" s="3">
        <f>IF((U182*1.2)&lt;14,14,U182*1.2)</f>
        <v>23.639999999999997</v>
      </c>
      <c r="W182" s="3" t="str">
        <f>"Ø"&amp;VLOOKUP(V182,$Z$4:$AA$10,2,TRUE)</f>
        <v>Ø32</v>
      </c>
      <c r="X182" s="3" t="str">
        <f>"Ø"&amp;VLOOKUP(V182,$AD$4:$AE$10,2,TRUE)</f>
        <v>Ø32</v>
      </c>
    </row>
    <row r="183" spans="17:24" x14ac:dyDescent="0.3">
      <c r="Q183" s="3" t="s">
        <v>12</v>
      </c>
      <c r="R183" s="3">
        <v>2</v>
      </c>
      <c r="S183" s="3">
        <v>35</v>
      </c>
      <c r="T183" s="21" t="str">
        <f>Q183&amp;" ("&amp;R183&amp;"х"&amp;S183&amp;")"</f>
        <v>ВВГнг(А)-LS (2х35)</v>
      </c>
      <c r="U183" s="3">
        <v>21.7</v>
      </c>
      <c r="V183" s="3">
        <f>IF((U183*1.2)&lt;14,14,U183*1.2)</f>
        <v>26.04</v>
      </c>
      <c r="W183" s="3" t="str">
        <f>"Ø"&amp;VLOOKUP(V183,$Z$4:$AA$10,2,TRUE)</f>
        <v>Ø40</v>
      </c>
      <c r="X183" s="3" t="str">
        <f>"Ø"&amp;VLOOKUP(V183,$AD$4:$AE$10,2,TRUE)</f>
        <v>Ø40</v>
      </c>
    </row>
    <row r="184" spans="17:24" x14ac:dyDescent="0.3">
      <c r="Q184" s="3" t="s">
        <v>12</v>
      </c>
      <c r="R184" s="3">
        <v>2</v>
      </c>
      <c r="S184" s="3">
        <v>50</v>
      </c>
      <c r="T184" s="21" t="str">
        <f>Q184&amp;" ("&amp;R184&amp;"х"&amp;S184&amp;")"</f>
        <v>ВВГнг(А)-LS (2х50)</v>
      </c>
      <c r="U184" s="3">
        <v>25.5</v>
      </c>
      <c r="V184" s="3">
        <f>IF((U184*1.2)&lt;14,14,U184*1.2)</f>
        <v>30.599999999999998</v>
      </c>
      <c r="W184" s="3" t="str">
        <f>"Ø"&amp;VLOOKUP(V184,$Z$4:$AA$10,2,TRUE)</f>
        <v>Ø40</v>
      </c>
      <c r="X184" s="3" t="str">
        <f>"Ø"&amp;VLOOKUP(V184,$AD$4:$AE$10,2,TRUE)</f>
        <v>Ø40</v>
      </c>
    </row>
    <row r="185" spans="17:24" x14ac:dyDescent="0.3">
      <c r="Q185" s="3" t="s">
        <v>12</v>
      </c>
      <c r="R185" s="3">
        <v>3</v>
      </c>
      <c r="S185" s="3">
        <v>10</v>
      </c>
      <c r="T185" s="21" t="str">
        <f>Q185&amp;" ("&amp;R185&amp;"х"&amp;S185&amp;")"</f>
        <v>ВВГнг(А)-LS (3х10)</v>
      </c>
      <c r="U185" s="3">
        <v>15.3</v>
      </c>
      <c r="V185" s="3">
        <f>IF((U185*1.2)&lt;14,14,U185*1.2)</f>
        <v>18.36</v>
      </c>
      <c r="W185" s="3" t="str">
        <f>"Ø"&amp;VLOOKUP(V185,$Z$4:$AA$10,2,TRUE)</f>
        <v>Ø25</v>
      </c>
      <c r="X185" s="3" t="str">
        <f>"Ø"&amp;VLOOKUP(V185,$AD$4:$AE$10,2,TRUE)</f>
        <v>Ø25</v>
      </c>
    </row>
    <row r="186" spans="17:24" x14ac:dyDescent="0.3">
      <c r="Q186" s="3" t="s">
        <v>12</v>
      </c>
      <c r="R186" s="3">
        <v>3</v>
      </c>
      <c r="S186" s="3">
        <v>16</v>
      </c>
      <c r="T186" s="21" t="str">
        <f>Q186&amp;" ("&amp;R186&amp;"х"&amp;S186&amp;")"</f>
        <v>ВВГнг(А)-LS (3х16)</v>
      </c>
      <c r="U186" s="3">
        <v>17.3</v>
      </c>
      <c r="V186" s="3">
        <f>IF((U186*1.2)&lt;14,14,U186*1.2)</f>
        <v>20.76</v>
      </c>
      <c r="W186" s="3" t="str">
        <f>"Ø"&amp;VLOOKUP(V186,$Z$4:$AA$10,2,TRUE)</f>
        <v>Ø32</v>
      </c>
      <c r="X186" s="3" t="str">
        <f>"Ø"&amp;VLOOKUP(V186,$AD$4:$AE$10,2,TRUE)</f>
        <v>Ø32</v>
      </c>
    </row>
    <row r="187" spans="17:24" x14ac:dyDescent="0.3">
      <c r="Q187" s="3" t="s">
        <v>12</v>
      </c>
      <c r="R187" s="3">
        <v>3</v>
      </c>
      <c r="S187" s="3">
        <v>25</v>
      </c>
      <c r="T187" s="21" t="str">
        <f>Q187&amp;" ("&amp;R187&amp;"х"&amp;S187&amp;")"</f>
        <v>ВВГнг(А)-LS (3х25)</v>
      </c>
      <c r="U187" s="3">
        <v>20.9</v>
      </c>
      <c r="V187" s="3">
        <f>IF((U187*1.2)&lt;14,14,U187*1.2)</f>
        <v>25.08</v>
      </c>
      <c r="W187" s="3" t="str">
        <f>"Ø"&amp;VLOOKUP(V187,$Z$4:$AA$10,2,TRUE)</f>
        <v>Ø40</v>
      </c>
      <c r="X187" s="3" t="str">
        <f>"Ø"&amp;VLOOKUP(V187,$AD$4:$AE$10,2,TRUE)</f>
        <v>Ø40</v>
      </c>
    </row>
    <row r="188" spans="17:24" x14ac:dyDescent="0.3">
      <c r="Q188" s="3" t="s">
        <v>12</v>
      </c>
      <c r="R188" s="3">
        <v>3</v>
      </c>
      <c r="S188" s="3">
        <v>35</v>
      </c>
      <c r="T188" s="21" t="str">
        <f>Q188&amp;" ("&amp;R188&amp;"х"&amp;S188&amp;")"</f>
        <v>ВВГнг(А)-LS (3х35)</v>
      </c>
      <c r="U188" s="3">
        <v>23.4</v>
      </c>
      <c r="V188" s="3">
        <f>IF((U188*1.2)&lt;14,14,U188*1.2)</f>
        <v>28.08</v>
      </c>
      <c r="W188" s="3" t="str">
        <f>"Ø"&amp;VLOOKUP(V188,$Z$4:$AA$10,2,TRUE)</f>
        <v>Ø40</v>
      </c>
      <c r="X188" s="3" t="str">
        <f>"Ø"&amp;VLOOKUP(V188,$AD$4:$AE$10,2,TRUE)</f>
        <v>Ø40</v>
      </c>
    </row>
    <row r="189" spans="17:24" x14ac:dyDescent="0.3">
      <c r="Q189" s="3" t="s">
        <v>12</v>
      </c>
      <c r="R189" s="3">
        <v>3</v>
      </c>
      <c r="S189" s="3">
        <v>50</v>
      </c>
      <c r="T189" s="21" t="str">
        <f>Q189&amp;" ("&amp;R189&amp;"х"&amp;S189&amp;")"</f>
        <v>ВВГнг(А)-LS (3х50)</v>
      </c>
      <c r="U189" s="3">
        <v>26.6</v>
      </c>
      <c r="V189" s="3">
        <f>IF((U189*1.2)&lt;14,14,U189*1.2)</f>
        <v>31.92</v>
      </c>
      <c r="W189" s="3" t="str">
        <f>"Ø"&amp;VLOOKUP(V189,$Z$4:$AA$10,2,TRUE)</f>
        <v>Ø50</v>
      </c>
      <c r="X189" s="3" t="str">
        <f>"Ø"&amp;VLOOKUP(V189,$AD$4:$AE$10,2,TRUE)</f>
        <v>Ø50</v>
      </c>
    </row>
    <row r="190" spans="17:24" x14ac:dyDescent="0.3">
      <c r="Q190" s="3" t="s">
        <v>12</v>
      </c>
      <c r="R190" s="3">
        <v>3</v>
      </c>
      <c r="S190" s="3">
        <v>70</v>
      </c>
      <c r="T190" s="21" t="str">
        <f>Q190&amp;" ("&amp;R190&amp;"х"&amp;S190&amp;")"</f>
        <v>ВВГнг(А)-LS (3х70)</v>
      </c>
      <c r="U190" s="3">
        <v>26.7</v>
      </c>
      <c r="V190" s="3">
        <f>IF((U190*1.2)&lt;14,14,U190*1.2)</f>
        <v>32.04</v>
      </c>
      <c r="W190" s="3" t="str">
        <f>"Ø"&amp;VLOOKUP(V190,$Z$4:$AA$10,2,TRUE)</f>
        <v>Ø50</v>
      </c>
      <c r="X190" s="3" t="str">
        <f>"Ø"&amp;VLOOKUP(V190,$AD$4:$AE$10,2,TRUE)</f>
        <v>Ø50</v>
      </c>
    </row>
    <row r="191" spans="17:24" x14ac:dyDescent="0.3">
      <c r="Q191" s="3" t="s">
        <v>12</v>
      </c>
      <c r="R191" s="3">
        <v>3</v>
      </c>
      <c r="S191" s="3">
        <v>95</v>
      </c>
      <c r="T191" s="21" t="str">
        <f>Q191&amp;" ("&amp;R191&amp;"х"&amp;S191&amp;")"</f>
        <v>ВВГнг(А)-LS (3х95)</v>
      </c>
      <c r="U191" s="3">
        <v>30.4</v>
      </c>
      <c r="V191" s="3">
        <f>IF((U191*1.2)&lt;14,14,U191*1.2)</f>
        <v>36.479999999999997</v>
      </c>
      <c r="W191" s="3" t="str">
        <f>"Ø"&amp;VLOOKUP(V191,$Z$4:$AA$10,2,TRUE)</f>
        <v>Ø50</v>
      </c>
      <c r="X191" s="3" t="str">
        <f>"Ø"&amp;VLOOKUP(V191,$AD$4:$AE$10,2,TRUE)</f>
        <v>Ø50</v>
      </c>
    </row>
    <row r="192" spans="17:24" x14ac:dyDescent="0.3">
      <c r="Q192" s="3" t="s">
        <v>12</v>
      </c>
      <c r="R192" s="3">
        <v>3</v>
      </c>
      <c r="S192" s="3">
        <v>120</v>
      </c>
      <c r="T192" s="21" t="str">
        <f>Q192&amp;" ("&amp;R192&amp;"х"&amp;S192&amp;")"</f>
        <v>ВВГнг(А)-LS (3х120)</v>
      </c>
      <c r="U192" s="3">
        <v>33</v>
      </c>
      <c r="V192" s="3">
        <f>IF((U192*1.2)&lt;14,14,U192*1.2)</f>
        <v>39.6</v>
      </c>
      <c r="W192" s="3" t="str">
        <f>"Ø"&amp;VLOOKUP(V192,$Z$4:$AA$10,2,TRUE)</f>
        <v>Ø50</v>
      </c>
      <c r="X192" s="3" t="str">
        <f>"Ø"&amp;VLOOKUP(V192,$AD$4:$AE$10,2,TRUE)</f>
        <v>Øне исп</v>
      </c>
    </row>
    <row r="193" spans="17:24" x14ac:dyDescent="0.3">
      <c r="Q193" s="3" t="s">
        <v>12</v>
      </c>
      <c r="R193" s="3">
        <v>3</v>
      </c>
      <c r="S193" s="3">
        <v>150</v>
      </c>
      <c r="T193" s="21" t="str">
        <f>Q193&amp;" ("&amp;R193&amp;"х"&amp;S193&amp;")"</f>
        <v>ВВГнг(А)-LS (3х150)</v>
      </c>
      <c r="U193" s="3">
        <v>37.200000000000003</v>
      </c>
      <c r="V193" s="3">
        <f>IF((U193*1.2)&lt;14,14,U193*1.2)</f>
        <v>44.64</v>
      </c>
      <c r="W193" s="3" t="str">
        <f>"Ø"&amp;VLOOKUP(V193,$Z$4:$AA$10,2,TRUE)</f>
        <v>Øне исп</v>
      </c>
      <c r="X193" s="3" t="str">
        <f>"Ø"&amp;VLOOKUP(V193,$AD$4:$AE$10,2,TRUE)</f>
        <v>Øне исп</v>
      </c>
    </row>
    <row r="194" spans="17:24" x14ac:dyDescent="0.3">
      <c r="Q194" s="3" t="s">
        <v>12</v>
      </c>
      <c r="R194" s="3">
        <v>3</v>
      </c>
      <c r="S194" s="3">
        <v>185</v>
      </c>
      <c r="T194" s="21" t="str">
        <f>Q194&amp;" ("&amp;R194&amp;"х"&amp;S194&amp;")"</f>
        <v>ВВГнг(А)-LS (3х185)</v>
      </c>
      <c r="U194" s="3">
        <v>40.5</v>
      </c>
      <c r="V194" s="3">
        <f>IF((U194*1.2)&lt;14,14,U194*1.2)</f>
        <v>48.6</v>
      </c>
      <c r="W194" s="3" t="str">
        <f>"Ø"&amp;VLOOKUP(V194,$Z$4:$AA$10,2,TRUE)</f>
        <v>Øне исп</v>
      </c>
      <c r="X194" s="3" t="str">
        <f>"Ø"&amp;VLOOKUP(V194,$AD$4:$AE$10,2,TRUE)</f>
        <v>Øне исп</v>
      </c>
    </row>
    <row r="195" spans="17:24" x14ac:dyDescent="0.3">
      <c r="Q195" s="3" t="s">
        <v>12</v>
      </c>
      <c r="R195" s="3">
        <v>3</v>
      </c>
      <c r="S195" s="3">
        <v>240</v>
      </c>
      <c r="T195" s="21" t="str">
        <f>Q195&amp;" ("&amp;R195&amp;"х"&amp;S195&amp;")"</f>
        <v>ВВГнг(А)-LS (3х240)</v>
      </c>
      <c r="U195" s="3">
        <v>46.3</v>
      </c>
      <c r="V195" s="3">
        <f>IF((U195*1.2)&lt;14,14,U195*1.2)</f>
        <v>55.559999999999995</v>
      </c>
      <c r="W195" s="3" t="str">
        <f>"Ø"&amp;VLOOKUP(V195,$Z$4:$AA$10,2,TRUE)</f>
        <v>Øне исп</v>
      </c>
      <c r="X195" s="3" t="str">
        <f>"Ø"&amp;VLOOKUP(V195,$AD$4:$AE$10,2,TRUE)</f>
        <v>Øне исп</v>
      </c>
    </row>
    <row r="196" spans="17:24" x14ac:dyDescent="0.3">
      <c r="Q196" s="3" t="s">
        <v>12</v>
      </c>
      <c r="R196" s="3">
        <v>4</v>
      </c>
      <c r="S196" s="3">
        <v>10</v>
      </c>
      <c r="T196" s="21" t="str">
        <f>Q196&amp;" ("&amp;R196&amp;"х"&amp;S196&amp;")"</f>
        <v>ВВГнг(А)-LS (4х10)</v>
      </c>
      <c r="U196" s="3">
        <v>16.7</v>
      </c>
      <c r="V196" s="3">
        <f>IF((U196*1.2)&lt;14,14,U196*1.2)</f>
        <v>20.04</v>
      </c>
      <c r="W196" s="3" t="str">
        <f>"Ø"&amp;VLOOKUP(V196,$Z$4:$AA$10,2,TRUE)</f>
        <v>Ø32</v>
      </c>
      <c r="X196" s="3" t="str">
        <f>"Ø"&amp;VLOOKUP(V196,$AD$4:$AE$10,2,TRUE)</f>
        <v>Ø32</v>
      </c>
    </row>
    <row r="197" spans="17:24" x14ac:dyDescent="0.3">
      <c r="Q197" s="3" t="s">
        <v>12</v>
      </c>
      <c r="R197" s="3">
        <v>4</v>
      </c>
      <c r="S197" s="3">
        <v>16</v>
      </c>
      <c r="T197" s="21" t="str">
        <f>Q197&amp;" ("&amp;R197&amp;"х"&amp;S197&amp;")"</f>
        <v>ВВГнг(А)-LS (4х16)</v>
      </c>
      <c r="U197" s="3">
        <v>19.3</v>
      </c>
      <c r="V197" s="3">
        <f>IF((U197*1.2)&lt;14,14,U197*1.2)</f>
        <v>23.16</v>
      </c>
      <c r="W197" s="3" t="str">
        <f>"Ø"&amp;VLOOKUP(V197,$Z$4:$AA$10,2,TRUE)</f>
        <v>Ø32</v>
      </c>
      <c r="X197" s="3" t="str">
        <f>"Ø"&amp;VLOOKUP(V197,$AD$4:$AE$10,2,TRUE)</f>
        <v>Ø32</v>
      </c>
    </row>
    <row r="198" spans="17:24" x14ac:dyDescent="0.3">
      <c r="Q198" s="3" t="s">
        <v>12</v>
      </c>
      <c r="R198" s="3">
        <v>4</v>
      </c>
      <c r="S198" s="3">
        <v>25</v>
      </c>
      <c r="T198" s="21" t="str">
        <f>Q198&amp;" ("&amp;R198&amp;"х"&amp;S198&amp;")"</f>
        <v>ВВГнг(А)-LS (4х25)</v>
      </c>
      <c r="U198" s="3">
        <v>22.9</v>
      </c>
      <c r="V198" s="3">
        <f>IF((U198*1.2)&lt;14,14,U198*1.2)</f>
        <v>27.479999999999997</v>
      </c>
      <c r="W198" s="3" t="str">
        <f>"Ø"&amp;VLOOKUP(V198,$Z$4:$AA$10,2,TRUE)</f>
        <v>Ø40</v>
      </c>
      <c r="X198" s="3" t="str">
        <f>"Ø"&amp;VLOOKUP(V198,$AD$4:$AE$10,2,TRUE)</f>
        <v>Ø40</v>
      </c>
    </row>
    <row r="199" spans="17:24" x14ac:dyDescent="0.3">
      <c r="Q199" s="3" t="s">
        <v>12</v>
      </c>
      <c r="R199" s="3">
        <v>4</v>
      </c>
      <c r="S199" s="3">
        <v>35</v>
      </c>
      <c r="T199" s="21" t="str">
        <f>Q199&amp;" ("&amp;R199&amp;"х"&amp;S199&amp;")"</f>
        <v>ВВГнг(А)-LS (4х35)</v>
      </c>
      <c r="U199" s="3">
        <v>25.7</v>
      </c>
      <c r="V199" s="3">
        <f>IF((U199*1.2)&lt;14,14,U199*1.2)</f>
        <v>30.839999999999996</v>
      </c>
      <c r="W199" s="3" t="str">
        <f>"Ø"&amp;VLOOKUP(V199,$Z$4:$AA$10,2,TRUE)</f>
        <v>Ø40</v>
      </c>
      <c r="X199" s="3" t="str">
        <f>"Ø"&amp;VLOOKUP(V199,$AD$4:$AE$10,2,TRUE)</f>
        <v>Ø50</v>
      </c>
    </row>
    <row r="200" spans="17:24" x14ac:dyDescent="0.3">
      <c r="Q200" s="3" t="s">
        <v>12</v>
      </c>
      <c r="R200" s="3">
        <v>4</v>
      </c>
      <c r="S200" s="3">
        <v>50</v>
      </c>
      <c r="T200" s="21" t="str">
        <f>Q200&amp;" ("&amp;R200&amp;"х"&amp;S200&amp;")"</f>
        <v>ВВГнг(А)-LS (4х50)</v>
      </c>
      <c r="U200" s="3">
        <v>26.1</v>
      </c>
      <c r="V200" s="3">
        <f>IF((U200*1.2)&lt;14,14,U200*1.2)</f>
        <v>31.32</v>
      </c>
      <c r="W200" s="3" t="str">
        <f>"Ø"&amp;VLOOKUP(V200,$Z$4:$AA$10,2,TRUE)</f>
        <v>Ø40</v>
      </c>
      <c r="X200" s="3" t="str">
        <f>"Ø"&amp;VLOOKUP(V200,$AD$4:$AE$10,2,TRUE)</f>
        <v>Ø50</v>
      </c>
    </row>
    <row r="201" spans="17:24" x14ac:dyDescent="0.3">
      <c r="Q201" s="3" t="s">
        <v>12</v>
      </c>
      <c r="R201" s="3">
        <v>4</v>
      </c>
      <c r="S201" s="3">
        <v>70</v>
      </c>
      <c r="T201" s="21" t="str">
        <f>Q201&amp;" ("&amp;R201&amp;"х"&amp;S201&amp;")"</f>
        <v>ВВГнг(А)-LS (4х70)</v>
      </c>
      <c r="U201" s="3">
        <v>29.7</v>
      </c>
      <c r="V201" s="3">
        <f>IF((U201*1.2)&lt;14,14,U201*1.2)</f>
        <v>35.64</v>
      </c>
      <c r="W201" s="3" t="str">
        <f>"Ø"&amp;VLOOKUP(V201,$Z$4:$AA$10,2,TRUE)</f>
        <v>Ø50</v>
      </c>
      <c r="X201" s="3" t="str">
        <f>"Ø"&amp;VLOOKUP(V201,$AD$4:$AE$10,2,TRUE)</f>
        <v>Ø50</v>
      </c>
    </row>
    <row r="202" spans="17:24" x14ac:dyDescent="0.3">
      <c r="Q202" s="3" t="s">
        <v>12</v>
      </c>
      <c r="R202" s="3">
        <v>4</v>
      </c>
      <c r="S202" s="3">
        <v>95</v>
      </c>
      <c r="T202" s="21" t="str">
        <f>Q202&amp;" ("&amp;R202&amp;"х"&amp;S202&amp;")"</f>
        <v>ВВГнг(А)-LS (4х95)</v>
      </c>
      <c r="U202" s="3">
        <v>34.5</v>
      </c>
      <c r="V202" s="3">
        <f>IF((U202*1.2)&lt;14,14,U202*1.2)</f>
        <v>41.4</v>
      </c>
      <c r="W202" s="3" t="str">
        <f>"Ø"&amp;VLOOKUP(V202,$Z$4:$AA$10,2,TRUE)</f>
        <v>Øне исп</v>
      </c>
      <c r="X202" s="3" t="str">
        <f>"Ø"&amp;VLOOKUP(V202,$AD$4:$AE$10,2,TRUE)</f>
        <v>Øне исп</v>
      </c>
    </row>
    <row r="203" spans="17:24" x14ac:dyDescent="0.3">
      <c r="Q203" s="3" t="s">
        <v>12</v>
      </c>
      <c r="R203" s="3">
        <v>4</v>
      </c>
      <c r="S203" s="3">
        <v>120</v>
      </c>
      <c r="T203" s="21" t="str">
        <f>Q203&amp;" ("&amp;R203&amp;"х"&amp;S203&amp;")"</f>
        <v>ВВГнг(А)-LS (4х120)</v>
      </c>
      <c r="U203" s="3">
        <v>37.5</v>
      </c>
      <c r="V203" s="3">
        <f>IF((U203*1.2)&lt;14,14,U203*1.2)</f>
        <v>45</v>
      </c>
      <c r="W203" s="3" t="str">
        <f>"Ø"&amp;VLOOKUP(V203,$Z$4:$AA$10,2,TRUE)</f>
        <v>Øне исп</v>
      </c>
      <c r="X203" s="3" t="str">
        <f>"Ø"&amp;VLOOKUP(V203,$AD$4:$AE$10,2,TRUE)</f>
        <v>Øне исп</v>
      </c>
    </row>
    <row r="204" spans="17:24" x14ac:dyDescent="0.3">
      <c r="Q204" s="3" t="s">
        <v>12</v>
      </c>
      <c r="R204" s="3">
        <v>4</v>
      </c>
      <c r="S204" s="3">
        <v>150</v>
      </c>
      <c r="T204" s="21" t="str">
        <f>Q204&amp;" ("&amp;R204&amp;"х"&amp;S204&amp;")"</f>
        <v>ВВГнг(А)-LS (4х150)</v>
      </c>
      <c r="U204" s="3">
        <v>41.1</v>
      </c>
      <c r="V204" s="3">
        <f>IF((U204*1.2)&lt;14,14,U204*1.2)</f>
        <v>49.32</v>
      </c>
      <c r="W204" s="3" t="str">
        <f>"Ø"&amp;VLOOKUP(V204,$Z$4:$AA$10,2,TRUE)</f>
        <v>Øне исп</v>
      </c>
      <c r="X204" s="3" t="str">
        <f>"Ø"&amp;VLOOKUP(V204,$AD$4:$AE$10,2,TRUE)</f>
        <v>Øне исп</v>
      </c>
    </row>
    <row r="205" spans="17:24" x14ac:dyDescent="0.3">
      <c r="Q205" s="3" t="s">
        <v>12</v>
      </c>
      <c r="R205" s="3">
        <v>4</v>
      </c>
      <c r="S205" s="3">
        <v>185</v>
      </c>
      <c r="T205" s="21" t="str">
        <f>Q205&amp;" ("&amp;R205&amp;"х"&amp;S205&amp;")"</f>
        <v>ВВГнг(А)-LS (4х185)</v>
      </c>
      <c r="U205" s="3">
        <v>44.9</v>
      </c>
      <c r="V205" s="3">
        <f>IF((U205*1.2)&lt;14,14,U205*1.2)</f>
        <v>53.879999999999995</v>
      </c>
      <c r="W205" s="3" t="str">
        <f>"Ø"&amp;VLOOKUP(V205,$Z$4:$AA$10,2,TRUE)</f>
        <v>Øне исп</v>
      </c>
      <c r="X205" s="3" t="str">
        <f>"Ø"&amp;VLOOKUP(V205,$AD$4:$AE$10,2,TRUE)</f>
        <v>Øне исп</v>
      </c>
    </row>
    <row r="206" spans="17:24" x14ac:dyDescent="0.3">
      <c r="Q206" s="3" t="s">
        <v>12</v>
      </c>
      <c r="R206" s="3">
        <v>4</v>
      </c>
      <c r="S206" s="3">
        <v>240</v>
      </c>
      <c r="T206" s="21" t="str">
        <f>Q206&amp;" ("&amp;R206&amp;"х"&amp;S206&amp;")"</f>
        <v>ВВГнг(А)-LS (4х240)</v>
      </c>
      <c r="U206" s="3">
        <v>51.2</v>
      </c>
      <c r="V206" s="3">
        <f>IF((U206*1.2)&lt;14,14,U206*1.2)</f>
        <v>61.44</v>
      </c>
      <c r="W206" s="3" t="str">
        <f>"Ø"&amp;VLOOKUP(V206,$Z$4:$AA$10,2,TRUE)</f>
        <v>Øне исп</v>
      </c>
      <c r="X206" s="3" t="str">
        <f>"Ø"&amp;VLOOKUP(V206,$AD$4:$AE$10,2,TRUE)</f>
        <v>Øне исп</v>
      </c>
    </row>
    <row r="207" spans="17:24" x14ac:dyDescent="0.3">
      <c r="Q207" s="3" t="s">
        <v>12</v>
      </c>
      <c r="R207" s="3">
        <v>5</v>
      </c>
      <c r="S207" s="3">
        <v>10</v>
      </c>
      <c r="T207" s="21" t="str">
        <f>Q207&amp;" ("&amp;R207&amp;"х"&amp;S207&amp;")"</f>
        <v>ВВГнг(А)-LS (5х10)</v>
      </c>
      <c r="U207" s="3">
        <v>18.600000000000001</v>
      </c>
      <c r="V207" s="3">
        <f>IF((U207*1.2)&lt;14,14,U207*1.2)</f>
        <v>22.32</v>
      </c>
      <c r="W207" s="3" t="str">
        <f>"Ø"&amp;VLOOKUP(V207,$Z$4:$AA$10,2,TRUE)</f>
        <v>Ø32</v>
      </c>
      <c r="X207" s="3" t="str">
        <f>"Ø"&amp;VLOOKUP(V207,$AD$4:$AE$10,2,TRUE)</f>
        <v>Ø32</v>
      </c>
    </row>
    <row r="208" spans="17:24" x14ac:dyDescent="0.3">
      <c r="Q208" s="3" t="s">
        <v>12</v>
      </c>
      <c r="R208" s="3">
        <v>5</v>
      </c>
      <c r="S208" s="3">
        <v>16</v>
      </c>
      <c r="T208" s="21" t="str">
        <f>Q208&amp;" ("&amp;R208&amp;"х"&amp;S208&amp;")"</f>
        <v>ВВГнг(А)-LS (5х16)</v>
      </c>
      <c r="U208" s="3">
        <v>21.1</v>
      </c>
      <c r="V208" s="3">
        <f>IF((U208*1.2)&lt;14,14,U208*1.2)</f>
        <v>25.32</v>
      </c>
      <c r="W208" s="3" t="str">
        <f>"Ø"&amp;VLOOKUP(V208,$Z$4:$AA$10,2,TRUE)</f>
        <v>Ø40</v>
      </c>
      <c r="X208" s="3" t="str">
        <f>"Ø"&amp;VLOOKUP(V208,$AD$4:$AE$10,2,TRUE)</f>
        <v>Ø40</v>
      </c>
    </row>
    <row r="209" spans="17:24" x14ac:dyDescent="0.3">
      <c r="Q209" s="3" t="s">
        <v>12</v>
      </c>
      <c r="R209" s="3">
        <v>5</v>
      </c>
      <c r="S209" s="3">
        <v>25</v>
      </c>
      <c r="T209" s="21" t="str">
        <f>Q209&amp;" ("&amp;R209&amp;"х"&amp;S209&amp;")"</f>
        <v>ВВГнг(А)-LS (5х25)</v>
      </c>
      <c r="U209" s="3">
        <v>24.5</v>
      </c>
      <c r="V209" s="3">
        <f>IF((U209*1.2)&lt;14,14,U209*1.2)</f>
        <v>29.4</v>
      </c>
      <c r="W209" s="3" t="str">
        <f>"Ø"&amp;VLOOKUP(V209,$Z$4:$AA$10,2,TRUE)</f>
        <v>Ø40</v>
      </c>
      <c r="X209" s="3" t="str">
        <f>"Ø"&amp;VLOOKUP(V209,$AD$4:$AE$10,2,TRUE)</f>
        <v>Ø40</v>
      </c>
    </row>
    <row r="210" spans="17:24" x14ac:dyDescent="0.3">
      <c r="Q210" s="3" t="s">
        <v>12</v>
      </c>
      <c r="R210" s="3">
        <v>5</v>
      </c>
      <c r="S210" s="3">
        <v>35</v>
      </c>
      <c r="T210" s="21" t="str">
        <f>Q210&amp;" ("&amp;R210&amp;"х"&amp;S210&amp;")"</f>
        <v>ВВГнг(А)-LS (5х35)</v>
      </c>
      <c r="U210" s="3">
        <v>27.2</v>
      </c>
      <c r="V210" s="3">
        <f>IF((U210*1.2)&lt;14,14,U210*1.2)</f>
        <v>32.64</v>
      </c>
      <c r="W210" s="3" t="str">
        <f>"Ø"&amp;VLOOKUP(V210,$Z$4:$AA$10,2,TRUE)</f>
        <v>Ø50</v>
      </c>
      <c r="X210" s="3" t="str">
        <f>"Ø"&amp;VLOOKUP(V210,$AD$4:$AE$10,2,TRUE)</f>
        <v>Ø50</v>
      </c>
    </row>
    <row r="211" spans="17:24" x14ac:dyDescent="0.3">
      <c r="Q211" s="3" t="s">
        <v>12</v>
      </c>
      <c r="R211" s="3">
        <v>5</v>
      </c>
      <c r="S211" s="3">
        <v>50</v>
      </c>
      <c r="T211" s="21" t="str">
        <f>Q211&amp;" ("&amp;R211&amp;"х"&amp;S211&amp;")"</f>
        <v>ВВГнг(А)-LS (5х50)</v>
      </c>
      <c r="U211" s="3">
        <v>32.299999999999997</v>
      </c>
      <c r="V211" s="3">
        <f>IF((U211*1.2)&lt;14,14,U211*1.2)</f>
        <v>38.76</v>
      </c>
      <c r="W211" s="3" t="str">
        <f>"Ø"&amp;VLOOKUP(V211,$Z$4:$AA$10,2,TRUE)</f>
        <v>Ø50</v>
      </c>
      <c r="X211" s="3" t="str">
        <f>"Ø"&amp;VLOOKUP(V211,$AD$4:$AE$10,2,TRUE)</f>
        <v>Ø50</v>
      </c>
    </row>
    <row r="212" spans="17:24" x14ac:dyDescent="0.3">
      <c r="Q212" s="3" t="s">
        <v>12</v>
      </c>
      <c r="R212" s="3">
        <v>5</v>
      </c>
      <c r="S212" s="3">
        <v>70</v>
      </c>
      <c r="T212" s="21" t="str">
        <f>Q212&amp;" ("&amp;R212&amp;"х"&amp;S212&amp;")"</f>
        <v>ВВГнг(А)-LS (5х70)</v>
      </c>
      <c r="U212" s="3">
        <v>36.6</v>
      </c>
      <c r="V212" s="3">
        <f>IF((U212*1.2)&lt;14,14,U212*1.2)</f>
        <v>43.92</v>
      </c>
      <c r="W212" s="3" t="str">
        <f>"Ø"&amp;VLOOKUP(V212,$Z$4:$AA$10,2,TRUE)</f>
        <v>Øне исп</v>
      </c>
      <c r="X212" s="3" t="str">
        <f>"Ø"&amp;VLOOKUP(V212,$AD$4:$AE$10,2,TRUE)</f>
        <v>Øне исп</v>
      </c>
    </row>
    <row r="213" spans="17:24" x14ac:dyDescent="0.3">
      <c r="Q213" s="3" t="s">
        <v>12</v>
      </c>
      <c r="R213" s="3">
        <v>5</v>
      </c>
      <c r="S213" s="3">
        <v>95</v>
      </c>
      <c r="T213" s="21" t="str">
        <f>Q213&amp;" ("&amp;R213&amp;"х"&amp;S213&amp;")"</f>
        <v>ВВГнг(А)-LS (5х95)</v>
      </c>
      <c r="U213" s="3">
        <v>41.9</v>
      </c>
      <c r="V213" s="3">
        <f>IF((U213*1.2)&lt;14,14,U213*1.2)</f>
        <v>50.279999999999994</v>
      </c>
      <c r="W213" s="3" t="str">
        <f>"Ø"&amp;VLOOKUP(V213,$Z$4:$AA$10,2,TRUE)</f>
        <v>Øне исп</v>
      </c>
      <c r="X213" s="3" t="str">
        <f>"Ø"&amp;VLOOKUP(V213,$AD$4:$AE$10,2,TRUE)</f>
        <v>Øне исп</v>
      </c>
    </row>
    <row r="214" spans="17:24" x14ac:dyDescent="0.3">
      <c r="Q214" s="3" t="s">
        <v>12</v>
      </c>
      <c r="R214" s="3">
        <v>5</v>
      </c>
      <c r="S214" s="3">
        <v>120</v>
      </c>
      <c r="T214" s="21" t="str">
        <f>Q214&amp;" ("&amp;R214&amp;"х"&amp;S214&amp;")"</f>
        <v>ВВГнг(А)-LS (5х120)</v>
      </c>
      <c r="U214" s="3">
        <v>46</v>
      </c>
      <c r="V214" s="3">
        <f>IF((U214*1.2)&lt;14,14,U214*1.2)</f>
        <v>55.199999999999996</v>
      </c>
      <c r="W214" s="3" t="str">
        <f>"Ø"&amp;VLOOKUP(V214,$Z$4:$AA$10,2,TRUE)</f>
        <v>Øне исп</v>
      </c>
      <c r="X214" s="3" t="str">
        <f>"Ø"&amp;VLOOKUP(V214,$AD$4:$AE$10,2,TRUE)</f>
        <v>Øне исп</v>
      </c>
    </row>
    <row r="215" spans="17:24" x14ac:dyDescent="0.3">
      <c r="Q215" s="3" t="s">
        <v>12</v>
      </c>
      <c r="R215" s="3">
        <v>5</v>
      </c>
      <c r="S215" s="3">
        <v>150</v>
      </c>
      <c r="T215" s="21" t="str">
        <f>Q215&amp;" ("&amp;R215&amp;"х"&amp;S215&amp;")"</f>
        <v>ВВГнг(А)-LS (5х150)</v>
      </c>
      <c r="U215" s="3">
        <v>51.4</v>
      </c>
      <c r="V215" s="3">
        <f>IF((U215*1.2)&lt;14,14,U215*1.2)</f>
        <v>61.679999999999993</v>
      </c>
      <c r="W215" s="3" t="str">
        <f>"Ø"&amp;VLOOKUP(V215,$Z$4:$AA$10,2,TRUE)</f>
        <v>Øне исп</v>
      </c>
      <c r="X215" s="3" t="str">
        <f>"Ø"&amp;VLOOKUP(V215,$AD$4:$AE$10,2,TRUE)</f>
        <v>Øне исп</v>
      </c>
    </row>
    <row r="216" spans="17:24" x14ac:dyDescent="0.3">
      <c r="Q216" s="3" t="s">
        <v>12</v>
      </c>
      <c r="R216" s="3">
        <v>5</v>
      </c>
      <c r="S216" s="3">
        <v>185</v>
      </c>
      <c r="T216" s="21" t="str">
        <f>Q216&amp;" ("&amp;R216&amp;"х"&amp;S216&amp;")"</f>
        <v>ВВГнг(А)-LS (5х185)</v>
      </c>
      <c r="U216" s="3">
        <v>56.8</v>
      </c>
      <c r="V216" s="3">
        <f>IF((U216*1.2)&lt;14,14,U216*1.2)</f>
        <v>68.16</v>
      </c>
      <c r="W216" s="3" t="str">
        <f>"Ø"&amp;VLOOKUP(V216,$Z$4:$AA$10,2,TRUE)</f>
        <v>Øне исп</v>
      </c>
      <c r="X216" s="3" t="str">
        <f>"Ø"&amp;VLOOKUP(V216,$AD$4:$AE$10,2,TRUE)</f>
        <v>Øне исп</v>
      </c>
    </row>
    <row r="217" spans="17:24" x14ac:dyDescent="0.3">
      <c r="Q217" s="3" t="s">
        <v>147</v>
      </c>
      <c r="R217" s="3">
        <v>1</v>
      </c>
      <c r="S217" s="3">
        <v>10</v>
      </c>
      <c r="T217" s="21" t="str">
        <f>Q217&amp;" ("&amp;R217&amp;"х"&amp;S217&amp;")"</f>
        <v>ВВГнг(А)-FRLS (1х10)</v>
      </c>
      <c r="U217" s="3">
        <v>11.2</v>
      </c>
      <c r="V217" s="3">
        <f>IF((U217*1.2)&lt;14,14,U217*1.2)</f>
        <v>14</v>
      </c>
      <c r="W217" s="3" t="str">
        <f>"Ø"&amp;VLOOKUP(V217,$Z$4:$AA$10,2,TRUE)</f>
        <v>Ø20</v>
      </c>
      <c r="X217" s="3" t="str">
        <f>"Ø"&amp;VLOOKUP(V217,$AD$4:$AE$10,2,TRUE)</f>
        <v>Ø20</v>
      </c>
    </row>
    <row r="218" spans="17:24" x14ac:dyDescent="0.3">
      <c r="Q218" s="3" t="s">
        <v>147</v>
      </c>
      <c r="R218" s="3">
        <v>1</v>
      </c>
      <c r="S218" s="3">
        <v>16</v>
      </c>
      <c r="T218" s="21" t="str">
        <f>Q218&amp;" ("&amp;R218&amp;"х"&amp;S218&amp;")"</f>
        <v>ВВГнг(А)-FRLS (1х16)</v>
      </c>
      <c r="U218" s="3">
        <v>12.1</v>
      </c>
      <c r="V218" s="3">
        <f>IF((U218*1.2)&lt;14,14,U218*1.2)</f>
        <v>14.52</v>
      </c>
      <c r="W218" s="3" t="str">
        <f>"Ø"&amp;VLOOKUP(V218,$Z$4:$AA$10,2,TRUE)</f>
        <v>Ø20</v>
      </c>
      <c r="X218" s="3" t="str">
        <f>"Ø"&amp;VLOOKUP(V218,$AD$4:$AE$10,2,TRUE)</f>
        <v>Ø25</v>
      </c>
    </row>
    <row r="219" spans="17:24" x14ac:dyDescent="0.3">
      <c r="Q219" s="3" t="s">
        <v>147</v>
      </c>
      <c r="R219" s="3">
        <v>1</v>
      </c>
      <c r="S219" s="3">
        <v>25</v>
      </c>
      <c r="T219" s="21" t="str">
        <f>Q219&amp;" ("&amp;R219&amp;"х"&amp;S219&amp;")"</f>
        <v>ВВГнг(А)-FRLS (1х25)</v>
      </c>
      <c r="U219" s="3">
        <v>13.6</v>
      </c>
      <c r="V219" s="3">
        <f>IF((U219*1.2)&lt;14,14,U219*1.2)</f>
        <v>16.32</v>
      </c>
      <c r="W219" s="3" t="str">
        <f>"Ø"&amp;VLOOKUP(V219,$Z$4:$AA$10,2,TRUE)</f>
        <v>Ø25</v>
      </c>
      <c r="X219" s="3" t="str">
        <f>"Ø"&amp;VLOOKUP(V219,$AD$4:$AE$10,2,TRUE)</f>
        <v>Ø25</v>
      </c>
    </row>
    <row r="220" spans="17:24" x14ac:dyDescent="0.3">
      <c r="Q220" s="3" t="s">
        <v>147</v>
      </c>
      <c r="R220" s="3">
        <v>1</v>
      </c>
      <c r="S220" s="3">
        <v>35</v>
      </c>
      <c r="T220" s="21" t="str">
        <f>Q220&amp;" ("&amp;R220&amp;"х"&amp;S220&amp;")"</f>
        <v>ВВГнг(А)-FRLS (1х35)</v>
      </c>
      <c r="U220" s="3">
        <v>14.6</v>
      </c>
      <c r="V220" s="3">
        <f>IF((U220*1.2)&lt;14,14,U220*1.2)</f>
        <v>17.52</v>
      </c>
      <c r="W220" s="3" t="str">
        <f>"Ø"&amp;VLOOKUP(V220,$Z$4:$AA$10,2,TRUE)</f>
        <v>Ø25</v>
      </c>
      <c r="X220" s="3" t="str">
        <f>"Ø"&amp;VLOOKUP(V220,$AD$4:$AE$10,2,TRUE)</f>
        <v>Ø25</v>
      </c>
    </row>
    <row r="221" spans="17:24" x14ac:dyDescent="0.3">
      <c r="Q221" s="3" t="s">
        <v>147</v>
      </c>
      <c r="R221" s="3">
        <v>1</v>
      </c>
      <c r="S221" s="3">
        <v>50</v>
      </c>
      <c r="T221" s="21" t="str">
        <f>Q221&amp;" ("&amp;R221&amp;"х"&amp;S221&amp;")"</f>
        <v>ВВГнг(А)-FRLS (1х50)</v>
      </c>
      <c r="U221" s="3">
        <v>16.3</v>
      </c>
      <c r="V221" s="3">
        <f>IF((U221*1.2)&lt;14,14,U221*1.2)</f>
        <v>19.559999999999999</v>
      </c>
      <c r="W221" s="3" t="str">
        <f>"Ø"&amp;VLOOKUP(V221,$Z$4:$AA$10,2,TRUE)</f>
        <v>Ø32</v>
      </c>
      <c r="X221" s="3" t="str">
        <f>"Ø"&amp;VLOOKUP(V221,$AD$4:$AE$10,2,TRUE)</f>
        <v>Ø32</v>
      </c>
    </row>
    <row r="222" spans="17:24" x14ac:dyDescent="0.3">
      <c r="Q222" s="3" t="s">
        <v>147</v>
      </c>
      <c r="R222" s="3">
        <v>1</v>
      </c>
      <c r="S222" s="3">
        <v>70</v>
      </c>
      <c r="T222" s="21" t="str">
        <f>Q222&amp;" ("&amp;R222&amp;"х"&amp;S222&amp;")"</f>
        <v>ВВГнг(А)-FRLS (1х70)</v>
      </c>
      <c r="U222" s="3">
        <v>18</v>
      </c>
      <c r="V222" s="3">
        <f>IF((U222*1.2)&lt;14,14,U222*1.2)</f>
        <v>21.599999999999998</v>
      </c>
      <c r="W222" s="3" t="str">
        <f>"Ø"&amp;VLOOKUP(V222,$Z$4:$AA$10,2,TRUE)</f>
        <v>Ø32</v>
      </c>
      <c r="X222" s="3" t="str">
        <f>"Ø"&amp;VLOOKUP(V222,$AD$4:$AE$10,2,TRUE)</f>
        <v>Ø32</v>
      </c>
    </row>
    <row r="223" spans="17:24" x14ac:dyDescent="0.3">
      <c r="Q223" s="3" t="s">
        <v>147</v>
      </c>
      <c r="R223" s="3">
        <v>1</v>
      </c>
      <c r="S223" s="3">
        <v>95</v>
      </c>
      <c r="T223" s="21" t="str">
        <f>Q223&amp;" ("&amp;R223&amp;"х"&amp;S223&amp;")"</f>
        <v>ВВГнг(А)-FRLS (1х95)</v>
      </c>
      <c r="U223" s="3">
        <v>20</v>
      </c>
      <c r="V223" s="3">
        <f>IF((U223*1.2)&lt;14,14,U223*1.2)</f>
        <v>24</v>
      </c>
      <c r="W223" s="3" t="str">
        <f>"Ø"&amp;VLOOKUP(V223,$Z$4:$AA$10,2,TRUE)</f>
        <v>Ø32</v>
      </c>
      <c r="X223" s="3" t="str">
        <f>"Ø"&amp;VLOOKUP(V223,$AD$4:$AE$10,2,TRUE)</f>
        <v>Ø32</v>
      </c>
    </row>
    <row r="224" spans="17:24" x14ac:dyDescent="0.3">
      <c r="Q224" s="3" t="s">
        <v>147</v>
      </c>
      <c r="R224" s="3">
        <v>1</v>
      </c>
      <c r="S224" s="3">
        <v>120</v>
      </c>
      <c r="T224" s="21" t="str">
        <f>Q224&amp;" ("&amp;R224&amp;"х"&amp;S224&amp;")"</f>
        <v>ВВГнг(А)-FRLS (1х120)</v>
      </c>
      <c r="U224" s="3">
        <v>21.6</v>
      </c>
      <c r="V224" s="3">
        <f>IF((U224*1.2)&lt;14,14,U224*1.2)</f>
        <v>25.92</v>
      </c>
      <c r="W224" s="3" t="str">
        <f>"Ø"&amp;VLOOKUP(V224,$Z$4:$AA$10,2,TRUE)</f>
        <v>Ø40</v>
      </c>
      <c r="X224" s="3" t="str">
        <f>"Ø"&amp;VLOOKUP(V224,$AD$4:$AE$10,2,TRUE)</f>
        <v>Ø40</v>
      </c>
    </row>
    <row r="225" spans="17:24" x14ac:dyDescent="0.3">
      <c r="Q225" s="3" t="s">
        <v>147</v>
      </c>
      <c r="R225" s="3">
        <v>1</v>
      </c>
      <c r="S225" s="3">
        <v>150</v>
      </c>
      <c r="T225" s="21" t="str">
        <f>Q225&amp;" ("&amp;R225&amp;"х"&amp;S225&amp;")"</f>
        <v>ВВГнг(А)-FRLS (1х150)</v>
      </c>
      <c r="U225" s="3">
        <v>23.6</v>
      </c>
      <c r="V225" s="3">
        <f>IF((U225*1.2)&lt;14,14,U225*1.2)</f>
        <v>28.32</v>
      </c>
      <c r="W225" s="3" t="str">
        <f>"Ø"&amp;VLOOKUP(V225,$Z$4:$AA$10,2,TRUE)</f>
        <v>Ø40</v>
      </c>
      <c r="X225" s="3" t="str">
        <f>"Ø"&amp;VLOOKUP(V225,$AD$4:$AE$10,2,TRUE)</f>
        <v>Ø40</v>
      </c>
    </row>
    <row r="226" spans="17:24" x14ac:dyDescent="0.3">
      <c r="Q226" s="3" t="s">
        <v>147</v>
      </c>
      <c r="R226" s="3">
        <v>1</v>
      </c>
      <c r="S226" s="3">
        <v>185</v>
      </c>
      <c r="T226" s="21" t="str">
        <f>Q226&amp;" ("&amp;R226&amp;"х"&amp;S226&amp;")"</f>
        <v>ВВГнг(А)-FRLS (1х185)</v>
      </c>
      <c r="U226" s="3">
        <v>25.8</v>
      </c>
      <c r="V226" s="3">
        <f>IF((U226*1.2)&lt;14,14,U226*1.2)</f>
        <v>30.96</v>
      </c>
      <c r="W226" s="3" t="str">
        <f>"Ø"&amp;VLOOKUP(V226,$Z$4:$AA$10,2,TRUE)</f>
        <v>Ø40</v>
      </c>
      <c r="X226" s="3" t="str">
        <f>"Ø"&amp;VLOOKUP(V226,$AD$4:$AE$10,2,TRUE)</f>
        <v>Ø50</v>
      </c>
    </row>
    <row r="227" spans="17:24" x14ac:dyDescent="0.3">
      <c r="Q227" s="3" t="s">
        <v>147</v>
      </c>
      <c r="R227" s="3">
        <v>1</v>
      </c>
      <c r="S227" s="3">
        <v>240</v>
      </c>
      <c r="T227" s="21" t="str">
        <f>Q227&amp;" ("&amp;R227&amp;"х"&amp;S227&amp;")"</f>
        <v>ВВГнг(А)-FRLS (1х240)</v>
      </c>
      <c r="U227" s="3">
        <v>28.8</v>
      </c>
      <c r="V227" s="3">
        <f>IF((U227*1.2)&lt;14,14,U227*1.2)</f>
        <v>34.56</v>
      </c>
      <c r="W227" s="3" t="str">
        <f>"Ø"&amp;VLOOKUP(V227,$Z$4:$AA$10,2,TRUE)</f>
        <v>Ø50</v>
      </c>
      <c r="X227" s="3" t="str">
        <f>"Ø"&amp;VLOOKUP(V227,$AD$4:$AE$10,2,TRUE)</f>
        <v>Ø50</v>
      </c>
    </row>
    <row r="228" spans="17:24" x14ac:dyDescent="0.3">
      <c r="Q228" s="3" t="s">
        <v>147</v>
      </c>
      <c r="R228" s="3">
        <v>3</v>
      </c>
      <c r="S228" s="3">
        <v>10</v>
      </c>
      <c r="T228" s="21" t="str">
        <f>Q228&amp;" ("&amp;R228&amp;"х"&amp;S228&amp;")"</f>
        <v>ВВГнг(А)-FRLS (3х10)</v>
      </c>
      <c r="U228" s="3">
        <v>21.3</v>
      </c>
      <c r="V228" s="3">
        <f>IF((U228*1.2)&lt;14,14,U228*1.2)</f>
        <v>25.56</v>
      </c>
      <c r="W228" s="3" t="str">
        <f>"Ø"&amp;VLOOKUP(V228,$Z$4:$AA$10,2,TRUE)</f>
        <v>Ø40</v>
      </c>
      <c r="X228" s="3" t="str">
        <f>"Ø"&amp;VLOOKUP(V228,$AD$4:$AE$10,2,TRUE)</f>
        <v>Ø40</v>
      </c>
    </row>
    <row r="229" spans="17:24" x14ac:dyDescent="0.3">
      <c r="Q229" s="3" t="s">
        <v>147</v>
      </c>
      <c r="R229" s="3">
        <v>3</v>
      </c>
      <c r="S229" s="3">
        <v>16</v>
      </c>
      <c r="T229" s="21" t="str">
        <f>Q229&amp;" ("&amp;R229&amp;"х"&amp;S229&amp;")"</f>
        <v>ВВГнг(А)-FRLS (3х16)</v>
      </c>
      <c r="U229" s="3">
        <v>23.3</v>
      </c>
      <c r="V229" s="3">
        <f>IF((U229*1.2)&lt;14,14,U229*1.2)</f>
        <v>27.96</v>
      </c>
      <c r="W229" s="3" t="str">
        <f>"Ø"&amp;VLOOKUP(V229,$Z$4:$AA$10,2,TRUE)</f>
        <v>Ø40</v>
      </c>
      <c r="X229" s="3" t="str">
        <f>"Ø"&amp;VLOOKUP(V229,$AD$4:$AE$10,2,TRUE)</f>
        <v>Ø40</v>
      </c>
    </row>
    <row r="230" spans="17:24" x14ac:dyDescent="0.3">
      <c r="Q230" s="3" t="s">
        <v>147</v>
      </c>
      <c r="R230" s="3">
        <v>3</v>
      </c>
      <c r="S230" s="3">
        <v>25</v>
      </c>
      <c r="T230" s="21" t="str">
        <f>Q230&amp;" ("&amp;R230&amp;"х"&amp;S230&amp;")"</f>
        <v>ВВГнг(А)-FRLS (3х25)</v>
      </c>
      <c r="U230" s="3">
        <v>26.9</v>
      </c>
      <c r="V230" s="3">
        <f>IF((U230*1.2)&lt;14,14,U230*1.2)</f>
        <v>32.279999999999994</v>
      </c>
      <c r="W230" s="3" t="str">
        <f>"Ø"&amp;VLOOKUP(V230,$Z$4:$AA$10,2,TRUE)</f>
        <v>Ø50</v>
      </c>
      <c r="X230" s="3" t="str">
        <f>"Ø"&amp;VLOOKUP(V230,$AD$4:$AE$10,2,TRUE)</f>
        <v>Ø50</v>
      </c>
    </row>
    <row r="231" spans="17:24" x14ac:dyDescent="0.3">
      <c r="Q231" s="3" t="s">
        <v>147</v>
      </c>
      <c r="R231" s="3">
        <v>3</v>
      </c>
      <c r="S231" s="3">
        <v>35</v>
      </c>
      <c r="T231" s="21" t="str">
        <f>Q231&amp;" ("&amp;R231&amp;"х"&amp;S231&amp;")"</f>
        <v>ВВГнг(А)-FRLS (3х35)</v>
      </c>
      <c r="U231" s="3">
        <v>29.4</v>
      </c>
      <c r="V231" s="3">
        <f>IF((U231*1.2)&lt;14,14,U231*1.2)</f>
        <v>35.279999999999994</v>
      </c>
      <c r="W231" s="3" t="str">
        <f>"Ø"&amp;VLOOKUP(V231,$Z$4:$AA$10,2,TRUE)</f>
        <v>Ø50</v>
      </c>
      <c r="X231" s="3" t="str">
        <f>"Ø"&amp;VLOOKUP(V231,$AD$4:$AE$10,2,TRUE)</f>
        <v>Ø50</v>
      </c>
    </row>
    <row r="232" spans="17:24" x14ac:dyDescent="0.3">
      <c r="Q232" s="3" t="s">
        <v>147</v>
      </c>
      <c r="R232" s="3">
        <v>3</v>
      </c>
      <c r="S232" s="3">
        <v>50</v>
      </c>
      <c r="T232" s="21" t="str">
        <f>Q232&amp;" ("&amp;R232&amp;"х"&amp;S232&amp;")"</f>
        <v>ВВГнг(А)-FRLS (3х50)</v>
      </c>
      <c r="U232" s="3">
        <v>32.6</v>
      </c>
      <c r="V232" s="3">
        <f>IF((U232*1.2)&lt;14,14,U232*1.2)</f>
        <v>39.119999999999997</v>
      </c>
      <c r="W232" s="3" t="str">
        <f>"Ø"&amp;VLOOKUP(V232,$Z$4:$AA$10,2,TRUE)</f>
        <v>Ø50</v>
      </c>
      <c r="X232" s="3" t="str">
        <f>"Ø"&amp;VLOOKUP(V232,$AD$4:$AE$10,2,TRUE)</f>
        <v>Øне исп</v>
      </c>
    </row>
    <row r="233" spans="17:24" x14ac:dyDescent="0.3">
      <c r="Q233" s="3" t="s">
        <v>147</v>
      </c>
      <c r="R233" s="3">
        <v>5</v>
      </c>
      <c r="S233" s="3">
        <v>10</v>
      </c>
      <c r="T233" s="21" t="str">
        <f>Q233&amp;" ("&amp;R233&amp;"х"&amp;S233&amp;")"</f>
        <v>ВВГнг(А)-FRLS (5х10)</v>
      </c>
      <c r="U233" s="3">
        <v>24.6</v>
      </c>
      <c r="V233" s="3">
        <f>IF((U233*1.2)&lt;14,14,U233*1.2)</f>
        <v>29.52</v>
      </c>
      <c r="W233" s="3" t="str">
        <f>"Ø"&amp;VLOOKUP(V233,$Z$4:$AA$10,2,TRUE)</f>
        <v>Ø40</v>
      </c>
      <c r="X233" s="3" t="str">
        <f>"Ø"&amp;VLOOKUP(V233,$AD$4:$AE$10,2,TRUE)</f>
        <v>Ø40</v>
      </c>
    </row>
    <row r="234" spans="17:24" x14ac:dyDescent="0.3">
      <c r="Q234" s="3" t="s">
        <v>147</v>
      </c>
      <c r="R234" s="3">
        <v>5</v>
      </c>
      <c r="S234" s="3">
        <v>16</v>
      </c>
      <c r="T234" s="21" t="str">
        <f>Q234&amp;" ("&amp;R234&amp;"х"&amp;S234&amp;")"</f>
        <v>ВВГнг(А)-FRLS (5х16)</v>
      </c>
      <c r="U234" s="3">
        <v>27.1</v>
      </c>
      <c r="V234" s="3">
        <f>IF((U234*1.2)&lt;14,14,U234*1.2)</f>
        <v>32.520000000000003</v>
      </c>
      <c r="W234" s="3" t="str">
        <f>"Ø"&amp;VLOOKUP(V234,$Z$4:$AA$10,2,TRUE)</f>
        <v>Ø50</v>
      </c>
      <c r="X234" s="3" t="str">
        <f>"Ø"&amp;VLOOKUP(V234,$AD$4:$AE$10,2,TRUE)</f>
        <v>Ø50</v>
      </c>
    </row>
    <row r="235" spans="17:24" x14ac:dyDescent="0.3">
      <c r="Q235" s="3" t="s">
        <v>147</v>
      </c>
      <c r="R235" s="3">
        <v>5</v>
      </c>
      <c r="S235" s="3">
        <v>25</v>
      </c>
      <c r="T235" s="21" t="str">
        <f>Q235&amp;" ("&amp;R235&amp;"х"&amp;S235&amp;")"</f>
        <v>ВВГнг(А)-FRLS (5х25)</v>
      </c>
      <c r="U235" s="3">
        <v>30.5</v>
      </c>
      <c r="V235" s="3">
        <f>IF((U235*1.2)&lt;14,14,U235*1.2)</f>
        <v>36.6</v>
      </c>
      <c r="W235" s="3" t="str">
        <f>"Ø"&amp;VLOOKUP(V235,$Z$4:$AA$10,2,TRUE)</f>
        <v>Ø50</v>
      </c>
      <c r="X235" s="3" t="str">
        <f>"Ø"&amp;VLOOKUP(V235,$AD$4:$AE$10,2,TRUE)</f>
        <v>Ø50</v>
      </c>
    </row>
    <row r="236" spans="17:24" x14ac:dyDescent="0.3">
      <c r="Q236" s="3" t="s">
        <v>147</v>
      </c>
      <c r="R236" s="3">
        <v>5</v>
      </c>
      <c r="S236" s="3">
        <v>35</v>
      </c>
      <c r="T236" s="21" t="str">
        <f>Q236&amp;" ("&amp;R236&amp;"х"&amp;S236&amp;")"</f>
        <v>ВВГнг(А)-FRLS (5х35)</v>
      </c>
      <c r="U236" s="3">
        <v>33.200000000000003</v>
      </c>
      <c r="V236" s="3">
        <f>IF((U236*1.2)&lt;14,14,U236*1.2)</f>
        <v>39.840000000000003</v>
      </c>
      <c r="W236" s="3" t="str">
        <f>"Ø"&amp;VLOOKUP(V236,$Z$4:$AA$10,2,TRUE)</f>
        <v>Ø50</v>
      </c>
      <c r="X236" s="3" t="str">
        <f>"Ø"&amp;VLOOKUP(V236,$AD$4:$AE$10,2,TRUE)</f>
        <v>Øне исп</v>
      </c>
    </row>
    <row r="237" spans="17:24" x14ac:dyDescent="0.3">
      <c r="Q237" s="3" t="s">
        <v>147</v>
      </c>
      <c r="R237" s="3">
        <v>5</v>
      </c>
      <c r="S237" s="3">
        <v>50</v>
      </c>
      <c r="T237" s="21" t="str">
        <f>Q237&amp;" ("&amp;R237&amp;"х"&amp;S237&amp;")"</f>
        <v>ВВГнг(А)-FRLS (5х50)</v>
      </c>
      <c r="U237" s="3">
        <v>38.299999999999997</v>
      </c>
      <c r="V237" s="3">
        <f>IF((U237*1.2)&lt;14,14,U237*1.2)</f>
        <v>45.959999999999994</v>
      </c>
      <c r="W237" s="3" t="str">
        <f>"Ø"&amp;VLOOKUP(V237,$Z$4:$AA$10,2,TRUE)</f>
        <v>Øне исп</v>
      </c>
      <c r="X237" s="3" t="str">
        <f>"Ø"&amp;VLOOKUP(V237,$AD$4:$AE$10,2,TRUE)</f>
        <v>Øне исп</v>
      </c>
    </row>
    <row r="238" spans="17:24" x14ac:dyDescent="0.3">
      <c r="Q238" s="3" t="s">
        <v>147</v>
      </c>
      <c r="R238" s="3">
        <v>5</v>
      </c>
      <c r="S238" s="3">
        <v>70</v>
      </c>
      <c r="T238" s="21" t="str">
        <f>Q238&amp;" ("&amp;R238&amp;"х"&amp;S238&amp;")"</f>
        <v>ВВГнг(А)-FRLS (5х70)</v>
      </c>
      <c r="U238" s="3">
        <v>42.6</v>
      </c>
      <c r="V238" s="3">
        <f>IF((U238*1.2)&lt;14,14,U238*1.2)</f>
        <v>51.12</v>
      </c>
      <c r="W238" s="3" t="str">
        <f>"Ø"&amp;VLOOKUP(V238,$Z$4:$AA$10,2,TRUE)</f>
        <v>Øне исп</v>
      </c>
      <c r="X238" s="3" t="str">
        <f>"Ø"&amp;VLOOKUP(V238,$AD$4:$AE$10,2,TRUE)</f>
        <v>Øне исп</v>
      </c>
    </row>
    <row r="239" spans="17:24" x14ac:dyDescent="0.3">
      <c r="Q239" s="3" t="s">
        <v>147</v>
      </c>
      <c r="R239" s="3">
        <v>5</v>
      </c>
      <c r="S239" s="3">
        <v>95</v>
      </c>
      <c r="T239" s="21" t="str">
        <f>Q239&amp;" ("&amp;R239&amp;"х"&amp;S239&amp;")"</f>
        <v>ВВГнг(А)-FRLS (5х95)</v>
      </c>
      <c r="U239" s="3">
        <v>47.9</v>
      </c>
      <c r="V239" s="3">
        <f>IF((U239*1.2)&lt;14,14,U239*1.2)</f>
        <v>57.48</v>
      </c>
      <c r="W239" s="3" t="str">
        <f>"Ø"&amp;VLOOKUP(V239,$Z$4:$AA$10,2,TRUE)</f>
        <v>Øне исп</v>
      </c>
      <c r="X239" s="3" t="str">
        <f>"Ø"&amp;VLOOKUP(V239,$AD$4:$AE$10,2,TRUE)</f>
        <v>Øне исп</v>
      </c>
    </row>
    <row r="240" spans="17:24" x14ac:dyDescent="0.3">
      <c r="Q240" s="3" t="s">
        <v>147</v>
      </c>
      <c r="R240" s="3">
        <v>5</v>
      </c>
      <c r="S240" s="3">
        <v>120</v>
      </c>
      <c r="T240" s="21" t="str">
        <f>Q240&amp;" ("&amp;R240&amp;"х"&amp;S240&amp;")"</f>
        <v>ВВГнг(А)-FRLS (5х120)</v>
      </c>
      <c r="U240" s="3">
        <v>52</v>
      </c>
      <c r="V240" s="3">
        <f>IF((U240*1.2)&lt;14,14,U240*1.2)</f>
        <v>62.4</v>
      </c>
      <c r="W240" s="3" t="str">
        <f>"Ø"&amp;VLOOKUP(V240,$Z$4:$AA$10,2,TRUE)</f>
        <v>Øне исп</v>
      </c>
      <c r="X240" s="3" t="str">
        <f>"Ø"&amp;VLOOKUP(V240,$AD$4:$AE$10,2,TRUE)</f>
        <v>Øне исп</v>
      </c>
    </row>
    <row r="241" spans="17:24" x14ac:dyDescent="0.3">
      <c r="Q241" s="3" t="s">
        <v>143</v>
      </c>
      <c r="R241" s="3">
        <v>3</v>
      </c>
      <c r="S241" s="3">
        <v>10</v>
      </c>
      <c r="T241" s="21" t="str">
        <f>Q241&amp;" ("&amp;R241&amp;"х"&amp;S241&amp;")"</f>
        <v>ППГнг(А)-HF (3х10)</v>
      </c>
      <c r="U241" s="3">
        <v>15.3</v>
      </c>
      <c r="V241" s="3">
        <f>IF((U241*1.2)&lt;14,14,U241*1.2)</f>
        <v>18.36</v>
      </c>
      <c r="W241" s="3" t="str">
        <f>"Ø"&amp;VLOOKUP(V241,$Z$4:$AA$10,2,TRUE)</f>
        <v>Ø25</v>
      </c>
      <c r="X241" s="3" t="str">
        <f>"Ø"&amp;VLOOKUP(V241,$AD$4:$AE$10,2,TRUE)</f>
        <v>Ø25</v>
      </c>
    </row>
    <row r="242" spans="17:24" x14ac:dyDescent="0.3">
      <c r="Q242" s="3" t="s">
        <v>143</v>
      </c>
      <c r="R242" s="3">
        <v>3</v>
      </c>
      <c r="S242" s="3">
        <v>16</v>
      </c>
      <c r="T242" s="21" t="str">
        <f>Q242&amp;" ("&amp;R242&amp;"х"&amp;S242&amp;")"</f>
        <v>ППГнг(А)-HF (3х16)</v>
      </c>
      <c r="U242" s="3">
        <v>17.3</v>
      </c>
      <c r="V242" s="3">
        <f>IF((U242*1.2)&lt;14,14,U242*1.2)</f>
        <v>20.76</v>
      </c>
      <c r="W242" s="3" t="str">
        <f>"Ø"&amp;VLOOKUP(V242,$Z$4:$AA$10,2,TRUE)</f>
        <v>Ø32</v>
      </c>
      <c r="X242" s="3" t="str">
        <f>"Ø"&amp;VLOOKUP(V242,$AD$4:$AE$10,2,TRUE)</f>
        <v>Ø32</v>
      </c>
    </row>
    <row r="243" spans="17:24" x14ac:dyDescent="0.3">
      <c r="Q243" s="3" t="s">
        <v>143</v>
      </c>
      <c r="R243" s="3">
        <v>5</v>
      </c>
      <c r="S243" s="3">
        <v>10</v>
      </c>
      <c r="T243" s="21" t="str">
        <f>Q243&amp;" ("&amp;R243&amp;"х"&amp;S243&amp;")"</f>
        <v>ППГнг(А)-HF (5х10)</v>
      </c>
      <c r="U243" s="3">
        <v>18.600000000000001</v>
      </c>
      <c r="V243" s="3">
        <f>IF((U243*1.2)&lt;14,14,U243*1.2)</f>
        <v>22.32</v>
      </c>
      <c r="W243" s="3" t="str">
        <f>"Ø"&amp;VLOOKUP(V243,$Z$4:$AA$10,2,TRUE)</f>
        <v>Ø32</v>
      </c>
      <c r="X243" s="3" t="str">
        <f>"Ø"&amp;VLOOKUP(V243,$AD$4:$AE$10,2,TRUE)</f>
        <v>Ø32</v>
      </c>
    </row>
    <row r="244" spans="17:24" x14ac:dyDescent="0.3">
      <c r="Q244" s="3" t="s">
        <v>143</v>
      </c>
      <c r="R244" s="3">
        <v>5</v>
      </c>
      <c r="S244" s="3">
        <v>16</v>
      </c>
      <c r="T244" s="21" t="str">
        <f>Q244&amp;" ("&amp;R244&amp;"х"&amp;S244&amp;")"</f>
        <v>ППГнг(А)-HF (5х16)</v>
      </c>
      <c r="U244" s="3">
        <v>21.1</v>
      </c>
      <c r="V244" s="3">
        <f>IF((U244*1.2)&lt;14,14,U244*1.2)</f>
        <v>25.32</v>
      </c>
      <c r="W244" s="3" t="str">
        <f>"Ø"&amp;VLOOKUP(V244,$Z$4:$AA$10,2,TRUE)</f>
        <v>Ø40</v>
      </c>
      <c r="X244" s="3" t="str">
        <f>"Ø"&amp;VLOOKUP(V244,$AD$4:$AE$10,2,TRUE)</f>
        <v>Ø40</v>
      </c>
    </row>
    <row r="245" spans="17:24" x14ac:dyDescent="0.3">
      <c r="Q245" s="3" t="s">
        <v>143</v>
      </c>
      <c r="R245" s="3">
        <v>5</v>
      </c>
      <c r="S245" s="3">
        <v>25</v>
      </c>
      <c r="T245" s="21" t="str">
        <f>Q245&amp;" ("&amp;R245&amp;"х"&amp;S245&amp;")"</f>
        <v>ППГнг(А)-HF (5х25)</v>
      </c>
      <c r="U245" s="3">
        <v>24.5</v>
      </c>
      <c r="V245" s="3">
        <f>IF((U245*1.2)&lt;14,14,U245*1.2)</f>
        <v>29.4</v>
      </c>
      <c r="W245" s="3" t="str">
        <f>"Ø"&amp;VLOOKUP(V245,$Z$4:$AA$10,2,TRUE)</f>
        <v>Ø40</v>
      </c>
      <c r="X245" s="3" t="str">
        <f>"Ø"&amp;VLOOKUP(V245,$AD$4:$AE$10,2,TRUE)</f>
        <v>Ø40</v>
      </c>
    </row>
    <row r="246" spans="17:24" x14ac:dyDescent="0.3">
      <c r="Q246" s="3" t="s">
        <v>143</v>
      </c>
      <c r="R246" s="3">
        <v>5</v>
      </c>
      <c r="S246" s="3">
        <v>35</v>
      </c>
      <c r="T246" s="21" t="str">
        <f>Q246&amp;" ("&amp;R246&amp;"х"&amp;S246&amp;")"</f>
        <v>ППГнг(А)-HF (5х35)</v>
      </c>
      <c r="U246" s="3">
        <v>27.2</v>
      </c>
      <c r="V246" s="3">
        <f>IF((U246*1.2)&lt;14,14,U246*1.2)</f>
        <v>32.64</v>
      </c>
      <c r="W246" s="3" t="str">
        <f>"Ø"&amp;VLOOKUP(V246,$Z$4:$AA$10,2,TRUE)</f>
        <v>Ø50</v>
      </c>
      <c r="X246" s="3" t="str">
        <f>"Ø"&amp;VLOOKUP(V246,$AD$4:$AE$10,2,TRUE)</f>
        <v>Ø50</v>
      </c>
    </row>
    <row r="247" spans="17:24" x14ac:dyDescent="0.3">
      <c r="Q247" s="3" t="s">
        <v>143</v>
      </c>
      <c r="R247" s="3">
        <v>5</v>
      </c>
      <c r="S247" s="3">
        <v>50</v>
      </c>
      <c r="T247" s="21" t="str">
        <f>Q247&amp;" ("&amp;R247&amp;"х"&amp;S247&amp;")"</f>
        <v>ППГнг(А)-HF (5х50)</v>
      </c>
      <c r="U247" s="3">
        <v>32.299999999999997</v>
      </c>
      <c r="V247" s="3">
        <f>IF((U247*1.2)&lt;14,14,U247*1.2)</f>
        <v>38.76</v>
      </c>
      <c r="W247" s="3" t="str">
        <f>"Ø"&amp;VLOOKUP(V247,$Z$4:$AA$10,2,TRUE)</f>
        <v>Ø50</v>
      </c>
      <c r="X247" s="3" t="str">
        <f>"Ø"&amp;VLOOKUP(V247,$AD$4:$AE$10,2,TRUE)</f>
        <v>Ø50</v>
      </c>
    </row>
    <row r="248" spans="17:24" x14ac:dyDescent="0.3">
      <c r="Q248" s="3" t="s">
        <v>135</v>
      </c>
      <c r="R248" s="3">
        <v>3</v>
      </c>
      <c r="S248" s="3">
        <v>1.5</v>
      </c>
      <c r="T248" s="21" t="str">
        <f>Q248&amp;" ("&amp;R248&amp;"х"&amp;S248&amp;")"</f>
        <v>ВБШвнг(А)-LS (3х1,5)</v>
      </c>
      <c r="U248" s="3">
        <v>13.6</v>
      </c>
      <c r="V248" s="3">
        <f>IF((U248*1.2)&lt;14,14,U248*1.2)</f>
        <v>16.32</v>
      </c>
      <c r="W248" s="3" t="str">
        <f>"Ø"&amp;VLOOKUP(V248,$Z$4:$AA$10,2,TRUE)</f>
        <v>Ø25</v>
      </c>
      <c r="X248" s="3" t="str">
        <f>"Ø"&amp;VLOOKUP(V248,$AD$4:$AE$10,2,TRUE)</f>
        <v>Ø25</v>
      </c>
    </row>
    <row r="249" spans="17:24" x14ac:dyDescent="0.3">
      <c r="Q249" s="3" t="s">
        <v>135</v>
      </c>
      <c r="R249" s="3">
        <v>3</v>
      </c>
      <c r="S249" s="3">
        <v>2.5</v>
      </c>
      <c r="T249" s="21" t="str">
        <f>Q249&amp;" ("&amp;R249&amp;"х"&amp;S249&amp;")"</f>
        <v>ВБШвнг(А)-LS (3х2,5)</v>
      </c>
      <c r="U249" s="3">
        <v>14.6</v>
      </c>
      <c r="V249" s="3">
        <f>IF((U249*1.2)&lt;14,14,U249*1.2)</f>
        <v>17.52</v>
      </c>
      <c r="W249" s="3" t="str">
        <f>"Ø"&amp;VLOOKUP(V249,$Z$4:$AA$10,2,TRUE)</f>
        <v>Ø25</v>
      </c>
      <c r="X249" s="3" t="str">
        <f>"Ø"&amp;VLOOKUP(V249,$AD$4:$AE$10,2,TRUE)</f>
        <v>Ø25</v>
      </c>
    </row>
    <row r="250" spans="17:24" x14ac:dyDescent="0.3">
      <c r="Q250" s="3" t="s">
        <v>135</v>
      </c>
      <c r="R250" s="3">
        <v>3</v>
      </c>
      <c r="S250" s="3">
        <v>4</v>
      </c>
      <c r="T250" s="21" t="str">
        <f>Q250&amp;" ("&amp;R250&amp;"х"&amp;S250&amp;")"</f>
        <v>ВБШвнг(А)-LS (3х4)</v>
      </c>
      <c r="U250" s="3">
        <v>15.8</v>
      </c>
      <c r="V250" s="3">
        <f>IF((U250*1.2)&lt;14,14,U250*1.2)</f>
        <v>18.96</v>
      </c>
      <c r="W250" s="3" t="str">
        <f>"Ø"&amp;VLOOKUP(V250,$Z$4:$AA$10,2,TRUE)</f>
        <v>Ø25</v>
      </c>
      <c r="X250" s="3" t="str">
        <f>"Ø"&amp;VLOOKUP(V250,$AD$4:$AE$10,2,TRUE)</f>
        <v>Ø32</v>
      </c>
    </row>
    <row r="251" spans="17:24" x14ac:dyDescent="0.3">
      <c r="Q251" s="3" t="s">
        <v>135</v>
      </c>
      <c r="R251" s="3">
        <v>3</v>
      </c>
      <c r="S251" s="3">
        <v>6</v>
      </c>
      <c r="T251" s="21" t="str">
        <f>Q251&amp;" ("&amp;R251&amp;"х"&amp;S251&amp;")"</f>
        <v>ВБШвнг(А)-LS (3х6)</v>
      </c>
      <c r="U251" s="3">
        <v>17</v>
      </c>
      <c r="V251" s="3">
        <f>IF((U251*1.2)&lt;14,14,U251*1.2)</f>
        <v>20.399999999999999</v>
      </c>
      <c r="W251" s="3" t="str">
        <f>"Ø"&amp;VLOOKUP(V251,$Z$4:$AA$10,2,TRUE)</f>
        <v>Ø32</v>
      </c>
      <c r="X251" s="3" t="str">
        <f>"Ø"&amp;VLOOKUP(V251,$AD$4:$AE$10,2,TRUE)</f>
        <v>Ø32</v>
      </c>
    </row>
    <row r="252" spans="17:24" x14ac:dyDescent="0.3">
      <c r="Q252" s="3" t="s">
        <v>135</v>
      </c>
      <c r="R252" s="3">
        <v>5</v>
      </c>
      <c r="S252" s="3">
        <v>1.5</v>
      </c>
      <c r="T252" s="21" t="str">
        <f>Q252&amp;" ("&amp;R252&amp;"х"&amp;S252&amp;")"</f>
        <v>ВБШвнг(А)-LS (5х1,5)</v>
      </c>
      <c r="U252" s="3">
        <v>15.2</v>
      </c>
      <c r="V252" s="3">
        <f>IF((U252*1.2)&lt;14,14,U252*1.2)</f>
        <v>18.239999999999998</v>
      </c>
      <c r="W252" s="3" t="str">
        <f>"Ø"&amp;VLOOKUP(V252,$Z$4:$AA$10,2,TRUE)</f>
        <v>Ø25</v>
      </c>
      <c r="X252" s="3" t="str">
        <f>"Ø"&amp;VLOOKUP(V252,$AD$4:$AE$10,2,TRUE)</f>
        <v>Ø25</v>
      </c>
    </row>
    <row r="253" spans="17:24" x14ac:dyDescent="0.3">
      <c r="Q253" s="3" t="s">
        <v>135</v>
      </c>
      <c r="R253" s="3">
        <v>5</v>
      </c>
      <c r="S253" s="3">
        <v>2.5</v>
      </c>
      <c r="T253" s="21" t="str">
        <f>Q253&amp;" ("&amp;R253&amp;"х"&amp;S253&amp;")"</f>
        <v>ВБШвнг(А)-LS (5х2,5)</v>
      </c>
      <c r="U253" s="3">
        <v>16.600000000000001</v>
      </c>
      <c r="V253" s="3">
        <f>IF((U253*1.2)&lt;14,14,U253*1.2)</f>
        <v>19.920000000000002</v>
      </c>
      <c r="W253" s="3" t="str">
        <f>"Ø"&amp;VLOOKUP(V253,$Z$4:$AA$10,2,TRUE)</f>
        <v>Ø32</v>
      </c>
      <c r="X253" s="3" t="str">
        <f>"Ø"&amp;VLOOKUP(V253,$AD$4:$AE$10,2,TRUE)</f>
        <v>Ø32</v>
      </c>
    </row>
    <row r="254" spans="17:24" x14ac:dyDescent="0.3">
      <c r="Q254" s="3" t="s">
        <v>135</v>
      </c>
      <c r="R254" s="3">
        <v>5</v>
      </c>
      <c r="S254" s="3">
        <v>4</v>
      </c>
      <c r="T254" s="21" t="str">
        <f>Q254&amp;" ("&amp;R254&amp;"х"&amp;S254&amp;")"</f>
        <v>ВБШвнг(А)-LS (5х4)</v>
      </c>
      <c r="U254" s="3">
        <v>18.2</v>
      </c>
      <c r="V254" s="3">
        <f>IF((U254*1.2)&lt;14,14,U254*1.2)</f>
        <v>21.84</v>
      </c>
      <c r="W254" s="3" t="str">
        <f>"Ø"&amp;VLOOKUP(V254,$Z$4:$AA$10,2,TRUE)</f>
        <v>Ø32</v>
      </c>
      <c r="X254" s="3" t="str">
        <f>"Ø"&amp;VLOOKUP(V254,$AD$4:$AE$10,2,TRUE)</f>
        <v>Ø32</v>
      </c>
    </row>
    <row r="255" spans="17:24" x14ac:dyDescent="0.3">
      <c r="Q255" s="3" t="s">
        <v>135</v>
      </c>
      <c r="R255" s="3">
        <v>5</v>
      </c>
      <c r="S255" s="3">
        <v>6</v>
      </c>
      <c r="T255" s="21" t="str">
        <f>Q255&amp;" ("&amp;R255&amp;"х"&amp;S255&amp;")"</f>
        <v>ВБШвнг(А)-LS (5х6)</v>
      </c>
      <c r="U255" s="3">
        <v>19.600000000000001</v>
      </c>
      <c r="V255" s="3">
        <f>IF((U255*1.2)&lt;14,14,U255*1.2)</f>
        <v>23.52</v>
      </c>
      <c r="W255" s="3" t="str">
        <f>"Ø"&amp;VLOOKUP(V255,$Z$4:$AA$10,2,TRUE)</f>
        <v>Ø32</v>
      </c>
      <c r="X255" s="3" t="str">
        <f>"Ø"&amp;VLOOKUP(V255,$AD$4:$AE$10,2,TRUE)</f>
        <v>Ø32</v>
      </c>
    </row>
    <row r="256" spans="17:24" x14ac:dyDescent="0.3">
      <c r="Q256" s="3" t="s">
        <v>135</v>
      </c>
      <c r="R256" s="3">
        <v>5</v>
      </c>
      <c r="S256" s="3">
        <v>10</v>
      </c>
      <c r="T256" s="21" t="str">
        <f>Q256&amp;" ("&amp;R256&amp;"х"&amp;S256&amp;")"</f>
        <v>ВБШвнг(А)-LS (5х10)</v>
      </c>
      <c r="U256" s="3">
        <v>22.5</v>
      </c>
      <c r="V256" s="3">
        <f>IF((U256*1.2)&lt;14,14,U256*1.2)</f>
        <v>27</v>
      </c>
      <c r="W256" s="3" t="str">
        <f>"Ø"&amp;VLOOKUP(V256,$Z$4:$AA$10,2,TRUE)</f>
        <v>Ø40</v>
      </c>
      <c r="X256" s="3" t="str">
        <f>"Ø"&amp;VLOOKUP(V256,$AD$4:$AE$10,2,TRUE)</f>
        <v>Ø40</v>
      </c>
    </row>
    <row r="257" spans="17:24" x14ac:dyDescent="0.3">
      <c r="Q257" s="3" t="s">
        <v>135</v>
      </c>
      <c r="R257" s="3">
        <v>5</v>
      </c>
      <c r="S257" s="3">
        <v>16</v>
      </c>
      <c r="T257" s="21" t="str">
        <f>Q257&amp;" ("&amp;R257&amp;"х"&amp;S257&amp;")"</f>
        <v>ВБШвнг(А)-LS (5х16)</v>
      </c>
      <c r="U257" s="3">
        <v>25</v>
      </c>
      <c r="V257" s="3">
        <f>IF((U257*1.2)&lt;14,14,U257*1.2)</f>
        <v>30</v>
      </c>
      <c r="W257" s="3" t="str">
        <f>"Ø"&amp;VLOOKUP(V257,$Z$4:$AA$10,2,TRUE)</f>
        <v>Ø40</v>
      </c>
      <c r="X257" s="3" t="str">
        <f>"Ø"&amp;VLOOKUP(V257,$AD$4:$AE$10,2,TRUE)</f>
        <v>Ø40</v>
      </c>
    </row>
    <row r="258" spans="17:24" x14ac:dyDescent="0.3">
      <c r="Q258" s="3" t="s">
        <v>1302</v>
      </c>
      <c r="R258" s="3">
        <v>2</v>
      </c>
      <c r="S258" s="3">
        <v>0.5</v>
      </c>
      <c r="T258" s="21" t="str">
        <f>Q258&amp;" ("&amp;R258&amp;"х"&amp;S258&amp;")"</f>
        <v>МКЭШнг(А)-LS (2х0,5)</v>
      </c>
      <c r="U258" s="3">
        <v>6.4</v>
      </c>
      <c r="V258" s="3">
        <f>IF((U258*1.2)&lt;14,14,U258*1.2)</f>
        <v>14</v>
      </c>
      <c r="W258" s="3" t="str">
        <f>"Ø"&amp;VLOOKUP(V258,$Z$4:$AA$10,2,TRUE)</f>
        <v>Ø20</v>
      </c>
      <c r="X258" s="3" t="str">
        <f>"Ø"&amp;VLOOKUP(V258,$AD$4:$AE$10,2,TRUE)</f>
        <v>Ø20</v>
      </c>
    </row>
    <row r="259" spans="17:24" x14ac:dyDescent="0.3">
      <c r="Q259" s="3" t="s">
        <v>1302</v>
      </c>
      <c r="R259" s="3">
        <v>2</v>
      </c>
      <c r="S259" s="3">
        <v>0.75</v>
      </c>
      <c r="T259" s="21" t="str">
        <f>Q259&amp;" ("&amp;R259&amp;"х"&amp;S259&amp;")"</f>
        <v>МКЭШнг(А)-LS (2х0,75)</v>
      </c>
      <c r="U259" s="3">
        <v>6.9</v>
      </c>
      <c r="V259" s="3">
        <f>IF((U259*1.2)&lt;14,14,U259*1.2)</f>
        <v>14</v>
      </c>
      <c r="W259" s="3" t="str">
        <f>"Ø"&amp;VLOOKUP(V259,$Z$4:$AA$10,2,TRUE)</f>
        <v>Ø20</v>
      </c>
      <c r="X259" s="3" t="str">
        <f>"Ø"&amp;VLOOKUP(V259,$AD$4:$AE$10,2,TRUE)</f>
        <v>Ø20</v>
      </c>
    </row>
    <row r="260" spans="17:24" x14ac:dyDescent="0.3">
      <c r="Q260" s="3" t="s">
        <v>1302</v>
      </c>
      <c r="R260" s="3">
        <v>2</v>
      </c>
      <c r="S260" s="3">
        <v>1</v>
      </c>
      <c r="T260" s="21" t="str">
        <f>Q260&amp;" ("&amp;R260&amp;"х"&amp;S260&amp;")"</f>
        <v>МКЭШнг(А)-LS (2х1)</v>
      </c>
      <c r="U260" s="3">
        <v>7.3</v>
      </c>
      <c r="V260" s="3">
        <f>IF((U260*1.2)&lt;14,14,U260*1.2)</f>
        <v>14</v>
      </c>
      <c r="W260" s="3" t="str">
        <f>"Ø"&amp;VLOOKUP(V260,$Z$4:$AA$10,2,TRUE)</f>
        <v>Ø20</v>
      </c>
      <c r="X260" s="3" t="str">
        <f>"Ø"&amp;VLOOKUP(V260,$AD$4:$AE$10,2,TRUE)</f>
        <v>Ø20</v>
      </c>
    </row>
    <row r="261" spans="17:24" x14ac:dyDescent="0.3">
      <c r="Q261" s="3" t="s">
        <v>1302</v>
      </c>
      <c r="R261" s="3">
        <v>2</v>
      </c>
      <c r="S261" s="3">
        <v>1.5</v>
      </c>
      <c r="T261" s="21" t="str">
        <f>Q261&amp;" ("&amp;R261&amp;"х"&amp;S261&amp;")"</f>
        <v>МКЭШнг(А)-LS (2х1,5)</v>
      </c>
      <c r="U261" s="3">
        <v>8.1999999999999993</v>
      </c>
      <c r="V261" s="3">
        <f>IF((U261*1.2)&lt;14,14,U261*1.2)</f>
        <v>14</v>
      </c>
      <c r="W261" s="3" t="str">
        <f>"Ø"&amp;VLOOKUP(V261,$Z$4:$AA$10,2,TRUE)</f>
        <v>Ø20</v>
      </c>
      <c r="X261" s="3" t="str">
        <f>"Ø"&amp;VLOOKUP(V261,$AD$4:$AE$10,2,TRUE)</f>
        <v>Ø20</v>
      </c>
    </row>
    <row r="262" spans="17:24" x14ac:dyDescent="0.3">
      <c r="Q262" s="3" t="s">
        <v>1302</v>
      </c>
      <c r="R262" s="3">
        <v>3</v>
      </c>
      <c r="S262" s="3">
        <v>0.5</v>
      </c>
      <c r="T262" s="21" t="str">
        <f>Q262&amp;" ("&amp;R262&amp;"х"&amp;S262&amp;")"</f>
        <v>МКЭШнг(А)-LS (3х0,5)</v>
      </c>
      <c r="U262" s="3">
        <v>6.8</v>
      </c>
      <c r="V262" s="3">
        <f>IF((U262*1.2)&lt;14,14,U262*1.2)</f>
        <v>14</v>
      </c>
      <c r="W262" s="3" t="str">
        <f>"Ø"&amp;VLOOKUP(V262,$Z$4:$AA$10,2,TRUE)</f>
        <v>Ø20</v>
      </c>
      <c r="X262" s="3" t="str">
        <f>"Ø"&amp;VLOOKUP(V262,$AD$4:$AE$10,2,TRUE)</f>
        <v>Ø20</v>
      </c>
    </row>
    <row r="263" spans="17:24" x14ac:dyDescent="0.3">
      <c r="Q263" s="3" t="s">
        <v>1302</v>
      </c>
      <c r="R263" s="3">
        <v>3</v>
      </c>
      <c r="S263" s="3">
        <v>0.75</v>
      </c>
      <c r="T263" s="21" t="str">
        <f>Q263&amp;" ("&amp;R263&amp;"х"&amp;S263&amp;")"</f>
        <v>МКЭШнг(А)-LS (3х0,75)</v>
      </c>
      <c r="U263" s="3">
        <v>7.3</v>
      </c>
      <c r="V263" s="3">
        <f>IF((U263*1.2)&lt;14,14,U263*1.2)</f>
        <v>14</v>
      </c>
      <c r="W263" s="3" t="str">
        <f>"Ø"&amp;VLOOKUP(V263,$Z$4:$AA$10,2,TRUE)</f>
        <v>Ø20</v>
      </c>
      <c r="X263" s="3" t="str">
        <f>"Ø"&amp;VLOOKUP(V263,$AD$4:$AE$10,2,TRUE)</f>
        <v>Ø20</v>
      </c>
    </row>
    <row r="264" spans="17:24" x14ac:dyDescent="0.3">
      <c r="Q264" s="3" t="s">
        <v>1302</v>
      </c>
      <c r="R264" s="3">
        <v>3</v>
      </c>
      <c r="S264" s="3">
        <v>1</v>
      </c>
      <c r="T264" s="21" t="str">
        <f>Q264&amp;" ("&amp;R264&amp;"х"&amp;S264&amp;")"</f>
        <v>МКЭШнг(А)-LS (3х1)</v>
      </c>
      <c r="U264" s="3">
        <v>7.7</v>
      </c>
      <c r="V264" s="3">
        <f>IF((U264*1.2)&lt;14,14,U264*1.2)</f>
        <v>14</v>
      </c>
      <c r="W264" s="3" t="str">
        <f>"Ø"&amp;VLOOKUP(V264,$Z$4:$AA$10,2,TRUE)</f>
        <v>Ø20</v>
      </c>
      <c r="X264" s="3" t="str">
        <f>"Ø"&amp;VLOOKUP(V264,$AD$4:$AE$10,2,TRUE)</f>
        <v>Ø20</v>
      </c>
    </row>
    <row r="265" spans="17:24" x14ac:dyDescent="0.3">
      <c r="Q265" s="3" t="s">
        <v>1302</v>
      </c>
      <c r="R265" s="3">
        <v>3</v>
      </c>
      <c r="S265" s="3">
        <v>1.5</v>
      </c>
      <c r="T265" s="21" t="str">
        <f>Q265&amp;" ("&amp;R265&amp;"х"&amp;S265&amp;")"</f>
        <v>МКЭШнг(А)-LS (3х1,5)</v>
      </c>
      <c r="U265" s="3">
        <v>8.6999999999999993</v>
      </c>
      <c r="V265" s="3">
        <f>IF((U265*1.2)&lt;14,14,U265*1.2)</f>
        <v>14</v>
      </c>
      <c r="W265" s="3" t="str">
        <f>"Ø"&amp;VLOOKUP(V265,$Z$4:$AA$10,2,TRUE)</f>
        <v>Ø20</v>
      </c>
      <c r="X265" s="3" t="str">
        <f>"Ø"&amp;VLOOKUP(V265,$AD$4:$AE$10,2,TRUE)</f>
        <v>Ø20</v>
      </c>
    </row>
    <row r="266" spans="17:24" x14ac:dyDescent="0.3">
      <c r="Q266" s="3" t="s">
        <v>1302</v>
      </c>
      <c r="R266" s="3">
        <v>4</v>
      </c>
      <c r="S266" s="3">
        <v>0.75</v>
      </c>
      <c r="T266" s="21" t="str">
        <f>Q266&amp;" ("&amp;R266&amp;"х"&amp;S266&amp;")"</f>
        <v>МКЭШнг(А)-LS (4х0,75)</v>
      </c>
      <c r="U266" s="3">
        <v>7.9</v>
      </c>
      <c r="V266" s="3">
        <f>IF((U266*1.2)&lt;14,14,U266*1.2)</f>
        <v>14</v>
      </c>
      <c r="W266" s="3" t="str">
        <f>"Ø"&amp;VLOOKUP(V266,$Z$4:$AA$10,2,TRUE)</f>
        <v>Ø20</v>
      </c>
      <c r="X266" s="3" t="str">
        <f>"Ø"&amp;VLOOKUP(V266,$AD$4:$AE$10,2,TRUE)</f>
        <v>Ø20</v>
      </c>
    </row>
    <row r="267" spans="17:24" x14ac:dyDescent="0.3">
      <c r="Q267" s="3" t="s">
        <v>1302</v>
      </c>
      <c r="R267" s="3">
        <v>5</v>
      </c>
      <c r="S267" s="3">
        <v>0.75</v>
      </c>
      <c r="T267" s="21" t="str">
        <f>Q267&amp;" ("&amp;R267&amp;"х"&amp;S267&amp;")"</f>
        <v>МКЭШнг(А)-LS (5х0,75)</v>
      </c>
      <c r="U267" s="3">
        <v>8.6</v>
      </c>
      <c r="V267" s="3">
        <f>IF((U267*1.2)&lt;14,14,U267*1.2)</f>
        <v>14</v>
      </c>
      <c r="W267" s="3" t="str">
        <f>"Ø"&amp;VLOOKUP(V267,$Z$4:$AA$10,2,TRUE)</f>
        <v>Ø20</v>
      </c>
      <c r="X267" s="3" t="str">
        <f>"Ø"&amp;VLOOKUP(V267,$AD$4:$AE$10,2,TRUE)</f>
        <v>Ø20</v>
      </c>
    </row>
    <row r="268" spans="17:24" x14ac:dyDescent="0.3">
      <c r="Q268" s="3" t="s">
        <v>1303</v>
      </c>
      <c r="R268" s="3"/>
      <c r="S268" s="3"/>
      <c r="T268" s="21" t="s">
        <v>1303</v>
      </c>
      <c r="U268" s="3">
        <v>6</v>
      </c>
      <c r="V268" s="3">
        <f>IF((U268*1.2)&lt;14,14,U268*1.2)</f>
        <v>14</v>
      </c>
      <c r="W268" s="3" t="str">
        <f>"Ø"&amp;VLOOKUP(V268,$Z$4:$AA$10,2,TRUE)</f>
        <v>Ø20</v>
      </c>
      <c r="X268" s="3" t="str">
        <f>"Ø"&amp;VLOOKUP(V268,$AD$4:$AE$10,2,TRUE)</f>
        <v>Ø20</v>
      </c>
    </row>
    <row r="269" spans="17:24" x14ac:dyDescent="0.3">
      <c r="Q269" s="3" t="s">
        <v>140</v>
      </c>
      <c r="R269" s="3"/>
      <c r="S269" s="3"/>
      <c r="T269" s="21" t="s">
        <v>140</v>
      </c>
      <c r="U269" s="3">
        <v>21</v>
      </c>
      <c r="V269" s="3">
        <f>IF((U269*1.2)&lt;14,14,U269*1.2)</f>
        <v>25.2</v>
      </c>
      <c r="W269" s="3" t="str">
        <f>"Ø"&amp;VLOOKUP(V269,$Z$4:$AA$10,2,TRUE)</f>
        <v>Ø40</v>
      </c>
      <c r="X269" s="3" t="str">
        <f>"Ø"&amp;VLOOKUP(V269,$AD$4:$AE$10,2,TRUE)</f>
        <v>Ø40</v>
      </c>
    </row>
    <row r="270" spans="17:24" x14ac:dyDescent="0.3">
      <c r="Q270" s="3"/>
      <c r="R270" s="3"/>
      <c r="S270" s="3"/>
      <c r="T270" s="21"/>
      <c r="U270" s="3"/>
      <c r="V270" s="3">
        <f t="shared" ref="V261:V324" si="22">U270*1.2</f>
        <v>0</v>
      </c>
      <c r="W270" s="3" t="str">
        <f t="shared" ref="W261:W324" si="23">"Ø"&amp;VLOOKUP(V270,$Z$4:$AA$10,2,TRUE)</f>
        <v>Ø16</v>
      </c>
      <c r="X270" s="3" t="str">
        <f t="shared" ref="X261:X324" si="24">"Ø"&amp;VLOOKUP(V270,$AD$4:$AE$10,2,TRUE)</f>
        <v>Ø16</v>
      </c>
    </row>
    <row r="271" spans="17:24" x14ac:dyDescent="0.3">
      <c r="Q271" s="3"/>
      <c r="R271" s="3"/>
      <c r="S271" s="3"/>
      <c r="T271" s="21"/>
      <c r="U271" s="3"/>
      <c r="V271" s="3">
        <f t="shared" si="22"/>
        <v>0</v>
      </c>
      <c r="W271" s="3" t="str">
        <f t="shared" si="23"/>
        <v>Ø16</v>
      </c>
      <c r="X271" s="3" t="str">
        <f t="shared" si="24"/>
        <v>Ø16</v>
      </c>
    </row>
    <row r="272" spans="17:24" x14ac:dyDescent="0.3">
      <c r="Q272" s="3"/>
      <c r="R272" s="3"/>
      <c r="S272" s="3"/>
      <c r="T272" s="21"/>
      <c r="U272" s="3"/>
      <c r="V272" s="3">
        <f t="shared" si="22"/>
        <v>0</v>
      </c>
      <c r="W272" s="3" t="str">
        <f t="shared" si="23"/>
        <v>Ø16</v>
      </c>
      <c r="X272" s="3" t="str">
        <f t="shared" si="24"/>
        <v>Ø16</v>
      </c>
    </row>
    <row r="273" spans="17:24" x14ac:dyDescent="0.3">
      <c r="Q273" s="3"/>
      <c r="R273" s="3"/>
      <c r="S273" s="3"/>
      <c r="T273" s="21"/>
      <c r="U273" s="3"/>
      <c r="V273" s="3">
        <f t="shared" si="22"/>
        <v>0</v>
      </c>
      <c r="W273" s="3" t="str">
        <f t="shared" si="23"/>
        <v>Ø16</v>
      </c>
      <c r="X273" s="3" t="str">
        <f t="shared" si="24"/>
        <v>Ø16</v>
      </c>
    </row>
    <row r="274" spans="17:24" x14ac:dyDescent="0.3">
      <c r="Q274" s="3"/>
      <c r="R274" s="3"/>
      <c r="S274" s="3"/>
      <c r="T274" s="21"/>
      <c r="U274" s="3"/>
      <c r="V274" s="3">
        <f t="shared" si="22"/>
        <v>0</v>
      </c>
      <c r="W274" s="3" t="str">
        <f t="shared" si="23"/>
        <v>Ø16</v>
      </c>
      <c r="X274" s="3" t="str">
        <f t="shared" si="24"/>
        <v>Ø16</v>
      </c>
    </row>
    <row r="275" spans="17:24" x14ac:dyDescent="0.3">
      <c r="Q275" s="3"/>
      <c r="R275" s="3"/>
      <c r="S275" s="3"/>
      <c r="T275" s="21"/>
      <c r="U275" s="3"/>
      <c r="V275" s="3">
        <f t="shared" si="22"/>
        <v>0</v>
      </c>
      <c r="W275" s="3" t="str">
        <f t="shared" si="23"/>
        <v>Ø16</v>
      </c>
      <c r="X275" s="3" t="str">
        <f t="shared" si="24"/>
        <v>Ø16</v>
      </c>
    </row>
    <row r="276" spans="17:24" x14ac:dyDescent="0.3">
      <c r="Q276" s="3"/>
      <c r="R276" s="3"/>
      <c r="S276" s="3"/>
      <c r="T276" s="21"/>
      <c r="U276" s="3"/>
      <c r="V276" s="3">
        <f t="shared" si="22"/>
        <v>0</v>
      </c>
      <c r="W276" s="3" t="str">
        <f t="shared" si="23"/>
        <v>Ø16</v>
      </c>
      <c r="X276" s="3" t="str">
        <f t="shared" si="24"/>
        <v>Ø16</v>
      </c>
    </row>
    <row r="277" spans="17:24" x14ac:dyDescent="0.3">
      <c r="Q277" s="3"/>
      <c r="R277" s="3"/>
      <c r="S277" s="3"/>
      <c r="T277" s="21"/>
      <c r="U277" s="3"/>
      <c r="V277" s="3">
        <f t="shared" si="22"/>
        <v>0</v>
      </c>
      <c r="W277" s="3" t="str">
        <f t="shared" si="23"/>
        <v>Ø16</v>
      </c>
      <c r="X277" s="3" t="str">
        <f t="shared" si="24"/>
        <v>Ø16</v>
      </c>
    </row>
    <row r="278" spans="17:24" x14ac:dyDescent="0.3">
      <c r="Q278" s="3"/>
      <c r="R278" s="3"/>
      <c r="S278" s="3"/>
      <c r="T278" s="21"/>
      <c r="U278" s="3"/>
      <c r="V278" s="3">
        <f t="shared" si="22"/>
        <v>0</v>
      </c>
      <c r="W278" s="3" t="str">
        <f t="shared" si="23"/>
        <v>Ø16</v>
      </c>
      <c r="X278" s="3" t="str">
        <f t="shared" si="24"/>
        <v>Ø16</v>
      </c>
    </row>
    <row r="279" spans="17:24" x14ac:dyDescent="0.3">
      <c r="Q279" s="3"/>
      <c r="R279" s="3"/>
      <c r="S279" s="3"/>
      <c r="T279" s="21"/>
      <c r="U279" s="3"/>
      <c r="V279" s="3">
        <f t="shared" si="22"/>
        <v>0</v>
      </c>
      <c r="W279" s="3" t="str">
        <f t="shared" si="23"/>
        <v>Ø16</v>
      </c>
      <c r="X279" s="3" t="str">
        <f t="shared" si="24"/>
        <v>Ø16</v>
      </c>
    </row>
    <row r="280" spans="17:24" x14ac:dyDescent="0.3">
      <c r="Q280" s="3"/>
      <c r="R280" s="3"/>
      <c r="S280" s="3"/>
      <c r="T280" s="21"/>
      <c r="U280" s="3"/>
      <c r="V280" s="3">
        <f t="shared" si="22"/>
        <v>0</v>
      </c>
      <c r="W280" s="3" t="str">
        <f t="shared" si="23"/>
        <v>Ø16</v>
      </c>
      <c r="X280" s="3" t="str">
        <f t="shared" si="24"/>
        <v>Ø16</v>
      </c>
    </row>
    <row r="281" spans="17:24" x14ac:dyDescent="0.3">
      <c r="Q281" s="3"/>
      <c r="R281" s="3"/>
      <c r="S281" s="3"/>
      <c r="T281" s="21"/>
      <c r="U281" s="3"/>
      <c r="V281" s="3">
        <f t="shared" si="22"/>
        <v>0</v>
      </c>
      <c r="W281" s="3" t="str">
        <f t="shared" si="23"/>
        <v>Ø16</v>
      </c>
      <c r="X281" s="3" t="str">
        <f t="shared" si="24"/>
        <v>Ø16</v>
      </c>
    </row>
    <row r="282" spans="17:24" x14ac:dyDescent="0.3">
      <c r="Q282" s="3"/>
      <c r="R282" s="3"/>
      <c r="S282" s="3"/>
      <c r="T282" s="21"/>
      <c r="U282" s="3"/>
      <c r="V282" s="3">
        <f t="shared" si="22"/>
        <v>0</v>
      </c>
      <c r="W282" s="3" t="str">
        <f t="shared" si="23"/>
        <v>Ø16</v>
      </c>
      <c r="X282" s="3" t="str">
        <f t="shared" si="24"/>
        <v>Ø16</v>
      </c>
    </row>
    <row r="283" spans="17:24" x14ac:dyDescent="0.3">
      <c r="Q283" s="3"/>
      <c r="R283" s="3"/>
      <c r="S283" s="3"/>
      <c r="T283" s="21"/>
      <c r="U283" s="3"/>
      <c r="V283" s="3">
        <f t="shared" si="22"/>
        <v>0</v>
      </c>
      <c r="W283" s="3" t="str">
        <f t="shared" si="23"/>
        <v>Ø16</v>
      </c>
      <c r="X283" s="3" t="str">
        <f t="shared" si="24"/>
        <v>Ø16</v>
      </c>
    </row>
    <row r="284" spans="17:24" x14ac:dyDescent="0.3">
      <c r="Q284" s="3"/>
      <c r="R284" s="3"/>
      <c r="S284" s="3"/>
      <c r="T284" s="21"/>
      <c r="U284" s="3"/>
      <c r="V284" s="3">
        <f t="shared" si="22"/>
        <v>0</v>
      </c>
      <c r="W284" s="3" t="str">
        <f t="shared" si="23"/>
        <v>Ø16</v>
      </c>
      <c r="X284" s="3" t="str">
        <f t="shared" si="24"/>
        <v>Ø16</v>
      </c>
    </row>
    <row r="285" spans="17:24" x14ac:dyDescent="0.3">
      <c r="Q285" s="3"/>
      <c r="R285" s="3"/>
      <c r="S285" s="3"/>
      <c r="T285" s="21"/>
      <c r="U285" s="3"/>
      <c r="V285" s="3">
        <f t="shared" si="22"/>
        <v>0</v>
      </c>
      <c r="W285" s="3" t="str">
        <f t="shared" si="23"/>
        <v>Ø16</v>
      </c>
      <c r="X285" s="3" t="str">
        <f t="shared" si="24"/>
        <v>Ø16</v>
      </c>
    </row>
    <row r="286" spans="17:24" x14ac:dyDescent="0.3">
      <c r="Q286" s="3"/>
      <c r="R286" s="3"/>
      <c r="S286" s="3"/>
      <c r="T286" s="21"/>
      <c r="U286" s="3"/>
      <c r="V286" s="3">
        <f t="shared" si="22"/>
        <v>0</v>
      </c>
      <c r="W286" s="3" t="str">
        <f t="shared" si="23"/>
        <v>Ø16</v>
      </c>
      <c r="X286" s="3" t="str">
        <f t="shared" si="24"/>
        <v>Ø16</v>
      </c>
    </row>
    <row r="287" spans="17:24" x14ac:dyDescent="0.3">
      <c r="Q287" s="3"/>
      <c r="R287" s="3"/>
      <c r="S287" s="3"/>
      <c r="T287" s="21"/>
      <c r="U287" s="3"/>
      <c r="V287" s="3">
        <f t="shared" si="22"/>
        <v>0</v>
      </c>
      <c r="W287" s="3" t="str">
        <f t="shared" si="23"/>
        <v>Ø16</v>
      </c>
      <c r="X287" s="3" t="str">
        <f t="shared" si="24"/>
        <v>Ø16</v>
      </c>
    </row>
    <row r="288" spans="17:24" x14ac:dyDescent="0.3">
      <c r="Q288" s="3"/>
      <c r="R288" s="3"/>
      <c r="S288" s="3"/>
      <c r="T288" s="21"/>
      <c r="U288" s="3"/>
      <c r="V288" s="3">
        <f t="shared" si="22"/>
        <v>0</v>
      </c>
      <c r="W288" s="3" t="str">
        <f t="shared" si="23"/>
        <v>Ø16</v>
      </c>
      <c r="X288" s="3" t="str">
        <f t="shared" si="24"/>
        <v>Ø16</v>
      </c>
    </row>
    <row r="289" spans="17:24" x14ac:dyDescent="0.3">
      <c r="Q289" s="3"/>
      <c r="R289" s="3"/>
      <c r="S289" s="3"/>
      <c r="T289" s="21"/>
      <c r="U289" s="3"/>
      <c r="V289" s="3">
        <f t="shared" si="22"/>
        <v>0</v>
      </c>
      <c r="W289" s="3" t="str">
        <f t="shared" si="23"/>
        <v>Ø16</v>
      </c>
      <c r="X289" s="3" t="str">
        <f t="shared" si="24"/>
        <v>Ø16</v>
      </c>
    </row>
    <row r="290" spans="17:24" x14ac:dyDescent="0.3">
      <c r="Q290" s="3"/>
      <c r="R290" s="3"/>
      <c r="S290" s="3"/>
      <c r="T290" s="21"/>
      <c r="U290" s="3"/>
      <c r="V290" s="3">
        <f t="shared" si="22"/>
        <v>0</v>
      </c>
      <c r="W290" s="3" t="str">
        <f t="shared" si="23"/>
        <v>Ø16</v>
      </c>
      <c r="X290" s="3" t="str">
        <f t="shared" si="24"/>
        <v>Ø16</v>
      </c>
    </row>
    <row r="291" spans="17:24" x14ac:dyDescent="0.3">
      <c r="Q291" s="3"/>
      <c r="R291" s="3"/>
      <c r="S291" s="3"/>
      <c r="T291" s="21"/>
      <c r="U291" s="3"/>
      <c r="V291" s="3">
        <f t="shared" si="22"/>
        <v>0</v>
      </c>
      <c r="W291" s="3" t="str">
        <f t="shared" si="23"/>
        <v>Ø16</v>
      </c>
      <c r="X291" s="3" t="str">
        <f t="shared" si="24"/>
        <v>Ø16</v>
      </c>
    </row>
    <row r="292" spans="17:24" x14ac:dyDescent="0.3">
      <c r="Q292" s="3"/>
      <c r="R292" s="3"/>
      <c r="S292" s="3"/>
      <c r="T292" s="21"/>
      <c r="U292" s="3"/>
      <c r="V292" s="3">
        <f t="shared" si="22"/>
        <v>0</v>
      </c>
      <c r="W292" s="3" t="str">
        <f t="shared" si="23"/>
        <v>Ø16</v>
      </c>
      <c r="X292" s="3" t="str">
        <f t="shared" si="24"/>
        <v>Ø16</v>
      </c>
    </row>
    <row r="293" spans="17:24" x14ac:dyDescent="0.3">
      <c r="Q293" s="3"/>
      <c r="R293" s="3"/>
      <c r="S293" s="3"/>
      <c r="T293" s="21"/>
      <c r="U293" s="3"/>
      <c r="V293" s="3">
        <f t="shared" si="22"/>
        <v>0</v>
      </c>
      <c r="W293" s="3" t="str">
        <f t="shared" si="23"/>
        <v>Ø16</v>
      </c>
      <c r="X293" s="3" t="str">
        <f t="shared" si="24"/>
        <v>Ø16</v>
      </c>
    </row>
    <row r="294" spans="17:24" x14ac:dyDescent="0.3">
      <c r="Q294" s="3"/>
      <c r="R294" s="3"/>
      <c r="S294" s="3"/>
      <c r="T294" s="21"/>
      <c r="U294" s="3"/>
      <c r="V294" s="3">
        <f t="shared" si="22"/>
        <v>0</v>
      </c>
      <c r="W294" s="3" t="str">
        <f t="shared" si="23"/>
        <v>Ø16</v>
      </c>
      <c r="X294" s="3" t="str">
        <f t="shared" si="24"/>
        <v>Ø16</v>
      </c>
    </row>
    <row r="295" spans="17:24" x14ac:dyDescent="0.3">
      <c r="Q295" s="3"/>
      <c r="R295" s="3"/>
      <c r="S295" s="3"/>
      <c r="T295" s="21"/>
      <c r="U295" s="3"/>
      <c r="V295" s="3">
        <f t="shared" si="22"/>
        <v>0</v>
      </c>
      <c r="W295" s="3" t="str">
        <f t="shared" si="23"/>
        <v>Ø16</v>
      </c>
      <c r="X295" s="3" t="str">
        <f t="shared" si="24"/>
        <v>Ø16</v>
      </c>
    </row>
    <row r="296" spans="17:24" x14ac:dyDescent="0.3">
      <c r="Q296" s="3"/>
      <c r="R296" s="3"/>
      <c r="S296" s="3"/>
      <c r="T296" s="21"/>
      <c r="U296" s="3"/>
      <c r="V296" s="3">
        <f t="shared" si="22"/>
        <v>0</v>
      </c>
      <c r="W296" s="3" t="str">
        <f t="shared" si="23"/>
        <v>Ø16</v>
      </c>
      <c r="X296" s="3" t="str">
        <f t="shared" si="24"/>
        <v>Ø16</v>
      </c>
    </row>
    <row r="297" spans="17:24" x14ac:dyDescent="0.3">
      <c r="Q297" s="3"/>
      <c r="R297" s="3"/>
      <c r="S297" s="3"/>
      <c r="T297" s="21"/>
      <c r="U297" s="3"/>
      <c r="V297" s="3">
        <f t="shared" si="22"/>
        <v>0</v>
      </c>
      <c r="W297" s="3" t="str">
        <f t="shared" si="23"/>
        <v>Ø16</v>
      </c>
      <c r="X297" s="3" t="str">
        <f t="shared" si="24"/>
        <v>Ø16</v>
      </c>
    </row>
    <row r="298" spans="17:24" x14ac:dyDescent="0.3">
      <c r="Q298" s="3"/>
      <c r="R298" s="3"/>
      <c r="S298" s="3"/>
      <c r="T298" s="21"/>
      <c r="U298" s="3"/>
      <c r="V298" s="3">
        <f t="shared" si="22"/>
        <v>0</v>
      </c>
      <c r="W298" s="3" t="str">
        <f t="shared" si="23"/>
        <v>Ø16</v>
      </c>
      <c r="X298" s="3" t="str">
        <f t="shared" si="24"/>
        <v>Ø16</v>
      </c>
    </row>
    <row r="299" spans="17:24" x14ac:dyDescent="0.3">
      <c r="Q299" s="3"/>
      <c r="R299" s="3"/>
      <c r="S299" s="3"/>
      <c r="T299" s="21"/>
      <c r="U299" s="3"/>
      <c r="V299" s="3">
        <f t="shared" si="22"/>
        <v>0</v>
      </c>
      <c r="W299" s="3" t="str">
        <f t="shared" si="23"/>
        <v>Ø16</v>
      </c>
      <c r="X299" s="3" t="str">
        <f t="shared" si="24"/>
        <v>Ø16</v>
      </c>
    </row>
    <row r="300" spans="17:24" x14ac:dyDescent="0.3">
      <c r="Q300" s="3"/>
      <c r="R300" s="3"/>
      <c r="S300" s="3"/>
      <c r="T300" s="21"/>
      <c r="U300" s="3"/>
      <c r="V300" s="3">
        <f t="shared" si="22"/>
        <v>0</v>
      </c>
      <c r="W300" s="3" t="str">
        <f t="shared" si="23"/>
        <v>Ø16</v>
      </c>
      <c r="X300" s="3" t="str">
        <f t="shared" si="24"/>
        <v>Ø16</v>
      </c>
    </row>
    <row r="301" spans="17:24" x14ac:dyDescent="0.3">
      <c r="Q301" s="3"/>
      <c r="R301" s="3"/>
      <c r="S301" s="3"/>
      <c r="T301" s="21"/>
      <c r="U301" s="3"/>
      <c r="V301" s="3">
        <f t="shared" si="22"/>
        <v>0</v>
      </c>
      <c r="W301" s="3" t="str">
        <f t="shared" si="23"/>
        <v>Ø16</v>
      </c>
      <c r="X301" s="3" t="str">
        <f t="shared" si="24"/>
        <v>Ø16</v>
      </c>
    </row>
    <row r="302" spans="17:24" x14ac:dyDescent="0.3">
      <c r="Q302" s="3"/>
      <c r="R302" s="3"/>
      <c r="S302" s="3"/>
      <c r="T302" s="21"/>
      <c r="U302" s="3"/>
      <c r="V302" s="3">
        <f t="shared" si="22"/>
        <v>0</v>
      </c>
      <c r="W302" s="3" t="str">
        <f t="shared" si="23"/>
        <v>Ø16</v>
      </c>
      <c r="X302" s="3" t="str">
        <f t="shared" si="24"/>
        <v>Ø16</v>
      </c>
    </row>
    <row r="303" spans="17:24" x14ac:dyDescent="0.3">
      <c r="Q303" s="3"/>
      <c r="R303" s="3"/>
      <c r="S303" s="3"/>
      <c r="T303" s="21"/>
      <c r="U303" s="3"/>
      <c r="V303" s="3">
        <f t="shared" si="22"/>
        <v>0</v>
      </c>
      <c r="W303" s="3" t="str">
        <f t="shared" si="23"/>
        <v>Ø16</v>
      </c>
      <c r="X303" s="3" t="str">
        <f t="shared" si="24"/>
        <v>Ø16</v>
      </c>
    </row>
    <row r="304" spans="17:24" x14ac:dyDescent="0.3">
      <c r="Q304" s="3"/>
      <c r="R304" s="3"/>
      <c r="S304" s="3"/>
      <c r="T304" s="21"/>
      <c r="U304" s="3"/>
      <c r="V304" s="3">
        <f t="shared" si="22"/>
        <v>0</v>
      </c>
      <c r="W304" s="3" t="str">
        <f t="shared" si="23"/>
        <v>Ø16</v>
      </c>
      <c r="X304" s="3" t="str">
        <f t="shared" si="24"/>
        <v>Ø16</v>
      </c>
    </row>
    <row r="305" spans="17:24" x14ac:dyDescent="0.3">
      <c r="Q305" s="3"/>
      <c r="R305" s="3"/>
      <c r="S305" s="3"/>
      <c r="T305" s="21"/>
      <c r="U305" s="3"/>
      <c r="V305" s="3">
        <f t="shared" si="22"/>
        <v>0</v>
      </c>
      <c r="W305" s="3" t="str">
        <f t="shared" si="23"/>
        <v>Ø16</v>
      </c>
      <c r="X305" s="3" t="str">
        <f t="shared" si="24"/>
        <v>Ø16</v>
      </c>
    </row>
    <row r="306" spans="17:24" x14ac:dyDescent="0.3">
      <c r="Q306" s="3"/>
      <c r="R306" s="3"/>
      <c r="S306" s="3"/>
      <c r="T306" s="21"/>
      <c r="U306" s="3"/>
      <c r="V306" s="3">
        <f t="shared" si="22"/>
        <v>0</v>
      </c>
      <c r="W306" s="3" t="str">
        <f t="shared" si="23"/>
        <v>Ø16</v>
      </c>
      <c r="X306" s="3" t="str">
        <f t="shared" si="24"/>
        <v>Ø16</v>
      </c>
    </row>
    <row r="307" spans="17:24" x14ac:dyDescent="0.3">
      <c r="Q307" s="3"/>
      <c r="R307" s="3"/>
      <c r="S307" s="3"/>
      <c r="T307" s="21"/>
      <c r="U307" s="3"/>
      <c r="V307" s="3">
        <f t="shared" si="22"/>
        <v>0</v>
      </c>
      <c r="W307" s="3" t="str">
        <f t="shared" si="23"/>
        <v>Ø16</v>
      </c>
      <c r="X307" s="3" t="str">
        <f t="shared" si="24"/>
        <v>Ø16</v>
      </c>
    </row>
    <row r="308" spans="17:24" x14ac:dyDescent="0.3">
      <c r="Q308" s="3"/>
      <c r="R308" s="3"/>
      <c r="S308" s="3"/>
      <c r="T308" s="21"/>
      <c r="U308" s="3"/>
      <c r="V308" s="3">
        <f t="shared" si="22"/>
        <v>0</v>
      </c>
      <c r="W308" s="3" t="str">
        <f t="shared" si="23"/>
        <v>Ø16</v>
      </c>
      <c r="X308" s="3" t="str">
        <f t="shared" si="24"/>
        <v>Ø16</v>
      </c>
    </row>
    <row r="309" spans="17:24" x14ac:dyDescent="0.3">
      <c r="Q309" s="3"/>
      <c r="R309" s="3"/>
      <c r="S309" s="3"/>
      <c r="T309" s="21"/>
      <c r="U309" s="3"/>
      <c r="V309" s="3">
        <f t="shared" si="22"/>
        <v>0</v>
      </c>
      <c r="W309" s="3" t="str">
        <f t="shared" si="23"/>
        <v>Ø16</v>
      </c>
      <c r="X309" s="3" t="str">
        <f t="shared" si="24"/>
        <v>Ø16</v>
      </c>
    </row>
    <row r="310" spans="17:24" x14ac:dyDescent="0.3">
      <c r="Q310" s="3"/>
      <c r="R310" s="3"/>
      <c r="S310" s="3"/>
      <c r="T310" s="21"/>
      <c r="U310" s="3"/>
      <c r="V310" s="3">
        <f t="shared" si="22"/>
        <v>0</v>
      </c>
      <c r="W310" s="3" t="str">
        <f t="shared" si="23"/>
        <v>Ø16</v>
      </c>
      <c r="X310" s="3" t="str">
        <f t="shared" si="24"/>
        <v>Ø16</v>
      </c>
    </row>
    <row r="311" spans="17:24" x14ac:dyDescent="0.3">
      <c r="Q311" s="3"/>
      <c r="R311" s="3"/>
      <c r="S311" s="3"/>
      <c r="T311" s="21"/>
      <c r="U311" s="3"/>
      <c r="V311" s="3">
        <f t="shared" si="22"/>
        <v>0</v>
      </c>
      <c r="W311" s="3" t="str">
        <f t="shared" si="23"/>
        <v>Ø16</v>
      </c>
      <c r="X311" s="3" t="str">
        <f t="shared" si="24"/>
        <v>Ø16</v>
      </c>
    </row>
    <row r="312" spans="17:24" x14ac:dyDescent="0.3">
      <c r="Q312" s="3"/>
      <c r="R312" s="3"/>
      <c r="S312" s="3"/>
      <c r="T312" s="21"/>
      <c r="U312" s="3"/>
      <c r="V312" s="3">
        <f t="shared" si="22"/>
        <v>0</v>
      </c>
      <c r="W312" s="3" t="str">
        <f t="shared" si="23"/>
        <v>Ø16</v>
      </c>
      <c r="X312" s="3" t="str">
        <f t="shared" si="24"/>
        <v>Ø16</v>
      </c>
    </row>
    <row r="313" spans="17:24" x14ac:dyDescent="0.3">
      <c r="Q313" s="3"/>
      <c r="R313" s="3"/>
      <c r="S313" s="3"/>
      <c r="T313" s="21"/>
      <c r="U313" s="3"/>
      <c r="V313" s="3">
        <f t="shared" si="22"/>
        <v>0</v>
      </c>
      <c r="W313" s="3" t="str">
        <f t="shared" si="23"/>
        <v>Ø16</v>
      </c>
      <c r="X313" s="3" t="str">
        <f t="shared" si="24"/>
        <v>Ø16</v>
      </c>
    </row>
    <row r="314" spans="17:24" x14ac:dyDescent="0.3">
      <c r="Q314" s="3"/>
      <c r="R314" s="3"/>
      <c r="S314" s="3"/>
      <c r="T314" s="21"/>
      <c r="U314" s="3"/>
      <c r="V314" s="3">
        <f t="shared" si="22"/>
        <v>0</v>
      </c>
      <c r="W314" s="3" t="str">
        <f t="shared" si="23"/>
        <v>Ø16</v>
      </c>
      <c r="X314" s="3" t="str">
        <f t="shared" si="24"/>
        <v>Ø16</v>
      </c>
    </row>
    <row r="315" spans="17:24" x14ac:dyDescent="0.3">
      <c r="Q315" s="3"/>
      <c r="R315" s="3"/>
      <c r="S315" s="3"/>
      <c r="T315" s="21"/>
      <c r="U315" s="3"/>
      <c r="V315" s="3">
        <f t="shared" si="22"/>
        <v>0</v>
      </c>
      <c r="W315" s="3" t="str">
        <f t="shared" si="23"/>
        <v>Ø16</v>
      </c>
      <c r="X315" s="3" t="str">
        <f t="shared" si="24"/>
        <v>Ø16</v>
      </c>
    </row>
    <row r="316" spans="17:24" x14ac:dyDescent="0.3">
      <c r="Q316" s="3"/>
      <c r="R316" s="3"/>
      <c r="S316" s="3"/>
      <c r="T316" s="21"/>
      <c r="U316" s="3"/>
      <c r="V316" s="3">
        <f t="shared" si="22"/>
        <v>0</v>
      </c>
      <c r="W316" s="3" t="str">
        <f t="shared" si="23"/>
        <v>Ø16</v>
      </c>
      <c r="X316" s="3" t="str">
        <f t="shared" si="24"/>
        <v>Ø16</v>
      </c>
    </row>
    <row r="317" spans="17:24" x14ac:dyDescent="0.3">
      <c r="Q317" s="3"/>
      <c r="R317" s="3"/>
      <c r="S317" s="3"/>
      <c r="T317" s="21"/>
      <c r="U317" s="3"/>
      <c r="V317" s="3">
        <f t="shared" si="22"/>
        <v>0</v>
      </c>
      <c r="W317" s="3" t="str">
        <f t="shared" si="23"/>
        <v>Ø16</v>
      </c>
      <c r="X317" s="3" t="str">
        <f t="shared" si="24"/>
        <v>Ø16</v>
      </c>
    </row>
    <row r="318" spans="17:24" x14ac:dyDescent="0.3">
      <c r="Q318" s="3"/>
      <c r="R318" s="3"/>
      <c r="S318" s="3"/>
      <c r="T318" s="21"/>
      <c r="U318" s="3"/>
      <c r="V318" s="3">
        <f t="shared" si="22"/>
        <v>0</v>
      </c>
      <c r="W318" s="3" t="str">
        <f t="shared" si="23"/>
        <v>Ø16</v>
      </c>
      <c r="X318" s="3" t="str">
        <f t="shared" si="24"/>
        <v>Ø16</v>
      </c>
    </row>
    <row r="319" spans="17:24" x14ac:dyDescent="0.3">
      <c r="Q319" s="3"/>
      <c r="R319" s="3"/>
      <c r="S319" s="3"/>
      <c r="T319" s="21"/>
      <c r="U319" s="3"/>
      <c r="V319" s="3">
        <f t="shared" si="22"/>
        <v>0</v>
      </c>
      <c r="W319" s="3" t="str">
        <f t="shared" si="23"/>
        <v>Ø16</v>
      </c>
      <c r="X319" s="3" t="str">
        <f t="shared" si="24"/>
        <v>Ø16</v>
      </c>
    </row>
    <row r="320" spans="17:24" x14ac:dyDescent="0.3">
      <c r="Q320" s="3"/>
      <c r="R320" s="3"/>
      <c r="S320" s="3"/>
      <c r="T320" s="21"/>
      <c r="U320" s="3"/>
      <c r="V320" s="3">
        <f t="shared" si="22"/>
        <v>0</v>
      </c>
      <c r="W320" s="3" t="str">
        <f t="shared" si="23"/>
        <v>Ø16</v>
      </c>
      <c r="X320" s="3" t="str">
        <f t="shared" si="24"/>
        <v>Ø16</v>
      </c>
    </row>
    <row r="321" spans="17:24" x14ac:dyDescent="0.3">
      <c r="Q321" s="3"/>
      <c r="R321" s="3"/>
      <c r="S321" s="3"/>
      <c r="T321" s="21"/>
      <c r="U321" s="3"/>
      <c r="V321" s="3">
        <f t="shared" si="22"/>
        <v>0</v>
      </c>
      <c r="W321" s="3" t="str">
        <f t="shared" si="23"/>
        <v>Ø16</v>
      </c>
      <c r="X321" s="3" t="str">
        <f t="shared" si="24"/>
        <v>Ø16</v>
      </c>
    </row>
    <row r="322" spans="17:24" x14ac:dyDescent="0.3">
      <c r="Q322" s="3"/>
      <c r="R322" s="3"/>
      <c r="S322" s="3"/>
      <c r="T322" s="21"/>
      <c r="U322" s="3"/>
      <c r="V322" s="3">
        <f t="shared" si="22"/>
        <v>0</v>
      </c>
      <c r="W322" s="3" t="str">
        <f t="shared" si="23"/>
        <v>Ø16</v>
      </c>
      <c r="X322" s="3" t="str">
        <f t="shared" si="24"/>
        <v>Ø16</v>
      </c>
    </row>
    <row r="323" spans="17:24" x14ac:dyDescent="0.3">
      <c r="Q323" s="3"/>
      <c r="R323" s="3"/>
      <c r="S323" s="3"/>
      <c r="T323" s="21"/>
      <c r="U323" s="3"/>
      <c r="V323" s="3">
        <f t="shared" si="22"/>
        <v>0</v>
      </c>
      <c r="W323" s="3" t="str">
        <f t="shared" si="23"/>
        <v>Ø16</v>
      </c>
      <c r="X323" s="3" t="str">
        <f t="shared" si="24"/>
        <v>Ø16</v>
      </c>
    </row>
    <row r="324" spans="17:24" x14ac:dyDescent="0.3">
      <c r="Q324" s="3"/>
      <c r="R324" s="3"/>
      <c r="S324" s="3"/>
      <c r="T324" s="21"/>
      <c r="U324" s="3"/>
      <c r="V324" s="3">
        <f t="shared" si="22"/>
        <v>0</v>
      </c>
      <c r="W324" s="3" t="str">
        <f t="shared" si="23"/>
        <v>Ø16</v>
      </c>
      <c r="X324" s="3" t="str">
        <f t="shared" si="24"/>
        <v>Ø16</v>
      </c>
    </row>
    <row r="325" spans="17:24" x14ac:dyDescent="0.3">
      <c r="Q325" s="3"/>
      <c r="R325" s="3"/>
      <c r="S325" s="3"/>
      <c r="T325" s="21"/>
      <c r="U325" s="3"/>
      <c r="V325" s="3">
        <f t="shared" ref="V325:V388" si="25">U325*1.2</f>
        <v>0</v>
      </c>
      <c r="W325" s="3" t="str">
        <f t="shared" ref="W325:W388" si="26">"Ø"&amp;VLOOKUP(V325,$Z$4:$AA$10,2,TRUE)</f>
        <v>Ø16</v>
      </c>
      <c r="X325" s="3" t="str">
        <f t="shared" ref="X325:X388" si="27">"Ø"&amp;VLOOKUP(V325,$AD$4:$AE$10,2,TRUE)</f>
        <v>Ø16</v>
      </c>
    </row>
    <row r="326" spans="17:24" x14ac:dyDescent="0.3">
      <c r="Q326" s="3"/>
      <c r="R326" s="3"/>
      <c r="S326" s="3"/>
      <c r="T326" s="21"/>
      <c r="U326" s="3"/>
      <c r="V326" s="3">
        <f t="shared" si="25"/>
        <v>0</v>
      </c>
      <c r="W326" s="3" t="str">
        <f t="shared" si="26"/>
        <v>Ø16</v>
      </c>
      <c r="X326" s="3" t="str">
        <f t="shared" si="27"/>
        <v>Ø16</v>
      </c>
    </row>
    <row r="327" spans="17:24" x14ac:dyDescent="0.3">
      <c r="Q327" s="3"/>
      <c r="R327" s="3"/>
      <c r="S327" s="3"/>
      <c r="T327" s="21"/>
      <c r="U327" s="3"/>
      <c r="V327" s="3">
        <f t="shared" si="25"/>
        <v>0</v>
      </c>
      <c r="W327" s="3" t="str">
        <f t="shared" si="26"/>
        <v>Ø16</v>
      </c>
      <c r="X327" s="3" t="str">
        <f t="shared" si="27"/>
        <v>Ø16</v>
      </c>
    </row>
    <row r="328" spans="17:24" x14ac:dyDescent="0.3">
      <c r="Q328" s="3"/>
      <c r="R328" s="3"/>
      <c r="S328" s="3"/>
      <c r="T328" s="21"/>
      <c r="U328" s="3"/>
      <c r="V328" s="3">
        <f t="shared" si="25"/>
        <v>0</v>
      </c>
      <c r="W328" s="3" t="str">
        <f t="shared" si="26"/>
        <v>Ø16</v>
      </c>
      <c r="X328" s="3" t="str">
        <f t="shared" si="27"/>
        <v>Ø16</v>
      </c>
    </row>
    <row r="329" spans="17:24" x14ac:dyDescent="0.3">
      <c r="Q329" s="3"/>
      <c r="R329" s="3"/>
      <c r="S329" s="3"/>
      <c r="T329" s="21"/>
      <c r="U329" s="3"/>
      <c r="V329" s="3">
        <f t="shared" si="25"/>
        <v>0</v>
      </c>
      <c r="W329" s="3" t="str">
        <f t="shared" si="26"/>
        <v>Ø16</v>
      </c>
      <c r="X329" s="3" t="str">
        <f t="shared" si="27"/>
        <v>Ø16</v>
      </c>
    </row>
    <row r="330" spans="17:24" x14ac:dyDescent="0.3">
      <c r="Q330" s="3"/>
      <c r="R330" s="3"/>
      <c r="S330" s="3"/>
      <c r="T330" s="21"/>
      <c r="U330" s="3"/>
      <c r="V330" s="3">
        <f t="shared" si="25"/>
        <v>0</v>
      </c>
      <c r="W330" s="3" t="str">
        <f t="shared" si="26"/>
        <v>Ø16</v>
      </c>
      <c r="X330" s="3" t="str">
        <f t="shared" si="27"/>
        <v>Ø16</v>
      </c>
    </row>
    <row r="331" spans="17:24" x14ac:dyDescent="0.3">
      <c r="Q331" s="3"/>
      <c r="R331" s="3"/>
      <c r="S331" s="3"/>
      <c r="T331" s="21"/>
      <c r="U331" s="3"/>
      <c r="V331" s="3">
        <f t="shared" si="25"/>
        <v>0</v>
      </c>
      <c r="W331" s="3" t="str">
        <f t="shared" si="26"/>
        <v>Ø16</v>
      </c>
      <c r="X331" s="3" t="str">
        <f t="shared" si="27"/>
        <v>Ø16</v>
      </c>
    </row>
    <row r="332" spans="17:24" x14ac:dyDescent="0.3">
      <c r="Q332" s="3"/>
      <c r="R332" s="3"/>
      <c r="S332" s="3"/>
      <c r="T332" s="21"/>
      <c r="U332" s="3"/>
      <c r="V332" s="3">
        <f t="shared" si="25"/>
        <v>0</v>
      </c>
      <c r="W332" s="3" t="str">
        <f t="shared" si="26"/>
        <v>Ø16</v>
      </c>
      <c r="X332" s="3" t="str">
        <f t="shared" si="27"/>
        <v>Ø16</v>
      </c>
    </row>
    <row r="333" spans="17:24" x14ac:dyDescent="0.3">
      <c r="Q333" s="3"/>
      <c r="R333" s="3"/>
      <c r="S333" s="3"/>
      <c r="T333" s="21"/>
      <c r="U333" s="3"/>
      <c r="V333" s="3">
        <f t="shared" si="25"/>
        <v>0</v>
      </c>
      <c r="W333" s="3" t="str">
        <f t="shared" si="26"/>
        <v>Ø16</v>
      </c>
      <c r="X333" s="3" t="str">
        <f t="shared" si="27"/>
        <v>Ø16</v>
      </c>
    </row>
    <row r="334" spans="17:24" x14ac:dyDescent="0.3">
      <c r="Q334" s="3"/>
      <c r="R334" s="3"/>
      <c r="S334" s="3"/>
      <c r="T334" s="21"/>
      <c r="U334" s="3"/>
      <c r="V334" s="3">
        <f t="shared" si="25"/>
        <v>0</v>
      </c>
      <c r="W334" s="3" t="str">
        <f t="shared" si="26"/>
        <v>Ø16</v>
      </c>
      <c r="X334" s="3" t="str">
        <f t="shared" si="27"/>
        <v>Ø16</v>
      </c>
    </row>
    <row r="335" spans="17:24" x14ac:dyDescent="0.3">
      <c r="Q335" s="3"/>
      <c r="R335" s="3"/>
      <c r="S335" s="3"/>
      <c r="T335" s="21"/>
      <c r="U335" s="3"/>
      <c r="V335" s="3">
        <f t="shared" si="25"/>
        <v>0</v>
      </c>
      <c r="W335" s="3" t="str">
        <f t="shared" si="26"/>
        <v>Ø16</v>
      </c>
      <c r="X335" s="3" t="str">
        <f t="shared" si="27"/>
        <v>Ø16</v>
      </c>
    </row>
    <row r="336" spans="17:24" x14ac:dyDescent="0.3">
      <c r="Q336" s="3"/>
      <c r="R336" s="3"/>
      <c r="S336" s="3"/>
      <c r="T336" s="21"/>
      <c r="U336" s="3"/>
      <c r="V336" s="3">
        <f t="shared" si="25"/>
        <v>0</v>
      </c>
      <c r="W336" s="3" t="str">
        <f t="shared" si="26"/>
        <v>Ø16</v>
      </c>
      <c r="X336" s="3" t="str">
        <f t="shared" si="27"/>
        <v>Ø16</v>
      </c>
    </row>
    <row r="337" spans="17:24" x14ac:dyDescent="0.3">
      <c r="Q337" s="3"/>
      <c r="R337" s="3"/>
      <c r="S337" s="3"/>
      <c r="T337" s="21"/>
      <c r="U337" s="3"/>
      <c r="V337" s="3">
        <f t="shared" si="25"/>
        <v>0</v>
      </c>
      <c r="W337" s="3" t="str">
        <f t="shared" si="26"/>
        <v>Ø16</v>
      </c>
      <c r="X337" s="3" t="str">
        <f t="shared" si="27"/>
        <v>Ø16</v>
      </c>
    </row>
    <row r="338" spans="17:24" x14ac:dyDescent="0.3">
      <c r="Q338" s="3"/>
      <c r="R338" s="3"/>
      <c r="S338" s="3"/>
      <c r="T338" s="21"/>
      <c r="U338" s="3"/>
      <c r="V338" s="3">
        <f t="shared" si="25"/>
        <v>0</v>
      </c>
      <c r="W338" s="3" t="str">
        <f t="shared" si="26"/>
        <v>Ø16</v>
      </c>
      <c r="X338" s="3" t="str">
        <f t="shared" si="27"/>
        <v>Ø16</v>
      </c>
    </row>
    <row r="339" spans="17:24" x14ac:dyDescent="0.3">
      <c r="Q339" s="3"/>
      <c r="R339" s="3"/>
      <c r="S339" s="3"/>
      <c r="T339" s="21"/>
      <c r="U339" s="3"/>
      <c r="V339" s="3">
        <f t="shared" si="25"/>
        <v>0</v>
      </c>
      <c r="W339" s="3" t="str">
        <f t="shared" si="26"/>
        <v>Ø16</v>
      </c>
      <c r="X339" s="3" t="str">
        <f t="shared" si="27"/>
        <v>Ø16</v>
      </c>
    </row>
    <row r="340" spans="17:24" x14ac:dyDescent="0.3">
      <c r="Q340" s="3"/>
      <c r="R340" s="3"/>
      <c r="S340" s="3"/>
      <c r="T340" s="21"/>
      <c r="U340" s="3"/>
      <c r="V340" s="3">
        <f t="shared" si="25"/>
        <v>0</v>
      </c>
      <c r="W340" s="3" t="str">
        <f t="shared" si="26"/>
        <v>Ø16</v>
      </c>
      <c r="X340" s="3" t="str">
        <f t="shared" si="27"/>
        <v>Ø16</v>
      </c>
    </row>
    <row r="341" spans="17:24" x14ac:dyDescent="0.3">
      <c r="Q341" s="3"/>
      <c r="R341" s="3"/>
      <c r="S341" s="3"/>
      <c r="T341" s="21"/>
      <c r="U341" s="3"/>
      <c r="V341" s="3">
        <f t="shared" si="25"/>
        <v>0</v>
      </c>
      <c r="W341" s="3" t="str">
        <f t="shared" si="26"/>
        <v>Ø16</v>
      </c>
      <c r="X341" s="3" t="str">
        <f t="shared" si="27"/>
        <v>Ø16</v>
      </c>
    </row>
    <row r="342" spans="17:24" x14ac:dyDescent="0.3">
      <c r="Q342" s="3"/>
      <c r="R342" s="3"/>
      <c r="S342" s="3"/>
      <c r="T342" s="21"/>
      <c r="U342" s="3"/>
      <c r="V342" s="3">
        <f t="shared" si="25"/>
        <v>0</v>
      </c>
      <c r="W342" s="3" t="str">
        <f t="shared" si="26"/>
        <v>Ø16</v>
      </c>
      <c r="X342" s="3" t="str">
        <f t="shared" si="27"/>
        <v>Ø16</v>
      </c>
    </row>
    <row r="343" spans="17:24" x14ac:dyDescent="0.3">
      <c r="Q343" s="3"/>
      <c r="R343" s="3"/>
      <c r="S343" s="3"/>
      <c r="T343" s="21"/>
      <c r="U343" s="3"/>
      <c r="V343" s="3">
        <f t="shared" si="25"/>
        <v>0</v>
      </c>
      <c r="W343" s="3" t="str">
        <f t="shared" si="26"/>
        <v>Ø16</v>
      </c>
      <c r="X343" s="3" t="str">
        <f t="shared" si="27"/>
        <v>Ø16</v>
      </c>
    </row>
    <row r="344" spans="17:24" x14ac:dyDescent="0.3">
      <c r="Q344" s="3"/>
      <c r="R344" s="3"/>
      <c r="S344" s="3"/>
      <c r="T344" s="21"/>
      <c r="U344" s="3"/>
      <c r="V344" s="3">
        <f t="shared" si="25"/>
        <v>0</v>
      </c>
      <c r="W344" s="3" t="str">
        <f t="shared" si="26"/>
        <v>Ø16</v>
      </c>
      <c r="X344" s="3" t="str">
        <f t="shared" si="27"/>
        <v>Ø16</v>
      </c>
    </row>
    <row r="345" spans="17:24" x14ac:dyDescent="0.3">
      <c r="Q345" s="3"/>
      <c r="R345" s="3"/>
      <c r="S345" s="3"/>
      <c r="T345" s="21"/>
      <c r="U345" s="3"/>
      <c r="V345" s="3">
        <f t="shared" si="25"/>
        <v>0</v>
      </c>
      <c r="W345" s="3" t="str">
        <f t="shared" si="26"/>
        <v>Ø16</v>
      </c>
      <c r="X345" s="3" t="str">
        <f t="shared" si="27"/>
        <v>Ø16</v>
      </c>
    </row>
    <row r="346" spans="17:24" x14ac:dyDescent="0.3">
      <c r="Q346" s="3"/>
      <c r="R346" s="3"/>
      <c r="S346" s="3"/>
      <c r="T346" s="21"/>
      <c r="U346" s="3"/>
      <c r="V346" s="3">
        <f t="shared" si="25"/>
        <v>0</v>
      </c>
      <c r="W346" s="3" t="str">
        <f t="shared" si="26"/>
        <v>Ø16</v>
      </c>
      <c r="X346" s="3" t="str">
        <f t="shared" si="27"/>
        <v>Ø16</v>
      </c>
    </row>
    <row r="347" spans="17:24" x14ac:dyDescent="0.3">
      <c r="Q347" s="3"/>
      <c r="R347" s="3"/>
      <c r="S347" s="3"/>
      <c r="T347" s="21"/>
      <c r="U347" s="3"/>
      <c r="V347" s="3">
        <f t="shared" si="25"/>
        <v>0</v>
      </c>
      <c r="W347" s="3" t="str">
        <f t="shared" si="26"/>
        <v>Ø16</v>
      </c>
      <c r="X347" s="3" t="str">
        <f t="shared" si="27"/>
        <v>Ø16</v>
      </c>
    </row>
    <row r="348" spans="17:24" x14ac:dyDescent="0.3">
      <c r="Q348" s="3"/>
      <c r="R348" s="3"/>
      <c r="S348" s="3"/>
      <c r="T348" s="21"/>
      <c r="U348" s="3"/>
      <c r="V348" s="3">
        <f t="shared" si="25"/>
        <v>0</v>
      </c>
      <c r="W348" s="3" t="str">
        <f t="shared" si="26"/>
        <v>Ø16</v>
      </c>
      <c r="X348" s="3" t="str">
        <f t="shared" si="27"/>
        <v>Ø16</v>
      </c>
    </row>
    <row r="349" spans="17:24" x14ac:dyDescent="0.3">
      <c r="Q349" s="3"/>
      <c r="R349" s="3"/>
      <c r="S349" s="3"/>
      <c r="T349" s="21"/>
      <c r="U349" s="3"/>
      <c r="V349" s="3">
        <f t="shared" si="25"/>
        <v>0</v>
      </c>
      <c r="W349" s="3" t="str">
        <f t="shared" si="26"/>
        <v>Ø16</v>
      </c>
      <c r="X349" s="3" t="str">
        <f t="shared" si="27"/>
        <v>Ø16</v>
      </c>
    </row>
    <row r="350" spans="17:24" x14ac:dyDescent="0.3">
      <c r="Q350" s="3"/>
      <c r="R350" s="3"/>
      <c r="S350" s="3"/>
      <c r="T350" s="21"/>
      <c r="U350" s="3"/>
      <c r="V350" s="3">
        <f t="shared" si="25"/>
        <v>0</v>
      </c>
      <c r="W350" s="3" t="str">
        <f t="shared" si="26"/>
        <v>Ø16</v>
      </c>
      <c r="X350" s="3" t="str">
        <f t="shared" si="27"/>
        <v>Ø16</v>
      </c>
    </row>
    <row r="351" spans="17:24" x14ac:dyDescent="0.3">
      <c r="Q351" s="3"/>
      <c r="R351" s="3"/>
      <c r="S351" s="3"/>
      <c r="T351" s="21"/>
      <c r="U351" s="3"/>
      <c r="V351" s="3">
        <f t="shared" si="25"/>
        <v>0</v>
      </c>
      <c r="W351" s="3" t="str">
        <f t="shared" si="26"/>
        <v>Ø16</v>
      </c>
      <c r="X351" s="3" t="str">
        <f t="shared" si="27"/>
        <v>Ø16</v>
      </c>
    </row>
    <row r="352" spans="17:24" x14ac:dyDescent="0.3">
      <c r="Q352" s="3"/>
      <c r="R352" s="3"/>
      <c r="S352" s="3"/>
      <c r="T352" s="21"/>
      <c r="U352" s="3"/>
      <c r="V352" s="3">
        <f t="shared" si="25"/>
        <v>0</v>
      </c>
      <c r="W352" s="3" t="str">
        <f t="shared" si="26"/>
        <v>Ø16</v>
      </c>
      <c r="X352" s="3" t="str">
        <f t="shared" si="27"/>
        <v>Ø16</v>
      </c>
    </row>
    <row r="353" spans="17:24" x14ac:dyDescent="0.3">
      <c r="Q353" s="3"/>
      <c r="R353" s="3"/>
      <c r="S353" s="3"/>
      <c r="T353" s="21"/>
      <c r="U353" s="3"/>
      <c r="V353" s="3">
        <f t="shared" si="25"/>
        <v>0</v>
      </c>
      <c r="W353" s="3" t="str">
        <f t="shared" si="26"/>
        <v>Ø16</v>
      </c>
      <c r="X353" s="3" t="str">
        <f t="shared" si="27"/>
        <v>Ø16</v>
      </c>
    </row>
    <row r="354" spans="17:24" x14ac:dyDescent="0.3">
      <c r="Q354" s="3"/>
      <c r="R354" s="3"/>
      <c r="S354" s="3"/>
      <c r="T354" s="21"/>
      <c r="U354" s="3"/>
      <c r="V354" s="3">
        <f t="shared" si="25"/>
        <v>0</v>
      </c>
      <c r="W354" s="3" t="str">
        <f t="shared" si="26"/>
        <v>Ø16</v>
      </c>
      <c r="X354" s="3" t="str">
        <f t="shared" si="27"/>
        <v>Ø16</v>
      </c>
    </row>
    <row r="355" spans="17:24" x14ac:dyDescent="0.3">
      <c r="Q355" s="3"/>
      <c r="R355" s="3"/>
      <c r="S355" s="3"/>
      <c r="T355" s="21"/>
      <c r="U355" s="3"/>
      <c r="V355" s="3">
        <f t="shared" si="25"/>
        <v>0</v>
      </c>
      <c r="W355" s="3" t="str">
        <f t="shared" si="26"/>
        <v>Ø16</v>
      </c>
      <c r="X355" s="3" t="str">
        <f t="shared" si="27"/>
        <v>Ø16</v>
      </c>
    </row>
    <row r="356" spans="17:24" x14ac:dyDescent="0.3">
      <c r="Q356" s="3"/>
      <c r="R356" s="3"/>
      <c r="S356" s="3"/>
      <c r="T356" s="21"/>
      <c r="U356" s="3"/>
      <c r="V356" s="3">
        <f t="shared" si="25"/>
        <v>0</v>
      </c>
      <c r="W356" s="3" t="str">
        <f t="shared" si="26"/>
        <v>Ø16</v>
      </c>
      <c r="X356" s="3" t="str">
        <f t="shared" si="27"/>
        <v>Ø16</v>
      </c>
    </row>
    <row r="357" spans="17:24" x14ac:dyDescent="0.3">
      <c r="Q357" s="3"/>
      <c r="R357" s="3"/>
      <c r="S357" s="3"/>
      <c r="T357" s="21"/>
      <c r="U357" s="3"/>
      <c r="V357" s="3">
        <f t="shared" si="25"/>
        <v>0</v>
      </c>
      <c r="W357" s="3" t="str">
        <f t="shared" si="26"/>
        <v>Ø16</v>
      </c>
      <c r="X357" s="3" t="str">
        <f t="shared" si="27"/>
        <v>Ø16</v>
      </c>
    </row>
    <row r="358" spans="17:24" x14ac:dyDescent="0.3">
      <c r="Q358" s="3"/>
      <c r="R358" s="3"/>
      <c r="S358" s="3"/>
      <c r="T358" s="21"/>
      <c r="U358" s="3"/>
      <c r="V358" s="3">
        <f t="shared" si="25"/>
        <v>0</v>
      </c>
      <c r="W358" s="3" t="str">
        <f t="shared" si="26"/>
        <v>Ø16</v>
      </c>
      <c r="X358" s="3" t="str">
        <f t="shared" si="27"/>
        <v>Ø16</v>
      </c>
    </row>
    <row r="359" spans="17:24" x14ac:dyDescent="0.3">
      <c r="Q359" s="3"/>
      <c r="R359" s="3"/>
      <c r="S359" s="3"/>
      <c r="T359" s="21"/>
      <c r="U359" s="3"/>
      <c r="V359" s="3">
        <f t="shared" si="25"/>
        <v>0</v>
      </c>
      <c r="W359" s="3" t="str">
        <f t="shared" si="26"/>
        <v>Ø16</v>
      </c>
      <c r="X359" s="3" t="str">
        <f t="shared" si="27"/>
        <v>Ø16</v>
      </c>
    </row>
    <row r="360" spans="17:24" x14ac:dyDescent="0.3">
      <c r="Q360" s="3"/>
      <c r="R360" s="3"/>
      <c r="S360" s="3"/>
      <c r="T360" s="21"/>
      <c r="U360" s="3"/>
      <c r="V360" s="3">
        <f t="shared" si="25"/>
        <v>0</v>
      </c>
      <c r="W360" s="3" t="str">
        <f t="shared" si="26"/>
        <v>Ø16</v>
      </c>
      <c r="X360" s="3" t="str">
        <f t="shared" si="27"/>
        <v>Ø16</v>
      </c>
    </row>
    <row r="361" spans="17:24" x14ac:dyDescent="0.3">
      <c r="Q361" s="3"/>
      <c r="R361" s="3"/>
      <c r="S361" s="3"/>
      <c r="T361" s="21"/>
      <c r="U361" s="3"/>
      <c r="V361" s="3">
        <f t="shared" si="25"/>
        <v>0</v>
      </c>
      <c r="W361" s="3" t="str">
        <f t="shared" si="26"/>
        <v>Ø16</v>
      </c>
      <c r="X361" s="3" t="str">
        <f t="shared" si="27"/>
        <v>Ø16</v>
      </c>
    </row>
    <row r="362" spans="17:24" x14ac:dyDescent="0.3">
      <c r="Q362" s="3"/>
      <c r="R362" s="3"/>
      <c r="S362" s="3"/>
      <c r="T362" s="21"/>
      <c r="U362" s="3"/>
      <c r="V362" s="3">
        <f t="shared" si="25"/>
        <v>0</v>
      </c>
      <c r="W362" s="3" t="str">
        <f t="shared" si="26"/>
        <v>Ø16</v>
      </c>
      <c r="X362" s="3" t="str">
        <f t="shared" si="27"/>
        <v>Ø16</v>
      </c>
    </row>
    <row r="363" spans="17:24" x14ac:dyDescent="0.3">
      <c r="Q363" s="3"/>
      <c r="R363" s="3"/>
      <c r="S363" s="3"/>
      <c r="T363" s="21"/>
      <c r="U363" s="3"/>
      <c r="V363" s="3">
        <f t="shared" si="25"/>
        <v>0</v>
      </c>
      <c r="W363" s="3" t="str">
        <f t="shared" si="26"/>
        <v>Ø16</v>
      </c>
      <c r="X363" s="3" t="str">
        <f t="shared" si="27"/>
        <v>Ø16</v>
      </c>
    </row>
    <row r="364" spans="17:24" x14ac:dyDescent="0.3">
      <c r="Q364" s="3"/>
      <c r="R364" s="3"/>
      <c r="S364" s="3"/>
      <c r="T364" s="21"/>
      <c r="U364" s="3"/>
      <c r="V364" s="3">
        <f t="shared" si="25"/>
        <v>0</v>
      </c>
      <c r="W364" s="3" t="str">
        <f t="shared" si="26"/>
        <v>Ø16</v>
      </c>
      <c r="X364" s="3" t="str">
        <f t="shared" si="27"/>
        <v>Ø16</v>
      </c>
    </row>
    <row r="365" spans="17:24" x14ac:dyDescent="0.3">
      <c r="Q365" s="3"/>
      <c r="R365" s="3"/>
      <c r="S365" s="3"/>
      <c r="T365" s="21"/>
      <c r="U365" s="3"/>
      <c r="V365" s="3">
        <f t="shared" si="25"/>
        <v>0</v>
      </c>
      <c r="W365" s="3" t="str">
        <f t="shared" si="26"/>
        <v>Ø16</v>
      </c>
      <c r="X365" s="3" t="str">
        <f t="shared" si="27"/>
        <v>Ø16</v>
      </c>
    </row>
    <row r="366" spans="17:24" x14ac:dyDescent="0.3">
      <c r="Q366" s="3"/>
      <c r="R366" s="3"/>
      <c r="S366" s="3"/>
      <c r="T366" s="21"/>
      <c r="U366" s="3"/>
      <c r="V366" s="3">
        <f t="shared" si="25"/>
        <v>0</v>
      </c>
      <c r="W366" s="3" t="str">
        <f t="shared" si="26"/>
        <v>Ø16</v>
      </c>
      <c r="X366" s="3" t="str">
        <f t="shared" si="27"/>
        <v>Ø16</v>
      </c>
    </row>
    <row r="367" spans="17:24" x14ac:dyDescent="0.3">
      <c r="Q367" s="3"/>
      <c r="R367" s="3"/>
      <c r="S367" s="3"/>
      <c r="T367" s="21"/>
      <c r="U367" s="3"/>
      <c r="V367" s="3">
        <f t="shared" si="25"/>
        <v>0</v>
      </c>
      <c r="W367" s="3" t="str">
        <f t="shared" si="26"/>
        <v>Ø16</v>
      </c>
      <c r="X367" s="3" t="str">
        <f t="shared" si="27"/>
        <v>Ø16</v>
      </c>
    </row>
    <row r="368" spans="17:24" x14ac:dyDescent="0.3">
      <c r="Q368" s="3"/>
      <c r="R368" s="3"/>
      <c r="S368" s="3"/>
      <c r="T368" s="21"/>
      <c r="U368" s="3"/>
      <c r="V368" s="3">
        <f t="shared" si="25"/>
        <v>0</v>
      </c>
      <c r="W368" s="3" t="str">
        <f t="shared" si="26"/>
        <v>Ø16</v>
      </c>
      <c r="X368" s="3" t="str">
        <f t="shared" si="27"/>
        <v>Ø16</v>
      </c>
    </row>
    <row r="369" spans="17:24" x14ac:dyDescent="0.3">
      <c r="Q369" s="3"/>
      <c r="R369" s="3"/>
      <c r="S369" s="3"/>
      <c r="T369" s="21"/>
      <c r="U369" s="3"/>
      <c r="V369" s="3">
        <f t="shared" si="25"/>
        <v>0</v>
      </c>
      <c r="W369" s="3" t="str">
        <f t="shared" si="26"/>
        <v>Ø16</v>
      </c>
      <c r="X369" s="3" t="str">
        <f t="shared" si="27"/>
        <v>Ø16</v>
      </c>
    </row>
    <row r="370" spans="17:24" x14ac:dyDescent="0.3">
      <c r="Q370" s="3"/>
      <c r="R370" s="3"/>
      <c r="S370" s="3"/>
      <c r="T370" s="21"/>
      <c r="U370" s="3"/>
      <c r="V370" s="3">
        <f t="shared" si="25"/>
        <v>0</v>
      </c>
      <c r="W370" s="3" t="str">
        <f t="shared" si="26"/>
        <v>Ø16</v>
      </c>
      <c r="X370" s="3" t="str">
        <f t="shared" si="27"/>
        <v>Ø16</v>
      </c>
    </row>
    <row r="371" spans="17:24" x14ac:dyDescent="0.3">
      <c r="Q371" s="3"/>
      <c r="R371" s="3"/>
      <c r="S371" s="3"/>
      <c r="T371" s="21"/>
      <c r="U371" s="3"/>
      <c r="V371" s="3">
        <f t="shared" si="25"/>
        <v>0</v>
      </c>
      <c r="W371" s="3" t="str">
        <f t="shared" si="26"/>
        <v>Ø16</v>
      </c>
      <c r="X371" s="3" t="str">
        <f t="shared" si="27"/>
        <v>Ø16</v>
      </c>
    </row>
    <row r="372" spans="17:24" x14ac:dyDescent="0.3">
      <c r="Q372" s="3"/>
      <c r="R372" s="3"/>
      <c r="S372" s="3"/>
      <c r="T372" s="21"/>
      <c r="U372" s="3"/>
      <c r="V372" s="3">
        <f t="shared" si="25"/>
        <v>0</v>
      </c>
      <c r="W372" s="3" t="str">
        <f t="shared" si="26"/>
        <v>Ø16</v>
      </c>
      <c r="X372" s="3" t="str">
        <f t="shared" si="27"/>
        <v>Ø16</v>
      </c>
    </row>
    <row r="373" spans="17:24" x14ac:dyDescent="0.3">
      <c r="Q373" s="3"/>
      <c r="R373" s="3"/>
      <c r="S373" s="3"/>
      <c r="T373" s="21"/>
      <c r="U373" s="3"/>
      <c r="V373" s="3">
        <f t="shared" si="25"/>
        <v>0</v>
      </c>
      <c r="W373" s="3" t="str">
        <f t="shared" si="26"/>
        <v>Ø16</v>
      </c>
      <c r="X373" s="3" t="str">
        <f t="shared" si="27"/>
        <v>Ø16</v>
      </c>
    </row>
    <row r="374" spans="17:24" x14ac:dyDescent="0.3">
      <c r="Q374" s="3"/>
      <c r="R374" s="3"/>
      <c r="S374" s="3"/>
      <c r="T374" s="21"/>
      <c r="U374" s="3"/>
      <c r="V374" s="3">
        <f t="shared" si="25"/>
        <v>0</v>
      </c>
      <c r="W374" s="3" t="str">
        <f t="shared" si="26"/>
        <v>Ø16</v>
      </c>
      <c r="X374" s="3" t="str">
        <f t="shared" si="27"/>
        <v>Ø16</v>
      </c>
    </row>
    <row r="375" spans="17:24" x14ac:dyDescent="0.3">
      <c r="Q375" s="3"/>
      <c r="R375" s="3"/>
      <c r="S375" s="3"/>
      <c r="T375" s="21"/>
      <c r="U375" s="3"/>
      <c r="V375" s="3">
        <f t="shared" si="25"/>
        <v>0</v>
      </c>
      <c r="W375" s="3" t="str">
        <f t="shared" si="26"/>
        <v>Ø16</v>
      </c>
      <c r="X375" s="3" t="str">
        <f t="shared" si="27"/>
        <v>Ø16</v>
      </c>
    </row>
    <row r="376" spans="17:24" x14ac:dyDescent="0.3">
      <c r="Q376" s="3"/>
      <c r="R376" s="3"/>
      <c r="S376" s="3"/>
      <c r="T376" s="21"/>
      <c r="U376" s="3"/>
      <c r="V376" s="3">
        <f t="shared" si="25"/>
        <v>0</v>
      </c>
      <c r="W376" s="3" t="str">
        <f t="shared" si="26"/>
        <v>Ø16</v>
      </c>
      <c r="X376" s="3" t="str">
        <f t="shared" si="27"/>
        <v>Ø16</v>
      </c>
    </row>
    <row r="377" spans="17:24" x14ac:dyDescent="0.3">
      <c r="Q377" s="3"/>
      <c r="R377" s="3"/>
      <c r="S377" s="3"/>
      <c r="T377" s="21"/>
      <c r="U377" s="3"/>
      <c r="V377" s="3">
        <f t="shared" si="25"/>
        <v>0</v>
      </c>
      <c r="W377" s="3" t="str">
        <f t="shared" si="26"/>
        <v>Ø16</v>
      </c>
      <c r="X377" s="3" t="str">
        <f t="shared" si="27"/>
        <v>Ø16</v>
      </c>
    </row>
    <row r="378" spans="17:24" x14ac:dyDescent="0.3">
      <c r="Q378" s="3"/>
      <c r="R378" s="3"/>
      <c r="S378" s="3"/>
      <c r="T378" s="21"/>
      <c r="U378" s="3"/>
      <c r="V378" s="3">
        <f t="shared" si="25"/>
        <v>0</v>
      </c>
      <c r="W378" s="3" t="str">
        <f t="shared" si="26"/>
        <v>Ø16</v>
      </c>
      <c r="X378" s="3" t="str">
        <f t="shared" si="27"/>
        <v>Ø16</v>
      </c>
    </row>
    <row r="379" spans="17:24" x14ac:dyDescent="0.3">
      <c r="Q379" s="3"/>
      <c r="R379" s="3"/>
      <c r="S379" s="3"/>
      <c r="T379" s="21"/>
      <c r="U379" s="3"/>
      <c r="V379" s="3">
        <f t="shared" si="25"/>
        <v>0</v>
      </c>
      <c r="W379" s="3" t="str">
        <f t="shared" si="26"/>
        <v>Ø16</v>
      </c>
      <c r="X379" s="3" t="str">
        <f t="shared" si="27"/>
        <v>Ø16</v>
      </c>
    </row>
    <row r="380" spans="17:24" x14ac:dyDescent="0.3">
      <c r="Q380" s="3"/>
      <c r="R380" s="3"/>
      <c r="S380" s="3"/>
      <c r="T380" s="21"/>
      <c r="U380" s="3"/>
      <c r="V380" s="3">
        <f t="shared" si="25"/>
        <v>0</v>
      </c>
      <c r="W380" s="3" t="str">
        <f t="shared" si="26"/>
        <v>Ø16</v>
      </c>
      <c r="X380" s="3" t="str">
        <f t="shared" si="27"/>
        <v>Ø16</v>
      </c>
    </row>
    <row r="381" spans="17:24" x14ac:dyDescent="0.3">
      <c r="Q381" s="3"/>
      <c r="R381" s="3"/>
      <c r="S381" s="3"/>
      <c r="T381" s="21"/>
      <c r="U381" s="3"/>
      <c r="V381" s="3">
        <f t="shared" si="25"/>
        <v>0</v>
      </c>
      <c r="W381" s="3" t="str">
        <f t="shared" si="26"/>
        <v>Ø16</v>
      </c>
      <c r="X381" s="3" t="str">
        <f t="shared" si="27"/>
        <v>Ø16</v>
      </c>
    </row>
    <row r="382" spans="17:24" x14ac:dyDescent="0.3">
      <c r="Q382" s="3"/>
      <c r="R382" s="3"/>
      <c r="S382" s="3"/>
      <c r="T382" s="21"/>
      <c r="U382" s="3"/>
      <c r="V382" s="3">
        <f t="shared" si="25"/>
        <v>0</v>
      </c>
      <c r="W382" s="3" t="str">
        <f t="shared" si="26"/>
        <v>Ø16</v>
      </c>
      <c r="X382" s="3" t="str">
        <f t="shared" si="27"/>
        <v>Ø16</v>
      </c>
    </row>
    <row r="383" spans="17:24" x14ac:dyDescent="0.3">
      <c r="Q383" s="3"/>
      <c r="R383" s="3"/>
      <c r="S383" s="3"/>
      <c r="T383" s="21"/>
      <c r="U383" s="3"/>
      <c r="V383" s="3">
        <f t="shared" si="25"/>
        <v>0</v>
      </c>
      <c r="W383" s="3" t="str">
        <f t="shared" si="26"/>
        <v>Ø16</v>
      </c>
      <c r="X383" s="3" t="str">
        <f t="shared" si="27"/>
        <v>Ø16</v>
      </c>
    </row>
    <row r="384" spans="17:24" x14ac:dyDescent="0.3">
      <c r="Q384" s="3"/>
      <c r="R384" s="3"/>
      <c r="S384" s="3"/>
      <c r="T384" s="21"/>
      <c r="U384" s="3"/>
      <c r="V384" s="3">
        <f t="shared" si="25"/>
        <v>0</v>
      </c>
      <c r="W384" s="3" t="str">
        <f t="shared" si="26"/>
        <v>Ø16</v>
      </c>
      <c r="X384" s="3" t="str">
        <f t="shared" si="27"/>
        <v>Ø16</v>
      </c>
    </row>
    <row r="385" spans="17:24" x14ac:dyDescent="0.3">
      <c r="Q385" s="3"/>
      <c r="R385" s="3"/>
      <c r="S385" s="3"/>
      <c r="T385" s="21"/>
      <c r="U385" s="3"/>
      <c r="V385" s="3">
        <f t="shared" si="25"/>
        <v>0</v>
      </c>
      <c r="W385" s="3" t="str">
        <f t="shared" si="26"/>
        <v>Ø16</v>
      </c>
      <c r="X385" s="3" t="str">
        <f t="shared" si="27"/>
        <v>Ø16</v>
      </c>
    </row>
    <row r="386" spans="17:24" x14ac:dyDescent="0.3">
      <c r="Q386" s="3"/>
      <c r="R386" s="3"/>
      <c r="S386" s="3"/>
      <c r="T386" s="21"/>
      <c r="U386" s="3"/>
      <c r="V386" s="3">
        <f t="shared" si="25"/>
        <v>0</v>
      </c>
      <c r="W386" s="3" t="str">
        <f t="shared" si="26"/>
        <v>Ø16</v>
      </c>
      <c r="X386" s="3" t="str">
        <f t="shared" si="27"/>
        <v>Ø16</v>
      </c>
    </row>
    <row r="387" spans="17:24" x14ac:dyDescent="0.3">
      <c r="Q387" s="3"/>
      <c r="R387" s="3"/>
      <c r="S387" s="3"/>
      <c r="T387" s="21"/>
      <c r="U387" s="3"/>
      <c r="V387" s="3">
        <f t="shared" si="25"/>
        <v>0</v>
      </c>
      <c r="W387" s="3" t="str">
        <f t="shared" si="26"/>
        <v>Ø16</v>
      </c>
      <c r="X387" s="3" t="str">
        <f t="shared" si="27"/>
        <v>Ø16</v>
      </c>
    </row>
    <row r="388" spans="17:24" x14ac:dyDescent="0.3">
      <c r="Q388" s="3"/>
      <c r="R388" s="3"/>
      <c r="S388" s="3"/>
      <c r="T388" s="21"/>
      <c r="U388" s="3"/>
      <c r="V388" s="3">
        <f t="shared" si="25"/>
        <v>0</v>
      </c>
      <c r="W388" s="3" t="str">
        <f t="shared" si="26"/>
        <v>Ø16</v>
      </c>
      <c r="X388" s="3" t="str">
        <f t="shared" si="27"/>
        <v>Ø16</v>
      </c>
    </row>
    <row r="389" spans="17:24" x14ac:dyDescent="0.3">
      <c r="Q389" s="3"/>
      <c r="R389" s="3"/>
      <c r="S389" s="3"/>
      <c r="T389" s="21"/>
      <c r="U389" s="3"/>
      <c r="V389" s="3">
        <f t="shared" ref="V389:V452" si="28">U389*1.2</f>
        <v>0</v>
      </c>
      <c r="W389" s="3" t="str">
        <f t="shared" ref="W389:W452" si="29">"Ø"&amp;VLOOKUP(V389,$Z$4:$AA$10,2,TRUE)</f>
        <v>Ø16</v>
      </c>
      <c r="X389" s="3" t="str">
        <f t="shared" ref="X389:X452" si="30">"Ø"&amp;VLOOKUP(V389,$AD$4:$AE$10,2,TRUE)</f>
        <v>Ø16</v>
      </c>
    </row>
    <row r="390" spans="17:24" x14ac:dyDescent="0.3">
      <c r="Q390" s="3"/>
      <c r="R390" s="3"/>
      <c r="S390" s="3"/>
      <c r="T390" s="21"/>
      <c r="U390" s="3"/>
      <c r="V390" s="3">
        <f t="shared" si="28"/>
        <v>0</v>
      </c>
      <c r="W390" s="3" t="str">
        <f t="shared" si="29"/>
        <v>Ø16</v>
      </c>
      <c r="X390" s="3" t="str">
        <f t="shared" si="30"/>
        <v>Ø16</v>
      </c>
    </row>
    <row r="391" spans="17:24" x14ac:dyDescent="0.3">
      <c r="Q391" s="3"/>
      <c r="R391" s="3"/>
      <c r="S391" s="3"/>
      <c r="T391" s="21"/>
      <c r="U391" s="3"/>
      <c r="V391" s="3">
        <f t="shared" si="28"/>
        <v>0</v>
      </c>
      <c r="W391" s="3" t="str">
        <f t="shared" si="29"/>
        <v>Ø16</v>
      </c>
      <c r="X391" s="3" t="str">
        <f t="shared" si="30"/>
        <v>Ø16</v>
      </c>
    </row>
    <row r="392" spans="17:24" x14ac:dyDescent="0.3">
      <c r="Q392" s="3"/>
      <c r="R392" s="3"/>
      <c r="S392" s="3"/>
      <c r="T392" s="21"/>
      <c r="U392" s="3"/>
      <c r="V392" s="3">
        <f t="shared" si="28"/>
        <v>0</v>
      </c>
      <c r="W392" s="3" t="str">
        <f t="shared" si="29"/>
        <v>Ø16</v>
      </c>
      <c r="X392" s="3" t="str">
        <f t="shared" si="30"/>
        <v>Ø16</v>
      </c>
    </row>
    <row r="393" spans="17:24" x14ac:dyDescent="0.3">
      <c r="Q393" s="3"/>
      <c r="R393" s="3"/>
      <c r="S393" s="3"/>
      <c r="T393" s="21"/>
      <c r="U393" s="3"/>
      <c r="V393" s="3">
        <f t="shared" si="28"/>
        <v>0</v>
      </c>
      <c r="W393" s="3" t="str">
        <f t="shared" si="29"/>
        <v>Ø16</v>
      </c>
      <c r="X393" s="3" t="str">
        <f t="shared" si="30"/>
        <v>Ø16</v>
      </c>
    </row>
    <row r="394" spans="17:24" x14ac:dyDescent="0.3">
      <c r="Q394" s="3"/>
      <c r="R394" s="3"/>
      <c r="S394" s="3"/>
      <c r="T394" s="21"/>
      <c r="U394" s="3"/>
      <c r="V394" s="3">
        <f t="shared" si="28"/>
        <v>0</v>
      </c>
      <c r="W394" s="3" t="str">
        <f t="shared" si="29"/>
        <v>Ø16</v>
      </c>
      <c r="X394" s="3" t="str">
        <f t="shared" si="30"/>
        <v>Ø16</v>
      </c>
    </row>
    <row r="395" spans="17:24" x14ac:dyDescent="0.3">
      <c r="Q395" s="3"/>
      <c r="R395" s="3"/>
      <c r="S395" s="3"/>
      <c r="T395" s="21"/>
      <c r="U395" s="3"/>
      <c r="V395" s="3">
        <f t="shared" si="28"/>
        <v>0</v>
      </c>
      <c r="W395" s="3" t="str">
        <f t="shared" si="29"/>
        <v>Ø16</v>
      </c>
      <c r="X395" s="3" t="str">
        <f t="shared" si="30"/>
        <v>Ø16</v>
      </c>
    </row>
    <row r="396" spans="17:24" x14ac:dyDescent="0.3">
      <c r="Q396" s="3"/>
      <c r="R396" s="3"/>
      <c r="S396" s="3"/>
      <c r="T396" s="21"/>
      <c r="U396" s="3"/>
      <c r="V396" s="3">
        <f t="shared" si="28"/>
        <v>0</v>
      </c>
      <c r="W396" s="3" t="str">
        <f t="shared" si="29"/>
        <v>Ø16</v>
      </c>
      <c r="X396" s="3" t="str">
        <f t="shared" si="30"/>
        <v>Ø16</v>
      </c>
    </row>
    <row r="397" spans="17:24" x14ac:dyDescent="0.3">
      <c r="Q397" s="3"/>
      <c r="R397" s="3"/>
      <c r="S397" s="3"/>
      <c r="T397" s="21"/>
      <c r="U397" s="3"/>
      <c r="V397" s="3">
        <f t="shared" si="28"/>
        <v>0</v>
      </c>
      <c r="W397" s="3" t="str">
        <f t="shared" si="29"/>
        <v>Ø16</v>
      </c>
      <c r="X397" s="3" t="str">
        <f t="shared" si="30"/>
        <v>Ø16</v>
      </c>
    </row>
    <row r="398" spans="17:24" x14ac:dyDescent="0.3">
      <c r="Q398" s="3"/>
      <c r="R398" s="3"/>
      <c r="S398" s="3"/>
      <c r="T398" s="21"/>
      <c r="U398" s="3"/>
      <c r="V398" s="3">
        <f t="shared" si="28"/>
        <v>0</v>
      </c>
      <c r="W398" s="3" t="str">
        <f t="shared" si="29"/>
        <v>Ø16</v>
      </c>
      <c r="X398" s="3" t="str">
        <f t="shared" si="30"/>
        <v>Ø16</v>
      </c>
    </row>
    <row r="399" spans="17:24" x14ac:dyDescent="0.3">
      <c r="Q399" s="3"/>
      <c r="R399" s="3"/>
      <c r="S399" s="3"/>
      <c r="T399" s="21"/>
      <c r="U399" s="3"/>
      <c r="V399" s="3">
        <f t="shared" si="28"/>
        <v>0</v>
      </c>
      <c r="W399" s="3" t="str">
        <f t="shared" si="29"/>
        <v>Ø16</v>
      </c>
      <c r="X399" s="3" t="str">
        <f t="shared" si="30"/>
        <v>Ø16</v>
      </c>
    </row>
    <row r="400" spans="17:24" x14ac:dyDescent="0.3">
      <c r="Q400" s="3"/>
      <c r="R400" s="3"/>
      <c r="S400" s="3"/>
      <c r="T400" s="21"/>
      <c r="U400" s="3"/>
      <c r="V400" s="3">
        <f t="shared" si="28"/>
        <v>0</v>
      </c>
      <c r="W400" s="3" t="str">
        <f t="shared" si="29"/>
        <v>Ø16</v>
      </c>
      <c r="X400" s="3" t="str">
        <f t="shared" si="30"/>
        <v>Ø16</v>
      </c>
    </row>
    <row r="401" spans="17:24" x14ac:dyDescent="0.3">
      <c r="Q401" s="3"/>
      <c r="R401" s="3"/>
      <c r="S401" s="3"/>
      <c r="T401" s="21"/>
      <c r="U401" s="3"/>
      <c r="V401" s="3">
        <f t="shared" si="28"/>
        <v>0</v>
      </c>
      <c r="W401" s="3" t="str">
        <f t="shared" si="29"/>
        <v>Ø16</v>
      </c>
      <c r="X401" s="3" t="str">
        <f t="shared" si="30"/>
        <v>Ø16</v>
      </c>
    </row>
    <row r="402" spans="17:24" x14ac:dyDescent="0.3">
      <c r="Q402" s="3"/>
      <c r="R402" s="3"/>
      <c r="S402" s="3"/>
      <c r="T402" s="21"/>
      <c r="U402" s="3"/>
      <c r="V402" s="3">
        <f t="shared" si="28"/>
        <v>0</v>
      </c>
      <c r="W402" s="3" t="str">
        <f t="shared" si="29"/>
        <v>Ø16</v>
      </c>
      <c r="X402" s="3" t="str">
        <f t="shared" si="30"/>
        <v>Ø16</v>
      </c>
    </row>
    <row r="403" spans="17:24" x14ac:dyDescent="0.3">
      <c r="Q403" s="3"/>
      <c r="R403" s="3"/>
      <c r="S403" s="3"/>
      <c r="T403" s="21"/>
      <c r="U403" s="3"/>
      <c r="V403" s="3">
        <f t="shared" si="28"/>
        <v>0</v>
      </c>
      <c r="W403" s="3" t="str">
        <f t="shared" si="29"/>
        <v>Ø16</v>
      </c>
      <c r="X403" s="3" t="str">
        <f t="shared" si="30"/>
        <v>Ø16</v>
      </c>
    </row>
    <row r="404" spans="17:24" x14ac:dyDescent="0.3">
      <c r="Q404" s="3"/>
      <c r="R404" s="3"/>
      <c r="S404" s="3"/>
      <c r="T404" s="21"/>
      <c r="U404" s="3"/>
      <c r="V404" s="3">
        <f t="shared" si="28"/>
        <v>0</v>
      </c>
      <c r="W404" s="3" t="str">
        <f t="shared" si="29"/>
        <v>Ø16</v>
      </c>
      <c r="X404" s="3" t="str">
        <f t="shared" si="30"/>
        <v>Ø16</v>
      </c>
    </row>
    <row r="405" spans="17:24" x14ac:dyDescent="0.3">
      <c r="Q405" s="3"/>
      <c r="R405" s="3"/>
      <c r="S405" s="3"/>
      <c r="T405" s="21"/>
      <c r="U405" s="3"/>
      <c r="V405" s="3">
        <f t="shared" si="28"/>
        <v>0</v>
      </c>
      <c r="W405" s="3" t="str">
        <f t="shared" si="29"/>
        <v>Ø16</v>
      </c>
      <c r="X405" s="3" t="str">
        <f t="shared" si="30"/>
        <v>Ø16</v>
      </c>
    </row>
    <row r="406" spans="17:24" x14ac:dyDescent="0.3">
      <c r="Q406" s="3"/>
      <c r="R406" s="3"/>
      <c r="S406" s="3"/>
      <c r="T406" s="21"/>
      <c r="U406" s="3"/>
      <c r="V406" s="3">
        <f t="shared" si="28"/>
        <v>0</v>
      </c>
      <c r="W406" s="3" t="str">
        <f t="shared" si="29"/>
        <v>Ø16</v>
      </c>
      <c r="X406" s="3" t="str">
        <f t="shared" si="30"/>
        <v>Ø16</v>
      </c>
    </row>
    <row r="407" spans="17:24" x14ac:dyDescent="0.3">
      <c r="Q407" s="3"/>
      <c r="R407" s="3"/>
      <c r="S407" s="3"/>
      <c r="T407" s="21"/>
      <c r="U407" s="3"/>
      <c r="V407" s="3">
        <f t="shared" si="28"/>
        <v>0</v>
      </c>
      <c r="W407" s="3" t="str">
        <f t="shared" si="29"/>
        <v>Ø16</v>
      </c>
      <c r="X407" s="3" t="str">
        <f t="shared" si="30"/>
        <v>Ø16</v>
      </c>
    </row>
    <row r="408" spans="17:24" x14ac:dyDescent="0.3">
      <c r="Q408" s="3"/>
      <c r="R408" s="3"/>
      <c r="S408" s="3"/>
      <c r="T408" s="21"/>
      <c r="U408" s="3"/>
      <c r="V408" s="3">
        <f t="shared" si="28"/>
        <v>0</v>
      </c>
      <c r="W408" s="3" t="str">
        <f t="shared" si="29"/>
        <v>Ø16</v>
      </c>
      <c r="X408" s="3" t="str">
        <f t="shared" si="30"/>
        <v>Ø16</v>
      </c>
    </row>
    <row r="409" spans="17:24" x14ac:dyDescent="0.3">
      <c r="Q409" s="3"/>
      <c r="R409" s="3"/>
      <c r="S409" s="3"/>
      <c r="T409" s="21"/>
      <c r="U409" s="3"/>
      <c r="V409" s="3">
        <f t="shared" si="28"/>
        <v>0</v>
      </c>
      <c r="W409" s="3" t="str">
        <f t="shared" si="29"/>
        <v>Ø16</v>
      </c>
      <c r="X409" s="3" t="str">
        <f t="shared" si="30"/>
        <v>Ø16</v>
      </c>
    </row>
    <row r="410" spans="17:24" x14ac:dyDescent="0.3">
      <c r="Q410" s="3"/>
      <c r="R410" s="3"/>
      <c r="S410" s="3"/>
      <c r="T410" s="21"/>
      <c r="U410" s="3"/>
      <c r="V410" s="3">
        <f t="shared" si="28"/>
        <v>0</v>
      </c>
      <c r="W410" s="3" t="str">
        <f t="shared" si="29"/>
        <v>Ø16</v>
      </c>
      <c r="X410" s="3" t="str">
        <f t="shared" si="30"/>
        <v>Ø16</v>
      </c>
    </row>
    <row r="411" spans="17:24" x14ac:dyDescent="0.3">
      <c r="Q411" s="3"/>
      <c r="R411" s="3"/>
      <c r="S411" s="3"/>
      <c r="T411" s="21"/>
      <c r="U411" s="3"/>
      <c r="V411" s="3">
        <f t="shared" si="28"/>
        <v>0</v>
      </c>
      <c r="W411" s="3" t="str">
        <f t="shared" si="29"/>
        <v>Ø16</v>
      </c>
      <c r="X411" s="3" t="str">
        <f t="shared" si="30"/>
        <v>Ø16</v>
      </c>
    </row>
    <row r="412" spans="17:24" x14ac:dyDescent="0.3">
      <c r="Q412" s="3"/>
      <c r="R412" s="3"/>
      <c r="S412" s="3"/>
      <c r="T412" s="21"/>
      <c r="U412" s="3"/>
      <c r="V412" s="3">
        <f t="shared" si="28"/>
        <v>0</v>
      </c>
      <c r="W412" s="3" t="str">
        <f t="shared" si="29"/>
        <v>Ø16</v>
      </c>
      <c r="X412" s="3" t="str">
        <f t="shared" si="30"/>
        <v>Ø16</v>
      </c>
    </row>
    <row r="413" spans="17:24" x14ac:dyDescent="0.3">
      <c r="Q413" s="3"/>
      <c r="R413" s="3"/>
      <c r="S413" s="3"/>
      <c r="T413" s="21"/>
      <c r="U413" s="3"/>
      <c r="V413" s="3">
        <f t="shared" si="28"/>
        <v>0</v>
      </c>
      <c r="W413" s="3" t="str">
        <f t="shared" si="29"/>
        <v>Ø16</v>
      </c>
      <c r="X413" s="3" t="str">
        <f t="shared" si="30"/>
        <v>Ø16</v>
      </c>
    </row>
    <row r="414" spans="17:24" x14ac:dyDescent="0.3">
      <c r="Q414" s="3"/>
      <c r="R414" s="3"/>
      <c r="S414" s="3"/>
      <c r="T414" s="21"/>
      <c r="U414" s="3"/>
      <c r="V414" s="3">
        <f t="shared" si="28"/>
        <v>0</v>
      </c>
      <c r="W414" s="3" t="str">
        <f t="shared" si="29"/>
        <v>Ø16</v>
      </c>
      <c r="X414" s="3" t="str">
        <f t="shared" si="30"/>
        <v>Ø16</v>
      </c>
    </row>
    <row r="415" spans="17:24" x14ac:dyDescent="0.3">
      <c r="Q415" s="3"/>
      <c r="R415" s="3"/>
      <c r="S415" s="3"/>
      <c r="T415" s="21"/>
      <c r="U415" s="3"/>
      <c r="V415" s="3">
        <f t="shared" si="28"/>
        <v>0</v>
      </c>
      <c r="W415" s="3" t="str">
        <f t="shared" si="29"/>
        <v>Ø16</v>
      </c>
      <c r="X415" s="3" t="str">
        <f t="shared" si="30"/>
        <v>Ø16</v>
      </c>
    </row>
    <row r="416" spans="17:24" x14ac:dyDescent="0.3">
      <c r="Q416" s="3"/>
      <c r="R416" s="3"/>
      <c r="S416" s="3"/>
      <c r="T416" s="21"/>
      <c r="U416" s="3"/>
      <c r="V416" s="3">
        <f t="shared" si="28"/>
        <v>0</v>
      </c>
      <c r="W416" s="3" t="str">
        <f t="shared" si="29"/>
        <v>Ø16</v>
      </c>
      <c r="X416" s="3" t="str">
        <f t="shared" si="30"/>
        <v>Ø16</v>
      </c>
    </row>
    <row r="417" spans="17:24" x14ac:dyDescent="0.3">
      <c r="Q417" s="3"/>
      <c r="R417" s="3"/>
      <c r="S417" s="3"/>
      <c r="T417" s="21"/>
      <c r="U417" s="3"/>
      <c r="V417" s="3">
        <f t="shared" si="28"/>
        <v>0</v>
      </c>
      <c r="W417" s="3" t="str">
        <f t="shared" si="29"/>
        <v>Ø16</v>
      </c>
      <c r="X417" s="3" t="str">
        <f t="shared" si="30"/>
        <v>Ø16</v>
      </c>
    </row>
    <row r="418" spans="17:24" x14ac:dyDescent="0.3">
      <c r="Q418" s="3"/>
      <c r="R418" s="3"/>
      <c r="S418" s="3"/>
      <c r="T418" s="21"/>
      <c r="U418" s="3"/>
      <c r="V418" s="3">
        <f t="shared" si="28"/>
        <v>0</v>
      </c>
      <c r="W418" s="3" t="str">
        <f t="shared" si="29"/>
        <v>Ø16</v>
      </c>
      <c r="X418" s="3" t="str">
        <f t="shared" si="30"/>
        <v>Ø16</v>
      </c>
    </row>
    <row r="419" spans="17:24" x14ac:dyDescent="0.3">
      <c r="Q419" s="3"/>
      <c r="R419" s="3"/>
      <c r="S419" s="3"/>
      <c r="T419" s="21"/>
      <c r="U419" s="3"/>
      <c r="V419" s="3">
        <f t="shared" si="28"/>
        <v>0</v>
      </c>
      <c r="W419" s="3" t="str">
        <f t="shared" si="29"/>
        <v>Ø16</v>
      </c>
      <c r="X419" s="3" t="str">
        <f t="shared" si="30"/>
        <v>Ø16</v>
      </c>
    </row>
    <row r="420" spans="17:24" x14ac:dyDescent="0.3">
      <c r="Q420" s="3"/>
      <c r="R420" s="3"/>
      <c r="S420" s="3"/>
      <c r="T420" s="21"/>
      <c r="U420" s="3"/>
      <c r="V420" s="3">
        <f t="shared" si="28"/>
        <v>0</v>
      </c>
      <c r="W420" s="3" t="str">
        <f t="shared" si="29"/>
        <v>Ø16</v>
      </c>
      <c r="X420" s="3" t="str">
        <f t="shared" si="30"/>
        <v>Ø16</v>
      </c>
    </row>
    <row r="421" spans="17:24" x14ac:dyDescent="0.3">
      <c r="Q421" s="3"/>
      <c r="R421" s="3"/>
      <c r="S421" s="3"/>
      <c r="T421" s="21"/>
      <c r="U421" s="3"/>
      <c r="V421" s="3">
        <f t="shared" si="28"/>
        <v>0</v>
      </c>
      <c r="W421" s="3" t="str">
        <f t="shared" si="29"/>
        <v>Ø16</v>
      </c>
      <c r="X421" s="3" t="str">
        <f t="shared" si="30"/>
        <v>Ø16</v>
      </c>
    </row>
    <row r="422" spans="17:24" x14ac:dyDescent="0.3">
      <c r="Q422" s="3"/>
      <c r="R422" s="3"/>
      <c r="S422" s="3"/>
      <c r="T422" s="21"/>
      <c r="U422" s="3"/>
      <c r="V422" s="3">
        <f t="shared" si="28"/>
        <v>0</v>
      </c>
      <c r="W422" s="3" t="str">
        <f t="shared" si="29"/>
        <v>Ø16</v>
      </c>
      <c r="X422" s="3" t="str">
        <f t="shared" si="30"/>
        <v>Ø16</v>
      </c>
    </row>
    <row r="423" spans="17:24" x14ac:dyDescent="0.3">
      <c r="Q423" s="3"/>
      <c r="R423" s="3"/>
      <c r="S423" s="3"/>
      <c r="T423" s="21"/>
      <c r="U423" s="3"/>
      <c r="V423" s="3">
        <f t="shared" si="28"/>
        <v>0</v>
      </c>
      <c r="W423" s="3" t="str">
        <f t="shared" si="29"/>
        <v>Ø16</v>
      </c>
      <c r="X423" s="3" t="str">
        <f t="shared" si="30"/>
        <v>Ø16</v>
      </c>
    </row>
    <row r="424" spans="17:24" x14ac:dyDescent="0.3">
      <c r="Q424" s="3"/>
      <c r="R424" s="3"/>
      <c r="S424" s="3"/>
      <c r="T424" s="21"/>
      <c r="U424" s="3"/>
      <c r="V424" s="3">
        <f t="shared" si="28"/>
        <v>0</v>
      </c>
      <c r="W424" s="3" t="str">
        <f t="shared" si="29"/>
        <v>Ø16</v>
      </c>
      <c r="X424" s="3" t="str">
        <f t="shared" si="30"/>
        <v>Ø16</v>
      </c>
    </row>
    <row r="425" spans="17:24" x14ac:dyDescent="0.3">
      <c r="Q425" s="3"/>
      <c r="R425" s="3"/>
      <c r="S425" s="3"/>
      <c r="T425" s="21"/>
      <c r="U425" s="3"/>
      <c r="V425" s="3">
        <f t="shared" si="28"/>
        <v>0</v>
      </c>
      <c r="W425" s="3" t="str">
        <f t="shared" si="29"/>
        <v>Ø16</v>
      </c>
      <c r="X425" s="3" t="str">
        <f t="shared" si="30"/>
        <v>Ø16</v>
      </c>
    </row>
    <row r="426" spans="17:24" x14ac:dyDescent="0.3">
      <c r="Q426" s="3"/>
      <c r="R426" s="3"/>
      <c r="S426" s="3"/>
      <c r="T426" s="21"/>
      <c r="U426" s="3"/>
      <c r="V426" s="3">
        <f t="shared" si="28"/>
        <v>0</v>
      </c>
      <c r="W426" s="3" t="str">
        <f t="shared" si="29"/>
        <v>Ø16</v>
      </c>
      <c r="X426" s="3" t="str">
        <f t="shared" si="30"/>
        <v>Ø16</v>
      </c>
    </row>
    <row r="427" spans="17:24" x14ac:dyDescent="0.3">
      <c r="Q427" s="3"/>
      <c r="R427" s="3"/>
      <c r="S427" s="3"/>
      <c r="T427" s="21"/>
      <c r="U427" s="3"/>
      <c r="V427" s="3">
        <f t="shared" si="28"/>
        <v>0</v>
      </c>
      <c r="W427" s="3" t="str">
        <f t="shared" si="29"/>
        <v>Ø16</v>
      </c>
      <c r="X427" s="3" t="str">
        <f t="shared" si="30"/>
        <v>Ø16</v>
      </c>
    </row>
    <row r="428" spans="17:24" x14ac:dyDescent="0.3">
      <c r="Q428" s="3"/>
      <c r="R428" s="3"/>
      <c r="S428" s="3"/>
      <c r="T428" s="21"/>
      <c r="U428" s="3"/>
      <c r="V428" s="3">
        <f t="shared" si="28"/>
        <v>0</v>
      </c>
      <c r="W428" s="3" t="str">
        <f t="shared" si="29"/>
        <v>Ø16</v>
      </c>
      <c r="X428" s="3" t="str">
        <f t="shared" si="30"/>
        <v>Ø16</v>
      </c>
    </row>
    <row r="429" spans="17:24" x14ac:dyDescent="0.3">
      <c r="Q429" s="3"/>
      <c r="R429" s="3"/>
      <c r="S429" s="3"/>
      <c r="T429" s="21"/>
      <c r="U429" s="3"/>
      <c r="V429" s="3">
        <f t="shared" si="28"/>
        <v>0</v>
      </c>
      <c r="W429" s="3" t="str">
        <f t="shared" si="29"/>
        <v>Ø16</v>
      </c>
      <c r="X429" s="3" t="str">
        <f t="shared" si="30"/>
        <v>Ø16</v>
      </c>
    </row>
    <row r="430" spans="17:24" x14ac:dyDescent="0.3">
      <c r="Q430" s="3"/>
      <c r="R430" s="3"/>
      <c r="S430" s="3"/>
      <c r="T430" s="21"/>
      <c r="U430" s="3"/>
      <c r="V430" s="3">
        <f t="shared" si="28"/>
        <v>0</v>
      </c>
      <c r="W430" s="3" t="str">
        <f t="shared" si="29"/>
        <v>Ø16</v>
      </c>
      <c r="X430" s="3" t="str">
        <f t="shared" si="30"/>
        <v>Ø16</v>
      </c>
    </row>
    <row r="431" spans="17:24" x14ac:dyDescent="0.3">
      <c r="Q431" s="3"/>
      <c r="R431" s="3"/>
      <c r="S431" s="3"/>
      <c r="T431" s="21"/>
      <c r="U431" s="3"/>
      <c r="V431" s="3">
        <f t="shared" si="28"/>
        <v>0</v>
      </c>
      <c r="W431" s="3" t="str">
        <f t="shared" si="29"/>
        <v>Ø16</v>
      </c>
      <c r="X431" s="3" t="str">
        <f t="shared" si="30"/>
        <v>Ø16</v>
      </c>
    </row>
    <row r="432" spans="17:24" x14ac:dyDescent="0.3">
      <c r="Q432" s="3"/>
      <c r="R432" s="3"/>
      <c r="S432" s="3"/>
      <c r="T432" s="21"/>
      <c r="U432" s="3"/>
      <c r="V432" s="3">
        <f t="shared" si="28"/>
        <v>0</v>
      </c>
      <c r="W432" s="3" t="str">
        <f t="shared" si="29"/>
        <v>Ø16</v>
      </c>
      <c r="X432" s="3" t="str">
        <f t="shared" si="30"/>
        <v>Ø16</v>
      </c>
    </row>
    <row r="433" spans="17:24" x14ac:dyDescent="0.3">
      <c r="Q433" s="3"/>
      <c r="R433" s="3"/>
      <c r="S433" s="3"/>
      <c r="T433" s="21"/>
      <c r="U433" s="3"/>
      <c r="V433" s="3">
        <f t="shared" si="28"/>
        <v>0</v>
      </c>
      <c r="W433" s="3" t="str">
        <f t="shared" si="29"/>
        <v>Ø16</v>
      </c>
      <c r="X433" s="3" t="str">
        <f t="shared" si="30"/>
        <v>Ø16</v>
      </c>
    </row>
    <row r="434" spans="17:24" x14ac:dyDescent="0.3">
      <c r="Q434" s="3"/>
      <c r="R434" s="3"/>
      <c r="S434" s="3"/>
      <c r="T434" s="21"/>
      <c r="U434" s="3"/>
      <c r="V434" s="3">
        <f t="shared" si="28"/>
        <v>0</v>
      </c>
      <c r="W434" s="3" t="str">
        <f t="shared" si="29"/>
        <v>Ø16</v>
      </c>
      <c r="X434" s="3" t="str">
        <f t="shared" si="30"/>
        <v>Ø16</v>
      </c>
    </row>
    <row r="435" spans="17:24" x14ac:dyDescent="0.3">
      <c r="Q435" s="3"/>
      <c r="R435" s="3"/>
      <c r="S435" s="3"/>
      <c r="T435" s="21"/>
      <c r="U435" s="3"/>
      <c r="V435" s="3">
        <f t="shared" si="28"/>
        <v>0</v>
      </c>
      <c r="W435" s="3" t="str">
        <f t="shared" si="29"/>
        <v>Ø16</v>
      </c>
      <c r="X435" s="3" t="str">
        <f t="shared" si="30"/>
        <v>Ø16</v>
      </c>
    </row>
    <row r="436" spans="17:24" x14ac:dyDescent="0.3">
      <c r="Q436" s="3"/>
      <c r="R436" s="3"/>
      <c r="S436" s="3"/>
      <c r="T436" s="21"/>
      <c r="U436" s="3"/>
      <c r="V436" s="3">
        <f t="shared" si="28"/>
        <v>0</v>
      </c>
      <c r="W436" s="3" t="str">
        <f t="shared" si="29"/>
        <v>Ø16</v>
      </c>
      <c r="X436" s="3" t="str">
        <f t="shared" si="30"/>
        <v>Ø16</v>
      </c>
    </row>
    <row r="437" spans="17:24" x14ac:dyDescent="0.3">
      <c r="Q437" s="3"/>
      <c r="R437" s="3"/>
      <c r="S437" s="3"/>
      <c r="T437" s="21"/>
      <c r="U437" s="3"/>
      <c r="V437" s="3">
        <f t="shared" si="28"/>
        <v>0</v>
      </c>
      <c r="W437" s="3" t="str">
        <f t="shared" si="29"/>
        <v>Ø16</v>
      </c>
      <c r="X437" s="3" t="str">
        <f t="shared" si="30"/>
        <v>Ø16</v>
      </c>
    </row>
    <row r="438" spans="17:24" x14ac:dyDescent="0.3">
      <c r="Q438" s="3"/>
      <c r="R438" s="3"/>
      <c r="S438" s="3"/>
      <c r="T438" s="21"/>
      <c r="U438" s="3"/>
      <c r="V438" s="3">
        <f t="shared" si="28"/>
        <v>0</v>
      </c>
      <c r="W438" s="3" t="str">
        <f t="shared" si="29"/>
        <v>Ø16</v>
      </c>
      <c r="X438" s="3" t="str">
        <f t="shared" si="30"/>
        <v>Ø16</v>
      </c>
    </row>
    <row r="439" spans="17:24" x14ac:dyDescent="0.3">
      <c r="Q439" s="3"/>
      <c r="R439" s="3"/>
      <c r="S439" s="3"/>
      <c r="T439" s="21"/>
      <c r="U439" s="3"/>
      <c r="V439" s="3">
        <f t="shared" si="28"/>
        <v>0</v>
      </c>
      <c r="W439" s="3" t="str">
        <f t="shared" si="29"/>
        <v>Ø16</v>
      </c>
      <c r="X439" s="3" t="str">
        <f t="shared" si="30"/>
        <v>Ø16</v>
      </c>
    </row>
    <row r="440" spans="17:24" x14ac:dyDescent="0.3">
      <c r="Q440" s="3"/>
      <c r="R440" s="3"/>
      <c r="S440" s="3"/>
      <c r="T440" s="21"/>
      <c r="U440" s="3"/>
      <c r="V440" s="3">
        <f t="shared" si="28"/>
        <v>0</v>
      </c>
      <c r="W440" s="3" t="str">
        <f t="shared" si="29"/>
        <v>Ø16</v>
      </c>
      <c r="X440" s="3" t="str">
        <f t="shared" si="30"/>
        <v>Ø16</v>
      </c>
    </row>
    <row r="441" spans="17:24" x14ac:dyDescent="0.3">
      <c r="Q441" s="3"/>
      <c r="R441" s="3"/>
      <c r="S441" s="3"/>
      <c r="T441" s="21"/>
      <c r="U441" s="3"/>
      <c r="V441" s="3">
        <f t="shared" si="28"/>
        <v>0</v>
      </c>
      <c r="W441" s="3" t="str">
        <f t="shared" si="29"/>
        <v>Ø16</v>
      </c>
      <c r="X441" s="3" t="str">
        <f t="shared" si="30"/>
        <v>Ø16</v>
      </c>
    </row>
    <row r="442" spans="17:24" x14ac:dyDescent="0.3">
      <c r="Q442" s="3"/>
      <c r="R442" s="3"/>
      <c r="S442" s="3"/>
      <c r="T442" s="21"/>
      <c r="U442" s="3"/>
      <c r="V442" s="3">
        <f t="shared" si="28"/>
        <v>0</v>
      </c>
      <c r="W442" s="3" t="str">
        <f t="shared" si="29"/>
        <v>Ø16</v>
      </c>
      <c r="X442" s="3" t="str">
        <f t="shared" si="30"/>
        <v>Ø16</v>
      </c>
    </row>
    <row r="443" spans="17:24" x14ac:dyDescent="0.3">
      <c r="Q443" s="3"/>
      <c r="R443" s="3"/>
      <c r="S443" s="3"/>
      <c r="T443" s="21"/>
      <c r="U443" s="3"/>
      <c r="V443" s="3">
        <f t="shared" si="28"/>
        <v>0</v>
      </c>
      <c r="W443" s="3" t="str">
        <f t="shared" si="29"/>
        <v>Ø16</v>
      </c>
      <c r="X443" s="3" t="str">
        <f t="shared" si="30"/>
        <v>Ø16</v>
      </c>
    </row>
    <row r="444" spans="17:24" x14ac:dyDescent="0.3">
      <c r="Q444" s="3"/>
      <c r="R444" s="3"/>
      <c r="S444" s="3"/>
      <c r="T444" s="21"/>
      <c r="U444" s="3"/>
      <c r="V444" s="3">
        <f t="shared" si="28"/>
        <v>0</v>
      </c>
      <c r="W444" s="3" t="str">
        <f t="shared" si="29"/>
        <v>Ø16</v>
      </c>
      <c r="X444" s="3" t="str">
        <f t="shared" si="30"/>
        <v>Ø16</v>
      </c>
    </row>
    <row r="445" spans="17:24" x14ac:dyDescent="0.3">
      <c r="Q445" s="3"/>
      <c r="R445" s="3"/>
      <c r="S445" s="3"/>
      <c r="T445" s="21"/>
      <c r="U445" s="3"/>
      <c r="V445" s="3">
        <f t="shared" si="28"/>
        <v>0</v>
      </c>
      <c r="W445" s="3" t="str">
        <f t="shared" si="29"/>
        <v>Ø16</v>
      </c>
      <c r="X445" s="3" t="str">
        <f t="shared" si="30"/>
        <v>Ø16</v>
      </c>
    </row>
    <row r="446" spans="17:24" x14ac:dyDescent="0.3">
      <c r="Q446" s="3"/>
      <c r="R446" s="3"/>
      <c r="S446" s="3"/>
      <c r="T446" s="21"/>
      <c r="U446" s="3"/>
      <c r="V446" s="3">
        <f t="shared" si="28"/>
        <v>0</v>
      </c>
      <c r="W446" s="3" t="str">
        <f t="shared" si="29"/>
        <v>Ø16</v>
      </c>
      <c r="X446" s="3" t="str">
        <f t="shared" si="30"/>
        <v>Ø16</v>
      </c>
    </row>
    <row r="447" spans="17:24" x14ac:dyDescent="0.3">
      <c r="Q447" s="3"/>
      <c r="R447" s="3"/>
      <c r="S447" s="3"/>
      <c r="T447" s="21"/>
      <c r="U447" s="3"/>
      <c r="V447" s="3">
        <f t="shared" si="28"/>
        <v>0</v>
      </c>
      <c r="W447" s="3" t="str">
        <f t="shared" si="29"/>
        <v>Ø16</v>
      </c>
      <c r="X447" s="3" t="str">
        <f t="shared" si="30"/>
        <v>Ø16</v>
      </c>
    </row>
    <row r="448" spans="17:24" x14ac:dyDescent="0.3">
      <c r="Q448" s="3"/>
      <c r="R448" s="3"/>
      <c r="S448" s="3"/>
      <c r="T448" s="21"/>
      <c r="U448" s="3"/>
      <c r="V448" s="3">
        <f t="shared" si="28"/>
        <v>0</v>
      </c>
      <c r="W448" s="3" t="str">
        <f t="shared" si="29"/>
        <v>Ø16</v>
      </c>
      <c r="X448" s="3" t="str">
        <f t="shared" si="30"/>
        <v>Ø16</v>
      </c>
    </row>
    <row r="449" spans="17:24" x14ac:dyDescent="0.3">
      <c r="Q449" s="3"/>
      <c r="R449" s="3"/>
      <c r="S449" s="3"/>
      <c r="T449" s="21"/>
      <c r="U449" s="3"/>
      <c r="V449" s="3">
        <f t="shared" si="28"/>
        <v>0</v>
      </c>
      <c r="W449" s="3" t="str">
        <f t="shared" si="29"/>
        <v>Ø16</v>
      </c>
      <c r="X449" s="3" t="str">
        <f t="shared" si="30"/>
        <v>Ø16</v>
      </c>
    </row>
    <row r="450" spans="17:24" x14ac:dyDescent="0.3">
      <c r="Q450" s="3"/>
      <c r="R450" s="3"/>
      <c r="S450" s="3"/>
      <c r="T450" s="21"/>
      <c r="U450" s="3"/>
      <c r="V450" s="3">
        <f t="shared" si="28"/>
        <v>0</v>
      </c>
      <c r="W450" s="3" t="str">
        <f t="shared" si="29"/>
        <v>Ø16</v>
      </c>
      <c r="X450" s="3" t="str">
        <f t="shared" si="30"/>
        <v>Ø16</v>
      </c>
    </row>
    <row r="451" spans="17:24" x14ac:dyDescent="0.3">
      <c r="Q451" s="3"/>
      <c r="R451" s="3"/>
      <c r="S451" s="3"/>
      <c r="T451" s="21"/>
      <c r="U451" s="3"/>
      <c r="V451" s="3">
        <f t="shared" si="28"/>
        <v>0</v>
      </c>
      <c r="W451" s="3" t="str">
        <f t="shared" si="29"/>
        <v>Ø16</v>
      </c>
      <c r="X451" s="3" t="str">
        <f t="shared" si="30"/>
        <v>Ø16</v>
      </c>
    </row>
    <row r="452" spans="17:24" x14ac:dyDescent="0.3">
      <c r="Q452" s="3"/>
      <c r="R452" s="3"/>
      <c r="S452" s="3"/>
      <c r="T452" s="21"/>
      <c r="U452" s="3"/>
      <c r="V452" s="3">
        <f t="shared" si="28"/>
        <v>0</v>
      </c>
      <c r="W452" s="3" t="str">
        <f t="shared" si="29"/>
        <v>Ø16</v>
      </c>
      <c r="X452" s="3" t="str">
        <f t="shared" si="30"/>
        <v>Ø16</v>
      </c>
    </row>
    <row r="453" spans="17:24" x14ac:dyDescent="0.3">
      <c r="Q453" s="3"/>
      <c r="R453" s="3"/>
      <c r="S453" s="3"/>
      <c r="T453" s="21"/>
      <c r="U453" s="3"/>
      <c r="V453" s="3">
        <f t="shared" ref="V453:V503" si="31">U453*1.2</f>
        <v>0</v>
      </c>
      <c r="W453" s="3" t="str">
        <f t="shared" ref="W453:W503" si="32">"Ø"&amp;VLOOKUP(V453,$Z$4:$AA$10,2,TRUE)</f>
        <v>Ø16</v>
      </c>
      <c r="X453" s="3" t="str">
        <f t="shared" ref="X453:X503" si="33">"Ø"&amp;VLOOKUP(V453,$AD$4:$AE$10,2,TRUE)</f>
        <v>Ø16</v>
      </c>
    </row>
    <row r="454" spans="17:24" x14ac:dyDescent="0.3">
      <c r="Q454" s="3"/>
      <c r="R454" s="3"/>
      <c r="S454" s="3"/>
      <c r="T454" s="21"/>
      <c r="U454" s="3"/>
      <c r="V454" s="3">
        <f t="shared" si="31"/>
        <v>0</v>
      </c>
      <c r="W454" s="3" t="str">
        <f t="shared" si="32"/>
        <v>Ø16</v>
      </c>
      <c r="X454" s="3" t="str">
        <f t="shared" si="33"/>
        <v>Ø16</v>
      </c>
    </row>
    <row r="455" spans="17:24" x14ac:dyDescent="0.3">
      <c r="Q455" s="3"/>
      <c r="R455" s="3"/>
      <c r="S455" s="3"/>
      <c r="T455" s="21"/>
      <c r="U455" s="3"/>
      <c r="V455" s="3">
        <f t="shared" si="31"/>
        <v>0</v>
      </c>
      <c r="W455" s="3" t="str">
        <f t="shared" si="32"/>
        <v>Ø16</v>
      </c>
      <c r="X455" s="3" t="str">
        <f t="shared" si="33"/>
        <v>Ø16</v>
      </c>
    </row>
    <row r="456" spans="17:24" x14ac:dyDescent="0.3">
      <c r="Q456" s="3"/>
      <c r="R456" s="3"/>
      <c r="S456" s="3"/>
      <c r="T456" s="21"/>
      <c r="U456" s="3"/>
      <c r="V456" s="3">
        <f t="shared" si="31"/>
        <v>0</v>
      </c>
      <c r="W456" s="3" t="str">
        <f t="shared" si="32"/>
        <v>Ø16</v>
      </c>
      <c r="X456" s="3" t="str">
        <f t="shared" si="33"/>
        <v>Ø16</v>
      </c>
    </row>
    <row r="457" spans="17:24" x14ac:dyDescent="0.3">
      <c r="Q457" s="3"/>
      <c r="R457" s="3"/>
      <c r="S457" s="3"/>
      <c r="T457" s="21"/>
      <c r="U457" s="3"/>
      <c r="V457" s="3">
        <f t="shared" si="31"/>
        <v>0</v>
      </c>
      <c r="W457" s="3" t="str">
        <f t="shared" si="32"/>
        <v>Ø16</v>
      </c>
      <c r="X457" s="3" t="str">
        <f t="shared" si="33"/>
        <v>Ø16</v>
      </c>
    </row>
    <row r="458" spans="17:24" x14ac:dyDescent="0.3">
      <c r="Q458" s="3"/>
      <c r="R458" s="3"/>
      <c r="S458" s="3"/>
      <c r="T458" s="21"/>
      <c r="U458" s="3"/>
      <c r="V458" s="3">
        <f t="shared" si="31"/>
        <v>0</v>
      </c>
      <c r="W458" s="3" t="str">
        <f t="shared" si="32"/>
        <v>Ø16</v>
      </c>
      <c r="X458" s="3" t="str">
        <f t="shared" si="33"/>
        <v>Ø16</v>
      </c>
    </row>
    <row r="459" spans="17:24" x14ac:dyDescent="0.3">
      <c r="Q459" s="3"/>
      <c r="R459" s="3"/>
      <c r="S459" s="3"/>
      <c r="T459" s="21"/>
      <c r="U459" s="3"/>
      <c r="V459" s="3">
        <f t="shared" si="31"/>
        <v>0</v>
      </c>
      <c r="W459" s="3" t="str">
        <f t="shared" si="32"/>
        <v>Ø16</v>
      </c>
      <c r="X459" s="3" t="str">
        <f t="shared" si="33"/>
        <v>Ø16</v>
      </c>
    </row>
    <row r="460" spans="17:24" x14ac:dyDescent="0.3">
      <c r="Q460" s="3"/>
      <c r="R460" s="3"/>
      <c r="S460" s="3"/>
      <c r="T460" s="21"/>
      <c r="U460" s="3"/>
      <c r="V460" s="3">
        <f t="shared" si="31"/>
        <v>0</v>
      </c>
      <c r="W460" s="3" t="str">
        <f t="shared" si="32"/>
        <v>Ø16</v>
      </c>
      <c r="X460" s="3" t="str">
        <f t="shared" si="33"/>
        <v>Ø16</v>
      </c>
    </row>
    <row r="461" spans="17:24" x14ac:dyDescent="0.3">
      <c r="Q461" s="3"/>
      <c r="R461" s="3"/>
      <c r="S461" s="3"/>
      <c r="T461" s="21"/>
      <c r="U461" s="3"/>
      <c r="V461" s="3">
        <f t="shared" si="31"/>
        <v>0</v>
      </c>
      <c r="W461" s="3" t="str">
        <f t="shared" si="32"/>
        <v>Ø16</v>
      </c>
      <c r="X461" s="3" t="str">
        <f t="shared" si="33"/>
        <v>Ø16</v>
      </c>
    </row>
    <row r="462" spans="17:24" x14ac:dyDescent="0.3">
      <c r="Q462" s="3"/>
      <c r="R462" s="3"/>
      <c r="S462" s="3"/>
      <c r="T462" s="21"/>
      <c r="U462" s="3"/>
      <c r="V462" s="3">
        <f t="shared" si="31"/>
        <v>0</v>
      </c>
      <c r="W462" s="3" t="str">
        <f t="shared" si="32"/>
        <v>Ø16</v>
      </c>
      <c r="X462" s="3" t="str">
        <f t="shared" si="33"/>
        <v>Ø16</v>
      </c>
    </row>
    <row r="463" spans="17:24" x14ac:dyDescent="0.3">
      <c r="Q463" s="3"/>
      <c r="R463" s="3"/>
      <c r="S463" s="3"/>
      <c r="T463" s="21"/>
      <c r="U463" s="3"/>
      <c r="V463" s="3">
        <f t="shared" si="31"/>
        <v>0</v>
      </c>
      <c r="W463" s="3" t="str">
        <f t="shared" si="32"/>
        <v>Ø16</v>
      </c>
      <c r="X463" s="3" t="str">
        <f t="shared" si="33"/>
        <v>Ø16</v>
      </c>
    </row>
    <row r="464" spans="17:24" x14ac:dyDescent="0.3">
      <c r="Q464" s="3"/>
      <c r="R464" s="3"/>
      <c r="S464" s="3"/>
      <c r="T464" s="21"/>
      <c r="U464" s="3"/>
      <c r="V464" s="3">
        <f t="shared" si="31"/>
        <v>0</v>
      </c>
      <c r="W464" s="3" t="str">
        <f t="shared" si="32"/>
        <v>Ø16</v>
      </c>
      <c r="X464" s="3" t="str">
        <f t="shared" si="33"/>
        <v>Ø16</v>
      </c>
    </row>
    <row r="465" spans="17:24" x14ac:dyDescent="0.3">
      <c r="Q465" s="3"/>
      <c r="R465" s="3"/>
      <c r="S465" s="3"/>
      <c r="T465" s="21"/>
      <c r="U465" s="3"/>
      <c r="V465" s="3">
        <f t="shared" si="31"/>
        <v>0</v>
      </c>
      <c r="W465" s="3" t="str">
        <f t="shared" si="32"/>
        <v>Ø16</v>
      </c>
      <c r="X465" s="3" t="str">
        <f t="shared" si="33"/>
        <v>Ø16</v>
      </c>
    </row>
    <row r="466" spans="17:24" x14ac:dyDescent="0.3">
      <c r="Q466" s="3"/>
      <c r="R466" s="3"/>
      <c r="S466" s="3"/>
      <c r="T466" s="21"/>
      <c r="U466" s="3"/>
      <c r="V466" s="3">
        <f t="shared" si="31"/>
        <v>0</v>
      </c>
      <c r="W466" s="3" t="str">
        <f t="shared" si="32"/>
        <v>Ø16</v>
      </c>
      <c r="X466" s="3" t="str">
        <f t="shared" si="33"/>
        <v>Ø16</v>
      </c>
    </row>
    <row r="467" spans="17:24" x14ac:dyDescent="0.3">
      <c r="Q467" s="3"/>
      <c r="R467" s="3"/>
      <c r="S467" s="3"/>
      <c r="T467" s="21"/>
      <c r="U467" s="3"/>
      <c r="V467" s="3">
        <f t="shared" si="31"/>
        <v>0</v>
      </c>
      <c r="W467" s="3" t="str">
        <f t="shared" si="32"/>
        <v>Ø16</v>
      </c>
      <c r="X467" s="3" t="str">
        <f t="shared" si="33"/>
        <v>Ø16</v>
      </c>
    </row>
    <row r="468" spans="17:24" x14ac:dyDescent="0.3">
      <c r="Q468" s="3"/>
      <c r="R468" s="3"/>
      <c r="S468" s="3"/>
      <c r="T468" s="21"/>
      <c r="U468" s="3"/>
      <c r="V468" s="3">
        <f t="shared" si="31"/>
        <v>0</v>
      </c>
      <c r="W468" s="3" t="str">
        <f t="shared" si="32"/>
        <v>Ø16</v>
      </c>
      <c r="X468" s="3" t="str">
        <f t="shared" si="33"/>
        <v>Ø16</v>
      </c>
    </row>
    <row r="469" spans="17:24" x14ac:dyDescent="0.3">
      <c r="Q469" s="3"/>
      <c r="R469" s="3"/>
      <c r="S469" s="3"/>
      <c r="T469" s="21"/>
      <c r="U469" s="3"/>
      <c r="V469" s="3">
        <f t="shared" si="31"/>
        <v>0</v>
      </c>
      <c r="W469" s="3" t="str">
        <f t="shared" si="32"/>
        <v>Ø16</v>
      </c>
      <c r="X469" s="3" t="str">
        <f t="shared" si="33"/>
        <v>Ø16</v>
      </c>
    </row>
    <row r="470" spans="17:24" x14ac:dyDescent="0.3">
      <c r="Q470" s="3"/>
      <c r="R470" s="3"/>
      <c r="S470" s="3"/>
      <c r="T470" s="21"/>
      <c r="U470" s="3"/>
      <c r="V470" s="3">
        <f t="shared" si="31"/>
        <v>0</v>
      </c>
      <c r="W470" s="3" t="str">
        <f t="shared" si="32"/>
        <v>Ø16</v>
      </c>
      <c r="X470" s="3" t="str">
        <f t="shared" si="33"/>
        <v>Ø16</v>
      </c>
    </row>
    <row r="471" spans="17:24" x14ac:dyDescent="0.3">
      <c r="Q471" s="3"/>
      <c r="R471" s="3"/>
      <c r="S471" s="3"/>
      <c r="T471" s="21"/>
      <c r="U471" s="3"/>
      <c r="V471" s="3">
        <f t="shared" si="31"/>
        <v>0</v>
      </c>
      <c r="W471" s="3" t="str">
        <f t="shared" si="32"/>
        <v>Ø16</v>
      </c>
      <c r="X471" s="3" t="str">
        <f t="shared" si="33"/>
        <v>Ø16</v>
      </c>
    </row>
    <row r="472" spans="17:24" x14ac:dyDescent="0.3">
      <c r="Q472" s="3"/>
      <c r="R472" s="3"/>
      <c r="S472" s="3"/>
      <c r="T472" s="21"/>
      <c r="U472" s="3"/>
      <c r="V472" s="3">
        <f t="shared" si="31"/>
        <v>0</v>
      </c>
      <c r="W472" s="3" t="str">
        <f t="shared" si="32"/>
        <v>Ø16</v>
      </c>
      <c r="X472" s="3" t="str">
        <f t="shared" si="33"/>
        <v>Ø16</v>
      </c>
    </row>
    <row r="473" spans="17:24" x14ac:dyDescent="0.3">
      <c r="Q473" s="3"/>
      <c r="R473" s="3"/>
      <c r="S473" s="3"/>
      <c r="T473" s="21"/>
      <c r="U473" s="3"/>
      <c r="V473" s="3">
        <f t="shared" si="31"/>
        <v>0</v>
      </c>
      <c r="W473" s="3" t="str">
        <f t="shared" si="32"/>
        <v>Ø16</v>
      </c>
      <c r="X473" s="3" t="str">
        <f t="shared" si="33"/>
        <v>Ø16</v>
      </c>
    </row>
    <row r="474" spans="17:24" x14ac:dyDescent="0.3">
      <c r="Q474" s="3"/>
      <c r="R474" s="3"/>
      <c r="S474" s="3"/>
      <c r="T474" s="21"/>
      <c r="U474" s="3"/>
      <c r="V474" s="3">
        <f t="shared" si="31"/>
        <v>0</v>
      </c>
      <c r="W474" s="3" t="str">
        <f t="shared" si="32"/>
        <v>Ø16</v>
      </c>
      <c r="X474" s="3" t="str">
        <f t="shared" si="33"/>
        <v>Ø16</v>
      </c>
    </row>
    <row r="475" spans="17:24" x14ac:dyDescent="0.3">
      <c r="Q475" s="3"/>
      <c r="R475" s="3"/>
      <c r="S475" s="3"/>
      <c r="T475" s="21"/>
      <c r="U475" s="3"/>
      <c r="V475" s="3">
        <f t="shared" si="31"/>
        <v>0</v>
      </c>
      <c r="W475" s="3" t="str">
        <f t="shared" si="32"/>
        <v>Ø16</v>
      </c>
      <c r="X475" s="3" t="str">
        <f t="shared" si="33"/>
        <v>Ø16</v>
      </c>
    </row>
    <row r="476" spans="17:24" x14ac:dyDescent="0.3">
      <c r="Q476" s="3"/>
      <c r="R476" s="3"/>
      <c r="S476" s="3"/>
      <c r="T476" s="21"/>
      <c r="U476" s="3"/>
      <c r="V476" s="3">
        <f t="shared" si="31"/>
        <v>0</v>
      </c>
      <c r="W476" s="3" t="str">
        <f t="shared" si="32"/>
        <v>Ø16</v>
      </c>
      <c r="X476" s="3" t="str">
        <f t="shared" si="33"/>
        <v>Ø16</v>
      </c>
    </row>
    <row r="477" spans="17:24" x14ac:dyDescent="0.3">
      <c r="Q477" s="3"/>
      <c r="R477" s="3"/>
      <c r="S477" s="3"/>
      <c r="T477" s="21"/>
      <c r="U477" s="3"/>
      <c r="V477" s="3">
        <f t="shared" si="31"/>
        <v>0</v>
      </c>
      <c r="W477" s="3" t="str">
        <f t="shared" si="32"/>
        <v>Ø16</v>
      </c>
      <c r="X477" s="3" t="str">
        <f t="shared" si="33"/>
        <v>Ø16</v>
      </c>
    </row>
    <row r="478" spans="17:24" x14ac:dyDescent="0.3">
      <c r="Q478" s="3"/>
      <c r="R478" s="3"/>
      <c r="S478" s="3"/>
      <c r="T478" s="21"/>
      <c r="U478" s="3"/>
      <c r="V478" s="3">
        <f t="shared" si="31"/>
        <v>0</v>
      </c>
      <c r="W478" s="3" t="str">
        <f t="shared" si="32"/>
        <v>Ø16</v>
      </c>
      <c r="X478" s="3" t="str">
        <f t="shared" si="33"/>
        <v>Ø16</v>
      </c>
    </row>
    <row r="479" spans="17:24" x14ac:dyDescent="0.3">
      <c r="Q479" s="3"/>
      <c r="R479" s="3"/>
      <c r="S479" s="3"/>
      <c r="T479" s="21"/>
      <c r="U479" s="3"/>
      <c r="V479" s="3">
        <f t="shared" si="31"/>
        <v>0</v>
      </c>
      <c r="W479" s="3" t="str">
        <f t="shared" si="32"/>
        <v>Ø16</v>
      </c>
      <c r="X479" s="3" t="str">
        <f t="shared" si="33"/>
        <v>Ø16</v>
      </c>
    </row>
    <row r="480" spans="17:24" x14ac:dyDescent="0.3">
      <c r="Q480" s="3"/>
      <c r="R480" s="3"/>
      <c r="S480" s="3"/>
      <c r="T480" s="21"/>
      <c r="U480" s="3"/>
      <c r="V480" s="3">
        <f t="shared" si="31"/>
        <v>0</v>
      </c>
      <c r="W480" s="3" t="str">
        <f t="shared" si="32"/>
        <v>Ø16</v>
      </c>
      <c r="X480" s="3" t="str">
        <f t="shared" si="33"/>
        <v>Ø16</v>
      </c>
    </row>
    <row r="481" spans="17:24" x14ac:dyDescent="0.3">
      <c r="Q481" s="3"/>
      <c r="R481" s="3"/>
      <c r="S481" s="3"/>
      <c r="T481" s="21"/>
      <c r="U481" s="3"/>
      <c r="V481" s="3">
        <f t="shared" si="31"/>
        <v>0</v>
      </c>
      <c r="W481" s="3" t="str">
        <f t="shared" si="32"/>
        <v>Ø16</v>
      </c>
      <c r="X481" s="3" t="str">
        <f t="shared" si="33"/>
        <v>Ø16</v>
      </c>
    </row>
    <row r="482" spans="17:24" x14ac:dyDescent="0.3">
      <c r="Q482" s="3"/>
      <c r="R482" s="3"/>
      <c r="S482" s="3"/>
      <c r="T482" s="21"/>
      <c r="U482" s="3"/>
      <c r="V482" s="3">
        <f t="shared" si="31"/>
        <v>0</v>
      </c>
      <c r="W482" s="3" t="str">
        <f t="shared" si="32"/>
        <v>Ø16</v>
      </c>
      <c r="X482" s="3" t="str">
        <f t="shared" si="33"/>
        <v>Ø16</v>
      </c>
    </row>
    <row r="483" spans="17:24" x14ac:dyDescent="0.3">
      <c r="Q483" s="3"/>
      <c r="R483" s="3"/>
      <c r="S483" s="3"/>
      <c r="T483" s="21"/>
      <c r="U483" s="3"/>
      <c r="V483" s="3">
        <f t="shared" si="31"/>
        <v>0</v>
      </c>
      <c r="W483" s="3" t="str">
        <f t="shared" si="32"/>
        <v>Ø16</v>
      </c>
      <c r="X483" s="3" t="str">
        <f t="shared" si="33"/>
        <v>Ø16</v>
      </c>
    </row>
    <row r="484" spans="17:24" x14ac:dyDescent="0.3">
      <c r="Q484" s="3"/>
      <c r="R484" s="3"/>
      <c r="S484" s="3"/>
      <c r="T484" s="21"/>
      <c r="U484" s="3"/>
      <c r="V484" s="3">
        <f t="shared" si="31"/>
        <v>0</v>
      </c>
      <c r="W484" s="3" t="str">
        <f t="shared" si="32"/>
        <v>Ø16</v>
      </c>
      <c r="X484" s="3" t="str">
        <f t="shared" si="33"/>
        <v>Ø16</v>
      </c>
    </row>
    <row r="485" spans="17:24" x14ac:dyDescent="0.3">
      <c r="Q485" s="3"/>
      <c r="R485" s="3"/>
      <c r="S485" s="3"/>
      <c r="T485" s="21"/>
      <c r="U485" s="3"/>
      <c r="V485" s="3">
        <f t="shared" si="31"/>
        <v>0</v>
      </c>
      <c r="W485" s="3" t="str">
        <f t="shared" si="32"/>
        <v>Ø16</v>
      </c>
      <c r="X485" s="3" t="str">
        <f t="shared" si="33"/>
        <v>Ø16</v>
      </c>
    </row>
    <row r="486" spans="17:24" x14ac:dyDescent="0.3">
      <c r="Q486" s="3"/>
      <c r="R486" s="3"/>
      <c r="S486" s="3"/>
      <c r="T486" s="21"/>
      <c r="U486" s="3"/>
      <c r="V486" s="3">
        <f t="shared" si="31"/>
        <v>0</v>
      </c>
      <c r="W486" s="3" t="str">
        <f t="shared" si="32"/>
        <v>Ø16</v>
      </c>
      <c r="X486" s="3" t="str">
        <f t="shared" si="33"/>
        <v>Ø16</v>
      </c>
    </row>
    <row r="487" spans="17:24" x14ac:dyDescent="0.3">
      <c r="Q487" s="3"/>
      <c r="R487" s="3"/>
      <c r="S487" s="3"/>
      <c r="T487" s="21"/>
      <c r="U487" s="3"/>
      <c r="V487" s="3">
        <f t="shared" si="31"/>
        <v>0</v>
      </c>
      <c r="W487" s="3" t="str">
        <f t="shared" si="32"/>
        <v>Ø16</v>
      </c>
      <c r="X487" s="3" t="str">
        <f t="shared" si="33"/>
        <v>Ø16</v>
      </c>
    </row>
    <row r="488" spans="17:24" x14ac:dyDescent="0.3">
      <c r="Q488" s="3"/>
      <c r="R488" s="3"/>
      <c r="S488" s="3"/>
      <c r="T488" s="21"/>
      <c r="U488" s="3"/>
      <c r="V488" s="3">
        <f t="shared" si="31"/>
        <v>0</v>
      </c>
      <c r="W488" s="3" t="str">
        <f t="shared" si="32"/>
        <v>Ø16</v>
      </c>
      <c r="X488" s="3" t="str">
        <f t="shared" si="33"/>
        <v>Ø16</v>
      </c>
    </row>
    <row r="489" spans="17:24" x14ac:dyDescent="0.3">
      <c r="Q489" s="3"/>
      <c r="R489" s="3"/>
      <c r="S489" s="3"/>
      <c r="T489" s="21"/>
      <c r="U489" s="3"/>
      <c r="V489" s="3">
        <f t="shared" si="31"/>
        <v>0</v>
      </c>
      <c r="W489" s="3" t="str">
        <f t="shared" si="32"/>
        <v>Ø16</v>
      </c>
      <c r="X489" s="3" t="str">
        <f t="shared" si="33"/>
        <v>Ø16</v>
      </c>
    </row>
    <row r="490" spans="17:24" x14ac:dyDescent="0.3">
      <c r="Q490" s="3"/>
      <c r="R490" s="3"/>
      <c r="S490" s="3"/>
      <c r="T490" s="21"/>
      <c r="U490" s="3"/>
      <c r="V490" s="3">
        <f t="shared" si="31"/>
        <v>0</v>
      </c>
      <c r="W490" s="3" t="str">
        <f t="shared" si="32"/>
        <v>Ø16</v>
      </c>
      <c r="X490" s="3" t="str">
        <f t="shared" si="33"/>
        <v>Ø16</v>
      </c>
    </row>
    <row r="491" spans="17:24" x14ac:dyDescent="0.3">
      <c r="Q491" s="3"/>
      <c r="R491" s="3"/>
      <c r="S491" s="3"/>
      <c r="T491" s="21"/>
      <c r="U491" s="3"/>
      <c r="V491" s="3">
        <f t="shared" si="31"/>
        <v>0</v>
      </c>
      <c r="W491" s="3" t="str">
        <f t="shared" si="32"/>
        <v>Ø16</v>
      </c>
      <c r="X491" s="3" t="str">
        <f t="shared" si="33"/>
        <v>Ø16</v>
      </c>
    </row>
    <row r="492" spans="17:24" x14ac:dyDescent="0.3">
      <c r="Q492" s="3"/>
      <c r="R492" s="3"/>
      <c r="S492" s="3"/>
      <c r="T492" s="21"/>
      <c r="U492" s="3"/>
      <c r="V492" s="3">
        <f t="shared" si="31"/>
        <v>0</v>
      </c>
      <c r="W492" s="3" t="str">
        <f t="shared" si="32"/>
        <v>Ø16</v>
      </c>
      <c r="X492" s="3" t="str">
        <f t="shared" si="33"/>
        <v>Ø16</v>
      </c>
    </row>
    <row r="493" spans="17:24" x14ac:dyDescent="0.3">
      <c r="Q493" s="3"/>
      <c r="R493" s="3"/>
      <c r="S493" s="3"/>
      <c r="T493" s="21"/>
      <c r="U493" s="3"/>
      <c r="V493" s="3">
        <f t="shared" si="31"/>
        <v>0</v>
      </c>
      <c r="W493" s="3" t="str">
        <f t="shared" si="32"/>
        <v>Ø16</v>
      </c>
      <c r="X493" s="3" t="str">
        <f t="shared" si="33"/>
        <v>Ø16</v>
      </c>
    </row>
    <row r="494" spans="17:24" x14ac:dyDescent="0.3">
      <c r="Q494" s="3"/>
      <c r="R494" s="3"/>
      <c r="S494" s="3"/>
      <c r="T494" s="21"/>
      <c r="U494" s="3"/>
      <c r="V494" s="3">
        <f t="shared" si="31"/>
        <v>0</v>
      </c>
      <c r="W494" s="3" t="str">
        <f t="shared" si="32"/>
        <v>Ø16</v>
      </c>
      <c r="X494" s="3" t="str">
        <f t="shared" si="33"/>
        <v>Ø16</v>
      </c>
    </row>
    <row r="495" spans="17:24" x14ac:dyDescent="0.3">
      <c r="Q495" s="3"/>
      <c r="R495" s="3"/>
      <c r="S495" s="3"/>
      <c r="T495" s="21"/>
      <c r="U495" s="3"/>
      <c r="V495" s="3">
        <f t="shared" si="31"/>
        <v>0</v>
      </c>
      <c r="W495" s="3" t="str">
        <f t="shared" si="32"/>
        <v>Ø16</v>
      </c>
      <c r="X495" s="3" t="str">
        <f t="shared" si="33"/>
        <v>Ø16</v>
      </c>
    </row>
    <row r="496" spans="17:24" x14ac:dyDescent="0.3">
      <c r="Q496" s="3"/>
      <c r="R496" s="3"/>
      <c r="S496" s="3"/>
      <c r="T496" s="21"/>
      <c r="U496" s="3"/>
      <c r="V496" s="3">
        <f t="shared" si="31"/>
        <v>0</v>
      </c>
      <c r="W496" s="3" t="str">
        <f t="shared" si="32"/>
        <v>Ø16</v>
      </c>
      <c r="X496" s="3" t="str">
        <f t="shared" si="33"/>
        <v>Ø16</v>
      </c>
    </row>
    <row r="497" spans="17:24" x14ac:dyDescent="0.3">
      <c r="Q497" s="3"/>
      <c r="R497" s="3"/>
      <c r="S497" s="3"/>
      <c r="T497" s="21"/>
      <c r="U497" s="3"/>
      <c r="V497" s="3">
        <f t="shared" si="31"/>
        <v>0</v>
      </c>
      <c r="W497" s="3" t="str">
        <f t="shared" si="32"/>
        <v>Ø16</v>
      </c>
      <c r="X497" s="3" t="str">
        <f t="shared" si="33"/>
        <v>Ø16</v>
      </c>
    </row>
    <row r="498" spans="17:24" x14ac:dyDescent="0.3">
      <c r="Q498" s="3"/>
      <c r="R498" s="3"/>
      <c r="S498" s="3"/>
      <c r="T498" s="21"/>
      <c r="U498" s="3"/>
      <c r="V498" s="3">
        <f t="shared" si="31"/>
        <v>0</v>
      </c>
      <c r="W498" s="3" t="str">
        <f t="shared" si="32"/>
        <v>Ø16</v>
      </c>
      <c r="X498" s="3" t="str">
        <f t="shared" si="33"/>
        <v>Ø16</v>
      </c>
    </row>
    <row r="499" spans="17:24" x14ac:dyDescent="0.3">
      <c r="Q499" s="3"/>
      <c r="R499" s="3"/>
      <c r="S499" s="3"/>
      <c r="T499" s="21"/>
      <c r="U499" s="3"/>
      <c r="V499" s="3">
        <f t="shared" si="31"/>
        <v>0</v>
      </c>
      <c r="W499" s="3" t="str">
        <f t="shared" si="32"/>
        <v>Ø16</v>
      </c>
      <c r="X499" s="3" t="str">
        <f t="shared" si="33"/>
        <v>Ø16</v>
      </c>
    </row>
    <row r="500" spans="17:24" x14ac:dyDescent="0.3">
      <c r="Q500" s="3"/>
      <c r="R500" s="3"/>
      <c r="S500" s="3"/>
      <c r="T500" s="21"/>
      <c r="U500" s="3"/>
      <c r="V500" s="3">
        <f t="shared" si="31"/>
        <v>0</v>
      </c>
      <c r="W500" s="3" t="str">
        <f t="shared" si="32"/>
        <v>Ø16</v>
      </c>
      <c r="X500" s="3" t="str">
        <f t="shared" si="33"/>
        <v>Ø16</v>
      </c>
    </row>
    <row r="501" spans="17:24" x14ac:dyDescent="0.3">
      <c r="Q501" s="3"/>
      <c r="R501" s="3"/>
      <c r="S501" s="3"/>
      <c r="T501" s="21"/>
      <c r="U501" s="3"/>
      <c r="V501" s="3">
        <f t="shared" si="31"/>
        <v>0</v>
      </c>
      <c r="W501" s="3" t="str">
        <f t="shared" si="32"/>
        <v>Ø16</v>
      </c>
      <c r="X501" s="3" t="str">
        <f t="shared" si="33"/>
        <v>Ø16</v>
      </c>
    </row>
    <row r="502" spans="17:24" x14ac:dyDescent="0.3">
      <c r="Q502" s="3"/>
      <c r="R502" s="3"/>
      <c r="S502" s="3"/>
      <c r="T502" s="21"/>
      <c r="U502" s="3"/>
      <c r="V502" s="3">
        <f t="shared" si="31"/>
        <v>0</v>
      </c>
      <c r="W502" s="3" t="str">
        <f t="shared" si="32"/>
        <v>Ø16</v>
      </c>
      <c r="X502" s="3" t="str">
        <f t="shared" si="33"/>
        <v>Ø16</v>
      </c>
    </row>
    <row r="503" spans="17:24" x14ac:dyDescent="0.3">
      <c r="Q503" s="3"/>
      <c r="R503" s="3"/>
      <c r="S503" s="3"/>
      <c r="T503" s="21"/>
      <c r="U503" s="3"/>
      <c r="V503" s="3">
        <f t="shared" si="31"/>
        <v>0</v>
      </c>
      <c r="W503" s="3" t="str">
        <f t="shared" si="32"/>
        <v>Ø16</v>
      </c>
      <c r="X503" s="3" t="str">
        <f t="shared" si="33"/>
        <v>Ø16</v>
      </c>
    </row>
  </sheetData>
  <sortState xmlns:xlrd2="http://schemas.microsoft.com/office/spreadsheetml/2017/richdata2" ref="B4:K38">
    <sortCondition ref="K38"/>
  </sortState>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7378B-8C8A-48BF-804A-B7B64BF51361}">
  <sheetPr codeName="Лист21"/>
  <dimension ref="A1:P4"/>
  <sheetViews>
    <sheetView workbookViewId="0"/>
  </sheetViews>
  <sheetFormatPr defaultRowHeight="14.4" x14ac:dyDescent="0.3"/>
  <sheetData>
    <row r="1" spans="1:16" x14ac:dyDescent="0.3">
      <c r="A1" t="s">
        <v>1383</v>
      </c>
    </row>
    <row r="2" spans="1:16" x14ac:dyDescent="0.3">
      <c r="A2" t="s">
        <v>1384</v>
      </c>
      <c r="B2" s="140"/>
    </row>
    <row r="4" spans="1:16" x14ac:dyDescent="0.3">
      <c r="N4" t="s">
        <v>4</v>
      </c>
      <c r="O4" t="s">
        <v>648</v>
      </c>
      <c r="P4" t="s">
        <v>1385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4AF2B-D28E-49A6-A193-761DDFEC0499}">
  <sheetPr codeName="Лист22"/>
  <dimension ref="A1:D260"/>
  <sheetViews>
    <sheetView workbookViewId="0"/>
  </sheetViews>
  <sheetFormatPr defaultRowHeight="14.4" x14ac:dyDescent="0.3"/>
  <sheetData>
    <row r="1" spans="1:4" x14ac:dyDescent="0.3">
      <c r="A1" t="s">
        <v>1398</v>
      </c>
      <c r="B1" t="s">
        <v>1399</v>
      </c>
      <c r="C1" t="s">
        <v>1400</v>
      </c>
      <c r="D1" t="s">
        <v>1401</v>
      </c>
    </row>
    <row r="2" spans="1:4" x14ac:dyDescent="0.3">
      <c r="A2" t="s">
        <v>6</v>
      </c>
      <c r="B2" s="114" t="s">
        <v>1402</v>
      </c>
      <c r="C2" t="s">
        <v>1403</v>
      </c>
      <c r="D2" t="s">
        <v>976</v>
      </c>
    </row>
    <row r="3" spans="1:4" x14ac:dyDescent="0.3">
      <c r="A3" t="s">
        <v>446</v>
      </c>
      <c r="B3" s="114" t="s">
        <v>1404</v>
      </c>
      <c r="C3" t="s">
        <v>1403</v>
      </c>
      <c r="D3" t="s">
        <v>984</v>
      </c>
    </row>
    <row r="4" spans="1:4" x14ac:dyDescent="0.3">
      <c r="A4" t="s">
        <v>7</v>
      </c>
      <c r="B4" s="114" t="s">
        <v>1405</v>
      </c>
      <c r="C4" t="s">
        <v>1403</v>
      </c>
      <c r="D4" t="s">
        <v>1029</v>
      </c>
    </row>
    <row r="5" spans="1:4" x14ac:dyDescent="0.3">
      <c r="A5" t="s">
        <v>848</v>
      </c>
      <c r="B5" s="114" t="s">
        <v>1406</v>
      </c>
      <c r="C5" t="s">
        <v>1403</v>
      </c>
      <c r="D5" t="s">
        <v>1023</v>
      </c>
    </row>
    <row r="6" spans="1:4" x14ac:dyDescent="0.3">
      <c r="A6" t="s">
        <v>865</v>
      </c>
      <c r="B6" s="114" t="s">
        <v>1407</v>
      </c>
      <c r="C6" t="s">
        <v>1403</v>
      </c>
      <c r="D6" t="s">
        <v>1019</v>
      </c>
    </row>
    <row r="7" spans="1:4" x14ac:dyDescent="0.3">
      <c r="A7" t="s">
        <v>552</v>
      </c>
      <c r="B7" s="114" t="s">
        <v>1408</v>
      </c>
      <c r="C7" t="s">
        <v>1403</v>
      </c>
      <c r="D7" t="s">
        <v>1053</v>
      </c>
    </row>
    <row r="8" spans="1:4" x14ac:dyDescent="0.3">
      <c r="A8" t="s">
        <v>955</v>
      </c>
      <c r="B8" s="114" t="s">
        <v>1409</v>
      </c>
      <c r="C8" t="s">
        <v>1403</v>
      </c>
      <c r="D8" t="s">
        <v>1048</v>
      </c>
    </row>
    <row r="9" spans="1:4" x14ac:dyDescent="0.3">
      <c r="A9" t="s">
        <v>448</v>
      </c>
      <c r="B9" s="114" t="s">
        <v>1410</v>
      </c>
      <c r="C9" t="s">
        <v>1403</v>
      </c>
      <c r="D9" t="s">
        <v>1080</v>
      </c>
    </row>
    <row r="10" spans="1:4" x14ac:dyDescent="0.3">
      <c r="A10" t="s">
        <v>444</v>
      </c>
      <c r="B10" s="114" t="s">
        <v>1411</v>
      </c>
      <c r="C10" t="s">
        <v>1403</v>
      </c>
      <c r="D10" t="s">
        <v>1121</v>
      </c>
    </row>
    <row r="11" spans="1:4" x14ac:dyDescent="0.3">
      <c r="A11" t="s">
        <v>956</v>
      </c>
      <c r="B11" s="114" t="s">
        <v>1412</v>
      </c>
      <c r="C11" t="s">
        <v>1413</v>
      </c>
    </row>
    <row r="12" spans="1:4" x14ac:dyDescent="0.3">
      <c r="A12" t="s">
        <v>754</v>
      </c>
      <c r="B12" s="114" t="s">
        <v>1414</v>
      </c>
      <c r="C12" t="s">
        <v>1413</v>
      </c>
    </row>
    <row r="13" spans="1:4" x14ac:dyDescent="0.3">
      <c r="A13" t="s">
        <v>25</v>
      </c>
      <c r="B13" s="114" t="s">
        <v>1415</v>
      </c>
      <c r="C13" t="s">
        <v>1413</v>
      </c>
    </row>
    <row r="14" spans="1:4" x14ac:dyDescent="0.3">
      <c r="A14" t="s">
        <v>728</v>
      </c>
      <c r="B14" s="114" t="s">
        <v>1416</v>
      </c>
      <c r="C14" t="s">
        <v>1413</v>
      </c>
    </row>
    <row r="15" spans="1:4" x14ac:dyDescent="0.3">
      <c r="A15" t="s">
        <v>9</v>
      </c>
      <c r="B15" s="114" t="s">
        <v>1417</v>
      </c>
      <c r="C15" t="s">
        <v>1413</v>
      </c>
    </row>
    <row r="16" spans="1:4" x14ac:dyDescent="0.3">
      <c r="A16" t="s">
        <v>957</v>
      </c>
      <c r="B16" s="114" t="s">
        <v>1418</v>
      </c>
      <c r="C16" t="s">
        <v>1413</v>
      </c>
    </row>
    <row r="17" spans="1:4" x14ac:dyDescent="0.3">
      <c r="A17" t="s">
        <v>958</v>
      </c>
      <c r="B17" s="114" t="s">
        <v>1419</v>
      </c>
      <c r="C17" t="s">
        <v>1413</v>
      </c>
    </row>
    <row r="18" spans="1:4" x14ac:dyDescent="0.3">
      <c r="A18" t="s">
        <v>959</v>
      </c>
      <c r="B18" s="114" t="s">
        <v>1420</v>
      </c>
      <c r="C18" t="s">
        <v>1413</v>
      </c>
    </row>
    <row r="19" spans="1:4" x14ac:dyDescent="0.3">
      <c r="A19" t="s">
        <v>960</v>
      </c>
      <c r="B19" s="114" t="s">
        <v>1421</v>
      </c>
      <c r="C19" t="s">
        <v>1413</v>
      </c>
    </row>
    <row r="20" spans="1:4" x14ac:dyDescent="0.3">
      <c r="A20" t="s">
        <v>961</v>
      </c>
      <c r="B20" s="114" t="s">
        <v>1422</v>
      </c>
      <c r="C20" t="s">
        <v>1413</v>
      </c>
    </row>
    <row r="21" spans="1:4" x14ac:dyDescent="0.3">
      <c r="A21" t="s">
        <v>963</v>
      </c>
      <c r="B21" s="114" t="s">
        <v>1423</v>
      </c>
      <c r="C21" t="s">
        <v>1424</v>
      </c>
      <c r="D21" t="s">
        <v>1006</v>
      </c>
    </row>
    <row r="22" spans="1:4" x14ac:dyDescent="0.3">
      <c r="A22" t="s">
        <v>2</v>
      </c>
      <c r="B22" s="114" t="s">
        <v>1425</v>
      </c>
      <c r="C22" t="s">
        <v>1424</v>
      </c>
      <c r="D22" t="s">
        <v>990</v>
      </c>
    </row>
    <row r="23" spans="1:4" x14ac:dyDescent="0.3">
      <c r="A23" t="s">
        <v>190</v>
      </c>
      <c r="B23" s="114" t="s">
        <v>1426</v>
      </c>
      <c r="C23" t="s">
        <v>1424</v>
      </c>
      <c r="D23" t="s">
        <v>987</v>
      </c>
    </row>
    <row r="24" spans="1:4" x14ac:dyDescent="0.3">
      <c r="A24" t="s">
        <v>544</v>
      </c>
      <c r="B24" s="114" t="s">
        <v>1427</v>
      </c>
      <c r="C24" t="s">
        <v>1424</v>
      </c>
      <c r="D24" t="s">
        <v>1068</v>
      </c>
    </row>
    <row r="25" spans="1:4" x14ac:dyDescent="0.3">
      <c r="A25" t="s">
        <v>441</v>
      </c>
      <c r="B25" s="114" t="s">
        <v>1428</v>
      </c>
      <c r="C25" t="s">
        <v>1424</v>
      </c>
      <c r="D25" t="s">
        <v>1112</v>
      </c>
    </row>
    <row r="26" spans="1:4" x14ac:dyDescent="0.3">
      <c r="A26" t="s">
        <v>525</v>
      </c>
      <c r="B26" s="114" t="s">
        <v>1429</v>
      </c>
      <c r="C26" t="s">
        <v>1424</v>
      </c>
      <c r="D26" t="s">
        <v>991</v>
      </c>
    </row>
    <row r="27" spans="1:4" x14ac:dyDescent="0.3">
      <c r="A27" t="s">
        <v>14</v>
      </c>
      <c r="B27" s="114" t="s">
        <v>1430</v>
      </c>
      <c r="C27" t="s">
        <v>1424</v>
      </c>
      <c r="D27" t="s">
        <v>993</v>
      </c>
    </row>
    <row r="28" spans="1:4" x14ac:dyDescent="0.3">
      <c r="A28" t="s">
        <v>971</v>
      </c>
      <c r="B28" s="114" t="s">
        <v>1431</v>
      </c>
      <c r="C28" t="s">
        <v>1432</v>
      </c>
    </row>
    <row r="29" spans="1:4" x14ac:dyDescent="0.3">
      <c r="A29" t="s">
        <v>856</v>
      </c>
      <c r="B29" s="114" t="s">
        <v>1433</v>
      </c>
      <c r="C29" t="s">
        <v>1432</v>
      </c>
    </row>
    <row r="30" spans="1:4" x14ac:dyDescent="0.3">
      <c r="A30" t="s">
        <v>973</v>
      </c>
      <c r="B30" s="114" t="s">
        <v>1434</v>
      </c>
      <c r="C30" t="s">
        <v>1432</v>
      </c>
    </row>
    <row r="31" spans="1:4" x14ac:dyDescent="0.3">
      <c r="A31" t="s">
        <v>52</v>
      </c>
      <c r="B31" s="114" t="s">
        <v>1435</v>
      </c>
      <c r="C31" t="s">
        <v>1432</v>
      </c>
    </row>
    <row r="32" spans="1:4" x14ac:dyDescent="0.3">
      <c r="A32" t="s">
        <v>974</v>
      </c>
      <c r="B32" s="114" t="s">
        <v>1436</v>
      </c>
      <c r="C32" t="s">
        <v>1432</v>
      </c>
    </row>
    <row r="33" spans="1:3" x14ac:dyDescent="0.3">
      <c r="A33" t="s">
        <v>51</v>
      </c>
      <c r="B33" s="114" t="s">
        <v>1435</v>
      </c>
      <c r="C33" t="s">
        <v>1432</v>
      </c>
    </row>
    <row r="34" spans="1:3" x14ac:dyDescent="0.3">
      <c r="A34" t="s">
        <v>975</v>
      </c>
      <c r="B34" s="114" t="s">
        <v>1437</v>
      </c>
      <c r="C34" t="s">
        <v>1432</v>
      </c>
    </row>
    <row r="35" spans="1:3" x14ac:dyDescent="0.3">
      <c r="A35" t="s">
        <v>976</v>
      </c>
      <c r="B35" s="114" t="s">
        <v>1438</v>
      </c>
      <c r="C35" t="s">
        <v>1432</v>
      </c>
    </row>
    <row r="36" spans="1:3" x14ac:dyDescent="0.3">
      <c r="A36" t="s">
        <v>977</v>
      </c>
      <c r="B36" s="114" t="s">
        <v>1439</v>
      </c>
      <c r="C36" t="s">
        <v>1432</v>
      </c>
    </row>
    <row r="37" spans="1:3" x14ac:dyDescent="0.3">
      <c r="A37" t="s">
        <v>978</v>
      </c>
      <c r="B37" s="114" t="s">
        <v>1440</v>
      </c>
      <c r="C37" t="s">
        <v>1432</v>
      </c>
    </row>
    <row r="38" spans="1:3" x14ac:dyDescent="0.3">
      <c r="A38" t="s">
        <v>979</v>
      </c>
      <c r="B38" s="114" t="s">
        <v>1441</v>
      </c>
      <c r="C38" t="s">
        <v>1432</v>
      </c>
    </row>
    <row r="39" spans="1:3" x14ac:dyDescent="0.3">
      <c r="A39" t="s">
        <v>980</v>
      </c>
      <c r="B39" s="114" t="s">
        <v>1442</v>
      </c>
      <c r="C39" t="s">
        <v>1432</v>
      </c>
    </row>
    <row r="40" spans="1:3" x14ac:dyDescent="0.3">
      <c r="A40" t="s">
        <v>981</v>
      </c>
      <c r="B40" s="114" t="s">
        <v>1443</v>
      </c>
      <c r="C40" t="s">
        <v>1432</v>
      </c>
    </row>
    <row r="41" spans="1:3" x14ac:dyDescent="0.3">
      <c r="A41" t="s">
        <v>982</v>
      </c>
      <c r="B41" s="114" t="s">
        <v>1444</v>
      </c>
      <c r="C41" t="s">
        <v>1432</v>
      </c>
    </row>
    <row r="42" spans="1:3" x14ac:dyDescent="0.3">
      <c r="A42" t="s">
        <v>983</v>
      </c>
      <c r="B42" s="114" t="s">
        <v>1445</v>
      </c>
      <c r="C42" t="s">
        <v>1432</v>
      </c>
    </row>
    <row r="43" spans="1:3" x14ac:dyDescent="0.3">
      <c r="A43" t="s">
        <v>984</v>
      </c>
      <c r="B43" s="114" t="s">
        <v>1446</v>
      </c>
      <c r="C43" t="s">
        <v>1432</v>
      </c>
    </row>
    <row r="44" spans="1:3" x14ac:dyDescent="0.3">
      <c r="A44" t="s">
        <v>985</v>
      </c>
      <c r="B44" s="114" t="s">
        <v>1447</v>
      </c>
      <c r="C44" t="s">
        <v>1432</v>
      </c>
    </row>
    <row r="45" spans="1:3" x14ac:dyDescent="0.3">
      <c r="A45" t="s">
        <v>986</v>
      </c>
      <c r="B45" s="114" t="s">
        <v>1448</v>
      </c>
      <c r="C45" t="s">
        <v>1432</v>
      </c>
    </row>
    <row r="46" spans="1:3" x14ac:dyDescent="0.3">
      <c r="A46" t="s">
        <v>987</v>
      </c>
      <c r="B46" s="114" t="s">
        <v>1449</v>
      </c>
      <c r="C46" t="s">
        <v>1432</v>
      </c>
    </row>
    <row r="47" spans="1:3" x14ac:dyDescent="0.3">
      <c r="A47" t="s">
        <v>988</v>
      </c>
      <c r="B47" s="114" t="s">
        <v>1450</v>
      </c>
      <c r="C47" t="s">
        <v>1432</v>
      </c>
    </row>
    <row r="48" spans="1:3" x14ac:dyDescent="0.3">
      <c r="A48" t="s">
        <v>989</v>
      </c>
      <c r="B48" s="114" t="s">
        <v>1451</v>
      </c>
      <c r="C48" t="s">
        <v>1432</v>
      </c>
    </row>
    <row r="49" spans="1:3" x14ac:dyDescent="0.3">
      <c r="A49" t="s">
        <v>990</v>
      </c>
      <c r="B49" s="114" t="s">
        <v>1452</v>
      </c>
      <c r="C49" t="s">
        <v>1432</v>
      </c>
    </row>
    <row r="50" spans="1:3" x14ac:dyDescent="0.3">
      <c r="A50" t="s">
        <v>860</v>
      </c>
      <c r="B50" s="114" t="s">
        <v>1453</v>
      </c>
      <c r="C50" t="s">
        <v>1432</v>
      </c>
    </row>
    <row r="51" spans="1:3" x14ac:dyDescent="0.3">
      <c r="A51" t="s">
        <v>991</v>
      </c>
      <c r="B51" s="114" t="s">
        <v>1454</v>
      </c>
      <c r="C51" t="s">
        <v>1432</v>
      </c>
    </row>
    <row r="52" spans="1:3" x14ac:dyDescent="0.3">
      <c r="A52" t="s">
        <v>992</v>
      </c>
      <c r="B52" s="114" t="s">
        <v>1455</v>
      </c>
      <c r="C52" t="s">
        <v>1432</v>
      </c>
    </row>
    <row r="53" spans="1:3" x14ac:dyDescent="0.3">
      <c r="A53" t="s">
        <v>993</v>
      </c>
      <c r="B53" s="114" t="s">
        <v>1456</v>
      </c>
      <c r="C53" t="s">
        <v>1432</v>
      </c>
    </row>
    <row r="54" spans="1:3" x14ac:dyDescent="0.3">
      <c r="A54" t="s">
        <v>859</v>
      </c>
      <c r="B54" s="114" t="s">
        <v>1457</v>
      </c>
      <c r="C54" t="s">
        <v>1432</v>
      </c>
    </row>
    <row r="55" spans="1:3" x14ac:dyDescent="0.3">
      <c r="A55" t="s">
        <v>994</v>
      </c>
      <c r="B55" s="114" t="s">
        <v>1458</v>
      </c>
      <c r="C55" t="s">
        <v>1432</v>
      </c>
    </row>
    <row r="56" spans="1:3" x14ac:dyDescent="0.3">
      <c r="A56" t="s">
        <v>995</v>
      </c>
      <c r="B56" s="114" t="s">
        <v>1459</v>
      </c>
      <c r="C56" t="s">
        <v>1432</v>
      </c>
    </row>
    <row r="57" spans="1:3" x14ac:dyDescent="0.3">
      <c r="A57" t="s">
        <v>750</v>
      </c>
      <c r="B57" s="114" t="s">
        <v>1460</v>
      </c>
      <c r="C57" t="s">
        <v>1432</v>
      </c>
    </row>
    <row r="58" spans="1:3" x14ac:dyDescent="0.3">
      <c r="A58" t="s">
        <v>996</v>
      </c>
      <c r="B58" s="114" t="s">
        <v>1461</v>
      </c>
      <c r="C58" t="s">
        <v>1432</v>
      </c>
    </row>
    <row r="59" spans="1:3" x14ac:dyDescent="0.3">
      <c r="A59" t="s">
        <v>997</v>
      </c>
      <c r="B59" s="114" t="s">
        <v>1462</v>
      </c>
      <c r="C59" t="s">
        <v>1432</v>
      </c>
    </row>
    <row r="60" spans="1:3" x14ac:dyDescent="0.3">
      <c r="A60" t="s">
        <v>998</v>
      </c>
      <c r="B60" s="114" t="s">
        <v>1463</v>
      </c>
      <c r="C60" t="s">
        <v>1432</v>
      </c>
    </row>
    <row r="61" spans="1:3" x14ac:dyDescent="0.3">
      <c r="A61" t="s">
        <v>999</v>
      </c>
      <c r="B61" s="114" t="s">
        <v>1464</v>
      </c>
      <c r="C61" t="s">
        <v>1432</v>
      </c>
    </row>
    <row r="62" spans="1:3" x14ac:dyDescent="0.3">
      <c r="A62" t="s">
        <v>1000</v>
      </c>
      <c r="B62" s="114" t="s">
        <v>1465</v>
      </c>
      <c r="C62" t="s">
        <v>1432</v>
      </c>
    </row>
    <row r="63" spans="1:3" x14ac:dyDescent="0.3">
      <c r="A63" t="s">
        <v>1001</v>
      </c>
      <c r="B63" s="114" t="s">
        <v>1466</v>
      </c>
      <c r="C63" t="s">
        <v>1432</v>
      </c>
    </row>
    <row r="64" spans="1:3" x14ac:dyDescent="0.3">
      <c r="A64" t="s">
        <v>1002</v>
      </c>
      <c r="B64" s="114" t="s">
        <v>1467</v>
      </c>
      <c r="C64" t="s">
        <v>1432</v>
      </c>
    </row>
    <row r="65" spans="1:3" x14ac:dyDescent="0.3">
      <c r="A65" t="s">
        <v>1003</v>
      </c>
      <c r="B65" s="114" t="s">
        <v>1468</v>
      </c>
      <c r="C65" t="s">
        <v>1432</v>
      </c>
    </row>
    <row r="66" spans="1:3" x14ac:dyDescent="0.3">
      <c r="A66" t="s">
        <v>1004</v>
      </c>
      <c r="B66" s="114" t="s">
        <v>1469</v>
      </c>
      <c r="C66" t="s">
        <v>1432</v>
      </c>
    </row>
    <row r="67" spans="1:3" x14ac:dyDescent="0.3">
      <c r="A67" t="s">
        <v>1005</v>
      </c>
      <c r="B67" s="114" t="s">
        <v>1470</v>
      </c>
      <c r="C67" t="s">
        <v>1432</v>
      </c>
    </row>
    <row r="68" spans="1:3" x14ac:dyDescent="0.3">
      <c r="A68" t="s">
        <v>1006</v>
      </c>
      <c r="B68" s="114" t="s">
        <v>1471</v>
      </c>
      <c r="C68" t="s">
        <v>1432</v>
      </c>
    </row>
    <row r="69" spans="1:3" x14ac:dyDescent="0.3">
      <c r="A69" t="s">
        <v>1007</v>
      </c>
      <c r="B69" s="114" t="s">
        <v>1472</v>
      </c>
      <c r="C69" t="s">
        <v>1432</v>
      </c>
    </row>
    <row r="70" spans="1:3" x14ac:dyDescent="0.3">
      <c r="A70" t="s">
        <v>1008</v>
      </c>
      <c r="B70" s="114" t="s">
        <v>1473</v>
      </c>
      <c r="C70" t="s">
        <v>1432</v>
      </c>
    </row>
    <row r="71" spans="1:3" x14ac:dyDescent="0.3">
      <c r="A71" t="s">
        <v>1009</v>
      </c>
      <c r="B71" s="114" t="s">
        <v>1474</v>
      </c>
      <c r="C71" t="s">
        <v>1432</v>
      </c>
    </row>
    <row r="72" spans="1:3" x14ac:dyDescent="0.3">
      <c r="A72" t="s">
        <v>1010</v>
      </c>
      <c r="B72" s="114" t="s">
        <v>1475</v>
      </c>
      <c r="C72" t="s">
        <v>1432</v>
      </c>
    </row>
    <row r="73" spans="1:3" x14ac:dyDescent="0.3">
      <c r="A73" t="s">
        <v>1011</v>
      </c>
      <c r="B73" s="114" t="s">
        <v>1476</v>
      </c>
      <c r="C73" t="s">
        <v>1432</v>
      </c>
    </row>
    <row r="74" spans="1:3" x14ac:dyDescent="0.3">
      <c r="A74" t="s">
        <v>1012</v>
      </c>
      <c r="B74" s="114" t="s">
        <v>1477</v>
      </c>
      <c r="C74" t="s">
        <v>1432</v>
      </c>
    </row>
    <row r="75" spans="1:3" x14ac:dyDescent="0.3">
      <c r="A75" t="s">
        <v>1013</v>
      </c>
      <c r="B75" s="114" t="s">
        <v>1478</v>
      </c>
      <c r="C75" t="s">
        <v>1432</v>
      </c>
    </row>
    <row r="76" spans="1:3" x14ac:dyDescent="0.3">
      <c r="A76" t="s">
        <v>1014</v>
      </c>
      <c r="B76" s="114" t="s">
        <v>1479</v>
      </c>
      <c r="C76" t="s">
        <v>1432</v>
      </c>
    </row>
    <row r="77" spans="1:3" x14ac:dyDescent="0.3">
      <c r="A77" t="s">
        <v>1015</v>
      </c>
      <c r="B77" s="114" t="s">
        <v>1480</v>
      </c>
      <c r="C77" t="s">
        <v>1432</v>
      </c>
    </row>
    <row r="78" spans="1:3" x14ac:dyDescent="0.3">
      <c r="A78" t="s">
        <v>1016</v>
      </c>
      <c r="B78" s="114" t="s">
        <v>1481</v>
      </c>
      <c r="C78" t="s">
        <v>1432</v>
      </c>
    </row>
    <row r="79" spans="1:3" x14ac:dyDescent="0.3">
      <c r="A79" t="s">
        <v>1017</v>
      </c>
      <c r="B79" s="114" t="s">
        <v>1482</v>
      </c>
      <c r="C79" t="s">
        <v>1432</v>
      </c>
    </row>
    <row r="80" spans="1:3" x14ac:dyDescent="0.3">
      <c r="A80" t="s">
        <v>1018</v>
      </c>
      <c r="B80" s="114" t="s">
        <v>1483</v>
      </c>
      <c r="C80" t="s">
        <v>1432</v>
      </c>
    </row>
    <row r="81" spans="1:3" x14ac:dyDescent="0.3">
      <c r="A81" t="s">
        <v>1019</v>
      </c>
      <c r="B81" s="114" t="s">
        <v>1484</v>
      </c>
      <c r="C81" t="s">
        <v>1432</v>
      </c>
    </row>
    <row r="82" spans="1:3" x14ac:dyDescent="0.3">
      <c r="A82" t="s">
        <v>1020</v>
      </c>
      <c r="B82" s="114" t="s">
        <v>1485</v>
      </c>
      <c r="C82" t="s">
        <v>1432</v>
      </c>
    </row>
    <row r="83" spans="1:3" x14ac:dyDescent="0.3">
      <c r="A83" t="s">
        <v>1021</v>
      </c>
      <c r="B83" s="114" t="s">
        <v>1486</v>
      </c>
      <c r="C83" t="s">
        <v>1432</v>
      </c>
    </row>
    <row r="84" spans="1:3" x14ac:dyDescent="0.3">
      <c r="A84" t="s">
        <v>438</v>
      </c>
      <c r="B84" s="114" t="s">
        <v>1487</v>
      </c>
      <c r="C84" t="s">
        <v>1432</v>
      </c>
    </row>
    <row r="85" spans="1:3" x14ac:dyDescent="0.3">
      <c r="A85" t="s">
        <v>439</v>
      </c>
      <c r="B85" s="114" t="s">
        <v>1488</v>
      </c>
      <c r="C85" t="s">
        <v>1432</v>
      </c>
    </row>
    <row r="86" spans="1:3" x14ac:dyDescent="0.3">
      <c r="A86" t="s">
        <v>1022</v>
      </c>
      <c r="B86" s="114" t="s">
        <v>1489</v>
      </c>
      <c r="C86" t="s">
        <v>1432</v>
      </c>
    </row>
    <row r="87" spans="1:3" x14ac:dyDescent="0.3">
      <c r="A87" t="s">
        <v>1023</v>
      </c>
      <c r="B87" s="114" t="s">
        <v>1490</v>
      </c>
      <c r="C87" t="s">
        <v>1432</v>
      </c>
    </row>
    <row r="88" spans="1:3" x14ac:dyDescent="0.3">
      <c r="A88" t="s">
        <v>1024</v>
      </c>
      <c r="B88" s="114" t="s">
        <v>1491</v>
      </c>
      <c r="C88" t="s">
        <v>1432</v>
      </c>
    </row>
    <row r="89" spans="1:3" x14ac:dyDescent="0.3">
      <c r="A89" t="s">
        <v>1025</v>
      </c>
      <c r="B89" s="114" t="s">
        <v>1492</v>
      </c>
      <c r="C89" t="s">
        <v>1432</v>
      </c>
    </row>
    <row r="90" spans="1:3" x14ac:dyDescent="0.3">
      <c r="A90" t="s">
        <v>1026</v>
      </c>
      <c r="B90" s="114" t="s">
        <v>1493</v>
      </c>
      <c r="C90" t="s">
        <v>1432</v>
      </c>
    </row>
    <row r="91" spans="1:3" x14ac:dyDescent="0.3">
      <c r="A91" t="s">
        <v>1027</v>
      </c>
      <c r="B91" s="114" t="s">
        <v>1494</v>
      </c>
      <c r="C91" t="s">
        <v>1432</v>
      </c>
    </row>
    <row r="92" spans="1:3" x14ac:dyDescent="0.3">
      <c r="A92" t="s">
        <v>1028</v>
      </c>
      <c r="B92" s="114" t="s">
        <v>1495</v>
      </c>
      <c r="C92" t="s">
        <v>1432</v>
      </c>
    </row>
    <row r="93" spans="1:3" x14ac:dyDescent="0.3">
      <c r="A93" t="s">
        <v>1029</v>
      </c>
      <c r="B93" s="114" t="s">
        <v>1496</v>
      </c>
      <c r="C93" t="s">
        <v>1432</v>
      </c>
    </row>
    <row r="94" spans="1:3" x14ac:dyDescent="0.3">
      <c r="A94" t="s">
        <v>1030</v>
      </c>
      <c r="B94" s="114" t="s">
        <v>1497</v>
      </c>
      <c r="C94" t="s">
        <v>1432</v>
      </c>
    </row>
    <row r="95" spans="1:3" x14ac:dyDescent="0.3">
      <c r="A95" t="s">
        <v>1031</v>
      </c>
      <c r="B95" s="114" t="s">
        <v>1498</v>
      </c>
      <c r="C95" t="s">
        <v>1432</v>
      </c>
    </row>
    <row r="96" spans="1:3" x14ac:dyDescent="0.3">
      <c r="A96" t="s">
        <v>1032</v>
      </c>
      <c r="B96" s="114" t="s">
        <v>1499</v>
      </c>
      <c r="C96" t="s">
        <v>1432</v>
      </c>
    </row>
    <row r="97" spans="1:3" x14ac:dyDescent="0.3">
      <c r="A97" t="s">
        <v>1033</v>
      </c>
      <c r="B97" s="114" t="s">
        <v>1500</v>
      </c>
      <c r="C97" t="s">
        <v>1432</v>
      </c>
    </row>
    <row r="98" spans="1:3" x14ac:dyDescent="0.3">
      <c r="A98" t="s">
        <v>1034</v>
      </c>
      <c r="B98" s="114" t="s">
        <v>1501</v>
      </c>
      <c r="C98" t="s">
        <v>1432</v>
      </c>
    </row>
    <row r="99" spans="1:3" x14ac:dyDescent="0.3">
      <c r="A99" t="s">
        <v>1035</v>
      </c>
      <c r="B99" s="114" t="s">
        <v>1502</v>
      </c>
      <c r="C99" t="s">
        <v>1432</v>
      </c>
    </row>
    <row r="100" spans="1:3" x14ac:dyDescent="0.3">
      <c r="A100" t="s">
        <v>1036</v>
      </c>
      <c r="B100" s="114" t="s">
        <v>1503</v>
      </c>
      <c r="C100" t="s">
        <v>1432</v>
      </c>
    </row>
    <row r="101" spans="1:3" x14ac:dyDescent="0.3">
      <c r="A101" t="s">
        <v>1037</v>
      </c>
      <c r="B101" s="114" t="s">
        <v>1504</v>
      </c>
      <c r="C101" t="s">
        <v>1432</v>
      </c>
    </row>
    <row r="102" spans="1:3" x14ac:dyDescent="0.3">
      <c r="A102" t="s">
        <v>1038</v>
      </c>
      <c r="B102" s="114" t="s">
        <v>1505</v>
      </c>
      <c r="C102" t="s">
        <v>1432</v>
      </c>
    </row>
    <row r="103" spans="1:3" x14ac:dyDescent="0.3">
      <c r="A103" t="s">
        <v>1039</v>
      </c>
      <c r="B103" s="114" t="s">
        <v>1506</v>
      </c>
      <c r="C103" t="s">
        <v>1432</v>
      </c>
    </row>
    <row r="104" spans="1:3" x14ac:dyDescent="0.3">
      <c r="A104" t="s">
        <v>1040</v>
      </c>
      <c r="B104" s="114" t="s">
        <v>1507</v>
      </c>
      <c r="C104" t="s">
        <v>1432</v>
      </c>
    </row>
    <row r="105" spans="1:3" x14ac:dyDescent="0.3">
      <c r="A105" t="s">
        <v>1041</v>
      </c>
      <c r="B105" s="114" t="s">
        <v>1508</v>
      </c>
      <c r="C105" t="s">
        <v>1432</v>
      </c>
    </row>
    <row r="106" spans="1:3" x14ac:dyDescent="0.3">
      <c r="A106" t="s">
        <v>1042</v>
      </c>
      <c r="B106" s="114" t="s">
        <v>1509</v>
      </c>
      <c r="C106" t="s">
        <v>1432</v>
      </c>
    </row>
    <row r="107" spans="1:3" x14ac:dyDescent="0.3">
      <c r="A107" t="s">
        <v>1043</v>
      </c>
      <c r="B107" s="114" t="s">
        <v>1510</v>
      </c>
      <c r="C107" t="s">
        <v>1432</v>
      </c>
    </row>
    <row r="108" spans="1:3" x14ac:dyDescent="0.3">
      <c r="A108" t="s">
        <v>1044</v>
      </c>
      <c r="B108" s="114" t="s">
        <v>1511</v>
      </c>
      <c r="C108" t="s">
        <v>1432</v>
      </c>
    </row>
    <row r="109" spans="1:3" x14ac:dyDescent="0.3">
      <c r="A109" t="s">
        <v>1045</v>
      </c>
      <c r="B109" s="114" t="s">
        <v>1512</v>
      </c>
      <c r="C109" t="s">
        <v>1432</v>
      </c>
    </row>
    <row r="110" spans="1:3" x14ac:dyDescent="0.3">
      <c r="A110" t="s">
        <v>1046</v>
      </c>
      <c r="B110" s="114" t="s">
        <v>1513</v>
      </c>
      <c r="C110" t="s">
        <v>1432</v>
      </c>
    </row>
    <row r="111" spans="1:3" x14ac:dyDescent="0.3">
      <c r="A111" t="s">
        <v>1047</v>
      </c>
      <c r="B111" s="114" t="s">
        <v>1514</v>
      </c>
      <c r="C111" t="s">
        <v>1432</v>
      </c>
    </row>
    <row r="112" spans="1:3" x14ac:dyDescent="0.3">
      <c r="A112" t="s">
        <v>1048</v>
      </c>
      <c r="B112" s="114" t="s">
        <v>1515</v>
      </c>
      <c r="C112" t="s">
        <v>1432</v>
      </c>
    </row>
    <row r="113" spans="1:3" x14ac:dyDescent="0.3">
      <c r="A113" t="s">
        <v>1049</v>
      </c>
      <c r="B113" s="114" t="s">
        <v>1516</v>
      </c>
      <c r="C113" t="s">
        <v>1432</v>
      </c>
    </row>
    <row r="114" spans="1:3" x14ac:dyDescent="0.3">
      <c r="A114" t="s">
        <v>1050</v>
      </c>
      <c r="B114" s="114" t="s">
        <v>1517</v>
      </c>
      <c r="C114" t="s">
        <v>1432</v>
      </c>
    </row>
    <row r="115" spans="1:3" x14ac:dyDescent="0.3">
      <c r="A115" t="s">
        <v>1051</v>
      </c>
      <c r="B115" s="114" t="s">
        <v>1518</v>
      </c>
      <c r="C115" t="s">
        <v>1432</v>
      </c>
    </row>
    <row r="116" spans="1:3" x14ac:dyDescent="0.3">
      <c r="A116" t="s">
        <v>1052</v>
      </c>
      <c r="B116" s="114" t="s">
        <v>1519</v>
      </c>
      <c r="C116" t="s">
        <v>1432</v>
      </c>
    </row>
    <row r="117" spans="1:3" x14ac:dyDescent="0.3">
      <c r="A117" t="s">
        <v>1053</v>
      </c>
      <c r="B117" s="114" t="s">
        <v>1520</v>
      </c>
      <c r="C117" t="s">
        <v>1432</v>
      </c>
    </row>
    <row r="118" spans="1:3" x14ac:dyDescent="0.3">
      <c r="A118" t="s">
        <v>3</v>
      </c>
      <c r="B118" s="114" t="s">
        <v>1521</v>
      </c>
      <c r="C118" t="s">
        <v>1432</v>
      </c>
    </row>
    <row r="119" spans="1:3" x14ac:dyDescent="0.3">
      <c r="A119" t="s">
        <v>1054</v>
      </c>
      <c r="B119" s="114" t="s">
        <v>1522</v>
      </c>
      <c r="C119" t="s">
        <v>1432</v>
      </c>
    </row>
    <row r="120" spans="1:3" x14ac:dyDescent="0.3">
      <c r="A120" t="s">
        <v>1055</v>
      </c>
      <c r="B120" s="114" t="s">
        <v>1523</v>
      </c>
      <c r="C120" t="s">
        <v>1432</v>
      </c>
    </row>
    <row r="121" spans="1:3" x14ac:dyDescent="0.3">
      <c r="A121" t="s">
        <v>1056</v>
      </c>
      <c r="B121" s="114" t="s">
        <v>1524</v>
      </c>
      <c r="C121" t="s">
        <v>1432</v>
      </c>
    </row>
    <row r="122" spans="1:3" x14ac:dyDescent="0.3">
      <c r="A122" t="s">
        <v>1057</v>
      </c>
      <c r="B122" s="114" t="s">
        <v>1525</v>
      </c>
      <c r="C122" t="s">
        <v>1432</v>
      </c>
    </row>
    <row r="123" spans="1:3" x14ac:dyDescent="0.3">
      <c r="A123" t="s">
        <v>1058</v>
      </c>
      <c r="B123" s="114" t="s">
        <v>1526</v>
      </c>
      <c r="C123" t="s">
        <v>1432</v>
      </c>
    </row>
    <row r="124" spans="1:3" x14ac:dyDescent="0.3">
      <c r="A124" t="s">
        <v>1059</v>
      </c>
      <c r="B124" s="114" t="s">
        <v>1527</v>
      </c>
      <c r="C124" t="s">
        <v>1432</v>
      </c>
    </row>
    <row r="125" spans="1:3" x14ac:dyDescent="0.3">
      <c r="A125" t="s">
        <v>1060</v>
      </c>
      <c r="B125" s="114" t="s">
        <v>1528</v>
      </c>
      <c r="C125" t="s">
        <v>1432</v>
      </c>
    </row>
    <row r="126" spans="1:3" x14ac:dyDescent="0.3">
      <c r="A126" t="s">
        <v>1061</v>
      </c>
      <c r="B126" s="114" t="s">
        <v>1529</v>
      </c>
      <c r="C126" t="s">
        <v>1432</v>
      </c>
    </row>
    <row r="127" spans="1:3" x14ac:dyDescent="0.3">
      <c r="A127" t="s">
        <v>1062</v>
      </c>
      <c r="B127" s="114" t="s">
        <v>1530</v>
      </c>
      <c r="C127" t="s">
        <v>1432</v>
      </c>
    </row>
    <row r="128" spans="1:3" x14ac:dyDescent="0.3">
      <c r="A128" t="s">
        <v>1063</v>
      </c>
      <c r="B128" s="114" t="s">
        <v>1531</v>
      </c>
      <c r="C128" t="s">
        <v>1432</v>
      </c>
    </row>
    <row r="129" spans="1:3" x14ac:dyDescent="0.3">
      <c r="A129" t="s">
        <v>1064</v>
      </c>
      <c r="B129" s="114" t="s">
        <v>1532</v>
      </c>
      <c r="C129" t="s">
        <v>1432</v>
      </c>
    </row>
    <row r="130" spans="1:3" x14ac:dyDescent="0.3">
      <c r="A130" t="s">
        <v>1065</v>
      </c>
      <c r="B130" s="114" t="s">
        <v>1533</v>
      </c>
      <c r="C130" t="s">
        <v>1432</v>
      </c>
    </row>
    <row r="131" spans="1:3" x14ac:dyDescent="0.3">
      <c r="A131" t="s">
        <v>1066</v>
      </c>
      <c r="B131" s="114" t="s">
        <v>1534</v>
      </c>
      <c r="C131" t="s">
        <v>1432</v>
      </c>
    </row>
    <row r="132" spans="1:3" x14ac:dyDescent="0.3">
      <c r="A132" t="s">
        <v>1067</v>
      </c>
      <c r="B132" s="114" t="s">
        <v>1535</v>
      </c>
      <c r="C132" t="s">
        <v>1432</v>
      </c>
    </row>
    <row r="133" spans="1:3" x14ac:dyDescent="0.3">
      <c r="A133" t="s">
        <v>731</v>
      </c>
      <c r="B133" s="114" t="s">
        <v>1536</v>
      </c>
      <c r="C133" t="s">
        <v>1432</v>
      </c>
    </row>
    <row r="134" spans="1:3" x14ac:dyDescent="0.3">
      <c r="A134" t="s">
        <v>729</v>
      </c>
      <c r="B134" s="114" t="s">
        <v>1537</v>
      </c>
      <c r="C134" t="s">
        <v>1432</v>
      </c>
    </row>
    <row r="135" spans="1:3" x14ac:dyDescent="0.3">
      <c r="A135" t="s">
        <v>732</v>
      </c>
      <c r="B135" s="114" t="s">
        <v>1538</v>
      </c>
      <c r="C135" t="s">
        <v>1432</v>
      </c>
    </row>
    <row r="136" spans="1:3" x14ac:dyDescent="0.3">
      <c r="A136" t="s">
        <v>1068</v>
      </c>
      <c r="B136" s="114" t="s">
        <v>1539</v>
      </c>
      <c r="C136" t="s">
        <v>1432</v>
      </c>
    </row>
    <row r="137" spans="1:3" x14ac:dyDescent="0.3">
      <c r="A137" t="s">
        <v>727</v>
      </c>
      <c r="B137" s="114" t="s">
        <v>1540</v>
      </c>
      <c r="C137" t="s">
        <v>1432</v>
      </c>
    </row>
    <row r="138" spans="1:3" x14ac:dyDescent="0.3">
      <c r="A138" t="s">
        <v>538</v>
      </c>
      <c r="B138" s="114" t="s">
        <v>1541</v>
      </c>
      <c r="C138" t="s">
        <v>1432</v>
      </c>
    </row>
    <row r="139" spans="1:3" x14ac:dyDescent="0.3">
      <c r="A139" t="s">
        <v>757</v>
      </c>
      <c r="B139" s="114" t="s">
        <v>1542</v>
      </c>
      <c r="C139" t="s">
        <v>1432</v>
      </c>
    </row>
    <row r="140" spans="1:3" x14ac:dyDescent="0.3">
      <c r="A140" t="s">
        <v>1069</v>
      </c>
      <c r="B140" s="114" t="s">
        <v>1543</v>
      </c>
      <c r="C140" t="s">
        <v>1432</v>
      </c>
    </row>
    <row r="141" spans="1:3" x14ac:dyDescent="0.3">
      <c r="A141" t="s">
        <v>1070</v>
      </c>
      <c r="B141" s="114" t="s">
        <v>1544</v>
      </c>
      <c r="C141" t="s">
        <v>1432</v>
      </c>
    </row>
    <row r="142" spans="1:3" x14ac:dyDescent="0.3">
      <c r="A142" t="s">
        <v>1071</v>
      </c>
      <c r="B142" s="114" t="s">
        <v>1545</v>
      </c>
      <c r="C142" t="s">
        <v>1432</v>
      </c>
    </row>
    <row r="143" spans="1:3" x14ac:dyDescent="0.3">
      <c r="A143" t="s">
        <v>1072</v>
      </c>
      <c r="B143" s="114" t="s">
        <v>1546</v>
      </c>
      <c r="C143" t="s">
        <v>1432</v>
      </c>
    </row>
    <row r="144" spans="1:3" x14ac:dyDescent="0.3">
      <c r="A144" t="s">
        <v>1073</v>
      </c>
      <c r="B144" s="114" t="s">
        <v>1547</v>
      </c>
      <c r="C144" t="s">
        <v>1432</v>
      </c>
    </row>
    <row r="145" spans="1:3" x14ac:dyDescent="0.3">
      <c r="A145" t="s">
        <v>1074</v>
      </c>
      <c r="B145" s="114" t="s">
        <v>1548</v>
      </c>
      <c r="C145" t="s">
        <v>1432</v>
      </c>
    </row>
    <row r="146" spans="1:3" x14ac:dyDescent="0.3">
      <c r="A146" t="s">
        <v>1075</v>
      </c>
      <c r="B146" s="114" t="s">
        <v>1549</v>
      </c>
      <c r="C146" t="s">
        <v>1432</v>
      </c>
    </row>
    <row r="147" spans="1:3" x14ac:dyDescent="0.3">
      <c r="A147" t="s">
        <v>1076</v>
      </c>
      <c r="B147" s="114" t="s">
        <v>1550</v>
      </c>
      <c r="C147" t="s">
        <v>1432</v>
      </c>
    </row>
    <row r="148" spans="1:3" x14ac:dyDescent="0.3">
      <c r="A148" t="s">
        <v>1077</v>
      </c>
      <c r="B148" s="114" t="s">
        <v>1551</v>
      </c>
      <c r="C148" t="s">
        <v>1432</v>
      </c>
    </row>
    <row r="149" spans="1:3" x14ac:dyDescent="0.3">
      <c r="A149" t="s">
        <v>1078</v>
      </c>
      <c r="B149" s="114" t="s">
        <v>1552</v>
      </c>
      <c r="C149" t="s">
        <v>1432</v>
      </c>
    </row>
    <row r="150" spans="1:3" x14ac:dyDescent="0.3">
      <c r="A150" t="s">
        <v>1079</v>
      </c>
      <c r="B150" s="114" t="s">
        <v>1553</v>
      </c>
      <c r="C150" t="s">
        <v>1432</v>
      </c>
    </row>
    <row r="151" spans="1:3" x14ac:dyDescent="0.3">
      <c r="A151" t="s">
        <v>1080</v>
      </c>
      <c r="B151" s="114" t="s">
        <v>1554</v>
      </c>
      <c r="C151" t="s">
        <v>1432</v>
      </c>
    </row>
    <row r="152" spans="1:3" x14ac:dyDescent="0.3">
      <c r="A152" t="s">
        <v>1081</v>
      </c>
      <c r="B152" s="114" t="s">
        <v>1555</v>
      </c>
      <c r="C152" t="s">
        <v>1432</v>
      </c>
    </row>
    <row r="153" spans="1:3" x14ac:dyDescent="0.3">
      <c r="A153" t="s">
        <v>1082</v>
      </c>
      <c r="B153" s="114" t="s">
        <v>1556</v>
      </c>
      <c r="C153" t="s">
        <v>1432</v>
      </c>
    </row>
    <row r="154" spans="1:3" x14ac:dyDescent="0.3">
      <c r="A154" t="s">
        <v>1083</v>
      </c>
      <c r="B154" s="114" t="s">
        <v>1557</v>
      </c>
      <c r="C154" t="s">
        <v>1432</v>
      </c>
    </row>
    <row r="155" spans="1:3" x14ac:dyDescent="0.3">
      <c r="A155" t="s">
        <v>1084</v>
      </c>
      <c r="B155" s="114" t="s">
        <v>1558</v>
      </c>
      <c r="C155" t="s">
        <v>1432</v>
      </c>
    </row>
    <row r="156" spans="1:3" x14ac:dyDescent="0.3">
      <c r="A156" t="s">
        <v>1085</v>
      </c>
      <c r="B156" s="114" t="s">
        <v>1559</v>
      </c>
      <c r="C156" t="s">
        <v>1432</v>
      </c>
    </row>
    <row r="157" spans="1:3" x14ac:dyDescent="0.3">
      <c r="A157" t="s">
        <v>787</v>
      </c>
      <c r="B157" s="114" t="s">
        <v>1560</v>
      </c>
      <c r="C157" t="s">
        <v>1432</v>
      </c>
    </row>
    <row r="158" spans="1:3" x14ac:dyDescent="0.3">
      <c r="A158" t="s">
        <v>1086</v>
      </c>
      <c r="B158" s="114" t="s">
        <v>1561</v>
      </c>
      <c r="C158" t="s">
        <v>1432</v>
      </c>
    </row>
    <row r="159" spans="1:3" x14ac:dyDescent="0.3">
      <c r="A159" t="s">
        <v>1087</v>
      </c>
      <c r="B159" s="114" t="s">
        <v>1562</v>
      </c>
      <c r="C159" t="s">
        <v>1432</v>
      </c>
    </row>
    <row r="160" spans="1:3" x14ac:dyDescent="0.3">
      <c r="A160" t="s">
        <v>1088</v>
      </c>
      <c r="B160" s="114" t="s">
        <v>1563</v>
      </c>
      <c r="C160" t="s">
        <v>1432</v>
      </c>
    </row>
    <row r="161" spans="1:3" x14ac:dyDescent="0.3">
      <c r="A161" t="s">
        <v>786</v>
      </c>
      <c r="B161" s="114" t="s">
        <v>1564</v>
      </c>
      <c r="C161" t="s">
        <v>1432</v>
      </c>
    </row>
    <row r="162" spans="1:3" x14ac:dyDescent="0.3">
      <c r="A162" t="s">
        <v>788</v>
      </c>
      <c r="B162" s="114" t="s">
        <v>1565</v>
      </c>
      <c r="C162" t="s">
        <v>1432</v>
      </c>
    </row>
    <row r="163" spans="1:3" x14ac:dyDescent="0.3">
      <c r="A163" t="s">
        <v>1089</v>
      </c>
      <c r="B163" s="114" t="s">
        <v>1566</v>
      </c>
      <c r="C163" t="s">
        <v>1432</v>
      </c>
    </row>
    <row r="164" spans="1:3" x14ac:dyDescent="0.3">
      <c r="A164" t="s">
        <v>1090</v>
      </c>
      <c r="B164" s="114" t="s">
        <v>1567</v>
      </c>
      <c r="C164" t="s">
        <v>1432</v>
      </c>
    </row>
    <row r="165" spans="1:3" x14ac:dyDescent="0.3">
      <c r="A165" t="s">
        <v>1091</v>
      </c>
      <c r="B165" s="114" t="s">
        <v>1568</v>
      </c>
      <c r="C165" t="s">
        <v>1432</v>
      </c>
    </row>
    <row r="166" spans="1:3" x14ac:dyDescent="0.3">
      <c r="A166" t="s">
        <v>1092</v>
      </c>
      <c r="B166" s="114" t="s">
        <v>1569</v>
      </c>
      <c r="C166" t="s">
        <v>1432</v>
      </c>
    </row>
    <row r="167" spans="1:3" x14ac:dyDescent="0.3">
      <c r="A167" t="s">
        <v>1093</v>
      </c>
      <c r="B167" s="114" t="s">
        <v>1570</v>
      </c>
      <c r="C167" t="s">
        <v>1432</v>
      </c>
    </row>
    <row r="168" spans="1:3" x14ac:dyDescent="0.3">
      <c r="A168" t="s">
        <v>1094</v>
      </c>
      <c r="B168" s="114" t="s">
        <v>1571</v>
      </c>
      <c r="C168" t="s">
        <v>1432</v>
      </c>
    </row>
    <row r="169" spans="1:3" x14ac:dyDescent="0.3">
      <c r="A169" t="s">
        <v>1095</v>
      </c>
      <c r="B169" s="114" t="s">
        <v>1572</v>
      </c>
      <c r="C169" t="s">
        <v>1432</v>
      </c>
    </row>
    <row r="170" spans="1:3" x14ac:dyDescent="0.3">
      <c r="A170" t="s">
        <v>1096</v>
      </c>
      <c r="B170" s="114" t="s">
        <v>1573</v>
      </c>
      <c r="C170" t="s">
        <v>1432</v>
      </c>
    </row>
    <row r="171" spans="1:3" x14ac:dyDescent="0.3">
      <c r="A171" t="s">
        <v>1097</v>
      </c>
      <c r="B171" s="114" t="s">
        <v>1574</v>
      </c>
      <c r="C171" t="s">
        <v>1432</v>
      </c>
    </row>
    <row r="172" spans="1:3" x14ac:dyDescent="0.3">
      <c r="A172" t="s">
        <v>1098</v>
      </c>
      <c r="B172" s="114" t="s">
        <v>1575</v>
      </c>
      <c r="C172" t="s">
        <v>1432</v>
      </c>
    </row>
    <row r="173" spans="1:3" x14ac:dyDescent="0.3">
      <c r="A173" t="s">
        <v>1099</v>
      </c>
      <c r="B173" s="114" t="s">
        <v>1576</v>
      </c>
      <c r="C173" t="s">
        <v>1432</v>
      </c>
    </row>
    <row r="174" spans="1:3" x14ac:dyDescent="0.3">
      <c r="A174" t="s">
        <v>1100</v>
      </c>
      <c r="B174" s="114" t="s">
        <v>1577</v>
      </c>
      <c r="C174" t="s">
        <v>1432</v>
      </c>
    </row>
    <row r="175" spans="1:3" x14ac:dyDescent="0.3">
      <c r="A175" t="s">
        <v>1101</v>
      </c>
      <c r="B175" s="114" t="s">
        <v>1578</v>
      </c>
      <c r="C175" t="s">
        <v>1432</v>
      </c>
    </row>
    <row r="176" spans="1:3" x14ac:dyDescent="0.3">
      <c r="A176" t="s">
        <v>1102</v>
      </c>
      <c r="B176" s="114" t="s">
        <v>1579</v>
      </c>
      <c r="C176" t="s">
        <v>1432</v>
      </c>
    </row>
    <row r="177" spans="1:3" x14ac:dyDescent="0.3">
      <c r="A177" t="s">
        <v>1103</v>
      </c>
      <c r="B177" s="114" t="s">
        <v>1580</v>
      </c>
      <c r="C177" t="s">
        <v>1432</v>
      </c>
    </row>
    <row r="178" spans="1:3" x14ac:dyDescent="0.3">
      <c r="A178" t="s">
        <v>1104</v>
      </c>
      <c r="B178" s="114" t="s">
        <v>1581</v>
      </c>
      <c r="C178" t="s">
        <v>1432</v>
      </c>
    </row>
    <row r="179" spans="1:3" x14ac:dyDescent="0.3">
      <c r="A179" t="s">
        <v>1105</v>
      </c>
      <c r="B179" s="114" t="s">
        <v>1582</v>
      </c>
      <c r="C179" t="s">
        <v>1432</v>
      </c>
    </row>
    <row r="180" spans="1:3" x14ac:dyDescent="0.3">
      <c r="A180" t="s">
        <v>1106</v>
      </c>
      <c r="B180" s="114" t="s">
        <v>1583</v>
      </c>
      <c r="C180" t="s">
        <v>1432</v>
      </c>
    </row>
    <row r="181" spans="1:3" x14ac:dyDescent="0.3">
      <c r="A181" t="s">
        <v>1107</v>
      </c>
      <c r="B181" s="114" t="s">
        <v>1584</v>
      </c>
      <c r="C181" t="s">
        <v>1432</v>
      </c>
    </row>
    <row r="182" spans="1:3" x14ac:dyDescent="0.3">
      <c r="A182" t="s">
        <v>1108</v>
      </c>
      <c r="B182" s="114" t="s">
        <v>1585</v>
      </c>
      <c r="C182" t="s">
        <v>1432</v>
      </c>
    </row>
    <row r="183" spans="1:3" x14ac:dyDescent="0.3">
      <c r="A183" t="s">
        <v>1109</v>
      </c>
      <c r="B183" s="114" t="s">
        <v>1586</v>
      </c>
      <c r="C183" t="s">
        <v>1432</v>
      </c>
    </row>
    <row r="184" spans="1:3" x14ac:dyDescent="0.3">
      <c r="A184" t="s">
        <v>1110</v>
      </c>
      <c r="B184" s="114" t="s">
        <v>1587</v>
      </c>
      <c r="C184" t="s">
        <v>1432</v>
      </c>
    </row>
    <row r="185" spans="1:3" x14ac:dyDescent="0.3">
      <c r="A185" t="s">
        <v>1111</v>
      </c>
      <c r="B185" s="114" t="s">
        <v>1588</v>
      </c>
      <c r="C185" t="s">
        <v>1432</v>
      </c>
    </row>
    <row r="186" spans="1:3" x14ac:dyDescent="0.3">
      <c r="A186" t="s">
        <v>1112</v>
      </c>
      <c r="B186" s="114" t="s">
        <v>1589</v>
      </c>
      <c r="C186" t="s">
        <v>1432</v>
      </c>
    </row>
    <row r="187" spans="1:3" x14ac:dyDescent="0.3">
      <c r="A187" t="s">
        <v>1113</v>
      </c>
      <c r="B187" s="114" t="s">
        <v>1590</v>
      </c>
      <c r="C187" t="s">
        <v>1432</v>
      </c>
    </row>
    <row r="188" spans="1:3" x14ac:dyDescent="0.3">
      <c r="A188" t="s">
        <v>1114</v>
      </c>
      <c r="B188" s="114" t="s">
        <v>1591</v>
      </c>
      <c r="C188" t="s">
        <v>1432</v>
      </c>
    </row>
    <row r="189" spans="1:3" x14ac:dyDescent="0.3">
      <c r="A189" t="s">
        <v>1115</v>
      </c>
      <c r="B189" s="114" t="s">
        <v>1592</v>
      </c>
      <c r="C189" t="s">
        <v>1432</v>
      </c>
    </row>
    <row r="190" spans="1:3" x14ac:dyDescent="0.3">
      <c r="A190" t="s">
        <v>1116</v>
      </c>
      <c r="B190" s="114" t="s">
        <v>1593</v>
      </c>
      <c r="C190" t="s">
        <v>1432</v>
      </c>
    </row>
    <row r="191" spans="1:3" x14ac:dyDescent="0.3">
      <c r="A191" t="s">
        <v>1117</v>
      </c>
      <c r="B191" s="114" t="s">
        <v>1594</v>
      </c>
      <c r="C191" t="s">
        <v>1432</v>
      </c>
    </row>
    <row r="192" spans="1:3" x14ac:dyDescent="0.3">
      <c r="A192" t="s">
        <v>1118</v>
      </c>
      <c r="B192" s="114" t="s">
        <v>1595</v>
      </c>
      <c r="C192" t="s">
        <v>1432</v>
      </c>
    </row>
    <row r="193" spans="1:3" x14ac:dyDescent="0.3">
      <c r="A193" t="s">
        <v>1119</v>
      </c>
      <c r="B193" s="114" t="s">
        <v>1596</v>
      </c>
      <c r="C193" t="s">
        <v>1432</v>
      </c>
    </row>
    <row r="194" spans="1:3" x14ac:dyDescent="0.3">
      <c r="A194" t="s">
        <v>1120</v>
      </c>
      <c r="B194" s="114" t="s">
        <v>1597</v>
      </c>
      <c r="C194" t="s">
        <v>1432</v>
      </c>
    </row>
    <row r="195" spans="1:3" x14ac:dyDescent="0.3">
      <c r="A195" t="s">
        <v>1121</v>
      </c>
      <c r="B195" s="114" t="s">
        <v>1598</v>
      </c>
      <c r="C195" t="s">
        <v>1432</v>
      </c>
    </row>
    <row r="196" spans="1:3" x14ac:dyDescent="0.3">
      <c r="A196" t="s">
        <v>1122</v>
      </c>
      <c r="B196" s="114" t="s">
        <v>1599</v>
      </c>
      <c r="C196" t="s">
        <v>1432</v>
      </c>
    </row>
    <row r="197" spans="1:3" x14ac:dyDescent="0.3">
      <c r="A197" t="s">
        <v>436</v>
      </c>
      <c r="B197" s="114" t="s">
        <v>1600</v>
      </c>
      <c r="C197" t="s">
        <v>1432</v>
      </c>
    </row>
    <row r="198" spans="1:3" x14ac:dyDescent="0.3">
      <c r="A198" t="s">
        <v>1123</v>
      </c>
      <c r="B198" s="114" t="s">
        <v>1601</v>
      </c>
      <c r="C198" t="s">
        <v>1432</v>
      </c>
    </row>
    <row r="199" spans="1:3" x14ac:dyDescent="0.3">
      <c r="A199" t="s">
        <v>1124</v>
      </c>
      <c r="B199" s="114" t="s">
        <v>1602</v>
      </c>
      <c r="C199" t="s">
        <v>1432</v>
      </c>
    </row>
    <row r="200" spans="1:3" x14ac:dyDescent="0.3">
      <c r="A200" t="s">
        <v>1125</v>
      </c>
      <c r="B200" s="114" t="s">
        <v>1603</v>
      </c>
      <c r="C200" t="s">
        <v>1432</v>
      </c>
    </row>
    <row r="201" spans="1:3" x14ac:dyDescent="0.3">
      <c r="A201" t="s">
        <v>730</v>
      </c>
      <c r="B201" s="114" t="s">
        <v>1604</v>
      </c>
      <c r="C201" t="s">
        <v>1432</v>
      </c>
    </row>
    <row r="202" spans="1:3" x14ac:dyDescent="0.3">
      <c r="A202" t="s">
        <v>1126</v>
      </c>
      <c r="B202" s="114" t="s">
        <v>1605</v>
      </c>
      <c r="C202" t="s">
        <v>1432</v>
      </c>
    </row>
    <row r="203" spans="1:3" x14ac:dyDescent="0.3">
      <c r="A203" t="s">
        <v>1127</v>
      </c>
      <c r="B203" s="114" t="s">
        <v>1606</v>
      </c>
      <c r="C203" t="s">
        <v>1432</v>
      </c>
    </row>
    <row r="204" spans="1:3" x14ac:dyDescent="0.3">
      <c r="A204" t="s">
        <v>1128</v>
      </c>
      <c r="B204" s="114" t="s">
        <v>1607</v>
      </c>
      <c r="C204" t="s">
        <v>1432</v>
      </c>
    </row>
    <row r="205" spans="1:3" x14ac:dyDescent="0.3">
      <c r="A205" t="s">
        <v>1129</v>
      </c>
      <c r="B205" s="114" t="s">
        <v>1608</v>
      </c>
      <c r="C205" t="s">
        <v>1432</v>
      </c>
    </row>
    <row r="206" spans="1:3" x14ac:dyDescent="0.3">
      <c r="A206" t="s">
        <v>1130</v>
      </c>
      <c r="B206" s="114" t="s">
        <v>1609</v>
      </c>
      <c r="C206" t="s">
        <v>1432</v>
      </c>
    </row>
    <row r="207" spans="1:3" x14ac:dyDescent="0.3">
      <c r="A207" t="s">
        <v>1131</v>
      </c>
      <c r="B207" s="114" t="s">
        <v>1610</v>
      </c>
      <c r="C207" t="s">
        <v>1432</v>
      </c>
    </row>
    <row r="208" spans="1:3" x14ac:dyDescent="0.3">
      <c r="A208" t="s">
        <v>1132</v>
      </c>
      <c r="B208" s="114" t="s">
        <v>1611</v>
      </c>
      <c r="C208" t="s">
        <v>1432</v>
      </c>
    </row>
    <row r="209" spans="1:3" x14ac:dyDescent="0.3">
      <c r="A209" t="s">
        <v>1133</v>
      </c>
      <c r="B209" s="114" t="s">
        <v>1612</v>
      </c>
      <c r="C209" t="s">
        <v>1432</v>
      </c>
    </row>
    <row r="210" spans="1:3" x14ac:dyDescent="0.3">
      <c r="A210" t="s">
        <v>1134</v>
      </c>
      <c r="B210" s="114" t="s">
        <v>1613</v>
      </c>
      <c r="C210" t="s">
        <v>1432</v>
      </c>
    </row>
    <row r="211" spans="1:3" x14ac:dyDescent="0.3">
      <c r="A211" t="s">
        <v>1135</v>
      </c>
      <c r="B211" s="114" t="s">
        <v>1614</v>
      </c>
      <c r="C211" t="s">
        <v>1432</v>
      </c>
    </row>
    <row r="212" spans="1:3" x14ac:dyDescent="0.3">
      <c r="A212" t="s">
        <v>1136</v>
      </c>
      <c r="B212" s="114" t="s">
        <v>1615</v>
      </c>
      <c r="C212" t="s">
        <v>1432</v>
      </c>
    </row>
    <row r="213" spans="1:3" x14ac:dyDescent="0.3">
      <c r="A213" t="s">
        <v>1137</v>
      </c>
      <c r="B213" s="114" t="s">
        <v>1616</v>
      </c>
      <c r="C213" t="s">
        <v>1432</v>
      </c>
    </row>
    <row r="214" spans="1:3" x14ac:dyDescent="0.3">
      <c r="A214" t="s">
        <v>1138</v>
      </c>
      <c r="B214" s="114" t="s">
        <v>1617</v>
      </c>
      <c r="C214" t="s">
        <v>1432</v>
      </c>
    </row>
    <row r="215" spans="1:3" x14ac:dyDescent="0.3">
      <c r="A215" t="s">
        <v>1139</v>
      </c>
      <c r="B215" s="114" t="s">
        <v>1618</v>
      </c>
      <c r="C215" t="s">
        <v>1432</v>
      </c>
    </row>
    <row r="216" spans="1:3" x14ac:dyDescent="0.3">
      <c r="A216" t="s">
        <v>1140</v>
      </c>
      <c r="B216" s="114" t="s">
        <v>1619</v>
      </c>
      <c r="C216" t="s">
        <v>1432</v>
      </c>
    </row>
    <row r="217" spans="1:3" x14ac:dyDescent="0.3">
      <c r="A217" t="s">
        <v>1141</v>
      </c>
      <c r="B217" s="114" t="s">
        <v>1620</v>
      </c>
      <c r="C217" t="s">
        <v>1432</v>
      </c>
    </row>
    <row r="218" spans="1:3" x14ac:dyDescent="0.3">
      <c r="A218" t="s">
        <v>1142</v>
      </c>
      <c r="B218" s="114" t="s">
        <v>1621</v>
      </c>
      <c r="C218" t="s">
        <v>1432</v>
      </c>
    </row>
    <row r="219" spans="1:3" x14ac:dyDescent="0.3">
      <c r="A219" t="s">
        <v>1143</v>
      </c>
      <c r="B219" s="114" t="s">
        <v>1622</v>
      </c>
      <c r="C219" t="s">
        <v>1432</v>
      </c>
    </row>
    <row r="220" spans="1:3" x14ac:dyDescent="0.3">
      <c r="A220" t="s">
        <v>1144</v>
      </c>
      <c r="B220" s="114" t="s">
        <v>1623</v>
      </c>
      <c r="C220" t="s">
        <v>1432</v>
      </c>
    </row>
    <row r="221" spans="1:3" x14ac:dyDescent="0.3">
      <c r="A221" t="s">
        <v>1145</v>
      </c>
      <c r="B221" s="114" t="s">
        <v>1624</v>
      </c>
      <c r="C221" t="s">
        <v>1432</v>
      </c>
    </row>
    <row r="222" spans="1:3" x14ac:dyDescent="0.3">
      <c r="A222" t="s">
        <v>1146</v>
      </c>
      <c r="B222" s="114" t="s">
        <v>1625</v>
      </c>
      <c r="C222" t="s">
        <v>1432</v>
      </c>
    </row>
    <row r="223" spans="1:3" x14ac:dyDescent="0.3">
      <c r="A223" t="s">
        <v>1147</v>
      </c>
      <c r="B223" s="114" t="s">
        <v>1626</v>
      </c>
      <c r="C223" t="s">
        <v>1432</v>
      </c>
    </row>
    <row r="224" spans="1:3" x14ac:dyDescent="0.3">
      <c r="A224" t="s">
        <v>1148</v>
      </c>
      <c r="B224" s="114" t="s">
        <v>1627</v>
      </c>
      <c r="C224" t="s">
        <v>1432</v>
      </c>
    </row>
    <row r="225" spans="1:3" x14ac:dyDescent="0.3">
      <c r="A225" t="s">
        <v>1149</v>
      </c>
      <c r="B225" s="114" t="s">
        <v>1628</v>
      </c>
      <c r="C225" t="s">
        <v>1432</v>
      </c>
    </row>
    <row r="226" spans="1:3" x14ac:dyDescent="0.3">
      <c r="A226" t="s">
        <v>1150</v>
      </c>
      <c r="B226" s="114" t="s">
        <v>1629</v>
      </c>
      <c r="C226" t="s">
        <v>1432</v>
      </c>
    </row>
    <row r="227" spans="1:3" x14ac:dyDescent="0.3">
      <c r="A227" t="s">
        <v>1151</v>
      </c>
      <c r="B227" s="114" t="s">
        <v>1630</v>
      </c>
      <c r="C227" t="s">
        <v>1432</v>
      </c>
    </row>
    <row r="228" spans="1:3" x14ac:dyDescent="0.3">
      <c r="A228" t="s">
        <v>1152</v>
      </c>
      <c r="B228" s="114" t="s">
        <v>1631</v>
      </c>
      <c r="C228" t="s">
        <v>1432</v>
      </c>
    </row>
    <row r="229" spans="1:3" x14ac:dyDescent="0.3">
      <c r="A229" t="s">
        <v>1153</v>
      </c>
      <c r="B229" s="114" t="s">
        <v>1632</v>
      </c>
      <c r="C229" t="s">
        <v>1432</v>
      </c>
    </row>
    <row r="230" spans="1:3" x14ac:dyDescent="0.3">
      <c r="A230" t="s">
        <v>1154</v>
      </c>
      <c r="B230" s="114" t="s">
        <v>1633</v>
      </c>
      <c r="C230" t="s">
        <v>1432</v>
      </c>
    </row>
    <row r="231" spans="1:3" x14ac:dyDescent="0.3">
      <c r="A231" t="s">
        <v>1155</v>
      </c>
      <c r="B231" s="114" t="s">
        <v>1634</v>
      </c>
      <c r="C231" t="s">
        <v>1432</v>
      </c>
    </row>
    <row r="232" spans="1:3" x14ac:dyDescent="0.3">
      <c r="A232" t="s">
        <v>1156</v>
      </c>
      <c r="B232" s="114" t="s">
        <v>1635</v>
      </c>
      <c r="C232" t="s">
        <v>1432</v>
      </c>
    </row>
    <row r="233" spans="1:3" x14ac:dyDescent="0.3">
      <c r="A233" t="s">
        <v>1157</v>
      </c>
      <c r="B233" s="114" t="s">
        <v>1636</v>
      </c>
      <c r="C233" t="s">
        <v>1432</v>
      </c>
    </row>
    <row r="234" spans="1:3" x14ac:dyDescent="0.3">
      <c r="A234" t="s">
        <v>1158</v>
      </c>
      <c r="B234" s="114" t="s">
        <v>1637</v>
      </c>
      <c r="C234" t="s">
        <v>1432</v>
      </c>
    </row>
    <row r="235" spans="1:3" x14ac:dyDescent="0.3">
      <c r="A235" t="s">
        <v>1159</v>
      </c>
      <c r="B235" s="114" t="s">
        <v>1638</v>
      </c>
      <c r="C235" t="s">
        <v>1432</v>
      </c>
    </row>
    <row r="236" spans="1:3" x14ac:dyDescent="0.3">
      <c r="A236" t="s">
        <v>1160</v>
      </c>
      <c r="B236" s="114" t="s">
        <v>1639</v>
      </c>
      <c r="C236" t="s">
        <v>1432</v>
      </c>
    </row>
    <row r="237" spans="1:3" x14ac:dyDescent="0.3">
      <c r="A237" t="s">
        <v>1161</v>
      </c>
      <c r="B237" s="114" t="s">
        <v>1640</v>
      </c>
      <c r="C237" t="s">
        <v>1432</v>
      </c>
    </row>
    <row r="238" spans="1:3" x14ac:dyDescent="0.3">
      <c r="A238" t="s">
        <v>1162</v>
      </c>
      <c r="B238" s="114" t="s">
        <v>1641</v>
      </c>
      <c r="C238" t="s">
        <v>1432</v>
      </c>
    </row>
    <row r="239" spans="1:3" x14ac:dyDescent="0.3">
      <c r="A239" t="s">
        <v>1163</v>
      </c>
      <c r="B239" s="114" t="s">
        <v>1642</v>
      </c>
      <c r="C239" t="s">
        <v>1432</v>
      </c>
    </row>
    <row r="240" spans="1:3" x14ac:dyDescent="0.3">
      <c r="A240" t="s">
        <v>1164</v>
      </c>
      <c r="B240" s="114" t="s">
        <v>1642</v>
      </c>
      <c r="C240" t="s">
        <v>1432</v>
      </c>
    </row>
    <row r="241" spans="1:3" x14ac:dyDescent="0.3">
      <c r="A241" t="s">
        <v>1165</v>
      </c>
      <c r="B241" s="114" t="s">
        <v>1642</v>
      </c>
      <c r="C241" t="s">
        <v>1432</v>
      </c>
    </row>
    <row r="242" spans="1:3" x14ac:dyDescent="0.3">
      <c r="A242" t="s">
        <v>1166</v>
      </c>
      <c r="B242" s="114" t="s">
        <v>1643</v>
      </c>
      <c r="C242" t="s">
        <v>1432</v>
      </c>
    </row>
    <row r="243" spans="1:3" x14ac:dyDescent="0.3">
      <c r="A243" t="s">
        <v>1167</v>
      </c>
      <c r="B243" s="114" t="s">
        <v>1644</v>
      </c>
      <c r="C243" t="s">
        <v>1432</v>
      </c>
    </row>
    <row r="244" spans="1:3" x14ac:dyDescent="0.3">
      <c r="A244" t="s">
        <v>1168</v>
      </c>
      <c r="B244" s="114" t="s">
        <v>1645</v>
      </c>
      <c r="C244" t="s">
        <v>1432</v>
      </c>
    </row>
    <row r="245" spans="1:3" x14ac:dyDescent="0.3">
      <c r="A245" t="s">
        <v>1169</v>
      </c>
      <c r="B245" s="114" t="s">
        <v>1646</v>
      </c>
      <c r="C245" t="s">
        <v>1432</v>
      </c>
    </row>
    <row r="246" spans="1:3" x14ac:dyDescent="0.3">
      <c r="A246" t="s">
        <v>1170</v>
      </c>
      <c r="B246" s="114" t="s">
        <v>1647</v>
      </c>
      <c r="C246" t="s">
        <v>1432</v>
      </c>
    </row>
    <row r="247" spans="1:3" x14ac:dyDescent="0.3">
      <c r="A247" t="s">
        <v>1171</v>
      </c>
      <c r="B247" s="114" t="s">
        <v>1648</v>
      </c>
      <c r="C247" t="s">
        <v>1432</v>
      </c>
    </row>
    <row r="248" spans="1:3" x14ac:dyDescent="0.3">
      <c r="A248" t="s">
        <v>1172</v>
      </c>
      <c r="B248" s="114" t="s">
        <v>1649</v>
      </c>
      <c r="C248" t="s">
        <v>1432</v>
      </c>
    </row>
    <row r="249" spans="1:3" x14ac:dyDescent="0.3">
      <c r="A249" t="s">
        <v>1173</v>
      </c>
      <c r="B249" s="114" t="s">
        <v>1650</v>
      </c>
      <c r="C249" t="s">
        <v>1432</v>
      </c>
    </row>
    <row r="250" spans="1:3" x14ac:dyDescent="0.3">
      <c r="A250" t="s">
        <v>1174</v>
      </c>
      <c r="B250" s="114" t="s">
        <v>1651</v>
      </c>
      <c r="C250" t="s">
        <v>1432</v>
      </c>
    </row>
    <row r="251" spans="1:3" x14ac:dyDescent="0.3">
      <c r="A251" t="s">
        <v>1175</v>
      </c>
      <c r="B251" s="114" t="s">
        <v>1652</v>
      </c>
      <c r="C251" t="s">
        <v>1432</v>
      </c>
    </row>
    <row r="252" spans="1:3" x14ac:dyDescent="0.3">
      <c r="A252" t="s">
        <v>1176</v>
      </c>
      <c r="B252" s="114" t="s">
        <v>1653</v>
      </c>
      <c r="C252" t="s">
        <v>1432</v>
      </c>
    </row>
    <row r="253" spans="1:3" x14ac:dyDescent="0.3">
      <c r="A253" t="s">
        <v>1177</v>
      </c>
      <c r="B253" s="114" t="s">
        <v>1654</v>
      </c>
      <c r="C253" t="s">
        <v>1432</v>
      </c>
    </row>
    <row r="254" spans="1:3" x14ac:dyDescent="0.3">
      <c r="A254" t="s">
        <v>1178</v>
      </c>
      <c r="B254" s="114" t="s">
        <v>1655</v>
      </c>
      <c r="C254" t="s">
        <v>1432</v>
      </c>
    </row>
    <row r="255" spans="1:3" x14ac:dyDescent="0.3">
      <c r="A255" t="s">
        <v>1179</v>
      </c>
      <c r="B255" s="114" t="s">
        <v>1656</v>
      </c>
      <c r="C255" t="s">
        <v>1432</v>
      </c>
    </row>
    <row r="256" spans="1:3" x14ac:dyDescent="0.3">
      <c r="A256" t="s">
        <v>1180</v>
      </c>
      <c r="B256" s="114" t="s">
        <v>1657</v>
      </c>
      <c r="C256" t="s">
        <v>1432</v>
      </c>
    </row>
    <row r="257" spans="1:3" x14ac:dyDescent="0.3">
      <c r="A257" t="s">
        <v>1181</v>
      </c>
      <c r="B257" s="114" t="s">
        <v>1658</v>
      </c>
      <c r="C257" t="s">
        <v>1432</v>
      </c>
    </row>
    <row r="258" spans="1:3" x14ac:dyDescent="0.3">
      <c r="A258" t="s">
        <v>1182</v>
      </c>
      <c r="B258" s="114" t="s">
        <v>1659</v>
      </c>
      <c r="C258" t="s">
        <v>1432</v>
      </c>
    </row>
    <row r="259" spans="1:3" x14ac:dyDescent="0.3">
      <c r="A259" t="s">
        <v>1183</v>
      </c>
      <c r="B259" s="114" t="s">
        <v>1660</v>
      </c>
      <c r="C259" t="s">
        <v>1432</v>
      </c>
    </row>
    <row r="260" spans="1:3" x14ac:dyDescent="0.3">
      <c r="A260" t="s">
        <v>1184</v>
      </c>
      <c r="B260" s="114" t="s">
        <v>1661</v>
      </c>
      <c r="C260" t="s">
        <v>1432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21</vt:i4>
      </vt:variant>
      <vt:variant>
        <vt:lpstr>Именованные диапазоны</vt:lpstr>
      </vt:variant>
      <vt:variant>
        <vt:i4>70</vt:i4>
      </vt:variant>
    </vt:vector>
  </HeadingPairs>
  <TitlesOfParts>
    <vt:vector size="91" baseType="lpstr">
      <vt:lpstr>Гайд</vt:lpstr>
      <vt:lpstr>Проверка</vt:lpstr>
      <vt:lpstr>Объект</vt:lpstr>
      <vt:lpstr>Щиты</vt:lpstr>
      <vt:lpstr>Линии</vt:lpstr>
      <vt:lpstr>Коды</vt:lpstr>
      <vt:lpstr>Щит</vt:lpstr>
      <vt:lpstr>Кабельный_журнал</vt:lpstr>
      <vt:lpstr>Спецификация</vt:lpstr>
      <vt:lpstr>Бирки</vt:lpstr>
      <vt:lpstr>Изменения</vt:lpstr>
      <vt:lpstr>Наклейки</vt:lpstr>
      <vt:lpstr>Каталог</vt:lpstr>
      <vt:lpstr>Методика</vt:lpstr>
      <vt:lpstr>Таблицы_норм</vt:lpstr>
      <vt:lpstr>Режимы</vt:lpstr>
      <vt:lpstr>Расчёт_нагрузок</vt:lpstr>
      <vt:lpstr>Спецификация_авто</vt:lpstr>
      <vt:lpstr>Однолинейка</vt:lpstr>
      <vt:lpstr>Справочная_потребители</vt:lpstr>
      <vt:lpstr>_выдача</vt:lpstr>
      <vt:lpstr>c_min</vt:lpstr>
      <vt:lpstr>dU_LED</vt:lpstr>
      <vt:lpstr>dU_пит</vt:lpstr>
      <vt:lpstr>Iдоп_1ж</vt:lpstr>
      <vt:lpstr>Iдоп_2ж</vt:lpstr>
      <vt:lpstr>Iдоп_3ж</vt:lpstr>
      <vt:lpstr>Iдоп_S</vt:lpstr>
      <vt:lpstr>k_пк</vt:lpstr>
      <vt:lpstr>R_пер</vt:lpstr>
      <vt:lpstr>Uн_лин</vt:lpstr>
      <vt:lpstr>ρкз_Al</vt:lpstr>
      <vt:lpstr>ρкз_Cu</vt:lpstr>
      <vt:lpstr>Автомат_номиналы</vt:lpstr>
      <vt:lpstr>гофра_пвх</vt:lpstr>
      <vt:lpstr>гофра_пнд</vt:lpstr>
      <vt:lpstr>Запас_БП</vt:lpstr>
      <vt:lpstr>Запас_кабеля</vt:lpstr>
      <vt:lpstr>ИБП_cos_вх</vt:lpstr>
      <vt:lpstr>ИБП_cos_вых</vt:lpstr>
      <vt:lpstr>ИБП_k</vt:lpstr>
      <vt:lpstr>ИБП_t</vt:lpstr>
      <vt:lpstr>ИБП_U</vt:lpstr>
      <vt:lpstr>ИБП_загрузка</vt:lpstr>
      <vt:lpstr>ИБП_заряд</vt:lpstr>
      <vt:lpstr>ИБП_КПД</vt:lpstr>
      <vt:lpstr>ИБП_ряд</vt:lpstr>
      <vt:lpstr>Имя_пом</vt:lpstr>
      <vt:lpstr>Имя_режим</vt:lpstr>
      <vt:lpstr>К_прокл</vt:lpstr>
      <vt:lpstr>Кабель_диаметр</vt:lpstr>
      <vt:lpstr>Кабель_номиналы</vt:lpstr>
      <vt:lpstr>Кабель_обозначение</vt:lpstr>
      <vt:lpstr>Кабель_сопротивление</vt:lpstr>
      <vt:lpstr>Категории_ПЗ</vt:lpstr>
      <vt:lpstr>Ко_сил</vt:lpstr>
      <vt:lpstr>Коды_3L</vt:lpstr>
      <vt:lpstr>Коды_апп</vt:lpstr>
      <vt:lpstr>Коды_вид</vt:lpstr>
      <vt:lpstr>Коды_группа</vt:lpstr>
      <vt:lpstr>Коды_имя</vt:lpstr>
      <vt:lpstr>Коды_квт</vt:lpstr>
      <vt:lpstr>Коды_код</vt:lpstr>
      <vt:lpstr>Коды_мА</vt:lpstr>
      <vt:lpstr>Коды_минавт</vt:lpstr>
      <vt:lpstr>Коды_пожарная</vt:lpstr>
      <vt:lpstr>Коды_режим</vt:lpstr>
      <vt:lpstr>Коды_уго</vt:lpstr>
      <vt:lpstr>Коды_упр</vt:lpstr>
      <vt:lpstr>Коды_утечка</vt:lpstr>
      <vt:lpstr>Коды_хар</vt:lpstr>
      <vt:lpstr>Кс_К</vt:lpstr>
      <vt:lpstr>Кс_Р</vt:lpstr>
      <vt:lpstr>Кс75_k</vt:lpstr>
      <vt:lpstr>Кс75_n</vt:lpstr>
      <vt:lpstr>Марка_пож</vt:lpstr>
      <vt:lpstr>Методика</vt:lpstr>
      <vt:lpstr>Мин_автомат_БП</vt:lpstr>
      <vt:lpstr>Модули_спр</vt:lpstr>
      <vt:lpstr>Потребители_обозначение</vt:lpstr>
      <vt:lpstr>Спецификация</vt:lpstr>
      <vt:lpstr>Список_марок</vt:lpstr>
      <vt:lpstr>Список_щитов</vt:lpstr>
      <vt:lpstr>Справочная_двигатели</vt:lpstr>
      <vt:lpstr>Справочная_ЛЭД</vt:lpstr>
      <vt:lpstr>Справочная_ПТО</vt:lpstr>
      <vt:lpstr>Столбцов_на_лист</vt:lpstr>
      <vt:lpstr>УГО_блоки</vt:lpstr>
      <vt:lpstr>Управление_цвета</vt:lpstr>
      <vt:lpstr>Щит_спец</vt:lpstr>
      <vt:lpstr>Этаж_обозначение</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Une-com</dc:creator>
  <cp:lastModifiedBy>marat</cp:lastModifiedBy>
  <dcterms:created xsi:type="dcterms:W3CDTF">2015-06-05T18:19:34Z</dcterms:created>
  <dcterms:modified xsi:type="dcterms:W3CDTF">2026-10-05T03:57:56Z</dcterms:modified>
</cp:coreProperties>
</file>