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sesor Comercial\Documents\"/>
    </mc:Choice>
  </mc:AlternateContent>
  <xr:revisionPtr revIDLastSave="0" documentId="13_ncr:1_{EED24396-0DB1-40EF-BE24-CDCADCB3B444}" xr6:coauthVersionLast="47" xr6:coauthVersionMax="47" xr10:uidLastSave="{00000000-0000-0000-0000-000000000000}"/>
  <bookViews>
    <workbookView xWindow="-120" yWindow="-120" windowWidth="29040" windowHeight="15720" tabRatio="863" activeTab="17" xr2:uid="{5A728A16-4F49-46A3-94CD-16308530F298}"/>
  </bookViews>
  <sheets>
    <sheet name="NombresDefinidos" sheetId="36" r:id="rId1"/>
    <sheet name="PresupuestoPlantilla" sheetId="13" r:id="rId2"/>
    <sheet name="Hoja9" sheetId="29" state="veryHidden" r:id="rId3"/>
    <sheet name="Hoja8" sheetId="28" state="veryHidden" r:id="rId4"/>
    <sheet name="Hoja7" sheetId="27" state="veryHidden" r:id="rId5"/>
    <sheet name="Inicio" sheetId="4" r:id="rId6"/>
    <sheet name="Productos" sheetId="12" r:id="rId7"/>
    <sheet name="Tabla4 (3)" sheetId="37" r:id="rId8"/>
    <sheet name="extraccion manual" sheetId="20" r:id="rId9"/>
    <sheet name="Tabla4 (2)" sheetId="21" state="hidden" r:id="rId10"/>
    <sheet name="Materiales" sheetId="11" r:id="rId11"/>
    <sheet name="Finanzas" sheetId="10" r:id="rId12"/>
    <sheet name="Clientes _CRM" sheetId="9" state="hidden" r:id="rId13"/>
    <sheet name="Costos" sheetId="8" state="hidden" r:id="rId14"/>
    <sheet name="Ventas" sheetId="7" state="hidden" r:id="rId15"/>
    <sheet name="Producción" sheetId="5" r:id="rId16"/>
    <sheet name="Auxiliares" sheetId="14" r:id="rId17"/>
    <sheet name="Compras" sheetId="6" r:id="rId18"/>
    <sheet name="Costos Adicionales" sheetId="3" state="hidden" r:id="rId19"/>
  </sheets>
  <definedNames>
    <definedName name="_xlnm._FilterDatabase" localSheetId="0" hidden="1">NombresDefinidos!$A$1:$D$137</definedName>
    <definedName name="_xlcn.WorksheetConnection_Propuesta.xlsxdim_Vol_Compra" hidden="1">dim_Vol_pedido[]</definedName>
    <definedName name="_xlcn.WorksheetConnection_Propuesta.xlsxDimTienda" hidden="1">DimTienda[]</definedName>
    <definedName name="_xlcn.WorksheetConnection_Propuesta.xlsxHechosInventario" hidden="1">HechosInventario[]</definedName>
    <definedName name="_xleta.DOLLAR" hidden="1" xlm="1">#NAME?</definedName>
    <definedName name="_xleta.FORMULATEXT" hidden="1" xlm="1">#NAME?</definedName>
    <definedName name="_xleta.IF" hidden="1" xlm="1">#NAME?</definedName>
    <definedName name="_xleta.IFERROR" hidden="1" xlm="1">#NAME?</definedName>
    <definedName name="_xleta.ISFORMULA" hidden="1" xlm="1">#NAME?</definedName>
    <definedName name="_xleta.NOT" hidden="1" xlm="1">#NAME?</definedName>
    <definedName name="_xleta.PHI" hidden="1" xlm="1">#NAME?</definedName>
    <definedName name="_xleta.PRICE" hidden="1" xlm="1">#NAME?</definedName>
    <definedName name="_xleta.PRODUCT" hidden="1" xlm="1">#NAME?</definedName>
    <definedName name="_xleta.T" hidden="1" xlm="1">#NAME?</definedName>
    <definedName name="_xlpm.a" hidden="1" xlm="1">#NAME?</definedName>
    <definedName name="_xlpm.act" hidden="1" xlm="1">#NAME?</definedName>
    <definedName name="_xlpm.actividad" hidden="1" xlm="1">#NAME?</definedName>
    <definedName name="_xlpm.alto" hidden="1" xlm="1">#NAME?</definedName>
    <definedName name="_xlpm.alto_total" hidden="1" xlm="1">#NAME?</definedName>
    <definedName name="_xlpm.ancho" hidden="1" xlm="1">#NAME?</definedName>
    <definedName name="_xlpm.ancho_util" hidden="1" xlm="1">#NAME?</definedName>
    <definedName name="_xlpm.b" hidden="1" xlm="1">#NAME?</definedName>
    <definedName name="_xlpm.cambio_dolar" hidden="1" xlm="1">#NAME?</definedName>
    <definedName name="_xlpm.cant" hidden="1" xlm="1">#NAME?</definedName>
    <definedName name="_xlpm.cantidad" hidden="1" xlm="1">#NAME?</definedName>
    <definedName name="_xlpm.cod" hidden="1" xlm="1">#NAME?</definedName>
    <definedName name="_xlpm.cod_material" hidden="1" xlm="1">#NAME?</definedName>
    <definedName name="_xlpm.cod_producto" hidden="1" xlm="1">#NAME?</definedName>
    <definedName name="_xlpm.cod_talla" hidden="1" xlm="1">#NAME?</definedName>
    <definedName name="_xlpm.cod_tamano" hidden="1" xlm="1">#NAME?</definedName>
    <definedName name="_xlpm.cod_tamano_dtf" hidden="1" xlm="1">#NAME?</definedName>
    <definedName name="_xlpm.cod_tamano_sublimado" hidden="1" xlm="1">#NAME?</definedName>
    <definedName name="_xlpm.cod_tamano_vinil" hidden="1" xlm="1">#NAME?</definedName>
    <definedName name="_xlpm.codigo" hidden="1" xlm="1">#NAME?</definedName>
    <definedName name="_xlpm.codigo_material" hidden="1" xlm="1">#NAME?</definedName>
    <definedName name="_xlpm.codigo_tecnica" hidden="1" xlm="1">#NAME?</definedName>
    <definedName name="_xlpm.codigos" hidden="1" xlm="1">#NAME?</definedName>
    <definedName name="_xlpm.consumo" hidden="1" xlm="1">#NAME?</definedName>
    <definedName name="_xlpm.consumo_base" hidden="1" xlm="1">#NAME?</definedName>
    <definedName name="_xlpm.consumo_final" hidden="1" xlm="1">#NAME?</definedName>
    <definedName name="_xlpm.consumo_m2" hidden="1" xlm="1">#NAME?</definedName>
    <definedName name="_xlpm.consumo_tamano" hidden="1" xlm="1">#NAME?</definedName>
    <definedName name="_xlpm.consumo_tela" hidden="1" xlm="1">#NAME?</definedName>
    <definedName name="_xlpm.consumo_total" hidden="1" xlm="1">#NAME?</definedName>
    <definedName name="_xlpm.costo" hidden="1" xlm="1">#NAME?</definedName>
    <definedName name="_xlpm.costo_unitario" hidden="1" xlm="1">#NAME?</definedName>
    <definedName name="_xlpm.costoDetal" hidden="1" xlm="1">#NAME?</definedName>
    <definedName name="_xlpm.costoFinal" hidden="1" xlm="1">#NAME?</definedName>
    <definedName name="_xlpm.costoMayor" hidden="1" xlm="1">#NAME?</definedName>
    <definedName name="_xlpm.costoTela" hidden="1" xlm="1">#NAME?</definedName>
    <definedName name="_xlpm.costoUSD" hidden="1" xlm="1">#NAME?</definedName>
    <definedName name="_xlpm.datos" hidden="1" xlm="1">#NAME?</definedName>
    <definedName name="_xlpm.datos_tamaño" hidden="1" xlm="1">#NAME?</definedName>
    <definedName name="_xlpm.es_actividad" hidden="1" xlm="1">#NAME?</definedName>
    <definedName name="_xlpm.es_tecnica_especial" hidden="1" xlm="1">#NAME?</definedName>
    <definedName name="_xlpm.fila" hidden="1" xlm="1">#NAME?</definedName>
    <definedName name="_xlpm.filas_necesarias" hidden="1" xlm="1">#NAME?</definedName>
    <definedName name="_xlpm.filtro" hidden="1" xlm="1">#NAME?</definedName>
    <definedName name="_xlpm.id" hidden="1" xlm="1">#NAME?</definedName>
    <definedName name="_xlpm.id_act" hidden="1" xlm="1">#NAME?</definedName>
    <definedName name="_xlpm.material" hidden="1" xlm="1">#NAME?</definedName>
    <definedName name="_xlpm.material_id" hidden="1" xlm="1">#NAME?</definedName>
    <definedName name="_xlpm.material_sublimado" hidden="1" xlm="1">#NAME?</definedName>
    <definedName name="_xlpm.materialTecnica" hidden="1" xlm="1">#NAME?</definedName>
    <definedName name="_xlpm.moneda" hidden="1" xlm="1">#NAME?</definedName>
    <definedName name="_xlpm.multiplicador" hidden="1" xlm="1">#NAME?</definedName>
    <definedName name="_xlpm.n" hidden="1" xlm="1">#NAME?</definedName>
    <definedName name="_xlpm.nom" hidden="1" xlm="1">#NAME?</definedName>
    <definedName name="_xlpm.nombre" hidden="1" xlm="1">#NAME?</definedName>
    <definedName name="_xlpm.nombre_tam" hidden="1" xlm="1">#NAME?</definedName>
    <definedName name="_xlpm.nombres" hidden="1" xlm="1">#NAME?</definedName>
    <definedName name="_xlpm.piezas_por_fila" hidden="1" xlm="1">#NAME?</definedName>
    <definedName name="_xlpm.precio" hidden="1" xlm="1">#NAME?</definedName>
    <definedName name="_xlpm.precio_base" hidden="1" xlm="1">#NAME?</definedName>
    <definedName name="_xlpm.precio_detal" hidden="1" xlm="1">#NAME?</definedName>
    <definedName name="_xlpm.precio_final" hidden="1" xlm="1">#NAME?</definedName>
    <definedName name="_xlpm.precio_mayor" hidden="1" xlm="1">#NAME?</definedName>
    <definedName name="_xlpm.precio_usd" hidden="1" xlm="1">#NAME?</definedName>
    <definedName name="_xlpm.prefijo" hidden="1" xlm="1">#NAME?</definedName>
    <definedName name="_xlpm.prod" hidden="1" xlm="1">#NAME?</definedName>
    <definedName name="_xlpm.producto" hidden="1" xlm="1">#NAME?</definedName>
    <definedName name="_xlpm.producto_id" hidden="1" xlm="1">#NAME?</definedName>
    <definedName name="_xlpm.resultado" hidden="1" xlm="1">#NAME?</definedName>
    <definedName name="_xlpm.talla" hidden="1" xlm="1">#NAME?</definedName>
    <definedName name="_xlpm.talla_id" hidden="1" xlm="1">#NAME?</definedName>
    <definedName name="_xlpm.tamano" hidden="1" xlm="1">#NAME?</definedName>
    <definedName name="_xlpm.tamano_id" hidden="1" xlm="1">#NAME?</definedName>
    <definedName name="_xlpm.tamanoDTF" hidden="1" xlm="1">#NAME?</definedName>
    <definedName name="_xlpm.tamanoSublimado" hidden="1" xlm="1">#NAME?</definedName>
    <definedName name="_xlpm.tamanoVinil" hidden="1" xlm="1">#NAME?</definedName>
    <definedName name="_xlpm.tamaño_id" hidden="1" xlm="1">#NAME?</definedName>
    <definedName name="_xlpm.tasa" hidden="1" xlm="1">#NAME?</definedName>
    <definedName name="_xlpm.tasa_dolar" hidden="1" xlm="1">#NAME?</definedName>
    <definedName name="_xlpm.tecnica" hidden="1" xlm="1">#NAME?</definedName>
    <definedName name="_xlpm.tecnica_id" hidden="1" xlm="1">#NAME?</definedName>
    <definedName name="_xlpm.técnica_seleccionada" hidden="1" xlm="1">#NAME?</definedName>
    <definedName name="_xlpm.tela" hidden="1" xlm="1">#NAME?</definedName>
    <definedName name="_xlpm.texto" hidden="1" xlm="1">#NAME?</definedName>
    <definedName name="_xlpm.tipo" hidden="1" xlm="1">#NAME?</definedName>
    <definedName name="_xlpm.tipo_cambio" hidden="1" xlm="1">#NAME?</definedName>
    <definedName name="_xlpm.tipo_material" hidden="1" xlm="1">#NAME?</definedName>
    <definedName name="_xlpm.tipo_precio" hidden="1" xlm="1">#NAME?</definedName>
    <definedName name="_xlpm.tipo_vinil" hidden="1" xlm="1">#NAME?</definedName>
    <definedName name="_xlpm.tipoTela" hidden="1" xlm="1">#NAME?</definedName>
    <definedName name="_xlpm.usarMayor" hidden="1" xlm="1">#NAME?</definedName>
    <definedName name="_xlpm.usoMaterial" hidden="1" xlm="1">#NAME?</definedName>
    <definedName name="_xlnm.Print_Area" localSheetId="1">PresupuestoPlantilla!$A$1:$V$36</definedName>
    <definedName name="CodPres">_xlfn.LAMBDA(_xlpm.n, "PRE-" &amp; TEXT(TODAY(),"aaaaMM") &amp; TEXT(_xlpm.n,"00"))</definedName>
    <definedName name="CostoMaterialDecorativo">_xlfn.LAMBDA(_xlpm.técnica_seleccionada,_xlpm.tamaño_id,_xlpm.producto_id,_xlpm.talla,_xlpm.tipo_vinil,_xlpm.tipo_precio,     _xlfn.LET(         _xlpm.datos_tamaño,_xlfn._xlws.FILTER(Dim_Tecnica_Tamano[],Dim_Tecnica_Tamano[Id_Tamano]=_xlpm.tamaño_id),         "Prueba2"     ) )</definedName>
    <definedName name="DatosExternos_1" localSheetId="9" hidden="1">'Tabla4 (2)'!$A$1:$G$21</definedName>
    <definedName name="DatosExternos_1" localSheetId="7" hidden="1">'Tabla4 (3)'!$A$1:$C$37</definedName>
    <definedName name="ListaActividad">OFFSET(Dim_Actividad[#Headers],1,MATCH("Nombre_Actividad",Dim_Actividad[#Headers],0)-1,COUNTA(Dim_Actividad[Nombre_Actividad]),1)</definedName>
    <definedName name="ListaDisennos">OFFSET(Dim_Disenno[#Headers],1,MATCH("descripción",Dim_Disenno[#Headers],0)-1,COUNTA(Dim_Disenno[descripción]),1)</definedName>
    <definedName name="ListaModelo">OFFSET(dim_variante[#Headers],1,MATCH("descripción",dim_variante[#Headers],0)-1,COUNTA(dim_variante[descripción]),1)</definedName>
    <definedName name="ListaProductos">OFFSET(Dim_Producto[#Headers],1,MATCH("Nombre",Dim_Producto[#Headers],0)-1,COUNTA(Dim_Producto[Nombre]),1)</definedName>
    <definedName name="ListaTalla">OFFSET(Dim_Talla[#Headers],1,MATCH("Talla",Dim_Talla[#Headers],0)-1,COUNTA(Dim_Talla[Talla]),1)</definedName>
    <definedName name="ListaTamTecnica">OFFSET(Dim_Tecnica_Tamano[#Headers],1,MATCH("Nombre_Tamano",Dim_Tecnica_Tamano[#Headers],0)-1,COUNTA(Dim_Tecnica_Tamano[Nombre_Tamano]),1)</definedName>
    <definedName name="ListaTecnicas">OFFSET(dim_Tecnica[#Headers],1,MATCH("técnica",dim_Tecnica[#Headers],0)-1,COUNTA(dim_Tecnica[técnica]),1)</definedName>
    <definedName name="LIstaTelas">OFFSET(Auxiliares!$D$6,0,0,COUNTA(_xlfn.ANCHORARRAY(Auxiliares!$D$6)),1)</definedName>
    <definedName name="ListaViniles">OFFSET(Auxiliares!$B$6,0,0,COUNTA(_xlfn.ANCHORARRAY(Auxiliares!$B$6)),1)</definedName>
    <definedName name="MayusIni">_xlfn.LAMBDA(_xlpm.texto, UPPER(LEFT(_xlpm.texto,1)) &amp; LOWER(RIGHT(_xlpm.texto,LEN(_xlpm.texto)-1)))</definedName>
    <definedName name="obtenerActividadPorTecnica">_xlfn.LAMBDA(_xlpm.codigo_tecnica,_xlpm.fila,   IFERROR(     INDEX(       _xlfn._xlws.FILTER(         mapeo_tecnica_actividades[Actividad relacionada],         mapeo_tecnica_actividades[Técnica base]=_xlpm.codigo_tecnica       ),       _xlpm.fila     ),     ""   ) )</definedName>
    <definedName name="obtenerCantidadTela">_xlfn.LAMBDA(_xlpm.prod,_xlpm.talla,    IFERROR(     _xlfn.XLOOKUP(1,        (Consumo_Tela_Producto[Codigo_Producto]=_xlpm.prod)*(Consumo_Tela_Producto[Talla]=_xlpm.talla),       Consumo_Tela_Producto[Cantidad_Tela_m²]     ),     0   ) )</definedName>
    <definedName name="ObtenerConsumoDTF">_xlfn.LAMBDA(_xlpm.cod_tamano,_xlpm.cod_producto,_xlpm.cod_talla,   _xlfn.LET(     _xlpm.consumo_tamano, VALUE(IFERROR(_xlfn.XLOOKUP(_xlpm.cod_tamano, Dim_Tecnica_Tamano[Id_Tamano], Dim_Tecnica_Tamano[Alto_cm]), 0)),     _xlpm.consumo_tela,   VALUE(IFERROR(obtenerconsumotela(_xlpm.cod_producto, _xlpm.cod_talla), 0)),     _xlpm.consumo,       IF(_xlpm.cod_tamano="TAM-08", _xlpm.consumo_tela / 2,       IF(_xlpm.cod_tamano="TAM-09", _xlpm.consumo_tela,       _xlpm.consumo_tamano / 100)),     _xlpm.consumo   ) )=_xlfn.LAMBDA(_xlpm.cod_tamano,_xlpm.cod_producto,_xlpm.cod_talla,   _xlfn.LET(     _xlpm.consumo_tamano, VALUE(IFERROR(_xlfn.XLOOKUP(_xlpm.cod_tamano, Dim_Tecnica_Tamano[Id_Tamano], Dim_Tecnica_Tamano[Alto_cm]), 0)),     _xlpm.consumo_tela,   VALUE(IFERROR(obtenerconsumotela(_xlpm.cod_producto, _xlpm.cod_talla), 0)),     _xlpm.consumo,       IF(_xlpm.cod_tamano="TAM-08", _xlpm.consumo_tela / 2,       IF(_xlpm.cod_tamano="TAM-09", _xlpm.consumo_tela,       _xlpm.consumo_tamano / 100)),     _xlpm.consumo   ) )</definedName>
    <definedName name="obtenerConsumoSublimado">_xlfn.LAMBDA(_xlpm.cod_tamano,_xlpm.cod_producto,_xlpm.cod_talla,   _xlfn.LET(     _xlpm.consumo_tamano, VALUE(IFERROR(_xlfn.XLOOKUP(_xlpm.cod_tamano, Dim_Tecnica_Tamano[Id_Tamano], Dim_Tecnica_Tamano[Alto_cm]), 0)),     _xlpm.consumo_tela,   VALUE(IFERROR(obtenerconsumotela(_xlpm.cod_producto, _xlpm.cod_talla), 0)),     _xlpm.consumo,       IF(_xlpm.cod_tamano="TAM-08", _xlpm.consumo_tela / 2,       IF(_xlpm.cod_tamano="TAM-09", _xlpm.consumo_tela,       _xlpm.consumo_tamano / 100)),     _xlpm.consumo   ) )</definedName>
    <definedName name="obtenerconsumotela">_xlfn.LAMBDA(_xlpm.prod,_xlpm.talla, IFERROR(_xlfn.XLOOKUP(1, (Consumo_Tela_Producto[Codigo_Producto]=_xlpm.prod)*(Consumo_Tela_Producto[Talla]=_xlpm.talla), Consumo_Tela_Producto[Cantidad_Tela_m²]), 0))</definedName>
    <definedName name="ObtenerConsumoVinil">_xlfn.LAMBDA(_xlpm.cod_tamano,_xlpm.cantidad,   _xlfn.LET(     _xlpm.ancho, VALUE(IFERROR(_xlfn.XLOOKUP(_xlpm.cod_tamano, Dim_Tecnica_Tamano[Id_Tamano], Dim_Tecnica_Tamano[Ancho_cm]), 0)),     _xlpm.alto,  VALUE(IFERROR(_xlfn.XLOOKUP(_xlpm.cod_tamano, Dim_Tecnica_Tamano[Id_Tamano], Dim_Tecnica_Tamano[Alto_cm]), 0)),     _xlpm.ancho_util, 48,   _xlpm.piezas_por_fila, INT(_xlpm.ancho_util / _xlpm.ancho),     _xlpm.filas_necesarias, ROUNDUP(_xlpm.cantidad / _xlpm.piezas_por_fila, 0),     _xlpm.alto_total, _xlpm.filas_necesarias * _xlpm.alto,     _xlpm.consumo, (_xlpm.ancho_util * _xlpm.alto_total) / 10000,     _xlpm.consumo   ) )</definedName>
    <definedName name="obtenerCostoActividad">_xlfn.LAMBDA(_xlpm.act,_xlpm.prod,_xlpm.tipo,   IFERROR(     INDEX(       _xlfn._xlws.FILTER(         fact_costo_actividad_producto[costo_unitario],         (fact_costo_actividad_producto[id_actividad]=_xlpm.act)*         ((fact_costo_actividad_producto[Codigo_Producto]=_xlpm.prod)+(fact_costo_actividad_producto[Codigo_Producto]="P-12"))*         (fact_costo_actividad_producto[id_tipo_precio]=_xlpm.tipo)       ),       1     ),     "No definido"   ) )</definedName>
    <definedName name="ObtenerCostoDTF">_xlfn.LAMBDA(_xlpm.cod_tamano,_xlpm.cod_producto,_xlpm.cod_talla,_xlpm.cod_material,_xlpm.tasa_dolar,   _xlfn.LET(     _xlpm.alto, _xlfn.XLOOKUP(_xlpm.cod_tamano, Dim_Tecnica_Tamano[Id_Tamano], Dim_Tecnica_Tamano[Alto_cm]),     _xlpm.ancho, _xlfn.XLOOKUP(_xlpm.cod_tamano, Dim_Tecnica_Tamano[Id_Tamano], Dim_Tecnica_Tamano[Ancho_cm]),     _xlpm.consumo_tamano, (_xlpm.alto * _xlpm.ancho) / 10000,     _xlpm.consumo_tela, obtenerconsumotela(_xlpm.cod_producto, _xlpm.cod_talla),     _xlpm.consumo_total,       IF(_xlpm.cod_tamano = "TAM-08", _xlpm.consumo_tela / 2,       IF(_xlpm.cod_tamano = "TAM-09", _xlpm.consumo_tela,       _xlpm.consumo_tamano)),          _xlpm.precio, _xlfn.XLOOKUP(_xlpm.cod_material, HechosInventario[ID_Material], HechosInventario[Costo_Unitario_Detal]),     _xlpm.moneda, _xlfn.XLOOKUP(_xlpm.cod_material, HechosInventario[ID_Material], HechosInventario[Moneda]),     _xlpm.costo_unitario, IF(_xlpm.moneda = "USD", _xlpm.precio * _xlpm.tasa_dolar, _xlpm.precio),          _xlpm.resultado, _xlpm.consumo_total * _xlpm.costo_unitario,          IFERROR(_xlpm.resultado, "Error en DTF")   ) )</definedName>
    <definedName name="obtenerCostoGlobal">_xlfn.LAMBDA(_xlpm.codigo,_xlpm.producto,_xlpm.talla,_xlpm.tamanoVinil,_xlpm.tamanoSublimado,_xlpm.tamanoDTF,_xlpm.materialTecnica,_xlpm.tasa_dolar,_xlpm.cantidad,_xlpm.tipo,     _xlfn.LET(         _xlpm.prefijo, LEFT(_xlpm.codigo, 3),         _xlpm.costo,         IF(_xlpm.codigo = "Act-11",             obtenerCostoVinil(_xlpm.tamanoVinil, _xlpm.materialTecnica, _xlpm.tasa_dolar, _xlpm.cantidad),         IF(_xlpm.codigo = "Act-10",             obtenerCostoSublimado(_xlpm.producto, _xlpm.talla, _xlpm.tamanoSublimado, _xlpm.materialTecnica, _xlpm.tasa_dolar),         IF(_xlpm.codigo = "Act-12",             ObtenerCostoDTF(_xlpm.producto, _xlpm.talla, _xlpm.tamanoDTF, _xlpm.materialTecnica, _xlpm.tasa_dolar),         IF(_xlpm.prefijo = "ACT",             obtenerCostoActividad(_xlpm.codigo, _xlpm.producto, _xlpm.tipo),         IF(_xlpm.prefijo = "MAT",             obtenerCostoMaterial(_xlpm.codigo, _xlpm.tipo, _xlpm.tasa_dolar),         0         ))))),         _xlpm.costo     ) )</definedName>
    <definedName name="obtenerCostoMaterial">_xlfn.LAMBDA(_xlpm.codigo_material,_xlpm.tipo_precio,_xlpm.tipo_cambio,   _xlfn.LET(     _xlpm.precio_mayor, _xlfn.XLOOKUP(_xlpm.codigo_material, HechosInventario[ID_Material], HechosInventario[Costo_Unitario_Mayor], 0),     _xlpm.precio_detal, _xlfn.XLOOKUP(_xlpm.codigo_material, HechosInventario[ID_Material], HechosInventario[Costo_Unitario_Detal], 0),     _xlpm.moneda, _xlfn.XLOOKUP(_xlpm.codigo_material, HechosInventario[ID_Material], HechosInventario[Moneda], "COP"),     _xlpm.precio, IF(_xlpm.tipo_precio &lt;&gt; "VC001", IF(_xlpm.precio_mayor &gt; 0, _xlpm.precio_mayor, _xlpm.precio_detal), _xlpm.precio_detal),     IF(_xlpm.precio = 0, 0, IF(_xlpm.moneda = "USD", _xlpm.precio * _xlpm.tipo_cambio, _xlpm.precio))   ) )</definedName>
    <definedName name="obtenerCostoSublimado">_xlfn.LAMBDA(_xlpm.cod_producto,_xlpm.cod_talla,_xlpm.cod_tamano,_xlpm.cod_material,_xlpm.tasa_dolar,   _xlfn.LET(     _xlpm.consumo, obtenerConsumoSublimado(_xlpm.cod_tamano, _xlpm.cod_producto, _xlpm.cod_talla),     _xlpm.precio,  VALUE(IFERROR(_xlfn.XLOOKUP(_xlpm.cod_material, HechosInventario[ID_Material], HechosInventario[Costo_Unitario_Detal]), 0)),     _xlpm.moneda,  IFERROR(_xlfn.XLOOKUP(_xlpm.cod_material, HechosInventario[ID_Material], HechosInventario[Moneda]), "USD"),     _xlpm.costo_unitario, IF(_xlpm.moneda="USD", _xlpm.precio * _xlpm.tasa_dolar, _xlpm.precio),     _xlpm.consumo * _xlpm.costo_unitario   ) )</definedName>
    <definedName name="obtenerCostoTela">_xlfn.LAMBDA(_xlpm.producto,_xlpm.talla,_xlpm.cod_material,_xlpm.tasa_dolar,   _xlfn.LET(     _xlpm.consumo, obtenerconsumotela(_xlpm.producto, _xlpm.talla),     _xlpm.precio, _xlfn.XLOOKUP(_xlpm.cod_material, HechosInventario[ID_Material], HechosInventario[Costo_Unitario_Detal]),     _xlpm.moneda, _xlfn.XLOOKUP(_xlpm.cod_material, HechosInventario[ID_Material], HechosInventario[Moneda]),     _xlpm.precio_final, IF(_xlpm.moneda="USD", _xlpm.precio * _xlpm.tasa_dolar, _xlpm.precio),     IFERROR(_xlpm.consumo * _xlpm.precio_final, "No encontrado")   ) )</definedName>
    <definedName name="obtenerCostoVinil">_xlfn.LAMBDA(_xlpm.cod_tamano,_xlpm.cod_material,_xlpm.tasa_dolar,_xlpm.cantidad,   _xlfn.LET(     _xlpm.consumo, ObtenerConsumoVinil(_xlpm.cod_tamano, _xlpm.cantidad),          _xlpm.precio, IFERROR(       _xlfn.XLOOKUP(_xlpm.cod_material, HechosInventario[ID_Material], HechosInventario[Costo_Unitario_Detal]),       0     ),          _xlpm.moneda, IFERROR(       _xlfn.XLOOKUP(_xlpm.cod_material, HechosInventario[ID_Material], HechosInventario[Moneda]),       "COP"     ),          _xlpm.costo_unitario, IF(_xlpm.moneda = "USD", _xlpm.precio * _xlpm.tasa_dolar, _xlpm.precio),          _xlpm.consumo * _xlpm.costo_unitario   ) )</definedName>
    <definedName name="ProductosCod">_xlfn.MAP(Dim_Producto[Codigo_Producto], Dim_Producto[Nombre], _xlfn.LAMBDA(_xlpm.cod,_xlpm.nom, _xlpm.cod &amp; " - " &amp; _xlpm.nom))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Dim_Producto 1_c2a169bb-bb44-4443-960b-c17b8b38e82d" name="Dim_Producto 1" connection="Consulta - Dim_Producto"/>
          <x15:modelTable id="dim_variante_8569009b-1d25-4dd4-bfcc-8fb35b0fc250" name="dim_variante" connection="Consulta - dim_variante"/>
          <x15:modelTable id="Dim_Disenno_58154245-8ef9-4a93-be2a-700a4ee5476f" name="Dim_Disenno" connection="Consulta - Dim_Disenno"/>
          <x15:modelTable id="HechosInventario 1_16536b53-32a4-43db-9255-cc2d5ff85057" name="HechosInventario 1" connection="Consulta - HechosInventario"/>
          <x15:modelTable id="Hechos_Ingresos_c6111453-ff38-45d2-af4d-1eea05ad5193" name="Hechos_Ingresos" connection="Consulta - Hechos_Ingresos"/>
          <x15:modelTable id="Abonos_481c5778-3b0a-4e70-8729-1251272f7ce6" name="Abonos" connection="Consulta - Abonos"/>
          <x15:modelTable id="Dim_Actividad 1_2ed410b6-da4c-4373-9615-7257ef9cc015" name="Dim_Actividad 1" connection="Consulta - Dim_Actividad"/>
          <x15:modelTable id="dim_Tecnica_83bdc172-38cc-4a00-80aa-406fbd133df2" name="dim_Tecnica" connection="Consulta - dim_Tecnica"/>
          <x15:modelTable id="HechosInventario" name="HechosInventario" connection="WorksheetConnection_Propuesta.xlsx!HechosInventario"/>
          <x15:modelTable id="DimTienda" name="DimTienda" connection="WorksheetConnection_Propuesta.xlsx!DimTienda"/>
          <x15:modelTable id="dim_Vol_Compra" name="dim_Vol_Compra" connection="WorksheetConnection_Propuesta.xlsx!dim_Vol_Compr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37" i="5" l="1"/>
  <c r="AQ38" i="5"/>
  <c r="AQ33" i="5"/>
  <c r="AQ32" i="5"/>
  <c r="AQ31" i="5"/>
  <c r="H6" i="14" a="1"/>
  <c r="H6" i="14" s="1"/>
  <c r="F6" i="14" a="1"/>
  <c r="F6" i="14" s="1"/>
  <c r="X15" i="13"/>
  <c r="X14" i="13"/>
  <c r="C137" i="36"/>
  <c r="B137" i="36"/>
  <c r="C136" i="36"/>
  <c r="B136" i="36"/>
  <c r="C135" i="36"/>
  <c r="B135" i="36"/>
  <c r="C134" i="36"/>
  <c r="B134" i="36"/>
  <c r="C133" i="36"/>
  <c r="B133" i="36"/>
  <c r="C132" i="36"/>
  <c r="B132" i="36"/>
  <c r="C131" i="36"/>
  <c r="B131" i="36"/>
  <c r="C130" i="36"/>
  <c r="B130" i="36"/>
  <c r="C129" i="36"/>
  <c r="B129" i="36"/>
  <c r="C128" i="36"/>
  <c r="B128" i="36"/>
  <c r="C127" i="36"/>
  <c r="B127" i="36"/>
  <c r="C126" i="36"/>
  <c r="B126" i="36"/>
  <c r="C125" i="36"/>
  <c r="B125" i="36"/>
  <c r="C124" i="36"/>
  <c r="B124" i="36"/>
  <c r="C121" i="36"/>
  <c r="B121" i="36"/>
  <c r="C120" i="36"/>
  <c r="B120" i="36"/>
  <c r="C119" i="36"/>
  <c r="B119" i="36"/>
  <c r="C118" i="36"/>
  <c r="B118" i="36"/>
  <c r="C117" i="36"/>
  <c r="B117" i="36"/>
  <c r="C116" i="36"/>
  <c r="B116" i="36"/>
  <c r="C115" i="36"/>
  <c r="B115" i="36"/>
  <c r="C114" i="36"/>
  <c r="B114" i="36"/>
  <c r="C113" i="36"/>
  <c r="B113" i="36"/>
  <c r="C112" i="36"/>
  <c r="B112" i="36"/>
  <c r="C111" i="36"/>
  <c r="B111" i="36"/>
  <c r="C110" i="36"/>
  <c r="B110" i="36"/>
  <c r="C109" i="36"/>
  <c r="B109" i="36"/>
  <c r="C108" i="36"/>
  <c r="B108" i="36"/>
  <c r="C107" i="36"/>
  <c r="B107" i="36"/>
  <c r="C106" i="36"/>
  <c r="B106" i="36"/>
  <c r="C105" i="36"/>
  <c r="B105" i="36"/>
  <c r="C104" i="36"/>
  <c r="B104" i="36"/>
  <c r="C103" i="36"/>
  <c r="B103" i="36"/>
  <c r="C102" i="36"/>
  <c r="B102" i="36"/>
  <c r="C101" i="36"/>
  <c r="B101" i="36"/>
  <c r="C100" i="36"/>
  <c r="B100" i="36"/>
  <c r="C99" i="36"/>
  <c r="B99" i="36"/>
  <c r="C98" i="36"/>
  <c r="B98" i="36"/>
  <c r="C97" i="36"/>
  <c r="B97" i="36"/>
  <c r="C96" i="36"/>
  <c r="B96" i="36"/>
  <c r="C95" i="36"/>
  <c r="B95" i="36"/>
  <c r="C94" i="36"/>
  <c r="B94" i="36"/>
  <c r="C93" i="36"/>
  <c r="B93" i="36"/>
  <c r="C92" i="36"/>
  <c r="B92" i="36"/>
  <c r="C91" i="36"/>
  <c r="B91" i="36"/>
  <c r="C90" i="36"/>
  <c r="B90" i="36"/>
  <c r="C89" i="36"/>
  <c r="B89" i="36"/>
  <c r="C88" i="36"/>
  <c r="B88" i="36"/>
  <c r="C87" i="36"/>
  <c r="B87" i="36"/>
  <c r="C86" i="36"/>
  <c r="B86" i="36"/>
  <c r="C85" i="36"/>
  <c r="B85" i="36"/>
  <c r="C84" i="36"/>
  <c r="B84" i="36"/>
  <c r="C83" i="36"/>
  <c r="B83" i="36"/>
  <c r="C82" i="36"/>
  <c r="B82" i="36"/>
  <c r="C81" i="36"/>
  <c r="B81" i="36"/>
  <c r="C80" i="36"/>
  <c r="B80" i="36"/>
  <c r="C79" i="36"/>
  <c r="B79" i="36"/>
  <c r="C78" i="36"/>
  <c r="B78" i="36"/>
  <c r="C77" i="36"/>
  <c r="B77" i="36"/>
  <c r="C76" i="36"/>
  <c r="B76" i="36"/>
  <c r="C75" i="36"/>
  <c r="B75" i="36"/>
  <c r="C74" i="36"/>
  <c r="B74" i="36"/>
  <c r="C73" i="36"/>
  <c r="B73" i="36"/>
  <c r="C72" i="36"/>
  <c r="B72" i="36"/>
  <c r="C71" i="36"/>
  <c r="B71" i="36"/>
  <c r="C70" i="36"/>
  <c r="B70" i="36"/>
  <c r="C69" i="36"/>
  <c r="B69" i="36"/>
  <c r="C68" i="36"/>
  <c r="B68" i="36"/>
  <c r="C67" i="36"/>
  <c r="B67" i="36"/>
  <c r="C66" i="36"/>
  <c r="B66" i="36"/>
  <c r="C65" i="36"/>
  <c r="B65" i="36"/>
  <c r="C64" i="36"/>
  <c r="B64" i="36"/>
  <c r="C63" i="36"/>
  <c r="B63" i="36"/>
  <c r="C62" i="36"/>
  <c r="B62" i="36"/>
  <c r="C61" i="36"/>
  <c r="B61" i="36"/>
  <c r="C60" i="36"/>
  <c r="B60" i="36"/>
  <c r="C59" i="36"/>
  <c r="B59" i="36"/>
  <c r="C58" i="36"/>
  <c r="B58" i="36"/>
  <c r="C57" i="36"/>
  <c r="B57" i="36"/>
  <c r="C56" i="36"/>
  <c r="B56" i="36"/>
  <c r="C55" i="36"/>
  <c r="B55" i="36"/>
  <c r="C54" i="36"/>
  <c r="B54" i="36"/>
  <c r="C53" i="36"/>
  <c r="B53" i="36"/>
  <c r="C52" i="36"/>
  <c r="B52" i="36"/>
  <c r="C51" i="36"/>
  <c r="B51" i="36"/>
  <c r="C50" i="36"/>
  <c r="B50" i="36"/>
  <c r="C49" i="36"/>
  <c r="B49" i="36"/>
  <c r="C48" i="36"/>
  <c r="B48" i="36"/>
  <c r="C47" i="36"/>
  <c r="B47" i="36"/>
  <c r="C46" i="36"/>
  <c r="B46" i="36"/>
  <c r="C45" i="36"/>
  <c r="B45" i="36"/>
  <c r="C44" i="36"/>
  <c r="B44" i="36"/>
  <c r="C43" i="36"/>
  <c r="B43" i="36"/>
  <c r="C42" i="36"/>
  <c r="B42" i="36"/>
  <c r="C41" i="36"/>
  <c r="B41" i="36"/>
  <c r="C40" i="36"/>
  <c r="B40" i="36"/>
  <c r="C39" i="36"/>
  <c r="B39" i="36"/>
  <c r="C38" i="36"/>
  <c r="B38" i="36"/>
  <c r="C37" i="36"/>
  <c r="B37" i="36"/>
  <c r="C36" i="36"/>
  <c r="B36" i="36"/>
  <c r="C35" i="36"/>
  <c r="B35" i="36"/>
  <c r="C34" i="36"/>
  <c r="B34" i="36"/>
  <c r="C33" i="36"/>
  <c r="B33" i="36"/>
  <c r="C32" i="36"/>
  <c r="B32" i="36"/>
  <c r="C31" i="36"/>
  <c r="B31" i="36"/>
  <c r="C30" i="36"/>
  <c r="B30" i="36"/>
  <c r="C29" i="36"/>
  <c r="B29" i="36"/>
  <c r="C28" i="36"/>
  <c r="B28" i="36"/>
  <c r="C27" i="36"/>
  <c r="B27" i="36"/>
  <c r="C26" i="36"/>
  <c r="B26" i="36"/>
  <c r="C25" i="36"/>
  <c r="B25" i="36"/>
  <c r="C24" i="36"/>
  <c r="B24" i="36"/>
  <c r="C23" i="36"/>
  <c r="B23" i="36"/>
  <c r="C22" i="36"/>
  <c r="B22" i="36"/>
  <c r="C21" i="36"/>
  <c r="B21" i="36"/>
  <c r="C20" i="36"/>
  <c r="B20" i="36"/>
  <c r="C19" i="36"/>
  <c r="B19" i="36"/>
  <c r="C18" i="36"/>
  <c r="B18" i="36"/>
  <c r="C17" i="36"/>
  <c r="B17" i="36"/>
  <c r="C16" i="36"/>
  <c r="B16" i="36"/>
  <c r="C15" i="36"/>
  <c r="B15" i="36"/>
  <c r="C14" i="36"/>
  <c r="B14" i="36"/>
  <c r="C13" i="36"/>
  <c r="B13" i="36"/>
  <c r="C12" i="36"/>
  <c r="B12" i="36"/>
  <c r="C11" i="36"/>
  <c r="B11" i="36"/>
  <c r="C10" i="36"/>
  <c r="B10" i="36"/>
  <c r="C9" i="36"/>
  <c r="B9" i="36"/>
  <c r="C8" i="36"/>
  <c r="B8" i="36"/>
  <c r="C7" i="36"/>
  <c r="B7" i="36"/>
  <c r="C6" i="36"/>
  <c r="B6" i="36"/>
  <c r="C5" i="36"/>
  <c r="B5" i="36"/>
  <c r="C4" i="36"/>
  <c r="B4" i="36"/>
  <c r="C3" i="36"/>
  <c r="B3" i="36"/>
  <c r="C2" i="36"/>
  <c r="B2" i="36"/>
  <c r="BD25" i="14" a="1"/>
  <c r="BD25" i="14" s="1"/>
  <c r="F19" i="13"/>
  <c r="H5" i="5" l="1"/>
  <c r="L19" i="13"/>
  <c r="K19" i="13" s="1"/>
  <c r="T7" i="13" l="1"/>
  <c r="C11" i="13" l="1" a="1"/>
  <c r="C11" i="13" s="1"/>
  <c r="U4" i="20" l="1"/>
  <c r="T4" i="20"/>
  <c r="S4" i="20"/>
  <c r="R4" i="20"/>
  <c r="Q4" i="20"/>
  <c r="P4" i="20"/>
  <c r="F21" i="13"/>
  <c r="S14" i="13"/>
  <c r="F11" i="13"/>
  <c r="L21" i="13" a="1"/>
  <c r="L21" i="13" s="1"/>
  <c r="K21" i="13" s="1"/>
  <c r="L22" i="13" a="1"/>
  <c r="L22" i="13" s="1"/>
  <c r="K22" i="13" s="1"/>
  <c r="L23" i="13" a="1"/>
  <c r="L23" i="13" s="1"/>
  <c r="K23" i="13" s="1"/>
  <c r="M23" i="13" s="1" a="1"/>
  <c r="M23" i="13" s="1"/>
  <c r="L24" i="13" a="1"/>
  <c r="L24" i="13" s="1"/>
  <c r="K24" i="13" s="1"/>
  <c r="L25" i="13" a="1"/>
  <c r="L25" i="13" s="1"/>
  <c r="K25" i="13" s="1"/>
  <c r="L26" i="13" a="1"/>
  <c r="L26" i="13" s="1"/>
  <c r="K26" i="13" s="1"/>
  <c r="M26" i="13" s="1" a="1"/>
  <c r="M26" i="13" s="1"/>
  <c r="L27" i="13" a="1"/>
  <c r="L27" i="13" s="1"/>
  <c r="K27" i="13" s="1"/>
  <c r="M27" i="13" s="1" a="1"/>
  <c r="M27" i="13" s="1"/>
  <c r="L20" i="13" a="1"/>
  <c r="L20" i="13" s="1"/>
  <c r="K20" i="13" s="1"/>
  <c r="K12" i="13"/>
  <c r="K13" i="13"/>
  <c r="K14" i="13"/>
  <c r="K15" i="13"/>
  <c r="K16" i="13"/>
  <c r="K17" i="13"/>
  <c r="K18" i="13"/>
  <c r="Q7" i="13"/>
  <c r="K7" i="13"/>
  <c r="M19" i="13" s="1" a="1"/>
  <c r="M19" i="13" s="1"/>
  <c r="M24" i="13" l="1" a="1"/>
  <c r="M24" i="13" s="1"/>
  <c r="M17" i="13" a="1"/>
  <c r="M17" i="13" s="1"/>
  <c r="M16" i="13" a="1"/>
  <c r="M16" i="13" s="1"/>
  <c r="M15" i="13" a="1"/>
  <c r="M15" i="13" s="1"/>
  <c r="M14" i="13" a="1"/>
  <c r="M14" i="13" s="1"/>
  <c r="M21" i="13" a="1"/>
  <c r="M21" i="13" s="1"/>
  <c r="S7" i="13"/>
  <c r="P7" i="13"/>
  <c r="Y14" i="13" s="1" a="1"/>
  <c r="Y14" i="13" s="1"/>
  <c r="U7" i="20"/>
  <c r="Q15" i="20"/>
  <c r="R15" i="20"/>
  <c r="P15" i="20"/>
  <c r="U23" i="20"/>
  <c r="K16" i="12"/>
  <c r="U7" i="13" s="1"/>
  <c r="O7" i="13"/>
  <c r="N7" i="13"/>
  <c r="M7" i="13"/>
  <c r="L7" i="13"/>
  <c r="M25" i="13" s="1" a="1"/>
  <c r="M25" i="13" s="1"/>
  <c r="K11" i="13"/>
  <c r="M11" i="13" s="1" a="1"/>
  <c r="M11" i="13" s="1"/>
  <c r="M18" i="13" l="1" a="1"/>
  <c r="M18" i="13" s="1"/>
  <c r="M22" i="13" a="1"/>
  <c r="M22" i="13" s="1"/>
  <c r="M12" i="13" a="1"/>
  <c r="M12" i="13" s="1"/>
  <c r="Y15" i="13" a="1"/>
  <c r="Y15" i="13" s="1"/>
  <c r="M20" i="13" a="1"/>
  <c r="M20" i="13" s="1"/>
  <c r="M13" i="13" a="1"/>
  <c r="M13" i="13" s="1"/>
  <c r="O17" i="13"/>
  <c r="P17" i="13" s="1"/>
  <c r="O16" i="13"/>
  <c r="P16" i="13" s="1"/>
  <c r="O15" i="13"/>
  <c r="P15" i="13" s="1"/>
  <c r="O14" i="13"/>
  <c r="P14" i="13" s="1"/>
  <c r="O27" i="13"/>
  <c r="P27" i="13" s="1"/>
  <c r="P19" i="13"/>
  <c r="O12" i="13" l="1"/>
  <c r="P12" i="13" s="1"/>
  <c r="O25" i="13"/>
  <c r="P25" i="13" s="1"/>
  <c r="O18" i="13"/>
  <c r="P18" i="13" s="1"/>
  <c r="O24" i="13"/>
  <c r="P24" i="13" s="1"/>
  <c r="O23" i="13"/>
  <c r="P23" i="13" s="1"/>
  <c r="O21" i="13"/>
  <c r="P21" i="13" s="1"/>
  <c r="O13" i="13"/>
  <c r="P13" i="13" s="1"/>
  <c r="O26" i="13"/>
  <c r="P26" i="13" s="1"/>
  <c r="O22" i="13"/>
  <c r="P22" i="13" s="1"/>
  <c r="D6" i="14" a="1"/>
  <c r="D6" i="14" s="1"/>
  <c r="O20" i="13"/>
  <c r="P20" i="13" s="1"/>
  <c r="AW8" i="5"/>
  <c r="AW7" i="5"/>
  <c r="AW6" i="5"/>
  <c r="C122" i="36" l="1"/>
  <c r="B122" i="36"/>
  <c r="K20" i="12"/>
  <c r="K15" i="12"/>
  <c r="K17" i="12"/>
  <c r="K18" i="12"/>
  <c r="K19" i="12"/>
  <c r="K14" i="12"/>
  <c r="K11" i="12"/>
  <c r="K12" i="12"/>
  <c r="K13" i="12"/>
  <c r="K10" i="12"/>
  <c r="K7" i="12"/>
  <c r="K8" i="12"/>
  <c r="K9" i="12"/>
  <c r="K6" i="12"/>
  <c r="B6" i="14" a="1"/>
  <c r="B6" i="14" s="1"/>
  <c r="O11" i="13"/>
  <c r="P11" i="13" s="1"/>
  <c r="AQ43" i="5"/>
  <c r="P6" i="14" s="1" a="1"/>
  <c r="P6" i="14" s="1"/>
  <c r="C123" i="36" l="1"/>
  <c r="B123" i="36"/>
  <c r="O28" i="13"/>
  <c r="G26" i="10"/>
  <c r="H26" i="10" s="1"/>
  <c r="G27" i="10"/>
  <c r="H27" i="10" s="1"/>
  <c r="G28" i="10"/>
  <c r="H28" i="10" s="1"/>
  <c r="G29" i="10"/>
  <c r="H29" i="10" s="1"/>
  <c r="G30" i="10"/>
  <c r="H30" i="10" s="1"/>
  <c r="G31" i="10"/>
  <c r="H31" i="10" s="1"/>
  <c r="G32" i="10"/>
  <c r="H32" i="10" s="1"/>
  <c r="G22" i="10"/>
  <c r="H22" i="10" s="1"/>
  <c r="G33" i="10"/>
  <c r="H33" i="10" s="1"/>
  <c r="G34" i="10"/>
  <c r="H34" i="10" s="1"/>
  <c r="G36" i="10"/>
  <c r="H36" i="10" s="1"/>
  <c r="G37" i="10"/>
  <c r="H37" i="10" s="1"/>
  <c r="G7" i="10"/>
  <c r="H7" i="10" s="1"/>
  <c r="G6" i="10"/>
  <c r="H6" i="10" s="1"/>
  <c r="G8" i="10"/>
  <c r="H8" i="10" s="1"/>
  <c r="G9" i="10"/>
  <c r="H9" i="10" s="1"/>
  <c r="G10" i="10"/>
  <c r="H10" i="10" s="1"/>
  <c r="G11" i="10"/>
  <c r="H11" i="10" s="1"/>
  <c r="G12" i="10"/>
  <c r="H12" i="10" s="1"/>
  <c r="G13" i="10"/>
  <c r="H13" i="10" s="1"/>
  <c r="G14" i="10"/>
  <c r="H14" i="10" s="1"/>
  <c r="G15" i="10"/>
  <c r="H15" i="10" s="1"/>
  <c r="G16" i="10"/>
  <c r="H16" i="10" s="1"/>
  <c r="G17" i="10"/>
  <c r="H17" i="10" s="1"/>
  <c r="G18" i="10"/>
  <c r="H18" i="10" s="1"/>
  <c r="G19" i="10"/>
  <c r="H19" i="10" s="1"/>
  <c r="G20" i="10"/>
  <c r="H20" i="10" s="1"/>
  <c r="G21" i="10"/>
  <c r="H21" i="10" s="1"/>
  <c r="G23" i="10"/>
  <c r="H23" i="10" s="1"/>
  <c r="G24" i="10"/>
  <c r="H24" i="10" s="1"/>
  <c r="G25" i="10"/>
  <c r="H25" i="10" s="1"/>
  <c r="G35" i="10"/>
  <c r="H35" i="10" s="1"/>
  <c r="G5" i="10"/>
  <c r="H5" i="10" s="1"/>
  <c r="T18" i="13" l="1"/>
  <c r="O29" i="13"/>
  <c r="U18" i="13"/>
  <c r="S18" i="13"/>
  <c r="P28" i="13"/>
  <c r="T19" i="13" l="1"/>
  <c r="S19" i="13"/>
  <c r="U19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Longevo</author>
  </authors>
  <commentList>
    <comment ref="G6" authorId="0" shapeId="0" xr:uid="{7AE5D709-3F6E-47E7-AAD2-87B2AC9E40D2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2500
</t>
        </r>
      </text>
    </comment>
    <comment ref="I8" authorId="0" shapeId="0" xr:uid="{50299BFE-70B9-41FF-ACB7-94C3E8FCFEF2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13000*TELA</t>
        </r>
      </text>
    </comment>
    <comment ref="I10" authorId="0" shapeId="0" xr:uid="{B4A14144-D0DA-4492-9BDE-26497539264B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4000</t>
        </r>
      </text>
    </comment>
    <comment ref="D12" authorId="0" shapeId="0" xr:uid="{B42A790C-3435-4588-B970-41A27509485D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Salen 15 hojas por cada metro
=13000/15</t>
        </r>
      </text>
    </comment>
    <comment ref="E12" authorId="0" shapeId="0" xr:uid="{A7E3E7EA-09B0-4DB3-ADC1-A55A75360120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=15000*0,3/3</t>
        </r>
      </text>
    </comment>
    <comment ref="F12" authorId="0" shapeId="0" xr:uid="{B5A51FE9-4386-48CF-9F68-75232F181E62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=35000/4</t>
        </r>
      </text>
    </comment>
    <comment ref="G12" authorId="0" shapeId="0" xr:uid="{64DAF800-96A8-4816-B1E4-13FDDC300282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=0,7*13000
tamaño de la tela * material</t>
        </r>
      </text>
    </comment>
    <comment ref="D15" authorId="0" shapeId="0" xr:uid="{276BD0A7-19D1-44C9-A25A-037864CCCA5D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30000/39</t>
        </r>
      </text>
    </comment>
    <comment ref="A36" authorId="0" shapeId="0" xr:uid="{5A8B453A-A336-4399-A9B1-222BFDC68480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3000 - 3500</t>
        </r>
      </text>
    </comment>
    <comment ref="B38" authorId="0" shapeId="0" xr:uid="{65592CE6-127F-4FE1-A05C-7DBE97CBD7FC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10000</t>
        </r>
      </text>
    </comment>
    <comment ref="C38" authorId="0" shapeId="0" xr:uid="{D5B339AF-232E-4D1A-93B7-1D1EAD8D42CB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11000*TELA</t>
        </r>
      </text>
    </comment>
    <comment ref="A40" authorId="0" shapeId="0" xr:uid="{014DBAE4-B7C3-4A10-98A0-C209B2CE78F3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4500
COSTURA KELLY 6500</t>
        </r>
      </text>
    </comment>
    <comment ref="B53" authorId="0" shapeId="0" xr:uid="{9EF9232C-FBF2-4076-B768-D4DC93488FCB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2500</t>
        </r>
      </text>
    </comment>
    <comment ref="G54" authorId="0" shapeId="0" xr:uid="{65C28C5C-B777-4D95-A881-D4C41CF7C9CF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8500*TELA</t>
        </r>
      </text>
    </comment>
    <comment ref="B56" authorId="0" shapeId="0" xr:uid="{3BFF075A-2FFC-492A-9804-D83DFE7740E1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1000</t>
        </r>
      </text>
    </comment>
    <comment ref="C68" authorId="0" shapeId="0" xr:uid="{F3D8D93D-B743-4134-A3E4-FBAD0CD13609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11000*tela</t>
        </r>
      </text>
    </comment>
    <comment ref="B70" authorId="0" shapeId="0" xr:uid="{1D6FA912-CC73-48A2-B9E6-6D435F3E663F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3000</t>
        </r>
      </text>
    </comment>
    <comment ref="C70" authorId="0" shapeId="0" xr:uid="{3823DF17-2CF3-47A0-8332-C223DD663F7A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1000
</t>
        </r>
      </text>
    </comment>
    <comment ref="A71" authorId="0" shapeId="0" xr:uid="{AC9FE24D-AFDE-44BB-B495-BA34FFC24717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=13000/12</t>
        </r>
      </text>
    </comment>
    <comment ref="B71" authorId="0" shapeId="0" xr:uid="{4AFFC1FA-3C95-418A-BE68-803A4FD4883B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13000*0,7</t>
        </r>
      </text>
    </comment>
    <comment ref="A74" authorId="0" shapeId="0" xr:uid="{2086AABA-9205-4FAF-AEE5-3DF19BA5D786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=5/12</t>
        </r>
      </text>
    </comment>
    <comment ref="B75" authorId="0" shapeId="0" xr:uid="{11317546-BCDA-44E5-BAEE-776D3E1A5D0B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G83" authorId="0" shapeId="0" xr:uid="{A51AB60B-2E3E-4B76-9181-801FBC5FF73D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7000</t>
        </r>
      </text>
    </comment>
    <comment ref="G84" authorId="0" shapeId="0" xr:uid="{880C765A-9D4A-4974-B1EC-3D3908460972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2000</t>
        </r>
      </text>
    </comment>
    <comment ref="G85" authorId="0" shapeId="0" xr:uid="{4E59C919-DE3C-4AEB-BC2B-990E285352C8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8000</t>
        </r>
      </text>
    </comment>
    <comment ref="A90" authorId="0" shapeId="0" xr:uid="{D41E91AA-BF7A-489F-9A6C-753A5CB242E7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2500
</t>
        </r>
      </text>
    </comment>
    <comment ref="G91" authorId="0" shapeId="0" xr:uid="{3176BAC5-66B9-483A-B88B-93168D8473B5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5500
15000*TELA</t>
        </r>
      </text>
    </comment>
    <comment ref="I99" authorId="0" shapeId="0" xr:uid="{5DBE0063-1A52-4283-BEDE-24EB5336E417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1500</t>
        </r>
      </text>
    </comment>
    <comment ref="I100" authorId="0" shapeId="0" xr:uid="{D03D1F81-8D84-48A5-900E-A52A3CE56DFF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24000</t>
        </r>
      </text>
    </comment>
    <comment ref="B101" authorId="0" shapeId="0" xr:uid="{107F5C21-DD5A-41F1-92E2-D0C1E6D81B53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3500-5000</t>
        </r>
      </text>
    </comment>
    <comment ref="G101" authorId="0" shapeId="0" xr:uid="{C92F6DE5-D849-47AB-90BE-3C28C96A5CBF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1200</t>
        </r>
      </text>
    </comment>
    <comment ref="I101" authorId="0" shapeId="0" xr:uid="{CE7CE2E0-15AC-40B5-8378-F6EDA60B74DD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Tela*tela forro</t>
        </r>
      </text>
    </comment>
    <comment ref="B102" authorId="0" shapeId="0" xr:uid="{D8BCE294-DA8D-412D-B653-79526EC1F7D3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2500 - 3000
</t>
        </r>
      </text>
    </comment>
    <comment ref="G102" authorId="0" shapeId="0" xr:uid="{7C99BC15-5A1B-47E4-AD2A-EC2B4C91DF1C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1500</t>
        </r>
      </text>
    </comment>
    <comment ref="I102" authorId="0" shapeId="0" xr:uid="{DD6216B6-A164-4A77-B929-DF3809EBFAF5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1800</t>
        </r>
      </text>
    </comment>
    <comment ref="G103" authorId="0" shapeId="0" xr:uid="{C801E46B-6A9F-454F-8966-6FFD8CE00558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precio por tela</t>
        </r>
      </text>
    </comment>
    <comment ref="I103" authorId="0" shapeId="0" xr:uid="{265CA9E3-8556-4D07-B584-02DC7B12B96E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4000</t>
        </r>
      </text>
    </comment>
    <comment ref="B104" authorId="0" shapeId="0" xr:uid="{DC5F3C53-4020-494C-AFEB-E0A3104027C2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1000
</t>
        </r>
      </text>
    </comment>
    <comment ref="G104" authorId="0" shapeId="0" xr:uid="{894B9BD5-C7C2-47E9-862C-8C16BCC04639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2000
</t>
        </r>
      </text>
    </comment>
    <comment ref="I104" authorId="0" shapeId="0" xr:uid="{EB348D71-E01B-4D6D-8C51-EBF2560ED49D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13000*1,8</t>
        </r>
      </text>
    </comment>
    <comment ref="G105" authorId="0" shapeId="0" xr:uid="{07C7B54B-519B-4814-B235-C8AF3C9EE8A5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700</t>
        </r>
      </text>
    </comment>
    <comment ref="G106" authorId="0" shapeId="0" xr:uid="{7830F749-2C18-4596-9C09-63CB94F67ED1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500</t>
        </r>
      </text>
    </comment>
    <comment ref="I107" authorId="0" shapeId="0" xr:uid="{B5ABC48B-F2B1-420E-8E50-B634A6BE7544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700</t>
        </r>
      </text>
    </comment>
    <comment ref="G116" authorId="0" shapeId="0" xr:uid="{11CFA86E-A0D2-47CC-8F6D-195C41B9673F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11000*tela</t>
        </r>
      </text>
    </comment>
    <comment ref="G118" authorId="0" shapeId="0" xr:uid="{796ADD8F-F2A7-4380-B145-CFCBA7F24198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4500</t>
        </r>
      </text>
    </comment>
    <comment ref="G119" authorId="0" shapeId="0" xr:uid="{F37DCC33-F3D4-4620-806A-DF75CAE3BC98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1500</t>
        </r>
      </text>
    </comment>
    <comment ref="G120" authorId="0" shapeId="0" xr:uid="{14971F93-8B59-4BDE-9847-B96F5092FB6D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1000</t>
        </r>
      </text>
    </comment>
    <comment ref="G124" authorId="0" shapeId="0" xr:uid="{D131C141-C6C3-4716-87A1-4907718BF534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100</t>
        </r>
      </text>
    </comment>
    <comment ref="G125" authorId="0" shapeId="0" xr:uid="{F8424718-57DC-44CE-BC52-6A4AC315F13A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120</t>
        </r>
      </text>
    </comment>
    <comment ref="G134" authorId="0" shapeId="0" xr:uid="{93683D2A-C1EA-4444-A923-347B1EEB6B41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8500*TELA</t>
        </r>
      </text>
    </comment>
    <comment ref="A153" authorId="0" shapeId="0" xr:uid="{D96B0F42-05F0-4361-8851-1C2CAAC127BD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4500
</t>
        </r>
      </text>
    </comment>
    <comment ref="B155" authorId="0" shapeId="0" xr:uid="{B3AF02A1-F5FA-4437-AA57-6D8F94B68560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3000
3500
4000
</t>
        </r>
      </text>
    </comment>
    <comment ref="G155" authorId="0" shapeId="0" xr:uid="{04437784-525C-441C-9F94-EB6EE2FDB3D5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13000*1,8</t>
        </r>
      </text>
    </comment>
    <comment ref="B156" authorId="0" shapeId="0" xr:uid="{5D22F837-E1E9-4B9B-9F11-E9C037F10738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1000
</t>
        </r>
      </text>
    </comment>
    <comment ref="A170" authorId="0" shapeId="0" xr:uid="{B5B5FF92-2C5A-43D5-B840-92AE0FCDFA5A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10000</t>
        </r>
      </text>
    </comment>
    <comment ref="A171" authorId="0" shapeId="0" xr:uid="{A591D4BD-6270-4916-BBAF-BB335D5CA5D9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2800</t>
        </r>
      </text>
    </comment>
    <comment ref="A172" authorId="0" shapeId="0" xr:uid="{5D3F75D4-1D22-473A-A475-3A67EE981931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3000
</t>
        </r>
      </text>
    </comment>
    <comment ref="A187" authorId="0" shapeId="0" xr:uid="{CF23EE95-D5C9-49DF-BF8C-DDC31D7C30DA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4000
3500
2500</t>
        </r>
      </text>
    </comment>
    <comment ref="A190" authorId="0" shapeId="0" xr:uid="{EE4C83DD-2B68-4391-B1DF-3323A5E77B57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1500</t>
        </r>
      </text>
    </comment>
    <comment ref="A202" authorId="0" shapeId="0" xr:uid="{2A91AF4C-B3C9-45F7-9ABB-29B2D5C478B7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3000</t>
        </r>
      </text>
    </comment>
    <comment ref="D202" authorId="0" shapeId="0" xr:uid="{4860AB14-1BC3-4723-B5CF-A93EB3653BE8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2500
</t>
        </r>
      </text>
    </comment>
    <comment ref="D203" authorId="0" shapeId="0" xr:uid="{0BA6D5E2-5ABC-4990-B187-B445B84F6B09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15000/20</t>
        </r>
      </text>
    </comment>
    <comment ref="E203" authorId="0" shapeId="0" xr:uid="{9CE96DB5-9302-4123-80E2-B1992494C580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=15000*0,3/3
=15000*0,3/4</t>
        </r>
      </text>
    </comment>
    <comment ref="F203" authorId="0" shapeId="0" xr:uid="{0FE33A1C-3EF5-4077-A31F-7C896367F7F5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=15000/6   
=15000/4</t>
        </r>
      </text>
    </comment>
    <comment ref="G203" authorId="0" shapeId="0" xr:uid="{B0B582F4-16B8-466F-9AE8-56BAEC818229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=15000/1,5</t>
        </r>
      </text>
    </comment>
    <comment ref="H204" authorId="0" shapeId="0" xr:uid="{77FDD31B-DABA-4F11-9E72-9C06386621AC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3000-4000
20*20   2500</t>
        </r>
      </text>
    </comment>
    <comment ref="A217" authorId="0" shapeId="0" xr:uid="{00E5A9F9-36E5-4C9E-948E-F8B50DA41D07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4000 - 4500</t>
        </r>
      </text>
    </comment>
    <comment ref="B219" authorId="0" shapeId="0" xr:uid="{6865A4EE-63EA-4D4D-A4BC-473877B8286D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3000</t>
        </r>
      </text>
    </comment>
    <comment ref="C219" authorId="0" shapeId="0" xr:uid="{1095E237-55A0-41B2-A342-4725BEC54B9F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4000</t>
        </r>
      </text>
    </comment>
    <comment ref="B220" authorId="0" shapeId="0" xr:uid="{2BB1AC1C-4473-4839-80A2-C72B2BDC6E62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1000</t>
        </r>
      </text>
    </comment>
    <comment ref="A222" authorId="0" shapeId="0" xr:uid="{4197C756-46CA-4600-A30A-C22FC4A1D815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6000</t>
        </r>
      </text>
    </comment>
    <comment ref="B233" authorId="0" shapeId="0" xr:uid="{54C3038F-95DA-4C3B-91A3-52804D7500E3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500</t>
        </r>
      </text>
    </comment>
    <comment ref="G234" authorId="0" shapeId="0" xr:uid="{1324E56D-1006-468F-8CD7-A10BF544EB38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13000*TOTAL TELA</t>
        </r>
      </text>
    </comment>
    <comment ref="B247" authorId="0" shapeId="0" xr:uid="{AE33CC4B-9CF1-452A-8436-459FC2BB865F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B262" authorId="0" shapeId="0" xr:uid="{E354DC0B-D59C-4747-9F8A-C68663369B15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3500</t>
        </r>
      </text>
    </comment>
    <comment ref="A277" authorId="0" shapeId="0" xr:uid="{73EE89F9-AADF-499F-A2B4-5D5E32A798FA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2000 - 2500</t>
        </r>
      </text>
    </comment>
    <comment ref="G277" authorId="0" shapeId="0" xr:uid="{F4767A96-2729-4C26-ADA6-EFC9A10EA20D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11000*TELA</t>
        </r>
      </text>
    </comment>
    <comment ref="A278" authorId="0" shapeId="0" xr:uid="{980A2896-F5B6-47AD-A420-8A5134980A37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1000</t>
        </r>
      </text>
    </comment>
    <comment ref="A279" authorId="0" shapeId="0" xr:uid="{2F64AB73-685D-4E9D-A594-80D5A02548E4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800</t>
        </r>
      </text>
    </comment>
    <comment ref="B281" authorId="0" shapeId="0" xr:uid="{4D3D2926-CF93-4BBF-892A-D449A62D7173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3000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Longevo</author>
  </authors>
  <commentList>
    <comment ref="E37" authorId="0" shapeId="0" xr:uid="{ECA70C21-967E-4843-AD88-FB4BE073595B}">
      <text>
        <r>
          <rPr>
            <b/>
            <sz val="9"/>
            <color indexed="81"/>
            <rFont val="Tahoma"/>
            <family val="2"/>
          </rPr>
          <t>Longevo:</t>
        </r>
        <r>
          <rPr>
            <sz val="9"/>
            <color indexed="81"/>
            <rFont val="Tahoma"/>
            <family val="2"/>
          </rPr>
          <t xml:space="preserve">
1,80 dicto neyci pero la bd tiene 2,3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706365-22C7-4A68-B069-9D1923382D99}" name="Consulta - Abonos" description="Conexión a la consulta 'Abonos' en el libro." type="100" refreshedVersion="8" minRefreshableVersion="5">
    <extLst>
      <ext xmlns:x15="http://schemas.microsoft.com/office/spreadsheetml/2010/11/main" uri="{DE250136-89BD-433C-8126-D09CA5730AF9}">
        <x15:connection id="a486d1e2-93cb-4be6-b7fb-524111f6956b">
          <x15:oledbPr connection="Provider=Microsoft.Mashup.OleDb.1;Data Source=$Workbook$;Location=Abonos;Extended Properties=&quot;&quot;">
            <x15:dbTables>
              <x15:dbTable name="Abonos"/>
            </x15:dbTables>
          </x15:oledbPr>
        </x15:connection>
      </ext>
    </extLst>
  </connection>
  <connection id="2" xr16:uid="{4D452521-3F2B-4111-9812-780678A53FC5}" name="Consulta - Dim_Actividad" description="Conexión a la consulta 'Dim_Actividad' en el libro." type="100" refreshedVersion="8" minRefreshableVersion="5">
    <extLst>
      <ext xmlns:x15="http://schemas.microsoft.com/office/spreadsheetml/2010/11/main" uri="{DE250136-89BD-433C-8126-D09CA5730AF9}">
        <x15:connection id="f69f812d-ae49-42ac-9580-d0e492e56263">
          <x15:oledbPr connection="Provider=Microsoft.Mashup.OleDb.1;Data Source=$Workbook$;Location=Dim_Actividad;Extended Properties=&quot;&quot;">
            <x15:dbTables>
              <x15:dbTable name="Dim_Actividad"/>
            </x15:dbTables>
          </x15:oledbPr>
        </x15:connection>
      </ext>
    </extLst>
  </connection>
  <connection id="3" xr16:uid="{3061C54F-95F9-43D7-A790-0ABDCB9F726F}" name="Consulta - Dim_Disenno" description="Conexión a la consulta 'Dim_Disenno' en el libro." type="100" refreshedVersion="8" minRefreshableVersion="5">
    <extLst>
      <ext xmlns:x15="http://schemas.microsoft.com/office/spreadsheetml/2010/11/main" uri="{DE250136-89BD-433C-8126-D09CA5730AF9}">
        <x15:connection id="53df9e8e-a251-4579-8c47-40be78a00596"/>
      </ext>
    </extLst>
  </connection>
  <connection id="4" xr16:uid="{5767CFFF-AA7D-465F-A99C-30871D0F8E5E}" name="Consulta - Dim_Producto" description="Conexión a la consulta 'Dim_Producto' en el libro." type="100" refreshedVersion="8" minRefreshableVersion="5">
    <extLst>
      <ext xmlns:x15="http://schemas.microsoft.com/office/spreadsheetml/2010/11/main" uri="{DE250136-89BD-433C-8126-D09CA5730AF9}">
        <x15:connection id="baf26c0e-652f-4349-b34a-3642ce322368">
          <x15:oledbPr connection="Provider=Microsoft.Mashup.OleDb.1;Data Source=$Workbook$;Location=Dim_Producto;Extended Properties=&quot;&quot;">
            <x15:dbTables>
              <x15:dbTable name="Dim_Producto"/>
            </x15:dbTables>
          </x15:oledbPr>
        </x15:connection>
      </ext>
    </extLst>
  </connection>
  <connection id="5" xr16:uid="{6A0EE6FA-CB06-45AA-9CA7-5BBE50119B4A}" name="Consulta - dim_Tecnica" description="Conexión a la consulta 'dim_Tecnica' en el libro." type="100" refreshedVersion="8" minRefreshableVersion="5">
    <extLst>
      <ext xmlns:x15="http://schemas.microsoft.com/office/spreadsheetml/2010/11/main" uri="{DE250136-89BD-433C-8126-D09CA5730AF9}">
        <x15:connection id="545d0d3f-c579-4f82-a029-b103033e86f3">
          <x15:oledbPr connection="Provider=Microsoft.Mashup.OleDb.1;Data Source=$Workbook$;Location=dim_Tecnica;Extended Properties=&quot;&quot;">
            <x15:dbTables>
              <x15:dbTable name="dim_Tecnica"/>
            </x15:dbTables>
          </x15:oledbPr>
        </x15:connection>
      </ext>
    </extLst>
  </connection>
  <connection id="6" xr16:uid="{2CB2E760-EE17-4966-BC80-C1A6E79EC3F6}" name="Consulta - dim_variante" description="Conexión a la consulta 'dim_variante' en el libro." type="100" refreshedVersion="8" minRefreshableVersion="5">
    <extLst>
      <ext xmlns:x15="http://schemas.microsoft.com/office/spreadsheetml/2010/11/main" uri="{DE250136-89BD-433C-8126-D09CA5730AF9}">
        <x15:connection id="94617087-c34f-4272-85f4-2d46890e12c3">
          <x15:oledbPr connection="Provider=Microsoft.Mashup.OleDb.1;Data Source=$Workbook$;Location=dim_variante;Extended Properties=&quot;&quot;">
            <x15:dbTables>
              <x15:dbTable name="dim_variante"/>
            </x15:dbTables>
          </x15:oledbPr>
        </x15:connection>
      </ext>
    </extLst>
  </connection>
  <connection id="7" xr16:uid="{7ACE656A-D28F-4494-B892-EFCDA12A6459}" keepAlive="1" name="Consulta - dim_Vol_pedido" description="Conexión a la consulta 'dim_Vol_pedido' en el libro." type="5" refreshedVersion="0" background="1">
    <dbPr connection="Provider=Microsoft.Mashup.OleDb.1;Data Source=$Workbook$;Location=dim_Vol_pedido;Extended Properties=&quot;&quot;" command="SELECT * FROM [dim_Vol_pedido]"/>
  </connection>
  <connection id="8" xr16:uid="{1862803A-FE02-413C-974C-E7FC1E6C7139}" name="Consulta - Hechos_Ingresos" description="Conexión a la consulta 'Hechos_Ingresos' en el libro." type="100" refreshedVersion="8" minRefreshableVersion="5">
    <extLst>
      <ext xmlns:x15="http://schemas.microsoft.com/office/spreadsheetml/2010/11/main" uri="{DE250136-89BD-433C-8126-D09CA5730AF9}">
        <x15:connection id="4c8f8079-e9bf-4f6f-be8b-093fb19c05a7">
          <x15:oledbPr connection="Provider=Microsoft.Mashup.OleDb.1;Data Source=$Workbook$;Location=Hechos_Ingresos;Extended Properties=&quot;&quot;">
            <x15:dbTables>
              <x15:dbTable name="Hechos_Ingresos"/>
            </x15:dbTables>
          </x15:oledbPr>
        </x15:connection>
      </ext>
    </extLst>
  </connection>
  <connection id="9" xr16:uid="{0C10999E-8415-418B-88DD-81C7F16D58A1}" name="Consulta - HechosInventario" description="Conexión a la consulta 'HechosInventario' en el libro." type="100" refreshedVersion="8" minRefreshableVersion="5">
    <extLst>
      <ext xmlns:x15="http://schemas.microsoft.com/office/spreadsheetml/2010/11/main" uri="{DE250136-89BD-433C-8126-D09CA5730AF9}">
        <x15:connection id="e96f2b9c-7f0e-4d42-92a0-1927dc7c18fe">
          <x15:oledbPr connection="Provider=Microsoft.Mashup.OleDb.1;Data Source=$Workbook$;Location=HechosInventario;Extended Properties=&quot;&quot;">
            <x15:dbTables>
              <x15:dbTable name="HechosInventario"/>
            </x15:dbTables>
          </x15:oledbPr>
        </x15:connection>
      </ext>
    </extLst>
  </connection>
  <connection id="10" xr16:uid="{D6927B16-FDA0-4469-9424-32119E803567}" keepAlive="1" name="Consulta - Tabla4 (3)" description="Conexión a la consulta 'Tabla4 (3)' en el libro." type="5" refreshedVersion="8" background="1" saveData="1">
    <dbPr connection="Provider=Microsoft.Mashup.OleDb.1;Data Source=$Workbook$;Location=&quot;Tabla4 (3)&quot;;Extended Properties=&quot;&quot;" command="SELECT * FROM [Tabla4 (3)]"/>
  </connection>
  <connection id="11" xr16:uid="{97DDE6EF-4545-4A19-B1E4-D3E3E10B84AC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2" xr16:uid="{105D9063-F431-4B0B-8DBE-01A0F7856EE4}" name="WorksheetConnection_Propuesta.xlsx!dim_Vol_Compra" type="102" refreshedVersion="8" minRefreshableVersion="5">
    <extLst>
      <ext xmlns:x15="http://schemas.microsoft.com/office/spreadsheetml/2010/11/main" uri="{DE250136-89BD-433C-8126-D09CA5730AF9}">
        <x15:connection id="dim_Vol_Compra">
          <x15:rangePr sourceName="_xlcn.WorksheetConnection_Propuesta.xlsxdim_Vol_Compra"/>
        </x15:connection>
      </ext>
    </extLst>
  </connection>
  <connection id="13" xr16:uid="{6AE2F8CC-8B79-4B2E-80FC-9B8115E6AAEF}" name="WorksheetConnection_Propuesta.xlsx!DimTienda" type="102" refreshedVersion="8" minRefreshableVersion="5">
    <extLst>
      <ext xmlns:x15="http://schemas.microsoft.com/office/spreadsheetml/2010/11/main" uri="{DE250136-89BD-433C-8126-D09CA5730AF9}">
        <x15:connection id="DimTienda">
          <x15:rangePr sourceName="_xlcn.WorksheetConnection_Propuesta.xlsxDimTienda"/>
        </x15:connection>
      </ext>
    </extLst>
  </connection>
  <connection id="14" xr16:uid="{2FD21C3A-EA4A-49E5-862C-935A30DAB3C9}" name="WorksheetConnection_Propuesta.xlsx!HechosInventario" type="102" refreshedVersion="8" minRefreshableVersion="5">
    <extLst>
      <ext xmlns:x15="http://schemas.microsoft.com/office/spreadsheetml/2010/11/main" uri="{DE250136-89BD-433C-8126-D09CA5730AF9}">
        <x15:connection id="HechosInventario">
          <x15:rangePr sourceName="_xlcn.WorksheetConnection_Propuesta.xlsxHechosInventario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<sst xmlns="http://schemas.openxmlformats.org/spreadsheetml/2006/main" count="2661" uniqueCount="1038">
  <si>
    <t>Nombre</t>
  </si>
  <si>
    <t>Categoría</t>
  </si>
  <si>
    <t>Subcategoría</t>
  </si>
  <si>
    <t>Ropa Deportiva</t>
  </si>
  <si>
    <t>Franelas</t>
  </si>
  <si>
    <t>Camisetas</t>
  </si>
  <si>
    <t>Suéteres</t>
  </si>
  <si>
    <t>Pantalones</t>
  </si>
  <si>
    <t>Accesorios</t>
  </si>
  <si>
    <t>Deportivos</t>
  </si>
  <si>
    <t>Chalecos</t>
  </si>
  <si>
    <t>Hogar</t>
  </si>
  <si>
    <t>Chaquetas</t>
  </si>
  <si>
    <t>Uniformes</t>
  </si>
  <si>
    <t>Promocionales</t>
  </si>
  <si>
    <t>Ropa Casual</t>
  </si>
  <si>
    <t>Ropa Laboral</t>
  </si>
  <si>
    <t>ID_Material</t>
  </si>
  <si>
    <t>Nombre_Material</t>
  </si>
  <si>
    <t>Proveedor</t>
  </si>
  <si>
    <t>Stock_Minimo</t>
  </si>
  <si>
    <t>Tela Muselina</t>
  </si>
  <si>
    <t>m²</t>
  </si>
  <si>
    <t>Proveedor A</t>
  </si>
  <si>
    <t>Proveedor C</t>
  </si>
  <si>
    <t>Tela Terry</t>
  </si>
  <si>
    <t>Proveedor D</t>
  </si>
  <si>
    <t>Tela Mono</t>
  </si>
  <si>
    <t>Proveedor E</t>
  </si>
  <si>
    <t>Proveedor F</t>
  </si>
  <si>
    <t>Tela Memory</t>
  </si>
  <si>
    <t>Proveedor G</t>
  </si>
  <si>
    <t>Hilo</t>
  </si>
  <si>
    <t>Proveedor H</t>
  </si>
  <si>
    <t>unidad</t>
  </si>
  <si>
    <t>Proveedor I</t>
  </si>
  <si>
    <t>Proveedor J</t>
  </si>
  <si>
    <t>Etiquetas</t>
  </si>
  <si>
    <t>Proveedor K</t>
  </si>
  <si>
    <t>Proveedor M</t>
  </si>
  <si>
    <t>Cordon</t>
  </si>
  <si>
    <t>Proveedor N</t>
  </si>
  <si>
    <t>Unidad</t>
  </si>
  <si>
    <t>Color_Material</t>
  </si>
  <si>
    <t>Sublimación</t>
  </si>
  <si>
    <t>Bordado</t>
  </si>
  <si>
    <t>Confección bolsillos</t>
  </si>
  <si>
    <t>Colocación cierres</t>
  </si>
  <si>
    <t>Gastos Operativos</t>
  </si>
  <si>
    <t>Fecha</t>
  </si>
  <si>
    <t>ID_Actividad</t>
  </si>
  <si>
    <t>Tipo</t>
  </si>
  <si>
    <t>Nombre_Actividad</t>
  </si>
  <si>
    <t>Operación</t>
  </si>
  <si>
    <t>Principal</t>
  </si>
  <si>
    <t>Sucursal</t>
  </si>
  <si>
    <t>Id_tienda</t>
  </si>
  <si>
    <t>Tipo_tienda</t>
  </si>
  <si>
    <t>Nombre_Tienda</t>
  </si>
  <si>
    <t>NJ STORE</t>
  </si>
  <si>
    <t>NJ SPORT</t>
  </si>
  <si>
    <t>id_actividad</t>
  </si>
  <si>
    <t>Vinilado</t>
  </si>
  <si>
    <t>Sublimado</t>
  </si>
  <si>
    <t>técnica</t>
  </si>
  <si>
    <t>descripción</t>
  </si>
  <si>
    <t>Niño</t>
  </si>
  <si>
    <t>Dama</t>
  </si>
  <si>
    <t>Caballero</t>
  </si>
  <si>
    <t>Plus</t>
  </si>
  <si>
    <t>id_costo</t>
  </si>
  <si>
    <t>id_tipo_precio</t>
  </si>
  <si>
    <t>costo_unitario</t>
  </si>
  <si>
    <t>Genérico (todos)</t>
  </si>
  <si>
    <t>Detal</t>
  </si>
  <si>
    <t>Mayor +1000</t>
  </si>
  <si>
    <t>Docena +12</t>
  </si>
  <si>
    <t>Volumen_Compra</t>
  </si>
  <si>
    <t>Jennyfer Fajardo</t>
  </si>
  <si>
    <t>TALLA</t>
  </si>
  <si>
    <t>TECNICA</t>
  </si>
  <si>
    <t>BORDADO</t>
  </si>
  <si>
    <t>Manga corta</t>
  </si>
  <si>
    <t>Manga larga</t>
  </si>
  <si>
    <t>Con gorro</t>
  </si>
  <si>
    <t>Con bolsillos</t>
  </si>
  <si>
    <t>id_variante</t>
  </si>
  <si>
    <t>DimTienda</t>
  </si>
  <si>
    <t>Dim_Actividad</t>
  </si>
  <si>
    <t>Unica</t>
  </si>
  <si>
    <t>Cuello Mao</t>
  </si>
  <si>
    <t>Cuello camisa</t>
  </si>
  <si>
    <t>Cuello Chemise</t>
  </si>
  <si>
    <t>Broches</t>
  </si>
  <si>
    <t>VC001</t>
  </si>
  <si>
    <t>VC002</t>
  </si>
  <si>
    <t>VC003</t>
  </si>
  <si>
    <t>Producto</t>
  </si>
  <si>
    <t>Talla</t>
  </si>
  <si>
    <t>Técnica base</t>
  </si>
  <si>
    <t>Actividad relacionada</t>
  </si>
  <si>
    <t>Observación</t>
  </si>
  <si>
    <t>VINIL</t>
  </si>
  <si>
    <t>-</t>
  </si>
  <si>
    <t>Según tamaño</t>
  </si>
  <si>
    <t>CORTE DEL PLOTTER</t>
  </si>
  <si>
    <t>DISEÑO</t>
  </si>
  <si>
    <t>Tamaño específico</t>
  </si>
  <si>
    <t>mapeo_tecnica_actividades</t>
  </si>
  <si>
    <t>Bandanas</t>
  </si>
  <si>
    <t>Bolsas Ecológicas</t>
  </si>
  <si>
    <t>Buzos</t>
  </si>
  <si>
    <t>Camisas</t>
  </si>
  <si>
    <t>Ropa Formal</t>
  </si>
  <si>
    <t>Cortavientos</t>
  </si>
  <si>
    <t>Delantales</t>
  </si>
  <si>
    <t>Franelillas</t>
  </si>
  <si>
    <t>Gorras</t>
  </si>
  <si>
    <t>Hoodies</t>
  </si>
  <si>
    <t>Shorts</t>
  </si>
  <si>
    <t>Tazas</t>
  </si>
  <si>
    <t>Viseras</t>
  </si>
  <si>
    <t>Inicio</t>
  </si>
  <si>
    <t>Código Interno</t>
  </si>
  <si>
    <t>Distribuidor</t>
  </si>
  <si>
    <t>Unidad Medida</t>
  </si>
  <si>
    <t>Coste Estándar sin IVA</t>
  </si>
  <si>
    <t>Dis01</t>
  </si>
  <si>
    <t>Dis02</t>
  </si>
  <si>
    <t>Dis03</t>
  </si>
  <si>
    <t>Costos de Materias Primas</t>
  </si>
  <si>
    <t>INICIO</t>
  </si>
  <si>
    <t>Productos</t>
  </si>
  <si>
    <t>Año de análisis</t>
  </si>
  <si>
    <t>Costes del personal</t>
  </si>
  <si>
    <t>Gastos generales</t>
  </si>
  <si>
    <t>Análisis de Resultados</t>
  </si>
  <si>
    <t>Cuenta de Resultados por categorías</t>
  </si>
  <si>
    <t>VER</t>
  </si>
  <si>
    <t>Sistema ERP Textil NJ STORE</t>
  </si>
  <si>
    <t>Producción</t>
  </si>
  <si>
    <t>Ordenes de producción, procesos por prenda, seguimiento de lotes, tiempos de costura</t>
  </si>
  <si>
    <t>Compras</t>
  </si>
  <si>
    <t>Proveedores, órdenes de compra de tela, hilos, insumos</t>
  </si>
  <si>
    <t>Ventas</t>
  </si>
  <si>
    <t>Facturación, pedidos de clientes, historial de ventas</t>
  </si>
  <si>
    <t>Costos</t>
  </si>
  <si>
    <t>Escandallos, estructura de costos por prenda, márgenes</t>
  </si>
  <si>
    <t>Clientes / CRM</t>
  </si>
  <si>
    <t>Datos de clientes, cotizaciones, historial de atención</t>
  </si>
  <si>
    <t>Presupuestos</t>
  </si>
  <si>
    <t>Contabilidad / Finanzas</t>
  </si>
  <si>
    <t>Control de ingresos, egresos, flujo de caja, reportes</t>
  </si>
  <si>
    <t>Inventario</t>
  </si>
  <si>
    <t>P-01</t>
  </si>
  <si>
    <t>P-02</t>
  </si>
  <si>
    <t>P-03</t>
  </si>
  <si>
    <t>P-04</t>
  </si>
  <si>
    <t>P-05</t>
  </si>
  <si>
    <t>P-06</t>
  </si>
  <si>
    <t>P-07</t>
  </si>
  <si>
    <t>P-08</t>
  </si>
  <si>
    <t>P-09</t>
  </si>
  <si>
    <t>P-10</t>
  </si>
  <si>
    <t>P-11</t>
  </si>
  <si>
    <t>P-12</t>
  </si>
  <si>
    <t>P-13</t>
  </si>
  <si>
    <t>P-14</t>
  </si>
  <si>
    <t>P-15</t>
  </si>
  <si>
    <t>P-16</t>
  </si>
  <si>
    <t>P-17</t>
  </si>
  <si>
    <t>P-18</t>
  </si>
  <si>
    <t>Codigo_Producto</t>
  </si>
  <si>
    <t>Entradas</t>
  </si>
  <si>
    <t>Salidas</t>
  </si>
  <si>
    <t>Mat-01</t>
  </si>
  <si>
    <t>Mat-02</t>
  </si>
  <si>
    <t>Mat-03</t>
  </si>
  <si>
    <t>Mat-04</t>
  </si>
  <si>
    <t>Mat-05</t>
  </si>
  <si>
    <t>Mat-06</t>
  </si>
  <si>
    <t>Mat-07</t>
  </si>
  <si>
    <t>Mat-08</t>
  </si>
  <si>
    <t>Mat-09</t>
  </si>
  <si>
    <t>Mat-10</t>
  </si>
  <si>
    <t>Mat-11</t>
  </si>
  <si>
    <t>Mat-12</t>
  </si>
  <si>
    <t>Mat-13</t>
  </si>
  <si>
    <t>Mat-14</t>
  </si>
  <si>
    <t>Mat-15</t>
  </si>
  <si>
    <t>Mat-16</t>
  </si>
  <si>
    <t>Mat-17</t>
  </si>
  <si>
    <t>Stock_Actual2</t>
  </si>
  <si>
    <t>Ubicación Actual</t>
  </si>
  <si>
    <t>Valor_Stock</t>
  </si>
  <si>
    <t>Act-02</t>
  </si>
  <si>
    <t>Act-03</t>
  </si>
  <si>
    <t>Act-04</t>
  </si>
  <si>
    <t>Act-06</t>
  </si>
  <si>
    <t>Act-07</t>
  </si>
  <si>
    <t>Act-08</t>
  </si>
  <si>
    <t>Act-09</t>
  </si>
  <si>
    <t>Act-10</t>
  </si>
  <si>
    <t>Act-11</t>
  </si>
  <si>
    <t>Id_Tecnica</t>
  </si>
  <si>
    <t>Tec-01</t>
  </si>
  <si>
    <t>Tec-02</t>
  </si>
  <si>
    <t>Tec-03</t>
  </si>
  <si>
    <t>Tec-04</t>
  </si>
  <si>
    <t>Tec-05</t>
  </si>
  <si>
    <t>DTF</t>
  </si>
  <si>
    <t>Tall-01</t>
  </si>
  <si>
    <t>Tall-02</t>
  </si>
  <si>
    <t>Tall-03</t>
  </si>
  <si>
    <t>Tall-04</t>
  </si>
  <si>
    <t>Tall-05</t>
  </si>
  <si>
    <t>Dim_Tecnica</t>
  </si>
  <si>
    <t>Familia Compras</t>
  </si>
  <si>
    <t>Produccion</t>
  </si>
  <si>
    <t>Comanda</t>
  </si>
  <si>
    <t xml:space="preserve">FECHA </t>
  </si>
  <si>
    <t xml:space="preserve">CLIENTE </t>
  </si>
  <si>
    <t>Telefóno</t>
  </si>
  <si>
    <t xml:space="preserve">DESCRIPCION </t>
  </si>
  <si>
    <t xml:space="preserve">TOTAL </t>
  </si>
  <si>
    <t xml:space="preserve">ABONO </t>
  </si>
  <si>
    <t xml:space="preserve">RESTA </t>
  </si>
  <si>
    <t>Luis Hernández Circulo Árbitros</t>
  </si>
  <si>
    <t>426-5732420</t>
  </si>
  <si>
    <t>C.V</t>
  </si>
  <si>
    <t>Humberto Angelucci</t>
  </si>
  <si>
    <t>0414-7060295</t>
  </si>
  <si>
    <t xml:space="preserve">camisas-franelas </t>
  </si>
  <si>
    <t xml:space="preserve">pago </t>
  </si>
  <si>
    <t>Estatus</t>
  </si>
  <si>
    <t>Abono</t>
  </si>
  <si>
    <t>Coomanda</t>
  </si>
  <si>
    <t>TipodePago</t>
  </si>
  <si>
    <t>Guillermo Trio Shop</t>
  </si>
  <si>
    <t>Ingrid Sánchez BMJA Exprica</t>
  </si>
  <si>
    <t xml:space="preserve">mary </t>
  </si>
  <si>
    <t>mary andrea</t>
  </si>
  <si>
    <t>Kike Marta</t>
  </si>
  <si>
    <t>Morgan</t>
  </si>
  <si>
    <t>hermana regal</t>
  </si>
  <si>
    <t>Regal Brother</t>
  </si>
  <si>
    <t>Jorge Tachira Kids</t>
  </si>
  <si>
    <t xml:space="preserve">yolanda </t>
  </si>
  <si>
    <t>nicole (elky)</t>
  </si>
  <si>
    <t>amiga carlos</t>
  </si>
  <si>
    <t>Delma Medina Brothers</t>
  </si>
  <si>
    <t>juan carlos ciclista</t>
  </si>
  <si>
    <t>Andreina Silva</t>
  </si>
  <si>
    <t>maria diaz</t>
  </si>
  <si>
    <t xml:space="preserve">Hs vidrios </t>
  </si>
  <si>
    <t>Ana Muñoz Cristianos UCAT</t>
  </si>
  <si>
    <t>Maybel duran</t>
  </si>
  <si>
    <t>Yonan Edgardo Misión Nevado</t>
  </si>
  <si>
    <t xml:space="preserve">yail (franela verde) </t>
  </si>
  <si>
    <t xml:space="preserve">Robert (franelas micro) </t>
  </si>
  <si>
    <t>Darline franelas Bolas criollas</t>
  </si>
  <si>
    <t>Joselo Rey Brothers</t>
  </si>
  <si>
    <t>Andreina A&amp;M</t>
  </si>
  <si>
    <t>Jennyfer Fajardo Camisas Rosiris</t>
  </si>
  <si>
    <t>Maria Fernanda Franelillas Voleibol</t>
  </si>
  <si>
    <t>Karina Mendez Bordados Camisas</t>
  </si>
  <si>
    <t xml:space="preserve"> Cliente</t>
  </si>
  <si>
    <t>0414-7079491</t>
  </si>
  <si>
    <t>chemises</t>
  </si>
  <si>
    <t>424-7201889</t>
  </si>
  <si>
    <t xml:space="preserve">franelillas </t>
  </si>
  <si>
    <t>franelas</t>
  </si>
  <si>
    <t>c.v</t>
  </si>
  <si>
    <t>+58 424-7655887</t>
  </si>
  <si>
    <t>franela</t>
  </si>
  <si>
    <t>0414-3763857</t>
  </si>
  <si>
    <t>franela cuella mao</t>
  </si>
  <si>
    <t>franelas deportivas</t>
  </si>
  <si>
    <t>+58 412-0698346</t>
  </si>
  <si>
    <t>0414-7083689</t>
  </si>
  <si>
    <t xml:space="preserve">bordado </t>
  </si>
  <si>
    <t>franelas talla L/C</t>
  </si>
  <si>
    <t>vinil plateado</t>
  </si>
  <si>
    <t>0424-7079729</t>
  </si>
  <si>
    <t>BROTHERS</t>
  </si>
  <si>
    <t xml:space="preserve">buzos sublimados </t>
  </si>
  <si>
    <t>+58 414-7006805</t>
  </si>
  <si>
    <t xml:space="preserve">franelillas Coral </t>
  </si>
  <si>
    <t xml:space="preserve">Labrador Buzos </t>
  </si>
  <si>
    <t xml:space="preserve">franelas </t>
  </si>
  <si>
    <t>426-5773806</t>
  </si>
  <si>
    <t>04 Franelas personalizadas cervezada UCAT</t>
  </si>
  <si>
    <t>0412-7864485</t>
  </si>
  <si>
    <t>C.V. y Gorras de Freddy Cumple</t>
  </si>
  <si>
    <t>Juan Niño</t>
  </si>
  <si>
    <t>+58 424-7746199</t>
  </si>
  <si>
    <t>Franelas tema difunto</t>
  </si>
  <si>
    <t xml:space="preserve">Ureña </t>
  </si>
  <si>
    <t>424-7320208</t>
  </si>
  <si>
    <t>10 Franelas + 10 Viseras bolas criollas</t>
  </si>
  <si>
    <t>2 GORRAS 1T/S DAMA + 3 FRANELAS perros
+1C.V perro</t>
  </si>
  <si>
    <t>424-5013205</t>
  </si>
  <si>
    <t xml:space="preserve">1 negra + 1 verde T/S cab. </t>
  </si>
  <si>
    <t>0414-9763931</t>
  </si>
  <si>
    <t xml:space="preserve">1 franela blanca </t>
  </si>
  <si>
    <t xml:space="preserve">franelas drifit basicas </t>
  </si>
  <si>
    <t>424-7005119</t>
  </si>
  <si>
    <t>13 camisas y 12 gorras</t>
  </si>
  <si>
    <t>424-7405819</t>
  </si>
  <si>
    <t>Franelas y franelillas (aún por confimar la cantidad)</t>
  </si>
  <si>
    <t>414-0761310</t>
  </si>
  <si>
    <t>13 bordados a prendas que trajo el cliente</t>
  </si>
  <si>
    <t>otros</t>
  </si>
  <si>
    <t>Tela Dri Fit</t>
  </si>
  <si>
    <t>Tela Micro perforada</t>
  </si>
  <si>
    <t>Tela Atlética</t>
  </si>
  <si>
    <t>Tela Oxford</t>
  </si>
  <si>
    <t>Tela Columbia</t>
  </si>
  <si>
    <t>Tela Algodón egipcio</t>
  </si>
  <si>
    <t>Tela North face</t>
  </si>
  <si>
    <t>Tela Gabardina</t>
  </si>
  <si>
    <t>Tela LaCoste</t>
  </si>
  <si>
    <t>Tela Piqué armani</t>
  </si>
  <si>
    <t>Mat-18</t>
  </si>
  <si>
    <t>Mat-19</t>
  </si>
  <si>
    <t>Mat-20</t>
  </si>
  <si>
    <t>Mat-21</t>
  </si>
  <si>
    <t>Mat-22</t>
  </si>
  <si>
    <t>Mat-23</t>
  </si>
  <si>
    <t>Mat-24</t>
  </si>
  <si>
    <t>Mat-25</t>
  </si>
  <si>
    <t>Mat-26</t>
  </si>
  <si>
    <t>Mat-27</t>
  </si>
  <si>
    <t>Mat-28</t>
  </si>
  <si>
    <t>Mat-29</t>
  </si>
  <si>
    <t>Mat-30</t>
  </si>
  <si>
    <t>Mat-31</t>
  </si>
  <si>
    <t>Mat-32</t>
  </si>
  <si>
    <t>Mat-33</t>
  </si>
  <si>
    <t>Mat-34</t>
  </si>
  <si>
    <t>Mat-35</t>
  </si>
  <si>
    <t>Mat-36</t>
  </si>
  <si>
    <t>Mat-37</t>
  </si>
  <si>
    <t>Mat-38</t>
  </si>
  <si>
    <t>Abonos</t>
  </si>
  <si>
    <t>Chemis</t>
  </si>
  <si>
    <t>Chaqueta</t>
  </si>
  <si>
    <t>Chaleco</t>
  </si>
  <si>
    <t>Camisa</t>
  </si>
  <si>
    <t>tamaño del vinil</t>
  </si>
  <si>
    <t>textura</t>
  </si>
  <si>
    <t>vivil plano</t>
  </si>
  <si>
    <t>metalizado</t>
  </si>
  <si>
    <t>escarchado</t>
  </si>
  <si>
    <t>olografico</t>
  </si>
  <si>
    <t>mixto</t>
  </si>
  <si>
    <t>50cm de ancho aprobechables 48cm la merma es la maquina</t>
  </si>
  <si>
    <t>Reflectivo</t>
  </si>
  <si>
    <t>Sublimable</t>
  </si>
  <si>
    <t>tatami</t>
  </si>
  <si>
    <t>vinil textil + dtf</t>
  </si>
  <si>
    <t>todas las telas son sublimables</t>
  </si>
  <si>
    <t>chemise encoge 1cm por sublimacion</t>
  </si>
  <si>
    <t xml:space="preserve">se le da dos centimetros al patron </t>
  </si>
  <si>
    <t>diseño</t>
  </si>
  <si>
    <t>impresión</t>
  </si>
  <si>
    <t>corte de tela</t>
  </si>
  <si>
    <t>corte depapel</t>
  </si>
  <si>
    <t>planchado</t>
  </si>
  <si>
    <t>corte de excedente</t>
  </si>
  <si>
    <t>DIGITALIZACION</t>
  </si>
  <si>
    <t>9500 METRO DE IMORESION</t>
  </si>
  <si>
    <t>250 EL TALLAJE</t>
  </si>
  <si>
    <t>PEQUEÑA 800</t>
  </si>
  <si>
    <t>GRANDE 700</t>
  </si>
  <si>
    <t>830 DOLARES GASTOS</t>
  </si>
  <si>
    <t>Gastos operativos</t>
  </si>
  <si>
    <t>Botones + ojales</t>
  </si>
  <si>
    <t>cierre reflectivo</t>
  </si>
  <si>
    <t>cierre diente de perro</t>
  </si>
  <si>
    <t>Cierre Naylon</t>
  </si>
  <si>
    <t xml:space="preserve">Tela Algodón </t>
  </si>
  <si>
    <t>Portofino- Cucuta</t>
  </si>
  <si>
    <t>Castillo</t>
  </si>
  <si>
    <t>Tela Drill sahara</t>
  </si>
  <si>
    <t>Kilometro - cucuta</t>
  </si>
  <si>
    <t>Tela Licra super leggyn</t>
  </si>
  <si>
    <t>Tela Licra careoca</t>
  </si>
  <si>
    <t>Tela Licra eternity</t>
  </si>
  <si>
    <t>Tela Licra super pacyfic</t>
  </si>
  <si>
    <t>Tela Microfibra mundial</t>
  </si>
  <si>
    <t>Tela Tafeta iglú</t>
  </si>
  <si>
    <t>Tela Taslan olimpico</t>
  </si>
  <si>
    <t>Tela Taslan permusa</t>
  </si>
  <si>
    <t>Tela Mono hollister</t>
  </si>
  <si>
    <t>Tela Super Mono</t>
  </si>
  <si>
    <t>Mat-39</t>
  </si>
  <si>
    <t>Tela Microdurasno</t>
  </si>
  <si>
    <t>Mat-40</t>
  </si>
  <si>
    <t>Mat-41</t>
  </si>
  <si>
    <t>Mat-42</t>
  </si>
  <si>
    <t>Mat-43</t>
  </si>
  <si>
    <t>Mat-44</t>
  </si>
  <si>
    <t>Tela Malla forro</t>
  </si>
  <si>
    <t>Tela polar</t>
  </si>
  <si>
    <t>Tela neopreno</t>
  </si>
  <si>
    <t>Tela fashion mix spt</t>
  </si>
  <si>
    <t>Tela polo wafy</t>
  </si>
  <si>
    <t>Mat-45</t>
  </si>
  <si>
    <t>Compra de Materias Primas</t>
  </si>
  <si>
    <t>Mat-47</t>
  </si>
  <si>
    <t>Mat-48</t>
  </si>
  <si>
    <t>Mat-49</t>
  </si>
  <si>
    <t>Mat-50</t>
  </si>
  <si>
    <t>Mat-51</t>
  </si>
  <si>
    <t>9500 el metro</t>
  </si>
  <si>
    <t>Vinil metalizado</t>
  </si>
  <si>
    <t>Vinil escarchado</t>
  </si>
  <si>
    <t>Vinil olografico</t>
  </si>
  <si>
    <t>Vinil Reflectivo</t>
  </si>
  <si>
    <t>Vinil Sublimable</t>
  </si>
  <si>
    <t>Vinil tatami</t>
  </si>
  <si>
    <t>Vinil plano</t>
  </si>
  <si>
    <t>Tela malla maraton</t>
  </si>
  <si>
    <t>Tela qatar</t>
  </si>
  <si>
    <t>bs</t>
  </si>
  <si>
    <t>Moneda</t>
  </si>
  <si>
    <t>Cop</t>
  </si>
  <si>
    <t>Usd</t>
  </si>
  <si>
    <t>Dim_Producto</t>
  </si>
  <si>
    <t>Id_Segmento</t>
  </si>
  <si>
    <t>dim_variante</t>
  </si>
  <si>
    <r>
      <t>Dim_Tela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  <family val="2"/>
      </rPr>
      <t>Dim_Material</t>
    </r>
  </si>
  <si>
    <t>Catalogo de Materiales</t>
  </si>
  <si>
    <t>Descripción</t>
  </si>
  <si>
    <t>Tela</t>
  </si>
  <si>
    <t>Costo_Unitario_Detal</t>
  </si>
  <si>
    <t>Costo_Unitario_Mayor</t>
  </si>
  <si>
    <t>Genérico</t>
  </si>
  <si>
    <t>P-19</t>
  </si>
  <si>
    <t>Bolsa de arena</t>
  </si>
  <si>
    <t>P-20</t>
  </si>
  <si>
    <t>P-22</t>
  </si>
  <si>
    <t>P-23</t>
  </si>
  <si>
    <t>Chemis con uniones telas</t>
  </si>
  <si>
    <t>P-24</t>
  </si>
  <si>
    <t>Cojines</t>
  </si>
  <si>
    <t>P-25</t>
  </si>
  <si>
    <t>Falda short</t>
  </si>
  <si>
    <t>Faldas</t>
  </si>
  <si>
    <t>P-27</t>
  </si>
  <si>
    <t>Funda porta canillera S/C</t>
  </si>
  <si>
    <t>P-28</t>
  </si>
  <si>
    <t>Licra</t>
  </si>
  <si>
    <t>P-29</t>
  </si>
  <si>
    <t>Mono</t>
  </si>
  <si>
    <t>P-30</t>
  </si>
  <si>
    <t>Porta canilleras c/ corte</t>
  </si>
  <si>
    <t>P-31</t>
  </si>
  <si>
    <t>Protectores arqueros</t>
  </si>
  <si>
    <t>Top dama</t>
  </si>
  <si>
    <t>Velas sencilla</t>
  </si>
  <si>
    <t>Wall media</t>
  </si>
  <si>
    <t>P-XX (Falda short con bolsillo)</t>
  </si>
  <si>
    <t>P-XX (Porta canilleras c/corte)</t>
  </si>
  <si>
    <t>fact_costo_actividad_producto</t>
  </si>
  <si>
    <t>Costura</t>
  </si>
  <si>
    <t>Id_Tamano</t>
  </si>
  <si>
    <t>Nombre_Tamano</t>
  </si>
  <si>
    <t>TAM-01</t>
  </si>
  <si>
    <t>Vinil 15 cm</t>
  </si>
  <si>
    <t>TAM-02</t>
  </si>
  <si>
    <t>Vinil 20x20 cm</t>
  </si>
  <si>
    <t>TAM-03</t>
  </si>
  <si>
    <t>Sublimado Carta</t>
  </si>
  <si>
    <t>TAM-04</t>
  </si>
  <si>
    <t>Sublimado Oficio</t>
  </si>
  <si>
    <t>TAM-05</t>
  </si>
  <si>
    <t>TAM-06</t>
  </si>
  <si>
    <t>Sublimado Total</t>
  </si>
  <si>
    <t>Vinil Carta</t>
  </si>
  <si>
    <t>Vinil Oficio</t>
  </si>
  <si>
    <t>Vinil 25x30 cm</t>
  </si>
  <si>
    <t>TAM-07</t>
  </si>
  <si>
    <t>TAM-08</t>
  </si>
  <si>
    <t>TAM-09</t>
  </si>
  <si>
    <t>P-21</t>
  </si>
  <si>
    <t>P-26</t>
  </si>
  <si>
    <t>Suéter</t>
  </si>
  <si>
    <t>Cantidad_Tela_m²</t>
  </si>
  <si>
    <t>FECHA:</t>
  </si>
  <si>
    <t>NOMBRE:</t>
  </si>
  <si>
    <t>TEL:</t>
  </si>
  <si>
    <t>EMAIL:</t>
  </si>
  <si>
    <t>CANT</t>
  </si>
  <si>
    <t>DESCRIPCIÓN</t>
  </si>
  <si>
    <t>COSTO UNIT</t>
  </si>
  <si>
    <t>CONSIDERACIONES</t>
  </si>
  <si>
    <t>Términos y condiciones:
- SE REQUIERE UN ABONO DEL 60% DEL TOTAL, PARA DAR COMIENZO AL PROYECTO. 
- EL PRECIO A PARTIR DE LA TALLA XL, SE LE SUMA $3 AL PRECIO POR UNIDAD (EJEMPLO: TALLA L $15 TALLA XL $18, TALLA 2XL $21).
- LA FECHA DE ENTREGA ES ESTIMADA.
- EL PRESUPUESTO ES VÁLIDO PARA EL DÍA ESPECIFICADO, PUEDE VARIAR POSTERIORMENTE.</t>
  </si>
  <si>
    <t>En NJ STORE, nos dedicamos a ofrecer soluciones integrales para satisfacer las necesidades de tu negocio. Contamos con un amplio catálogo de productos y servicios, todos ellos cuidadosamente seleccionados para brindarte el mejor rendimiento y valor.</t>
  </si>
  <si>
    <t>TELA </t>
  </si>
  <si>
    <t>DISEÑO </t>
  </si>
  <si>
    <t>MODELO</t>
  </si>
  <si>
    <t>Viniles</t>
  </si>
  <si>
    <t>SUBLIMADO</t>
  </si>
  <si>
    <t>ABONO:</t>
  </si>
  <si>
    <t>Básico</t>
  </si>
  <si>
    <t>Con cuello y botones</t>
  </si>
  <si>
    <t>Cuello en V</t>
  </si>
  <si>
    <t>Unicolor</t>
  </si>
  <si>
    <t>Sin mangas</t>
  </si>
  <si>
    <t>Dim_Disenno</t>
  </si>
  <si>
    <t>Dis-01</t>
  </si>
  <si>
    <t>Corporativo</t>
  </si>
  <si>
    <t>Deportivo</t>
  </si>
  <si>
    <t>Personalizado</t>
  </si>
  <si>
    <t>PRODUCTO</t>
  </si>
  <si>
    <t>CANT.</t>
  </si>
  <si>
    <t>Sublimado Delantero</t>
  </si>
  <si>
    <t>Concepto</t>
  </si>
  <si>
    <t>Bolsa</t>
  </si>
  <si>
    <t>Marquilla</t>
  </si>
  <si>
    <t>Cantidad_Tela_Formula</t>
  </si>
  <si>
    <t>Consumo_Tela_Producto</t>
  </si>
  <si>
    <t>dim_Vol_pedido</t>
  </si>
  <si>
    <t>Moneda_Act</t>
  </si>
  <si>
    <t>Act-16</t>
  </si>
  <si>
    <t>Dim_Tecnica_Tamano</t>
  </si>
  <si>
    <t xml:space="preserve">Act-05 </t>
  </si>
  <si>
    <t>Act-12</t>
  </si>
  <si>
    <t>Act-27</t>
  </si>
  <si>
    <t>Terminacion</t>
  </si>
  <si>
    <t>Corte del Plotter</t>
  </si>
  <si>
    <t>Act-01</t>
  </si>
  <si>
    <t>Depilada</t>
  </si>
  <si>
    <t>Diseño</t>
  </si>
  <si>
    <t>Digitalizacion</t>
  </si>
  <si>
    <t>Corte de Tela</t>
  </si>
  <si>
    <t>Planchado pequeño</t>
  </si>
  <si>
    <t>Act-17</t>
  </si>
  <si>
    <t>Planchado Grande</t>
  </si>
  <si>
    <t>Act-13</t>
  </si>
  <si>
    <t>Corte de papel</t>
  </si>
  <si>
    <t>CTS0001</t>
  </si>
  <si>
    <t>CTS0002</t>
  </si>
  <si>
    <t>CTS0003</t>
  </si>
  <si>
    <t>CTS0004</t>
  </si>
  <si>
    <t>CTS0005</t>
  </si>
  <si>
    <t>CTS0006</t>
  </si>
  <si>
    <t>CTS0007</t>
  </si>
  <si>
    <t>CTS0008</t>
  </si>
  <si>
    <t>CTS0009</t>
  </si>
  <si>
    <t>CTS0010</t>
  </si>
  <si>
    <t>CTS0011</t>
  </si>
  <si>
    <t>CTS0012</t>
  </si>
  <si>
    <t>CTS0013</t>
  </si>
  <si>
    <t>CTS0014</t>
  </si>
  <si>
    <t>CTS0015</t>
  </si>
  <si>
    <t>CTS0016</t>
  </si>
  <si>
    <t>CTS0017</t>
  </si>
  <si>
    <t>CTS0018</t>
  </si>
  <si>
    <t>CTS0019</t>
  </si>
  <si>
    <t>CTS0020</t>
  </si>
  <si>
    <t>CTS0021</t>
  </si>
  <si>
    <t>CTS0022</t>
  </si>
  <si>
    <t>CTS0023</t>
  </si>
  <si>
    <t>CTS0024</t>
  </si>
  <si>
    <t>CTS0028</t>
  </si>
  <si>
    <t>CTS0029</t>
  </si>
  <si>
    <t>CTS0030</t>
  </si>
  <si>
    <t>CTS0031</t>
  </si>
  <si>
    <t>CTS0032</t>
  </si>
  <si>
    <t>CTS0033</t>
  </si>
  <si>
    <t>CTS0034</t>
  </si>
  <si>
    <t>CTS0035</t>
  </si>
  <si>
    <t>CTS0036</t>
  </si>
  <si>
    <t>CTS0037</t>
  </si>
  <si>
    <t>CTS0038</t>
  </si>
  <si>
    <t>CTS0039</t>
  </si>
  <si>
    <t>CTS0040</t>
  </si>
  <si>
    <t>CTS0041</t>
  </si>
  <si>
    <t>CTS0042</t>
  </si>
  <si>
    <t>CTS0043</t>
  </si>
  <si>
    <t>CTS0044</t>
  </si>
  <si>
    <t>CTS0045</t>
  </si>
  <si>
    <t>CTS0046</t>
  </si>
  <si>
    <t>CTS0047</t>
  </si>
  <si>
    <t>CTS0048</t>
  </si>
  <si>
    <t>CTS0049</t>
  </si>
  <si>
    <t>CTS0050</t>
  </si>
  <si>
    <t>CTS0051</t>
  </si>
  <si>
    <t>CTS0052</t>
  </si>
  <si>
    <t>CTS0053</t>
  </si>
  <si>
    <t>CTS0054</t>
  </si>
  <si>
    <t>CTS0055</t>
  </si>
  <si>
    <t>CTS0056</t>
  </si>
  <si>
    <t>CTS0057</t>
  </si>
  <si>
    <t>CTS0058</t>
  </si>
  <si>
    <t>CTS0059</t>
  </si>
  <si>
    <t>CTS0060</t>
  </si>
  <si>
    <t>CTS0061</t>
  </si>
  <si>
    <t>CTS0062</t>
  </si>
  <si>
    <t>CTS0063</t>
  </si>
  <si>
    <t>CTS0064</t>
  </si>
  <si>
    <t>CTS0065</t>
  </si>
  <si>
    <t>CTS0066</t>
  </si>
  <si>
    <t>CTS0067</t>
  </si>
  <si>
    <t>CTS0068</t>
  </si>
  <si>
    <t>CTS0069</t>
  </si>
  <si>
    <t>CTS0070</t>
  </si>
  <si>
    <t>CTS0071</t>
  </si>
  <si>
    <t>CTS0072</t>
  </si>
  <si>
    <t>CTS0073</t>
  </si>
  <si>
    <t>CTS0074</t>
  </si>
  <si>
    <t>CTS0075</t>
  </si>
  <si>
    <t>CTS0076</t>
  </si>
  <si>
    <t>CTS0077</t>
  </si>
  <si>
    <t>CTS0078</t>
  </si>
  <si>
    <t>CTS0079</t>
  </si>
  <si>
    <t>Mat-46</t>
  </si>
  <si>
    <t>VINIL + SUBLIMADO</t>
  </si>
  <si>
    <t>Costo de la Tela</t>
  </si>
  <si>
    <t>CTS0080</t>
  </si>
  <si>
    <t>CTS0081</t>
  </si>
  <si>
    <t>CTS0082</t>
  </si>
  <si>
    <t>RESTA:</t>
  </si>
  <si>
    <t>Codigo</t>
  </si>
  <si>
    <t>HechosInventario</t>
  </si>
  <si>
    <t>CTS0083</t>
  </si>
  <si>
    <t>CTS0084</t>
  </si>
  <si>
    <t>CTS0085</t>
  </si>
  <si>
    <t>Impresión</t>
  </si>
  <si>
    <t>Act-18</t>
  </si>
  <si>
    <t>MATERIAL</t>
  </si>
  <si>
    <t>ITEM</t>
  </si>
  <si>
    <t>Telas</t>
  </si>
  <si>
    <t>Valor USD</t>
  </si>
  <si>
    <t>Valor VES</t>
  </si>
  <si>
    <t>Total</t>
  </si>
  <si>
    <t>USD</t>
  </si>
  <si>
    <t xml:space="preserve">CUELLO Y PUÑOS </t>
  </si>
  <si>
    <t xml:space="preserve">Cuello Y Puños </t>
  </si>
  <si>
    <t>Mat-52</t>
  </si>
  <si>
    <t>tipo tela</t>
  </si>
  <si>
    <t xml:space="preserve">TELA </t>
  </si>
  <si>
    <t xml:space="preserve">CORTE </t>
  </si>
  <si>
    <t>COSTURA</t>
  </si>
  <si>
    <t xml:space="preserve">SUBLIMACION </t>
  </si>
  <si>
    <t>PLANCHA</t>
  </si>
  <si>
    <t xml:space="preserve">DISEÑO </t>
  </si>
  <si>
    <t xml:space="preserve">TELA PELUCHE </t>
  </si>
  <si>
    <t>CINTA DE MARCA</t>
  </si>
  <si>
    <t xml:space="preserve">ETIQUETA </t>
  </si>
  <si>
    <t>HILO</t>
  </si>
  <si>
    <t xml:space="preserve">GASTOS OPERATIVOS </t>
  </si>
  <si>
    <t>tulas/cojines</t>
  </si>
  <si>
    <t>Tula</t>
  </si>
  <si>
    <t xml:space="preserve"> FRANELAS EN BLANCO</t>
  </si>
  <si>
    <t>ETIQUETA</t>
  </si>
  <si>
    <t>BOLSA</t>
  </si>
  <si>
    <t>MARQUILLA</t>
  </si>
  <si>
    <t>dama</t>
  </si>
  <si>
    <t xml:space="preserve">VINIL 15 CMS </t>
  </si>
  <si>
    <t xml:space="preserve">DEPILADA </t>
  </si>
  <si>
    <t xml:space="preserve">MARQUILLA </t>
  </si>
  <si>
    <t xml:space="preserve"> FRANELA CON SUBLIMACION TAMAÑO CARTA Y VINIL </t>
  </si>
  <si>
    <t xml:space="preserve">SUBLIMACION CARTA </t>
  </si>
  <si>
    <t xml:space="preserve">VINIL </t>
  </si>
  <si>
    <t xml:space="preserve"> FRANELA CON SUBLIMACION TAMAÑO OFICIO</t>
  </si>
  <si>
    <t xml:space="preserve">SUBLIMACION OFICIO </t>
  </si>
  <si>
    <t>Micro 2,3</t>
  </si>
  <si>
    <t xml:space="preserve"> FRANELA REPLICA DE MARCAS VINIL MEDIANO/PÑO</t>
  </si>
  <si>
    <t>Accesorio</t>
  </si>
  <si>
    <t>Tall-06</t>
  </si>
  <si>
    <t xml:space="preserve"> FRANELA CON SUBLIMACION DELANTERA </t>
  </si>
  <si>
    <t xml:space="preserve">FRANELA CON SUBLIMACION TOTAL </t>
  </si>
  <si>
    <t>0,6 y 0,7</t>
  </si>
  <si>
    <t>FRANELA CON  CON DISEÑO EN VINIL GRANDE 25*30</t>
  </si>
  <si>
    <t>VINIL 20*20</t>
  </si>
  <si>
    <t>COTTONE    4,2</t>
  </si>
  <si>
    <t>KEIRA PLUS 2,8</t>
  </si>
  <si>
    <t>CENTAURO 3,8</t>
  </si>
  <si>
    <t>CENTAHELADA 4,4</t>
  </si>
  <si>
    <t>CENTAURO EGIPCIO 3,9</t>
  </si>
  <si>
    <t>ALGODÓN 5,31</t>
  </si>
  <si>
    <t>tulas 1</t>
  </si>
  <si>
    <t>PELUCHE 1</t>
  </si>
  <si>
    <t>CORTA VIENTO IMPERMEABLE CON VINIL PÑO</t>
  </si>
  <si>
    <t>Tipo tela</t>
  </si>
  <si>
    <t>CIERRE</t>
  </si>
  <si>
    <t>DRILL SAHARA 2,3</t>
  </si>
  <si>
    <t>MEMORY 4</t>
  </si>
  <si>
    <t xml:space="preserve">CORTA VIENTO IMPERMEABLE  TODO SUBLIMADO </t>
  </si>
  <si>
    <t>TELA</t>
  </si>
  <si>
    <t>PLANCHA GRANDE</t>
  </si>
  <si>
    <t>CORTA VIENTO IMPERMEABLE</t>
  </si>
  <si>
    <t>VESTIDO PROMOTORA</t>
  </si>
  <si>
    <t>HODDI EN BLANCO CON GORRO</t>
  </si>
  <si>
    <t>tipo de tela</t>
  </si>
  <si>
    <t>MONO 4</t>
  </si>
  <si>
    <t>PLANCHA 0</t>
  </si>
  <si>
    <t>DISEÑO 0</t>
  </si>
  <si>
    <t>CORTE DEL PLOTTER 0</t>
  </si>
  <si>
    <t>DEPILADA 0</t>
  </si>
  <si>
    <t xml:space="preserve">HODDI CON DISEÑO EN VINIL </t>
  </si>
  <si>
    <t xml:space="preserve">CORDON </t>
  </si>
  <si>
    <t xml:space="preserve">sublimacion </t>
  </si>
  <si>
    <t>TERRY SPUN  5,2</t>
  </si>
  <si>
    <t>CHAQUETA</t>
  </si>
  <si>
    <t>NORTH FACE 5,5</t>
  </si>
  <si>
    <t>CIERRE BOLSILLOS</t>
  </si>
  <si>
    <t xml:space="preserve">CIERRE </t>
  </si>
  <si>
    <t>ETIQUETA 0</t>
  </si>
  <si>
    <t xml:space="preserve">PANTALON DE MONO </t>
  </si>
  <si>
    <t>PANTALON DE MONO 1,3</t>
  </si>
  <si>
    <t xml:space="preserve"> FRANELÍLLAS EN BLANCO</t>
  </si>
  <si>
    <t>Tipo de Tela</t>
  </si>
  <si>
    <t>TELA PRECIO</t>
  </si>
  <si>
    <t>muselina 1,5 Y 1,8</t>
  </si>
  <si>
    <t xml:space="preserve"> FRANELiLLAS CON DISEÑO EN VINIL PÑO</t>
  </si>
  <si>
    <t xml:space="preserve">FRANELILLA CON SUBLIMACION TAMAÑO CARTA </t>
  </si>
  <si>
    <t>FRANELILLA CON SUBLIMACION TAMAÑO OFICIO</t>
  </si>
  <si>
    <t>Tipo Tela</t>
  </si>
  <si>
    <t xml:space="preserve">FRANELILLA CON SUBLIMACION DELANTERA </t>
  </si>
  <si>
    <t xml:space="preserve">FRANELILLA CON SUBLIMACION TOTAL </t>
  </si>
  <si>
    <t>FRANELILLA CON DISEÑO EN VINIL GRANDE 25*30</t>
  </si>
  <si>
    <t>VINIL 25*30 Y VINIL 20*20</t>
  </si>
  <si>
    <t xml:space="preserve">SUETER SIN GORRO  </t>
  </si>
  <si>
    <t xml:space="preserve">TELA DE MONO </t>
  </si>
  <si>
    <t>SUETER SIN GORRO  CON VINIL PQÑO</t>
  </si>
  <si>
    <t>CORDON</t>
  </si>
  <si>
    <t>SUETER SIN GORRO  CON VINIL mediano</t>
  </si>
  <si>
    <t xml:space="preserve">BUZO </t>
  </si>
  <si>
    <t>BUZO VINIL PQÑO</t>
  </si>
  <si>
    <t>0,9 Y 1,1</t>
  </si>
  <si>
    <t>1,5 Y 2</t>
  </si>
  <si>
    <t>0,8 Y 0,9,  0,5/1,5</t>
  </si>
  <si>
    <t>BUZO TODO SUBLIMADO</t>
  </si>
  <si>
    <t xml:space="preserve">FALDA SHORT </t>
  </si>
  <si>
    <t>FALDA SHORT  VINIL PQÑO</t>
  </si>
  <si>
    <t>VINIL PEQUEÑO</t>
  </si>
  <si>
    <t xml:space="preserve">CROP TOP </t>
  </si>
  <si>
    <t>CROP TOP VINIL PQÑO</t>
  </si>
  <si>
    <t xml:space="preserve">MALLA </t>
  </si>
  <si>
    <t xml:space="preserve">CAUCHO </t>
  </si>
  <si>
    <t>SHORT EN BLANCO</t>
  </si>
  <si>
    <t xml:space="preserve">SHORT </t>
  </si>
  <si>
    <t>ATLETICA 1,2</t>
  </si>
  <si>
    <t>SHORT TODO SUBLIMADO</t>
  </si>
  <si>
    <t>TASLAN 2,5</t>
  </si>
  <si>
    <t>SHORT CON LOGO Y #</t>
  </si>
  <si>
    <t>2,2 Y 2,5</t>
  </si>
  <si>
    <t xml:space="preserve">FORRO </t>
  </si>
  <si>
    <t xml:space="preserve">kalandra </t>
  </si>
  <si>
    <t>FORRO 1,3</t>
  </si>
  <si>
    <t xml:space="preserve">SUBLIMACION TOTAL CON kalandra  </t>
  </si>
  <si>
    <t>UNIFORME DE FUTBOL
FRANELA TODA SUBLIMADA
TEMA MUNDIAL 
TALLAS 8-14
SHORT LOGO Y NUMERO</t>
  </si>
  <si>
    <t>Variaciones o combinaciones</t>
  </si>
  <si>
    <t>UNIFORME DE FUTBOL
FRANELA SOLO FRENTE SUBLIMADA
TEMA MUNDIAL 
TALLAS 16-S-M
SHORT LOGO Y NUMERO</t>
  </si>
  <si>
    <t>DELANTAL</t>
  </si>
  <si>
    <t xml:space="preserve">HERRAJES </t>
  </si>
  <si>
    <t xml:space="preserve">bandana de perro </t>
  </si>
  <si>
    <t xml:space="preserve">tela </t>
  </si>
  <si>
    <t xml:space="preserve">impresión </t>
  </si>
  <si>
    <t xml:space="preserve">planchado </t>
  </si>
  <si>
    <t>CON VINIL mediano</t>
  </si>
  <si>
    <t>TELA MEMORY</t>
  </si>
  <si>
    <t>CAUCHO</t>
  </si>
  <si>
    <t xml:space="preserve">CORTA VIENTO con Gorro SUBLIMACION TOTAL  </t>
  </si>
  <si>
    <t>PISA CORDON</t>
  </si>
  <si>
    <t>OJALETES</t>
  </si>
  <si>
    <t xml:space="preserve">CIERRE BOLSILLOS </t>
  </si>
  <si>
    <t>CORTA VIENTO SIN GORRO</t>
  </si>
  <si>
    <t xml:space="preserve">PLANCHA </t>
  </si>
  <si>
    <t xml:space="preserve">CORTA VIENTO sin  Gorro  SUBLIMACION TOTAL </t>
  </si>
  <si>
    <t xml:space="preserve">TELA Malla </t>
  </si>
  <si>
    <t xml:space="preserve">SESGO </t>
  </si>
  <si>
    <t xml:space="preserve">KASAKAS SOLO LOGO </t>
  </si>
  <si>
    <t>MALLA 1,2</t>
  </si>
  <si>
    <t>UNICA</t>
  </si>
  <si>
    <t xml:space="preserve">KASAKAS </t>
  </si>
  <si>
    <t xml:space="preserve">KASAKAS SUBLIMACION TOTAL </t>
  </si>
  <si>
    <t>0,5, 0,6/2</t>
  </si>
  <si>
    <t>0,6/2; 0,8</t>
  </si>
  <si>
    <t>ACCESORIOS</t>
  </si>
  <si>
    <t>kasacas</t>
  </si>
  <si>
    <t xml:space="preserve">BRAGA PROMOTORA </t>
  </si>
  <si>
    <t xml:space="preserve"> VESTIDO / BRAGA PROMOTORA UNICOLOR</t>
  </si>
  <si>
    <t>LICRA 6,5</t>
  </si>
  <si>
    <t xml:space="preserve">VESTIDO / BRAGA PROMOTORA SUBLIMADO </t>
  </si>
  <si>
    <t>MALLA FASHION MIX SPT (1,45)</t>
  </si>
  <si>
    <t>CHEMIS</t>
  </si>
  <si>
    <t xml:space="preserve">BORDADO </t>
  </si>
  <si>
    <t>CHEMISS CUELLO MAO</t>
  </si>
  <si>
    <t xml:space="preserve">CHEMIS CON BORDADO </t>
  </si>
  <si>
    <t xml:space="preserve">TODA SUBLIMADA </t>
  </si>
  <si>
    <t xml:space="preserve">PLANCHADA </t>
  </si>
  <si>
    <t>BEISBOL</t>
  </si>
  <si>
    <t xml:space="preserve">TELA ATLETICA </t>
  </si>
  <si>
    <t xml:space="preserve">BOTONES </t>
  </si>
  <si>
    <t xml:space="preserve">PLOTTER </t>
  </si>
  <si>
    <t>FRANELA DE BEISBOL</t>
  </si>
  <si>
    <t xml:space="preserve">LOGO VINIL </t>
  </si>
  <si>
    <t>PELON</t>
  </si>
  <si>
    <t>OXFORD 4</t>
  </si>
  <si>
    <t xml:space="preserve"> MICRO FIBRA 1,3</t>
  </si>
  <si>
    <t>ALGODÓN EGIPCIO 3,95</t>
  </si>
  <si>
    <t xml:space="preserve">CAMISA TIPO COLUMBIA MANGA CORTA </t>
  </si>
  <si>
    <t>1,1-1,6</t>
  </si>
  <si>
    <t>CTS0086</t>
  </si>
  <si>
    <t>CTS0087</t>
  </si>
  <si>
    <t>CTS0088</t>
  </si>
  <si>
    <t>CTS0089</t>
  </si>
  <si>
    <t>Dis-02</t>
  </si>
  <si>
    <t>Dis-03</t>
  </si>
  <si>
    <t>Dis-04</t>
  </si>
  <si>
    <t>Id_talla</t>
  </si>
  <si>
    <t>Dim_Talla</t>
  </si>
  <si>
    <t>TAMAÑO V</t>
  </si>
  <si>
    <t>TAMAÑO S</t>
  </si>
  <si>
    <t>0,8</t>
  </si>
  <si>
    <t>0,9</t>
  </si>
  <si>
    <t>1,8</t>
  </si>
  <si>
    <t>1,4</t>
  </si>
  <si>
    <t>1,7</t>
  </si>
  <si>
    <t>2</t>
  </si>
  <si>
    <t>1,5</t>
  </si>
  <si>
    <t>1,1</t>
  </si>
  <si>
    <t>0,466666667</t>
  </si>
  <si>
    <t>0,533333333</t>
  </si>
  <si>
    <t>0,25</t>
  </si>
  <si>
    <t>1,2</t>
  </si>
  <si>
    <t>0,6</t>
  </si>
  <si>
    <t>KASAKAS</t>
  </si>
  <si>
    <t>BRAGA PROMOTORA</t>
  </si>
  <si>
    <t>1</t>
  </si>
  <si>
    <t>TOTAL</t>
  </si>
  <si>
    <t>TOTAL A PAGAR</t>
  </si>
  <si>
    <t>Ruta para guardar las imágenes</t>
  </si>
  <si>
    <t>C:\Users\Asesor Comercial\Downloads\NJ STORE\presupuestos\</t>
  </si>
  <si>
    <t>Número</t>
  </si>
  <si>
    <t>PRESUPUESTO</t>
  </si>
  <si>
    <t>DATOS DEL CLIENTE</t>
  </si>
  <si>
    <t>COMANDA</t>
  </si>
  <si>
    <t>Unidad Manual</t>
  </si>
  <si>
    <t>Sub Total</t>
  </si>
  <si>
    <t>Enterizos de promotora</t>
  </si>
  <si>
    <t>P-32</t>
  </si>
  <si>
    <t>P-33</t>
  </si>
  <si>
    <t>Casacas</t>
  </si>
  <si>
    <t>Ancho_cm</t>
  </si>
  <si>
    <t>Alto_cm</t>
  </si>
  <si>
    <t>Valor/Fórmula</t>
  </si>
  <si>
    <t>Se refiere a</t>
  </si>
  <si>
    <t>Ámbito</t>
  </si>
  <si>
    <t>_xleta.DOLLAR</t>
  </si>
  <si>
    <t>Local</t>
  </si>
  <si>
    <t>_xleta.IF</t>
  </si>
  <si>
    <t>_xleta.IFERROR</t>
  </si>
  <si>
    <t>_xleta.ISFORMULA</t>
  </si>
  <si>
    <t>_xleta.NOT</t>
  </si>
  <si>
    <t>_xleta.PHI</t>
  </si>
  <si>
    <t>_xleta.PRICE</t>
  </si>
  <si>
    <t>_xleta.PRODUCT</t>
  </si>
  <si>
    <t>_xleta.T</t>
  </si>
  <si>
    <t>_xlfn._xlws.FILTER</t>
  </si>
  <si>
    <t>_xlfn.ANCHORARRAY</t>
  </si>
  <si>
    <t>_xlfn.FORMULATEXT</t>
  </si>
  <si>
    <t>_xlfn.IFERROR</t>
  </si>
  <si>
    <t>_xlfn.ISFORMULA</t>
  </si>
  <si>
    <t>_xlfn.LAMBDA</t>
  </si>
  <si>
    <t>_xlfn.LET</t>
  </si>
  <si>
    <t>_xlfn.SUMIFS</t>
  </si>
  <si>
    <t>_xlfn.TEXTJOIN</t>
  </si>
  <si>
    <t>_xlfn.XLOOKUP</t>
  </si>
  <si>
    <t>_xlpm.a</t>
  </si>
  <si>
    <t>_xlpm.act</t>
  </si>
  <si>
    <t>_xlpm.actividad</t>
  </si>
  <si>
    <t>_xlpm.b</t>
  </si>
  <si>
    <t>_xlpm.cambio_dolar</t>
  </si>
  <si>
    <t>_xlpm.cantidad</t>
  </si>
  <si>
    <t>_xlpm.cod_material</t>
  </si>
  <si>
    <t>_xlpm.cod_tamano</t>
  </si>
  <si>
    <t>_xlpm.codigo</t>
  </si>
  <si>
    <t>_xlpm.codigo_material</t>
  </si>
  <si>
    <t>_xlpm.codigo_tecnica</t>
  </si>
  <si>
    <t>_xlpm.consumo</t>
  </si>
  <si>
    <t>_xlpm.consumo_base</t>
  </si>
  <si>
    <t>_xlpm.consumo_final</t>
  </si>
  <si>
    <t>_xlpm.consumo_tamano</t>
  </si>
  <si>
    <t>_xlpm.consumo_tela</t>
  </si>
  <si>
    <t>_xlpm.costo</t>
  </si>
  <si>
    <t>_xlpm.costoDetal</t>
  </si>
  <si>
    <t>_xlpm.costoFinal</t>
  </si>
  <si>
    <t>_xlpm.costoMayor</t>
  </si>
  <si>
    <t>_xlpm.costoTela</t>
  </si>
  <si>
    <t>_xlpm.costoUSD</t>
  </si>
  <si>
    <t>_xlpm.datos</t>
  </si>
  <si>
    <t>_xlpm.datos_tamaño</t>
  </si>
  <si>
    <t>_xlpm.es_actividad</t>
  </si>
  <si>
    <t>_xlpm.es_tecnica_especial</t>
  </si>
  <si>
    <t>_xlpm.fila</t>
  </si>
  <si>
    <t>_xlpm.filtro</t>
  </si>
  <si>
    <t>_xlpm.id</t>
  </si>
  <si>
    <t>_xlpm.id_act</t>
  </si>
  <si>
    <t>_xlpm.material</t>
  </si>
  <si>
    <t>_xlpm.material_id</t>
  </si>
  <si>
    <t>_xlpm.material_sublimado</t>
  </si>
  <si>
    <t>_xlpm.moneda</t>
  </si>
  <si>
    <t>_xlpm.multiplicador</t>
  </si>
  <si>
    <t>_xlpm.n</t>
  </si>
  <si>
    <t>_xlpm.nombre</t>
  </si>
  <si>
    <t>_xlpm.nombre_tam</t>
  </si>
  <si>
    <t>_xlpm.precio</t>
  </si>
  <si>
    <t>_xlpm.precio_base</t>
  </si>
  <si>
    <t>_xlpm.precio_detal</t>
  </si>
  <si>
    <t>_xlpm.precio_final</t>
  </si>
  <si>
    <t>_xlpm.precio_mayor</t>
  </si>
  <si>
    <t>_xlpm.precio_usd</t>
  </si>
  <si>
    <t>_xlpm.prod</t>
  </si>
  <si>
    <t>_xlpm.producto</t>
  </si>
  <si>
    <t>_xlpm.producto_id</t>
  </si>
  <si>
    <t>_xlpm.resultado</t>
  </si>
  <si>
    <t>_xlpm.talla</t>
  </si>
  <si>
    <t>_xlpm.talla_id</t>
  </si>
  <si>
    <t>_xlpm.tamano</t>
  </si>
  <si>
    <t>_xlpm.tamano_id</t>
  </si>
  <si>
    <t>_xlpm.tamaño_id</t>
  </si>
  <si>
    <t>_xlpm.tasa</t>
  </si>
  <si>
    <t>_xlpm.tasa_dolar</t>
  </si>
  <si>
    <t>_xlpm.tecnica</t>
  </si>
  <si>
    <t>_xlpm.tecnica_id</t>
  </si>
  <si>
    <t>_xlpm.técnica_seleccionada</t>
  </si>
  <si>
    <t>_xlpm.tela</t>
  </si>
  <si>
    <t>_xlpm.texto</t>
  </si>
  <si>
    <t>_xlpm.tipo</t>
  </si>
  <si>
    <t>_xlpm.tipo_cambio</t>
  </si>
  <si>
    <t>_xlpm.tipo_material</t>
  </si>
  <si>
    <t>_xlpm.tipo_precio</t>
  </si>
  <si>
    <t>_xlpm.tipo_vinil</t>
  </si>
  <si>
    <t>_xlpm.tipoTela</t>
  </si>
  <si>
    <t>_xlpm.usarMayor</t>
  </si>
  <si>
    <t>_xlpm.usoMaterial</t>
  </si>
  <si>
    <t>PresupuestoPlantilla!Print_Area</t>
  </si>
  <si>
    <t>Global</t>
  </si>
  <si>
    <t>CodPres</t>
  </si>
  <si>
    <t>CostoMaterialDecorativo</t>
  </si>
  <si>
    <t>Tabla4 (2)'!DatosExternos_1</t>
  </si>
  <si>
    <t>ListaActividad</t>
  </si>
  <si>
    <t>ListaDisennos</t>
  </si>
  <si>
    <t>ListaModelo</t>
  </si>
  <si>
    <t>ListaProductos</t>
  </si>
  <si>
    <t>ListaTalla</t>
  </si>
  <si>
    <t>ListaTamTecnica</t>
  </si>
  <si>
    <t>ListaTecnicas</t>
  </si>
  <si>
    <t>LIstaTelas</t>
  </si>
  <si>
    <t>ListaViniles</t>
  </si>
  <si>
    <t>MayusIni</t>
  </si>
  <si>
    <t>obtenerActividadPorTecnica</t>
  </si>
  <si>
    <t>obtenerCantidadTela</t>
  </si>
  <si>
    <t>obtenerconsumotela</t>
  </si>
  <si>
    <t>obtenerCostoActividad</t>
  </si>
  <si>
    <t>obtenerCostoMaterial</t>
  </si>
  <si>
    <t>obtenerCostoSublimado</t>
  </si>
  <si>
    <t>obtenerCostoTela</t>
  </si>
  <si>
    <t>obtenerCostoVinil</t>
  </si>
  <si>
    <t>_xlfn.SINGLE</t>
  </si>
  <si>
    <t>obtenerConsumoVinil(cod_tamano; cantidad)
=LAMBDA(cod_tamano; cantidad;
  LET(
    ancho; BUSCARX(cod_tamano; Dim_Tecnica_Tamano[Id_Tamano]; Dim_Tecnica_Tamano[Ancho_cm]);
    alto;  BUSCARX(cod_tamano; Dim_Tecnica_Tamano[Id_Tamano]; Dim_Tecnica_Tamano[Alto_cm]);
    consumo; (ancho * alto * cantidad) / 10000;
    consumo
  )
)</t>
  </si>
  <si>
    <t>obtenerConsumoSublimado</t>
  </si>
  <si>
    <t>obtenerConsumoVinil</t>
  </si>
  <si>
    <t>obtenerConsumoDTF(cod_tamano; cod_producto; cod_talla)</t>
  </si>
  <si>
    <t>obtenerConsumoDTF(cod_tamano; cod_producto; cod_talla)
=LAMBDA(cod_tamano; cod_producto; cod_talla;
  LET(
    consumo_tamano; BUSCARX(cod_tamano; Dim_Tecnica_Tamano[Id_Tamano]; Dim_Tecnica_Tamano[Alto_cm]);
    consumo_tela; obtenerConsumoTela(cod_producto; cod_talla);
    consumo;
      SI(cod_tamano="TAM-08"; consumo_tela / 2;
      SI(cod_tamano="TAM-09"; consumo_tela;
      consumo_tamano / 100));
    consumo
  )
)</t>
  </si>
  <si>
    <t>obtenerConsumoSublimado(cod_tamano; cod_producto; cod_talla)
=LAMBDA(cod_tamano; cod_producto; cod_talla;
  LET(
    consumo_tamano; BUSCARX(cod_tamano; Dim_Tecnica_Tamano[Id_Tamano]; Dim_Tecnica_Tamano[Alto_cm]);
    consumo_tela; obtenerConsumoTela(cod_producto; cod_talla);
    consumo;
      SI(cod_tamano="TAM-08"; consumo_tela / 2;
      SI(cod_tamano="TAM-09"; consumo_tela;
      consumo_tamano / 100));
    consumo
  )
)</t>
  </si>
  <si>
    <t>obtenerCostoVinil(cod_tamano; cod_material; tasa_dolar; cantidad)</t>
  </si>
  <si>
    <t>obtenerCostoVinil(cod_tamano; cod_material; tasa_dolar; cantidad)
=LAMBDA(cod_tamano; cod_material; tasa_dolar; cantidad;
  LET(
    consumo; obtenerConsumoVinil(cod_tamano; cantidad);
    precio; BUSCARX(cod_material; HechosInventario[ID_Material]; HechosInventario[Costo_Unitario_Detal]);
    moneda; BUSCARX(cod_material; HechosInventario[ID_Material]; HechosInventario[Moneda]);
    costo; SI(moneda="USD"; precio * tasa_dolar; precio);
    consumo * costo
  )
)</t>
  </si>
  <si>
    <t>obtenerCostoSublimado(cod_producto; cod_talla; cod_tamano; cod_material; tasa_dolar)</t>
  </si>
  <si>
    <t>obtenerCostoSublimado(cod_producto; cod_talla; cod_tamano; cod_material; tasa_dolar)
=LAMBDA(cod_producto; cod_talla; cod_tamano; cod_material; tasa_dolar;
  LET(
    consumo; obtenerConsumoSublimado(cod_tamano; cod_producto; cod_talla);
    precio; BUSCARX(cod_material; HechosInventario[ID_Material]; HechosInventario[Costo_Unitario_Detal]);
    moneda; BUSCARX(cod_material; HechosInventario[ID_Material]; HechosInventario[Moneda]);
    costo; SI(moneda="USD"; precio * tasa_dolar; precio);
    SI.ERROR(consumo * costo; "No encontrado")
  )
)</t>
  </si>
  <si>
    <t>obtenerCostoDTF(cod_producto; cod_talla; cod_tamano; cod_material; tasa_dolar)</t>
  </si>
  <si>
    <t>obtenerCostoDTF(cod_producto; cod_talla; cod_tamano; cod_material; tasa_dolar)
=LAMBDA(cod_producto; cod_talla; cod_tamano; cod_material; tasa_dolar;
  LET(
    consumo; obtenerConsumoDTF(cod_tamano; cod_producto; cod_talla);
    precio; BUSCARX(cod_material; HechosInventario[ID_Material]; HechosInventario[Costo_Unitario_Detal]);
    moneda; BUSCARX(cod_material; HechosInventario[ID_Material]; HechosInventario[Moneda]);
    costo; SI(moneda="USD"; precio * tasa_dolar; precio);
    SI.ERROR(consumo * costo; "No encontrado")
  )
)</t>
  </si>
  <si>
    <t>obtenerCostoVinil(cod_tamano_vinil; cod_material; tasa_dolar; cantidad)</t>
  </si>
  <si>
    <t>obtenerCostoVinil(cod_tamano_vinil; cod_material; tasa_dolar; cantidad)
=LAMBDA(cod_tamano_vinil; cod_material; tasa_dolar; cantidad;
  LET(
    consumo; obtenerConsumoVinil(cod_tamano_vinil; cantidad);
    precio; BUSCARX(cod_material; HechosInventario[ID_Material]; HechosInventario[Costo_Unitario_Detal]);
    moneda; BUSCARX(cod_material; HechosInventario[ID_Material]; HechosInventario[Moneda]);
    costo; SI(moneda="USD"; precio * tasa_dolar; precio);
    consumo * costo
  )
)</t>
  </si>
  <si>
    <t>obtenerCostoSublimado(cod_producto; cod_talla; cod_tamano_sublimado; cod_material; tasa_dolar)</t>
  </si>
  <si>
    <t>obtenerCostoSublimado(cod_producto; cod_talla; cod_tamano_sublimado; cod_material; tasa_dolar)
=LAMBDA(cod_producto; cod_talla; cod_tamano_sublimado; cod_material; tasa_dolar;
  LET(
    consumo; obtenerConsumoSublimado(cod_tamano_sublimado; cod_producto; cod_talla);
    precio; BUSCARX(cod_material; HechosInventario[ID_Material]; HechosInventario[Costo_Unitario_Detal]);
    moneda; BUSCARX(cod_material; HechosInventario[ID_Material]; HechosInventario[Moneda]);
    costo; SI(moneda="USD"; precio * tasa_dolar; precio);
    SI.ERROR(consumo * costo; "No encontrado")
  )
)</t>
  </si>
  <si>
    <t>obtenerCostoDTF(cod_producto; cod_talla; cod_tamano_dtf; cod_material; tasa_dolar)</t>
  </si>
  <si>
    <t>obtenerCostoDTF(cod_producto; cod_talla; cod_tamano_dtf; cod_material; tasa_dolar)
=LAMBDA(cod_producto; cod_talla; cod_tamano_dtf; cod_material; tasa_dolar;
  LET(
    consumo; obtenerConsumoDTF(cod_tamano_dtf; cod_producto; cod_talla);
    precio; BUSCARX(cod_material; HechosInventario[ID_Material]; HechosInventario[Costo_Unitario_Detal]);
    moneda; BUSCARX(cod_material; HechosInventario[ID_Material]; HechosInventario[Moneda]);
    costo; SI(moneda="USD"; precio * tasa_dolar; precio);
    SI.ERROR(consumo * costo; "No encontrado")
  )
)</t>
  </si>
  <si>
    <t>¿=(LAMBDA(tamano;material;   LET(     consumo; BUSCARX(@tamano; Dim_Tecnica_Tamano[Id_Tamano]; Dim_Tecnica_Tamano[Alto_cm]);
precio; BUSCARX(@material; HechosInventario[ID_Material]; HechosInventario[Costo_Unitario_Detal]);     consumo * precio*PresupuestoPlantilla!$K$1   ) )</t>
  </si>
  <si>
    <t>Descripcion</t>
  </si>
  <si>
    <t>_xleta.FORMULATEXT</t>
  </si>
  <si>
    <t>_xlpm.alto</t>
  </si>
  <si>
    <t>_xlpm.ancho</t>
  </si>
  <si>
    <t>_xlpm.cant</t>
  </si>
  <si>
    <t>_xlpm.cod_producto</t>
  </si>
  <si>
    <t>_xlpm.cod_talla</t>
  </si>
  <si>
    <t>_xlpm.cod_tamano_dtf</t>
  </si>
  <si>
    <t>_xlpm.cod_tamano_sublimado</t>
  </si>
  <si>
    <t>_xlpm.cod_tamano_vinil</t>
  </si>
  <si>
    <t>_xlpm.costo_unitario</t>
  </si>
  <si>
    <t>_xlpm.materialTecnica</t>
  </si>
  <si>
    <t>_xlpm.prefijo</t>
  </si>
  <si>
    <t>_xlpm.tamanoDTF</t>
  </si>
  <si>
    <t>_xlpm.tamanoSublimado</t>
  </si>
  <si>
    <t>_xlpm.tamanoVinil</t>
  </si>
  <si>
    <t>ObtenerConsumoVinil</t>
  </si>
  <si>
    <t>obtenerCostoGlobal</t>
  </si>
  <si>
    <t>Act-21</t>
  </si>
  <si>
    <t>=LAMBDA(
    codigo; producto; talla;
    tamanoVinil; tamanoSublimado; tamanoDTF;
    materialTecnica; tasa_dolar; cantidad;
    LET(
        prefijo; IZQUIERDA(codigo; 3);
        costo;
        SI(codigo = "Act-11";
            obtenerCostoVinil(tamanoVinil; materialTecnica; tasa_dolar; cantidad);
        SI(codigo = "Act-10";
            obtenerCostoSublimado(producto; talla; tamanoSublimado; materialTecnica; tasa_dolar);
        SI(codigo = "Act-12";
            obtenerCostoDTF(producto; talla; tamanoDTF; materialTecnica; tasa_dolar);
        SI(prefijo = "ACT";
            obtenerCostoActividad(codigo; producto; talla);
        SI(prefijo = "MAT";
            obtenerCostoMaterial(codigo; talla; tasa_dolar);
        0
        )))));
        costo
    )
)</t>
  </si>
  <si>
    <t>_xlpm.consumo_total</t>
  </si>
  <si>
    <t>ObtenerConsumoDTF</t>
  </si>
  <si>
    <t>ObtenerCostoDTF</t>
  </si>
  <si>
    <t>=LAMBDA(n; "PRE-" &amp; TEXTO(HOY();"aaaaMM") &amp; TEXTO(@n;"00"))</t>
  </si>
  <si>
    <t>=LAMBDA(técnica_seleccionada;tamaño_id;producto_id;talla;tipo_vinil;tipo_precio;     LET(         datos_tamaño;FILTRAR(Dim_Tecnica_Tamano;Dim_Tecnica_Tamano[Id_Tamano]=tamaño_id);         "Prueba2"     ) )</t>
  </si>
  <si>
    <t>=LAMBDA(texto; MAYUSC(IZQUIERDA(@texto;1)) &amp; MINUSC(DERECHA(@texto;LARGO(@texto)-1)))</t>
  </si>
  <si>
    <t>=LAMBDA(codigo_tecnica;fila;   SI.ERROR(@     INDICE(       FILTRAR(         mapeo_tecnica_actividades[Actividad relacionada];         mapeo_tecnica_actividades[Técnica base]=codigo_tecnica       );@       fila     );     ""   ) )</t>
  </si>
  <si>
    <t>=LAMBDA(prod;talla;@    SI.ERROR(     BUSCARX(1;        (Consumo_Tela_Producto[Codigo_Producto]=prod)*(Consumo_Tela_Producto[Talla]=talla);       Consumo_Tela_Producto[Cantidad_Tela_m²]     );     0   ) )</t>
  </si>
  <si>
    <t>=LAMBDA(cod_tamano;cod_producto;cod_talla;   LET(     consumo_tamano; VALOR(SI.ERROR(BUSCARX(@cod_tamano; Dim_Tecnica_Tamano[Id_Tamano]; Dim_Tecnica_Tamano[Alto_cm]); 0));     consumo_tela;   VALOR(SI.ERROR(@obtenerconsumotela(cod_producto; cod_talla); 0));     consumo;       SI(@cod_tamano="TAM-08"; consumo_tela / 2;       SI(@cod_tamano="TAM-09"; consumo_tela;       consumo_tamano / 100));     consumo   ) )</t>
  </si>
  <si>
    <t>=LAMBDA(prod;talla;@ SI.ERROR(BUSCARX(1; (Consumo_Tela_Producto[Codigo_Producto]=prod)*(Consumo_Tela_Producto[Talla]=talla); Consumo_Tela_Producto[Cantidad_Tela_m²]); 0))</t>
  </si>
  <si>
    <t>=LAMBDA(cod_tamano;cantidad;   LET(     ancho; VALOR(SI.ERROR(BUSCARX(@cod_tamano; Dim_Tecnica_Tamano[Id_Tamano]; Dim_Tecnica_Tamano[Ancho_cm]); 0));     alto;  VALOR(SI.ERROR(BUSCARX(@cod_tamano; Dim_Tecnica_Tamano[Id_Tamano]; Dim_Tecnica_Tamano[Alto_cm]); 0));     cant;  VALOR(SI.ERROR(@cantidad; 0));     consumo; (ancho * alto * cant) / 10000;     consumo   ) )</t>
  </si>
  <si>
    <t>=LAMBDA(act;prod;tipo;   SI.ERROR(@     INDICE(       FILTRAR(         fact_costo_actividad_producto[costo_unitario];         (fact_costo_actividad_producto[id_actividad]=act)*         ((fact_costo_actividad_producto[Codigo_Producto]=prod)+(fact_costo_actividad_producto[Codigo_Producto]="P-12"))*         (fact_costo_actividad_producto[id_tipo_precio]=tipo)       );       1     );     "No definido"   ) )</t>
  </si>
  <si>
    <t>=LAMBDA(cod_tamano;cod_producto;cod_talla;cod_material;tasa_dolar;   LET(     alto; BUSCARX(@cod_tamano; Dim_Tecnica_Tamano[Id_Tamano]; Dim_Tecnica_Tamano[Alto_cm]);     ancho; BUSCARX(@cod_tamano; Dim_Tecnica_Tamano[Id_Tamano]; Dim_Tecnica_Tamano[Ancho_cm]);     consumo_tamano; (alto * ancho) / 10000;     consumo_tela; obtenerconsumotela(cod_producto; cod_talla);     consumo_total;       SI(@cod_tamano = "TAM-08";@ consumo_tela / 2;       SI(@cod_tamano = "TAM-09"; consumo_tela;       consumo_tamano));          precio; BUSCARX(@cod_material; HechosInventario[ID_Material]; HechosInventario[Costo_Unitario_Detal]);     moneda; BUSCARX(@cod_material; HechosInventario[ID_Material]; HechosInventario[Moneda]);     costo_unitario; SI(moneda = "USD"; precio *@ tasa_dolar; precio);          resultado;@ consumo_total * costo_unitario;          SI.ERROR(resultado; "Error en DTF")   ) )</t>
  </si>
  <si>
    <t>=LAMBDA(codigo;producto;talla;tamanoVinil;tamanoSublimado;tamanoDTF;materialTecnica;tasa_dolar;cantidad;tipo;     LET(         prefijo; IZQUIERDA(@codigo; 3);         costo;         SI(@codigo = "Act-11";             obtenerCostoVinil(tamanoVinil; materialTecnica; tasa_dolar; cantidad);         SI(@codigo = "Act-10";             obtenerCostoSublimado(producto; talla; tamanoSublimado; materialTecnica; tasa_dolar);         SI(@codigo = "Act-12";             ObtenerCostoDTF(producto; talla; tamanoDTF; materialTecnica; tasa_dolar);         SI(prefijo = "ACT";             obtenerCostoActividad(codigo; producto; tipo);         SI(prefijo = "MAT";             obtenerCostoMaterial(codigo; tipo; tasa_dolar);         0         )))));         costo     ) )</t>
  </si>
  <si>
    <t>=LAMBDA(codigo_material;tipo_precio;tipo_cambio;   LET(     precio_mayor; BUSCARX(@codigo_material; HechosInventario[ID_Material]; HechosInventario[Costo_Unitario_Mayor]; 0);     precio_detal; BUSCARX(@codigo_material; HechosInventario[ID_Material]; HechosInventario[Costo_Unitario_Detal]; 0);     moneda; BUSCARX(@codigo_material; HechosInventario[ID_Material]; HechosInventario[Moneda]; "COP");     precio; SI(@tipo_precio &lt;&gt; "VC001"; SI(precio_mayor &gt; 0; precio_mayor; precio_detal); precio_detal);     SI(precio = 0; 0; SI(moneda = "USD"; precio *@ tipo_cambio; precio))   ) )</t>
  </si>
  <si>
    <t>=LAMBDA(cod_producto;cod_talla;cod_tamano;cod_material;tasa_dolar;   LET(     consumo; obtenerConsumoSublimado(cod_tamano; cod_producto; cod_talla);     precio;  VALOR(SI.ERROR(BUSCARX(@cod_material; HechosInventario[ID_Material]; HechosInventario[Costo_Unitario_Detal]); 0));     moneda;  SI.ERROR(BUSCARX(@cod_material; HechosInventario[ID_Material]; HechosInventario[Moneda]); "USD");     costo_unitario; SI(moneda="USD"; precio *@ tasa_dolar; precio);@     consumo * costo_unitario   ) )</t>
  </si>
  <si>
    <t>=LAMBDA(producto;talla;cod_material;tasa_dolar;   LET(     consumo; obtenerconsumotela(producto; talla);     precio; BUSCARX(@cod_material; HechosInventario[ID_Material]; HechosInventario[Costo_Unitario_Detal]);     moneda; BUSCARX(@cod_material; HechosInventario[ID_Material]; HechosInventario[Moneda]);     precio_final; SI(moneda="USD"; precio *@ tasa_dolar; precio);     SI.ERROR(@consumo * precio_final; "No encontrado")   ) )</t>
  </si>
  <si>
    <t>=LAMBDA(cod_tamano;cod_material;tasa_dolar;cantidad;   LET(     consumo; ObtenerConsumoVinil(cod_tamano; cantidad);     precio; SI.ERROR(BUSCARX(@cod_material; HechosInventario[ID_Material]; HechosInventario[Costo_Unitario_Detal]); 0);     moneda; SI.ERROR(BUSCARX(@cod_material; HechosInventario[ID_Material]; HechosInventario[Moneda]); "BS");     costo_unitario; SI(moneda="USD"; precio *@ tasa_dolar; precio);@     consumo * costo_unitario   ) )</t>
  </si>
  <si>
    <t>_xlpm.alto_total</t>
  </si>
  <si>
    <t>_xlpm.ancho_util</t>
  </si>
  <si>
    <t>_xlpm.consumo_m2</t>
  </si>
  <si>
    <t>_xlpm.filas_necesarias</t>
  </si>
  <si>
    <t>_xlpm.piezas_por_fila</t>
  </si>
  <si>
    <t>TAMAÑO DTF</t>
  </si>
  <si>
    <t>Atributo</t>
  </si>
  <si>
    <t>Valor</t>
  </si>
  <si>
    <t>Bolsos</t>
  </si>
  <si>
    <t>P-34</t>
  </si>
  <si>
    <t>Productos con Codigo</t>
  </si>
  <si>
    <t>Tallas con Cod</t>
  </si>
  <si>
    <t>P-34 - Tula</t>
  </si>
  <si>
    <t>Materiales Necesarios para la elaboracion de las prendas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</si>
</sst>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3" formatCode="_-* #,##0.00_-;\-* #,##0.00_-;_-* &quot;-&quot;??_-;_-@_-"/>
    <numFmt numFmtId="164" formatCode="_-* #,##0_-;\-* #,##0_-;_-* &quot;-&quot;??_-;_-@_-"/>
    <numFmt numFmtId="165" formatCode="d/m/yyyy"/>
    <numFmt numFmtId="166" formatCode="&quot;$&quot;#,##0.00"/>
    <numFmt numFmtId="167" formatCode="[$-C0A]dd\-mmm\-yy;@"/>
    <numFmt numFmtId="168" formatCode="_-* #,##0.00\ _€_-;\-* #,##0.00\ _€_-;_-* &quot;-&quot;??\ _€_-;_-@_-"/>
  </numFmts>
  <fonts count="62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indexed="8"/>
      <name val="Calibri"/>
      <family val="2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8"/>
      <color theme="1" tint="0.34998626667073579"/>
      <name val="Aptos Narrow"/>
      <family val="2"/>
      <scheme val="minor"/>
    </font>
    <font>
      <u/>
      <sz val="10"/>
      <color indexed="12"/>
      <name val="Arial"/>
      <family val="2"/>
    </font>
    <font>
      <sz val="11"/>
      <color theme="1" tint="0.34998626667073579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sz val="36"/>
      <color theme="0"/>
      <name val="Aptos Narrow"/>
      <family val="2"/>
      <scheme val="minor"/>
    </font>
    <font>
      <u/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0"/>
      <color theme="1"/>
      <name val="Arial Unicode MS"/>
      <family val="2"/>
    </font>
    <font>
      <b/>
      <sz val="13.5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0"/>
      <color theme="1"/>
      <name val="Arial Unicode MS"/>
      <family val="2"/>
    </font>
    <font>
      <b/>
      <sz val="26"/>
      <color theme="1"/>
      <name val="Calirrow"/>
    </font>
    <font>
      <sz val="26"/>
      <color theme="1"/>
      <name val="Aptos Narrow"/>
      <family val="2"/>
    </font>
    <font>
      <sz val="11"/>
      <color theme="1"/>
      <name val="Calibri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</font>
    <font>
      <sz val="11"/>
      <name val="Aptos Narrow"/>
      <family val="2"/>
    </font>
    <font>
      <sz val="11"/>
      <color rgb="FFFF0000"/>
      <name val="Calibri"/>
      <family val="2"/>
    </font>
    <font>
      <sz val="10"/>
      <color theme="1"/>
      <name val="Aptos Narrow"/>
      <family val="2"/>
    </font>
    <font>
      <sz val="11"/>
      <name val="Aptos Narrow"/>
      <family val="2"/>
      <scheme val="minor"/>
    </font>
    <font>
      <sz val="7"/>
      <color theme="1"/>
      <name val="Calibri"/>
      <family val="2"/>
    </font>
    <font>
      <sz val="11"/>
      <color rgb="FFFF0000"/>
      <name val="Aptos Narrow"/>
      <family val="2"/>
      <scheme val="minor"/>
    </font>
    <font>
      <sz val="11"/>
      <color theme="0"/>
      <name val="Aptos Narrow"/>
      <family val="2"/>
    </font>
    <font>
      <sz val="11"/>
      <color theme="1"/>
      <name val="SimSun"/>
    </font>
    <font>
      <b/>
      <sz val="18"/>
      <color theme="1"/>
      <name val="Aptos Narrow"/>
      <family val="2"/>
      <scheme val="minor"/>
    </font>
    <font>
      <sz val="7"/>
      <name val="Calibri"/>
      <family val="2"/>
    </font>
    <font>
      <sz val="14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Calibri"/>
      <family val="2"/>
    </font>
    <font>
      <b/>
      <sz val="18"/>
      <name val="Calibri"/>
      <family val="2"/>
    </font>
    <font>
      <b/>
      <sz val="18"/>
      <color theme="0"/>
      <name val="Calibri"/>
      <family val="2"/>
    </font>
    <font>
      <sz val="18"/>
      <color theme="1"/>
      <name val="Calibri"/>
      <family val="2"/>
    </font>
    <font>
      <b/>
      <sz val="18"/>
      <color theme="1"/>
      <name val="Calibri"/>
      <family val="2"/>
    </font>
    <font>
      <b/>
      <sz val="18"/>
      <color rgb="FFFF0000"/>
      <name val="Calibri"/>
      <family val="2"/>
    </font>
    <font>
      <sz val="22"/>
      <name val="Aptos Narrow"/>
      <family val="2"/>
    </font>
    <font>
      <sz val="72"/>
      <name val="ADLaM Display"/>
    </font>
    <font>
      <b/>
      <sz val="16"/>
      <color theme="0"/>
      <name val="Calibri"/>
      <family val="2"/>
    </font>
    <font>
      <b/>
      <sz val="20"/>
      <color rgb="FFFF0000"/>
      <name val="Calibri"/>
      <family val="2"/>
    </font>
    <font>
      <sz val="20"/>
      <color rgb="FFFF0000"/>
      <name val="Calibri"/>
      <family val="2"/>
    </font>
    <font>
      <b/>
      <sz val="20"/>
      <color theme="1"/>
      <name val="Calibri"/>
      <family val="2"/>
    </font>
    <font>
      <sz val="20"/>
      <color theme="1"/>
      <name val="Calibri"/>
      <family val="2"/>
    </font>
    <font>
      <b/>
      <sz val="20"/>
      <color theme="1"/>
      <name val="Aptos Narrow"/>
      <family val="2"/>
      <scheme val="minor"/>
    </font>
    <font>
      <sz val="2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20"/>
      <color rgb="FF000000"/>
      <name val="Aptos Narrow"/>
      <family val="2"/>
      <scheme val="minor"/>
    </font>
    <font>
      <sz val="20"/>
      <name val="Calibri"/>
      <family val="2"/>
    </font>
    <font>
      <sz val="20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20"/>
      <color theme="1"/>
      <name val="Aptos Narrow"/>
      <family val="2"/>
    </font>
    <font>
      <sz val="26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C000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0" tint="-0.249977111117893"/>
        <bgColor rgb="FF00B050"/>
      </patternFill>
    </fill>
    <fill>
      <patternFill patternType="solid">
        <fgColor rgb="FF0993FE"/>
        <bgColor rgb="FF0070C0"/>
      </patternFill>
    </fill>
    <fill>
      <patternFill patternType="solid">
        <fgColor rgb="FF0993FE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rgb="FFD8D8D8"/>
      </left>
      <right/>
      <top style="medium">
        <color rgb="FFD8D8D8"/>
      </top>
      <bottom style="medium">
        <color rgb="FFD8D8D8"/>
      </bottom>
      <diagonal/>
    </border>
    <border>
      <left/>
      <right/>
      <top style="medium">
        <color rgb="FFD8D8D8"/>
      </top>
      <bottom style="medium">
        <color rgb="FFD8D8D8"/>
      </bottom>
      <diagonal/>
    </border>
    <border>
      <left/>
      <right style="medium">
        <color rgb="FFD8D8D8"/>
      </right>
      <top style="medium">
        <color rgb="FFD8D8D8"/>
      </top>
      <bottom style="medium">
        <color rgb="FFD8D8D8"/>
      </bottom>
      <diagonal/>
    </border>
    <border>
      <left/>
      <right/>
      <top style="medium">
        <color rgb="FFD8D8D8"/>
      </top>
      <bottom/>
      <diagonal/>
    </border>
    <border>
      <left/>
      <right style="medium">
        <color rgb="FFD8D8D8"/>
      </right>
      <top style="medium">
        <color rgb="FFD8D8D8"/>
      </top>
      <bottom/>
      <diagonal/>
    </border>
    <border>
      <left/>
      <right/>
      <top/>
      <bottom style="medium">
        <color rgb="FFD8D8D8"/>
      </bottom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 style="thin">
        <color theme="0" tint="-0.14999847407452621"/>
      </top>
      <bottom/>
      <diagonal/>
    </border>
    <border>
      <left/>
      <right style="medium">
        <color theme="0" tint="-0.14999847407452621"/>
      </right>
      <top/>
      <bottom/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/>
      <right/>
      <top/>
      <bottom style="thin">
        <color theme="1"/>
      </bottom>
      <diagonal/>
    </border>
    <border>
      <left style="thick">
        <color theme="0" tint="-0.14999847407452621"/>
      </left>
      <right style="thick">
        <color theme="0" tint="-0.14999847407452621"/>
      </right>
      <top style="thick">
        <color theme="0" tint="-0.14999847407452621"/>
      </top>
      <bottom style="thick">
        <color theme="0" tint="-0.14999847407452621"/>
      </bottom>
      <diagonal/>
    </border>
    <border>
      <left/>
      <right style="thick">
        <color theme="0" tint="-0.14999847407452621"/>
      </right>
      <top style="thick">
        <color theme="0" tint="-0.14999847407452621"/>
      </top>
      <bottom style="thick">
        <color theme="0" tint="-0.14999847407452621"/>
      </bottom>
      <diagonal/>
    </border>
    <border>
      <left style="thick">
        <color theme="0" tint="-0.14999847407452621"/>
      </left>
      <right/>
      <top style="thick">
        <color theme="0" tint="-0.14999847407452621"/>
      </top>
      <bottom style="thick">
        <color theme="0" tint="-0.14999847407452621"/>
      </bottom>
      <diagonal/>
    </border>
    <border>
      <left/>
      <right style="thick">
        <color theme="0" tint="-0.14999847407452621"/>
      </right>
      <top/>
      <bottom style="thick">
        <color theme="0" tint="-0.14999847407452621"/>
      </bottom>
      <diagonal/>
    </border>
    <border>
      <left style="thick">
        <color theme="0" tint="-0.14999847407452621"/>
      </left>
      <right style="thick">
        <color theme="0" tint="-0.14999847407452621"/>
      </right>
      <top/>
      <bottom style="thick">
        <color theme="0" tint="-0.14999847407452621"/>
      </bottom>
      <diagonal/>
    </border>
    <border>
      <left style="thick">
        <color theme="0" tint="-0.14999847407452621"/>
      </left>
      <right/>
      <top/>
      <bottom style="thick">
        <color theme="0" tint="-0.14999847407452621"/>
      </bottom>
      <diagonal/>
    </border>
    <border>
      <left/>
      <right style="thick">
        <color theme="0" tint="-0.14999847407452621"/>
      </right>
      <top style="thick">
        <color theme="0" tint="-0.14999847407452621"/>
      </top>
      <bottom/>
      <diagonal/>
    </border>
    <border>
      <left style="thick">
        <color theme="0" tint="-0.14999847407452621"/>
      </left>
      <right style="thick">
        <color theme="0" tint="-0.14999847407452621"/>
      </right>
      <top style="thick">
        <color theme="0" tint="-0.14999847407452621"/>
      </top>
      <bottom/>
      <diagonal/>
    </border>
    <border>
      <left style="thick">
        <color theme="0" tint="-0.14999847407452621"/>
      </left>
      <right/>
      <top style="thick">
        <color theme="0" tint="-0.14999847407452621"/>
      </top>
      <bottom/>
      <diagonal/>
    </border>
    <border>
      <left/>
      <right/>
      <top style="thick">
        <color theme="0" tint="-0.14999847407452621"/>
      </top>
      <bottom/>
      <diagonal/>
    </border>
    <border>
      <left/>
      <right/>
      <top/>
      <bottom style="thick">
        <color theme="0" tint="-0.14999847407452621"/>
      </bottom>
      <diagonal/>
    </border>
    <border>
      <left style="thick">
        <color theme="0" tint="-0.14999847407452621"/>
      </left>
      <right/>
      <top/>
      <bottom/>
      <diagonal/>
    </border>
    <border>
      <left/>
      <right style="thick">
        <color theme="0" tint="-0.14999847407452621"/>
      </right>
      <top/>
      <bottom/>
      <diagonal/>
    </border>
    <border>
      <left style="thick">
        <color theme="0" tint="-0.14999847407452621"/>
      </left>
      <right style="thick">
        <color theme="0" tint="-0.14999847407452621"/>
      </right>
      <top style="thick">
        <color theme="0" tint="-0.14999847407452621"/>
      </top>
      <bottom style="thin">
        <color theme="4" tint="0.39997558519241921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43" fontId="12" fillId="0" borderId="0" applyFont="0" applyFill="0" applyBorder="0" applyAlignment="0" applyProtection="0"/>
  </cellStyleXfs>
  <cellXfs count="210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2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1" fillId="0" borderId="0" xfId="0" applyFont="1" applyAlignment="1">
      <alignment vertical="center" wrapText="1"/>
    </xf>
    <xf numFmtId="0" fontId="6" fillId="0" borderId="0" xfId="0" applyFont="1"/>
    <xf numFmtId="0" fontId="8" fillId="0" borderId="0" xfId="0" applyFont="1" applyAlignment="1">
      <alignment horizontal="center" vertical="center" wrapText="1"/>
    </xf>
    <xf numFmtId="0" fontId="0" fillId="2" borderId="3" xfId="0" applyFill="1" applyBorder="1" applyAlignment="1">
      <alignment horizontal="center"/>
    </xf>
    <xf numFmtId="2" fontId="0" fillId="2" borderId="3" xfId="0" applyNumberForma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9" fillId="0" borderId="0" xfId="0" applyFont="1"/>
    <xf numFmtId="0" fontId="5" fillId="0" borderId="0" xfId="1" applyBorder="1"/>
    <xf numFmtId="1" fontId="0" fillId="2" borderId="0" xfId="0" applyNumberFormat="1" applyFill="1" applyAlignment="1">
      <alignment horizontal="center"/>
    </xf>
    <xf numFmtId="0" fontId="0" fillId="0" borderId="9" xfId="0" applyBorder="1"/>
    <xf numFmtId="0" fontId="0" fillId="0" borderId="10" xfId="0" applyBorder="1"/>
    <xf numFmtId="0" fontId="0" fillId="0" borderId="4" xfId="0" applyBorder="1"/>
    <xf numFmtId="0" fontId="5" fillId="0" borderId="4" xfId="1" applyBorder="1"/>
    <xf numFmtId="0" fontId="0" fillId="0" borderId="11" xfId="0" applyBorder="1"/>
    <xf numFmtId="0" fontId="6" fillId="0" borderId="0" xfId="0" applyFont="1" applyAlignment="1">
      <alignment horizontal="left"/>
    </xf>
    <xf numFmtId="14" fontId="0" fillId="0" borderId="0" xfId="0" applyNumberFormat="1"/>
    <xf numFmtId="0" fontId="5" fillId="0" borderId="0" xfId="1" applyFill="1"/>
    <xf numFmtId="0" fontId="5" fillId="0" borderId="0" xfId="1" applyAlignment="1">
      <alignment horizontal="left"/>
    </xf>
    <xf numFmtId="0" fontId="5" fillId="0" borderId="0" xfId="1"/>
    <xf numFmtId="0" fontId="4" fillId="0" borderId="0" xfId="0" applyFont="1"/>
    <xf numFmtId="0" fontId="11" fillId="0" borderId="0" xfId="1" applyFont="1" applyBorder="1"/>
    <xf numFmtId="164" fontId="0" fillId="0" borderId="0" xfId="3" applyNumberFormat="1" applyFont="1"/>
    <xf numFmtId="0" fontId="14" fillId="0" borderId="0" xfId="0" applyFont="1"/>
    <xf numFmtId="0" fontId="0" fillId="4" borderId="0" xfId="0" applyFill="1" applyAlignment="1">
      <alignment vertical="center" wrapText="1"/>
    </xf>
    <xf numFmtId="0" fontId="13" fillId="0" borderId="0" xfId="0" applyFont="1" applyAlignment="1">
      <alignment vertical="center"/>
    </xf>
    <xf numFmtId="164" fontId="0" fillId="0" borderId="0" xfId="3" applyNumberFormat="1" applyFont="1" applyAlignment="1"/>
    <xf numFmtId="0" fontId="4" fillId="0" borderId="0" xfId="0" applyFont="1" applyAlignment="1">
      <alignment vertical="center"/>
    </xf>
    <xf numFmtId="2" fontId="2" fillId="0" borderId="0" xfId="0" applyNumberFormat="1" applyFont="1" applyAlignment="1">
      <alignment horizontal="right" vertical="center" wrapText="1"/>
    </xf>
    <xf numFmtId="2" fontId="0" fillId="0" borderId="0" xfId="0" applyNumberFormat="1" applyAlignment="1">
      <alignment horizontal="right" vertical="center" wrapText="1"/>
    </xf>
    <xf numFmtId="0" fontId="0" fillId="5" borderId="0" xfId="0" applyFill="1"/>
    <xf numFmtId="43" fontId="2" fillId="0" borderId="0" xfId="3" applyFont="1" applyAlignment="1">
      <alignment horizontal="center" vertical="center" wrapText="1"/>
    </xf>
    <xf numFmtId="43" fontId="0" fillId="0" borderId="0" xfId="3" applyFont="1" applyAlignment="1">
      <alignment horizontal="center" vertical="center" wrapText="1"/>
    </xf>
    <xf numFmtId="0" fontId="1" fillId="0" borderId="0" xfId="0" applyFont="1"/>
    <xf numFmtId="0" fontId="14" fillId="0" borderId="0" xfId="0" applyFont="1" applyAlignment="1">
      <alignment vertical="center" wrapText="1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17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19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65" fontId="20" fillId="0" borderId="0" xfId="0" applyNumberFormat="1" applyFont="1" applyAlignment="1">
      <alignment horizontal="center" vertical="center" shrinkToFit="1"/>
    </xf>
    <xf numFmtId="0" fontId="20" fillId="0" borderId="0" xfId="0" applyFont="1"/>
    <xf numFmtId="0" fontId="20" fillId="0" borderId="0" xfId="0" applyFont="1" applyAlignment="1">
      <alignment horizontal="center" vertical="top"/>
    </xf>
    <xf numFmtId="0" fontId="18" fillId="0" borderId="0" xfId="0" applyFont="1" applyAlignment="1">
      <alignment vertical="center"/>
    </xf>
    <xf numFmtId="0" fontId="20" fillId="0" borderId="0" xfId="0" applyFont="1" applyAlignment="1">
      <alignment vertical="top"/>
    </xf>
    <xf numFmtId="0" fontId="26" fillId="0" borderId="0" xfId="0" applyFont="1"/>
    <xf numFmtId="0" fontId="27" fillId="0" borderId="0" xfId="0" quotePrefix="1" applyFont="1" applyAlignment="1">
      <alignment wrapText="1"/>
    </xf>
    <xf numFmtId="0" fontId="0" fillId="11" borderId="0" xfId="0" applyFill="1"/>
    <xf numFmtId="0" fontId="30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1" fillId="0" borderId="0" xfId="0" applyFont="1" applyAlignment="1">
      <alignment horizontal="center" wrapText="1"/>
    </xf>
    <xf numFmtId="0" fontId="0" fillId="12" borderId="0" xfId="0" applyFill="1"/>
    <xf numFmtId="0" fontId="26" fillId="0" borderId="0" xfId="0" applyFont="1" applyAlignment="1">
      <alignment vertical="center"/>
    </xf>
    <xf numFmtId="0" fontId="32" fillId="0" borderId="0" xfId="0" quotePrefix="1" applyFont="1" applyAlignment="1">
      <alignment vertical="center" wrapText="1"/>
    </xf>
    <xf numFmtId="0" fontId="26" fillId="0" borderId="0" xfId="0" applyFont="1" applyAlignment="1">
      <alignment horizontal="center" vertical="center"/>
    </xf>
    <xf numFmtId="0" fontId="33" fillId="0" borderId="0" xfId="0" applyFont="1"/>
    <xf numFmtId="0" fontId="0" fillId="0" borderId="0" xfId="0" applyAlignment="1">
      <alignment vertical="top"/>
    </xf>
    <xf numFmtId="0" fontId="33" fillId="13" borderId="0" xfId="0" applyFont="1" applyFill="1"/>
    <xf numFmtId="43" fontId="0" fillId="0" borderId="0" xfId="3" applyFont="1" applyFill="1"/>
    <xf numFmtId="43" fontId="0" fillId="0" borderId="23" xfId="3" applyFont="1" applyFill="1" applyBorder="1" applyAlignment="1">
      <alignment horizontal="center" vertical="center" wrapText="1"/>
    </xf>
    <xf numFmtId="43" fontId="0" fillId="0" borderId="0" xfId="3" applyFont="1" applyFill="1" applyAlignment="1">
      <alignment horizontal="right"/>
    </xf>
    <xf numFmtId="43" fontId="33" fillId="0" borderId="0" xfId="3" applyFont="1" applyFill="1"/>
    <xf numFmtId="0" fontId="23" fillId="0" borderId="13" xfId="0" applyFont="1" applyBorder="1"/>
    <xf numFmtId="0" fontId="23" fillId="0" borderId="14" xfId="0" applyFont="1" applyBorder="1"/>
    <xf numFmtId="0" fontId="22" fillId="10" borderId="12" xfId="0" applyFont="1" applyFill="1" applyBorder="1" applyAlignment="1">
      <alignment horizontal="center" vertical="center"/>
    </xf>
    <xf numFmtId="0" fontId="20" fillId="0" borderId="18" xfId="0" applyFont="1" applyBorder="1" applyAlignment="1">
      <alignment horizontal="left" vertical="top" wrapText="1"/>
    </xf>
    <xf numFmtId="0" fontId="20" fillId="0" borderId="20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21" xfId="0" applyFont="1" applyBorder="1" applyAlignment="1">
      <alignment horizontal="left" vertical="top" wrapText="1"/>
    </xf>
    <xf numFmtId="0" fontId="20" fillId="0" borderId="19" xfId="0" applyFont="1" applyBorder="1" applyAlignment="1">
      <alignment horizontal="left" vertical="top" wrapText="1"/>
    </xf>
    <xf numFmtId="0" fontId="20" fillId="0" borderId="22" xfId="0" applyFont="1" applyBorder="1" applyAlignment="1">
      <alignment horizontal="left" vertical="top" wrapText="1"/>
    </xf>
    <xf numFmtId="0" fontId="29" fillId="9" borderId="15" xfId="0" applyFont="1" applyFill="1" applyBorder="1"/>
    <xf numFmtId="0" fontId="29" fillId="9" borderId="16" xfId="0" applyFont="1" applyFill="1" applyBorder="1"/>
    <xf numFmtId="0" fontId="1" fillId="0" borderId="0" xfId="0" applyFont="1" applyAlignment="1">
      <alignment wrapText="1"/>
    </xf>
    <xf numFmtId="0" fontId="26" fillId="0" borderId="0" xfId="0" applyFont="1" applyAlignment="1">
      <alignment wrapText="1"/>
    </xf>
    <xf numFmtId="43" fontId="26" fillId="0" borderId="0" xfId="0" applyNumberFormat="1" applyFont="1" applyAlignment="1">
      <alignment wrapText="1"/>
    </xf>
    <xf numFmtId="1" fontId="24" fillId="0" borderId="0" xfId="0" applyNumberFormat="1" applyFont="1" applyAlignment="1">
      <alignment horizontal="center" vertical="center"/>
    </xf>
    <xf numFmtId="166" fontId="20" fillId="0" borderId="13" xfId="0" applyNumberFormat="1" applyFont="1" applyBorder="1" applyAlignment="1">
      <alignment horizontal="center" vertical="center"/>
    </xf>
    <xf numFmtId="166" fontId="20" fillId="0" borderId="14" xfId="0" applyNumberFormat="1" applyFont="1" applyBorder="1" applyAlignment="1">
      <alignment horizontal="center" vertical="center"/>
    </xf>
    <xf numFmtId="0" fontId="25" fillId="0" borderId="13" xfId="0" applyFont="1" applyBorder="1" applyAlignment="1">
      <alignment horizontal="left" vertical="center"/>
    </xf>
    <xf numFmtId="0" fontId="25" fillId="0" borderId="14" xfId="0" applyFont="1" applyBorder="1" applyAlignment="1">
      <alignment horizontal="left" vertical="center"/>
    </xf>
    <xf numFmtId="0" fontId="20" fillId="0" borderId="13" xfId="0" applyFont="1" applyBorder="1"/>
    <xf numFmtId="0" fontId="22" fillId="10" borderId="12" xfId="0" applyFont="1" applyFill="1" applyBorder="1" applyAlignment="1">
      <alignment vertical="center" shrinkToFit="1"/>
    </xf>
    <xf numFmtId="0" fontId="22" fillId="10" borderId="13" xfId="0" applyFont="1" applyFill="1" applyBorder="1" applyAlignment="1">
      <alignment vertical="center" shrinkToFit="1"/>
    </xf>
    <xf numFmtId="0" fontId="23" fillId="10" borderId="13" xfId="0" applyFont="1" applyFill="1" applyBorder="1"/>
    <xf numFmtId="0" fontId="29" fillId="0" borderId="0" xfId="0" applyFont="1"/>
    <xf numFmtId="0" fontId="23" fillId="0" borderId="0" xfId="0" applyFont="1"/>
    <xf numFmtId="167" fontId="36" fillId="2" borderId="0" xfId="0" applyNumberFormat="1" applyFont="1" applyFill="1" applyAlignment="1">
      <alignment horizontal="center" vertical="center"/>
    </xf>
    <xf numFmtId="168" fontId="0" fillId="0" borderId="0" xfId="0" applyNumberFormat="1"/>
    <xf numFmtId="0" fontId="20" fillId="0" borderId="0" xfId="0" applyFont="1" applyAlignment="1">
      <alignment horizontal="left" vertical="center"/>
    </xf>
    <xf numFmtId="0" fontId="40" fillId="0" borderId="24" xfId="0" applyFont="1" applyBorder="1" applyAlignment="1">
      <alignment vertical="center"/>
    </xf>
    <xf numFmtId="0" fontId="37" fillId="7" borderId="27" xfId="0" applyFont="1" applyFill="1" applyBorder="1" applyAlignment="1">
      <alignment horizontal="center" vertical="center"/>
    </xf>
    <xf numFmtId="0" fontId="37" fillId="7" borderId="28" xfId="0" applyFont="1" applyFill="1" applyBorder="1" applyAlignment="1">
      <alignment horizontal="center" vertical="center"/>
    </xf>
    <xf numFmtId="0" fontId="38" fillId="8" borderId="28" xfId="0" applyFont="1" applyFill="1" applyBorder="1" applyAlignment="1">
      <alignment horizontal="center" vertical="center"/>
    </xf>
    <xf numFmtId="0" fontId="37" fillId="7" borderId="29" xfId="0" applyFont="1" applyFill="1" applyBorder="1" applyAlignment="1">
      <alignment horizontal="center" vertical="center"/>
    </xf>
    <xf numFmtId="43" fontId="1" fillId="0" borderId="0" xfId="3" applyFont="1" applyFill="1" applyAlignment="1"/>
    <xf numFmtId="0" fontId="1" fillId="0" borderId="23" xfId="0" applyFont="1" applyBorder="1" applyAlignment="1">
      <alignment horizontal="center" vertical="center" wrapText="1"/>
    </xf>
    <xf numFmtId="0" fontId="42" fillId="10" borderId="13" xfId="0" applyFont="1" applyFill="1" applyBorder="1" applyAlignment="1">
      <alignment vertical="center"/>
    </xf>
    <xf numFmtId="0" fontId="22" fillId="10" borderId="13" xfId="0" applyFont="1" applyFill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1" fillId="6" borderId="17" xfId="0" applyFont="1" applyFill="1" applyBorder="1" applyAlignment="1">
      <alignment vertical="center"/>
    </xf>
    <xf numFmtId="166" fontId="39" fillId="0" borderId="37" xfId="0" applyNumberFormat="1" applyFont="1" applyBorder="1" applyAlignment="1">
      <alignment horizontal="right" vertical="center"/>
    </xf>
    <xf numFmtId="0" fontId="45" fillId="0" borderId="24" xfId="0" applyFont="1" applyBorder="1" applyAlignment="1">
      <alignment vertical="center"/>
    </xf>
    <xf numFmtId="166" fontId="46" fillId="0" borderId="37" xfId="0" applyNumberFormat="1" applyFont="1" applyBorder="1" applyAlignment="1">
      <alignment horizontal="right" vertical="center"/>
    </xf>
    <xf numFmtId="0" fontId="47" fillId="0" borderId="24" xfId="0" applyFont="1" applyBorder="1" applyAlignment="1">
      <alignment vertical="center"/>
    </xf>
    <xf numFmtId="0" fontId="31" fillId="0" borderId="0" xfId="0" applyFont="1" applyAlignment="1">
      <alignment horizontal="right" vertical="center" wrapText="1"/>
    </xf>
    <xf numFmtId="0" fontId="50" fillId="0" borderId="0" xfId="0" applyFont="1" applyAlignment="1">
      <alignment horizontal="left" vertical="center"/>
    </xf>
    <xf numFmtId="0" fontId="50" fillId="0" borderId="0" xfId="0" applyFont="1" applyAlignment="1">
      <alignment horizontal="left" vertical="center" wrapText="1"/>
    </xf>
    <xf numFmtId="43" fontId="50" fillId="0" borderId="0" xfId="3" applyFont="1" applyAlignment="1">
      <alignment horizontal="right" vertical="center"/>
    </xf>
    <xf numFmtId="43" fontId="50" fillId="0" borderId="0" xfId="3" applyFont="1" applyAlignment="1">
      <alignment horizontal="right" vertical="center" wrapText="1"/>
    </xf>
    <xf numFmtId="0" fontId="48" fillId="0" borderId="0" xfId="0" applyFont="1" applyAlignment="1">
      <alignment horizontal="center" vertical="center"/>
    </xf>
    <xf numFmtId="0" fontId="48" fillId="0" borderId="0" xfId="0" applyFont="1" applyAlignment="1">
      <alignment horizontal="left" vertical="center" wrapText="1"/>
    </xf>
    <xf numFmtId="43" fontId="48" fillId="0" borderId="0" xfId="0" applyNumberFormat="1" applyFont="1" applyAlignment="1">
      <alignment horizontal="center" vertical="center"/>
    </xf>
    <xf numFmtId="2" fontId="31" fillId="0" borderId="0" xfId="0" applyNumberFormat="1" applyFont="1" applyAlignment="1">
      <alignment horizontal="right" vertical="center"/>
    </xf>
    <xf numFmtId="43" fontId="51" fillId="0" borderId="0" xfId="3" applyFont="1" applyFill="1" applyAlignment="1">
      <alignment horizontal="right" vertical="center"/>
    </xf>
    <xf numFmtId="0" fontId="52" fillId="0" borderId="2" xfId="0" applyFont="1" applyBorder="1" applyAlignment="1">
      <alignment horizontal="center" vertical="center"/>
    </xf>
    <xf numFmtId="0" fontId="52" fillId="0" borderId="2" xfId="0" applyFont="1" applyBorder="1" applyAlignment="1">
      <alignment horizontal="center" vertical="center" wrapText="1"/>
    </xf>
    <xf numFmtId="0" fontId="52" fillId="0" borderId="1" xfId="0" applyFont="1" applyBorder="1" applyAlignment="1">
      <alignment horizontal="center" vertical="center" wrapText="1"/>
    </xf>
    <xf numFmtId="0" fontId="53" fillId="10" borderId="2" xfId="0" applyFont="1" applyFill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0" fontId="53" fillId="0" borderId="1" xfId="0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0" fontId="49" fillId="0" borderId="0" xfId="0" applyFont="1" applyAlignment="1">
      <alignment horizontal="center" vertical="center" wrapText="1"/>
    </xf>
    <xf numFmtId="0" fontId="51" fillId="0" borderId="0" xfId="0" applyFont="1"/>
    <xf numFmtId="0" fontId="54" fillId="0" borderId="0" xfId="0" applyFont="1"/>
    <xf numFmtId="43" fontId="54" fillId="0" borderId="0" xfId="3" applyFont="1"/>
    <xf numFmtId="0" fontId="54" fillId="0" borderId="0" xfId="0" applyFont="1" applyAlignment="1">
      <alignment horizontal="center" vertical="center"/>
    </xf>
    <xf numFmtId="168" fontId="55" fillId="0" borderId="0" xfId="0" applyNumberFormat="1" applyFont="1" applyAlignment="1">
      <alignment horizontal="center" vertical="center"/>
    </xf>
    <xf numFmtId="43" fontId="56" fillId="0" borderId="0" xfId="3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54" fillId="14" borderId="0" xfId="0" applyFont="1" applyFill="1"/>
    <xf numFmtId="0" fontId="0" fillId="0" borderId="0" xfId="0" quotePrefix="1"/>
    <xf numFmtId="0" fontId="0" fillId="0" borderId="0" xfId="0" applyAlignment="1">
      <alignment horizontal="right" vertical="center"/>
    </xf>
    <xf numFmtId="0" fontId="26" fillId="0" borderId="0" xfId="0" applyFont="1" applyAlignment="1">
      <alignment horizontal="right" vertical="center"/>
    </xf>
    <xf numFmtId="0" fontId="26" fillId="0" borderId="0" xfId="0" applyFont="1" applyAlignment="1">
      <alignment horizontal="right"/>
    </xf>
    <xf numFmtId="0" fontId="51" fillId="0" borderId="0" xfId="0" applyFont="1" applyAlignment="1">
      <alignment horizontal="right" vertical="center"/>
    </xf>
    <xf numFmtId="43" fontId="1" fillId="0" borderId="0" xfId="3" applyFont="1" applyFill="1" applyAlignment="1">
      <alignment horizontal="right"/>
    </xf>
    <xf numFmtId="0" fontId="1" fillId="0" borderId="0" xfId="0" applyFont="1" applyAlignment="1">
      <alignment horizontal="right" wrapText="1"/>
    </xf>
    <xf numFmtId="0" fontId="14" fillId="0" borderId="0" xfId="0" applyFont="1" applyAlignment="1">
      <alignment horizontal="right" wrapText="1"/>
    </xf>
    <xf numFmtId="2" fontId="31" fillId="0" borderId="0" xfId="0" applyNumberFormat="1" applyFont="1" applyAlignment="1">
      <alignment horizontal="right"/>
    </xf>
    <xf numFmtId="2" fontId="16" fillId="0" borderId="0" xfId="0" applyNumberFormat="1" applyFont="1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applyAlignment="1">
      <alignment horizontal="left" vertical="top" wrapText="1"/>
    </xf>
    <xf numFmtId="0" fontId="17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0" fillId="5" borderId="0" xfId="0" applyFill="1" applyAlignment="1">
      <alignment horizontal="center" vertical="center"/>
    </xf>
    <xf numFmtId="0" fontId="39" fillId="0" borderId="30" xfId="0" applyFont="1" applyBorder="1" applyAlignment="1">
      <alignment horizontal="center" vertical="center"/>
    </xf>
    <xf numFmtId="0" fontId="39" fillId="0" borderId="31" xfId="0" applyFont="1" applyBorder="1" applyAlignment="1">
      <alignment horizontal="center" vertical="center"/>
    </xf>
    <xf numFmtId="0" fontId="39" fillId="0" borderId="31" xfId="0" applyFont="1" applyBorder="1" applyAlignment="1">
      <alignment horizontal="left" vertical="center" wrapText="1"/>
    </xf>
    <xf numFmtId="166" fontId="39" fillId="0" borderId="31" xfId="0" applyNumberFormat="1" applyFont="1" applyBorder="1" applyAlignment="1">
      <alignment horizontal="right" vertical="center"/>
    </xf>
    <xf numFmtId="166" fontId="39" fillId="0" borderId="32" xfId="0" applyNumberFormat="1" applyFont="1" applyBorder="1" applyAlignment="1">
      <alignment horizontal="right" vertical="center"/>
    </xf>
    <xf numFmtId="0" fontId="57" fillId="0" borderId="0" xfId="0" applyFont="1" applyAlignment="1">
      <alignment horizontal="right"/>
    </xf>
    <xf numFmtId="0" fontId="50" fillId="0" borderId="1" xfId="0" applyFont="1" applyBorder="1" applyAlignment="1">
      <alignment horizontal="center" vertical="center"/>
    </xf>
    <xf numFmtId="15" fontId="0" fillId="0" borderId="0" xfId="0" applyNumberFormat="1"/>
    <xf numFmtId="0" fontId="14" fillId="0" borderId="0" xfId="0" quotePrefix="1" applyFont="1" applyAlignment="1">
      <alignment vertical="center" wrapText="1"/>
    </xf>
    <xf numFmtId="0" fontId="58" fillId="0" borderId="0" xfId="0" applyFont="1"/>
    <xf numFmtId="43" fontId="58" fillId="0" borderId="0" xfId="3" applyFont="1"/>
    <xf numFmtId="2" fontId="59" fillId="0" borderId="0" xfId="0" applyNumberFormat="1" applyFont="1" applyAlignment="1">
      <alignment horizontal="right"/>
    </xf>
    <xf numFmtId="43" fontId="0" fillId="0" borderId="0" xfId="3" applyFont="1"/>
    <xf numFmtId="43" fontId="17" fillId="0" borderId="0" xfId="3" applyFont="1" applyAlignment="1">
      <alignment horizontal="center" vertical="center" wrapText="1"/>
    </xf>
    <xf numFmtId="43" fontId="0" fillId="0" borderId="0" xfId="3" applyFont="1" applyAlignment="1">
      <alignment vertical="center" wrapText="1"/>
    </xf>
    <xf numFmtId="0" fontId="53" fillId="0" borderId="2" xfId="0" applyFont="1" applyBorder="1" applyAlignment="1">
      <alignment horizontal="center" vertical="center" wrapText="1"/>
    </xf>
    <xf numFmtId="166" fontId="39" fillId="0" borderId="24" xfId="0" applyNumberFormat="1" applyFont="1" applyBorder="1" applyAlignment="1">
      <alignment horizontal="right" vertical="center"/>
    </xf>
    <xf numFmtId="0" fontId="60" fillId="0" borderId="0" xfId="0" applyFont="1" applyAlignment="1">
      <alignment horizontal="center" vertical="center"/>
    </xf>
    <xf numFmtId="0" fontId="61" fillId="0" borderId="0" xfId="0" quotePrefix="1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39" fillId="0" borderId="24" xfId="0" applyFont="1" applyBorder="1" applyAlignment="1">
      <alignment horizontal="left" vertical="top" wrapText="1"/>
    </xf>
    <xf numFmtId="0" fontId="44" fillId="8" borderId="12" xfId="0" applyFont="1" applyFill="1" applyBorder="1" applyAlignment="1">
      <alignment horizontal="left" vertical="center"/>
    </xf>
    <xf numFmtId="0" fontId="44" fillId="8" borderId="13" xfId="0" applyFont="1" applyFill="1" applyBorder="1" applyAlignment="1">
      <alignment horizontal="left" vertical="center"/>
    </xf>
    <xf numFmtId="0" fontId="39" fillId="0" borderId="32" xfId="0" applyFont="1" applyBorder="1" applyAlignment="1">
      <alignment horizontal="left" vertical="top" wrapText="1"/>
    </xf>
    <xf numFmtId="0" fontId="39" fillId="0" borderId="33" xfId="0" applyFont="1" applyBorder="1" applyAlignment="1">
      <alignment horizontal="left" vertical="top" wrapText="1"/>
    </xf>
    <xf numFmtId="0" fontId="39" fillId="0" borderId="30" xfId="0" applyFont="1" applyBorder="1" applyAlignment="1">
      <alignment horizontal="left" vertical="top" wrapText="1"/>
    </xf>
    <xf numFmtId="0" fontId="39" fillId="0" borderId="35" xfId="0" applyFont="1" applyBorder="1" applyAlignment="1">
      <alignment horizontal="left" vertical="top" wrapText="1"/>
    </xf>
    <xf numFmtId="0" fontId="39" fillId="0" borderId="0" xfId="0" applyFont="1" applyAlignment="1">
      <alignment horizontal="left" vertical="top" wrapText="1"/>
    </xf>
    <xf numFmtId="0" fontId="39" fillId="0" borderId="36" xfId="0" applyFont="1" applyBorder="1" applyAlignment="1">
      <alignment horizontal="left" vertical="top" wrapText="1"/>
    </xf>
    <xf numFmtId="0" fontId="39" fillId="0" borderId="29" xfId="0" applyFont="1" applyBorder="1" applyAlignment="1">
      <alignment horizontal="left" vertical="top" wrapText="1"/>
    </xf>
    <xf numFmtId="0" fontId="39" fillId="0" borderId="34" xfId="0" applyFont="1" applyBorder="1" applyAlignment="1">
      <alignment horizontal="left" vertical="top" wrapText="1"/>
    </xf>
    <xf numFmtId="0" fontId="39" fillId="0" borderId="27" xfId="0" applyFont="1" applyBorder="1" applyAlignment="1">
      <alignment horizontal="left" vertical="top" wrapText="1"/>
    </xf>
    <xf numFmtId="0" fontId="22" fillId="0" borderId="0" xfId="0" applyFont="1" applyAlignment="1">
      <alignment horizontal="right" vertical="center"/>
    </xf>
    <xf numFmtId="165" fontId="20" fillId="0" borderId="0" xfId="0" applyNumberFormat="1" applyFont="1" applyAlignment="1">
      <alignment horizontal="center" vertical="center" shrinkToFit="1"/>
    </xf>
    <xf numFmtId="0" fontId="40" fillId="0" borderId="26" xfId="0" applyFont="1" applyBorder="1" applyAlignment="1">
      <alignment horizontal="right" vertical="center"/>
    </xf>
    <xf numFmtId="0" fontId="40" fillId="0" borderId="25" xfId="0" applyFont="1" applyBorder="1" applyAlignment="1">
      <alignment horizontal="right" vertical="center"/>
    </xf>
    <xf numFmtId="0" fontId="22" fillId="0" borderId="0" xfId="0" applyFont="1" applyAlignment="1">
      <alignment horizontal="left" vertical="center"/>
    </xf>
    <xf numFmtId="0" fontId="23" fillId="0" borderId="0" xfId="0" applyFont="1"/>
    <xf numFmtId="2" fontId="49" fillId="0" borderId="0" xfId="0" applyNumberFormat="1" applyFont="1" applyAlignment="1">
      <alignment horizontal="center" vertical="center" wrapText="1"/>
    </xf>
    <xf numFmtId="0" fontId="43" fillId="0" borderId="0" xfId="0" applyFont="1" applyAlignment="1">
      <alignment horizontal="center"/>
    </xf>
    <xf numFmtId="0" fontId="10" fillId="3" borderId="0" xfId="0" applyFont="1" applyFill="1" applyAlignment="1">
      <alignment horizontal="center"/>
    </xf>
    <xf numFmtId="0" fontId="4" fillId="3" borderId="4" xfId="0" applyFont="1" applyFill="1" applyBorder="1" applyAlignment="1">
      <alignment horizontal="center"/>
    </xf>
  </cellXfs>
  <cellStyles count="4">
    <cellStyle name="Hipervínculo" xfId="1" builtinId="8"/>
    <cellStyle name="Hipervínculo 3" xfId="2" xr:uid="{8338C644-658E-4068-8C03-C34752BFA9F8}"/>
    <cellStyle name="Millares" xfId="3" builtinId="3"/>
    <cellStyle name="Normal" xfId="0" builtinId="0"/>
  </cellStyles>
  <dxfs count="108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FFC000"/>
        </patternFill>
      </fill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0" formatCode="General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9" formatCode="dd/mm/yyyy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center" textRotation="0" wrapText="1" indent="0" justifyLastLine="0" shrinkToFit="0" readingOrder="0"/>
    </dxf>
    <dxf>
      <font>
        <color indexed="8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numFmt numFmtId="2" formatCode="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</dxf>
    <dxf>
      <numFmt numFmtId="0" formatCode="General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numFmt numFmtId="166" formatCode="&quot;$&quot;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ck">
          <color theme="0" tint="-0.14999847407452621"/>
        </left>
        <right/>
        <top style="thick">
          <color theme="0" tint="-0.149998474074526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numFmt numFmtId="166" formatCode="&quot;$&quot;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ck">
          <color theme="0" tint="-0.14999847407452621"/>
        </left>
        <right style="thick">
          <color theme="0" tint="-0.14999847407452621"/>
        </right>
        <top style="thick">
          <color theme="0" tint="-0.149998474074526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ck">
          <color theme="0" tint="-0.14999847407452621"/>
        </left>
        <right style="thick">
          <color theme="0" tint="-0.14999847407452621"/>
        </right>
        <top style="thick">
          <color theme="0" tint="-0.149998474074526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theme="0" tint="-0.14999847407452621"/>
        </left>
        <right style="thick">
          <color theme="0" tint="-0.14999847407452621"/>
        </right>
        <top style="thick">
          <color theme="0" tint="-0.149998474074526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ck">
          <color theme="0" tint="-0.14999847407452621"/>
        </right>
        <top style="thick">
          <color theme="0" tint="-0.14999847407452621"/>
        </top>
        <bottom/>
        <vertical/>
        <horizontal/>
      </border>
    </dxf>
    <dxf>
      <border outline="0">
        <top style="thick">
          <color theme="0" tint="-0.14999847407452621"/>
        </top>
      </border>
    </dxf>
    <dxf>
      <border outline="0">
        <left style="thick">
          <color theme="0" tint="-0.14999847407452621"/>
        </left>
        <right style="thick">
          <color theme="0" tint="-0.14999847407452621"/>
        </right>
        <top style="thick">
          <color theme="0" tint="-0.14999847407452621"/>
        </top>
        <bottom style="thick">
          <color theme="0" tint="-0.14999847407452621"/>
        </bottom>
      </border>
    </dxf>
    <dxf>
      <border outline="0">
        <bottom style="thick">
          <color theme="0" tint="-0.149998474074526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fill>
        <patternFill patternType="solid">
          <fgColor rgb="FF00B050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theme="0" tint="-0.14999847407452621"/>
        </left>
        <right style="thick">
          <color theme="0" tint="-0.149998474074526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20"/>
        <color auto="1"/>
      </font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Aptos Narrow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20"/>
        <color auto="1"/>
      </font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20"/>
        <color auto="1"/>
      </font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Aptos Narrow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20"/>
        <color auto="1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none"/>
      </font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20"/>
        <color auto="1"/>
        <family val="2"/>
      </font>
      <alignment vertical="bottom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</dxfs>
  <tableStyles count="1" defaultTableStyle="TableStyleMedium2" defaultPivotStyle="PivotStyleLight16">
    <tableStyle name="Invisible" pivot="0" table="0" count="0" xr9:uid="{F72137DF-1BBB-4868-9C5A-9A3B4CF31D96}"/>
  </tableStyles>
  <colors>
    <mruColors>
      <color rgb="FF0993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RichValueStructure" Target="richData/rdrichvaluestructure.xml"/><Relationship Id="rId39" Type="http://schemas.openxmlformats.org/officeDocument/2006/relationships/customXml" Target="../customXml/item10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5.xml"/><Relationship Id="rId42" Type="http://schemas.openxmlformats.org/officeDocument/2006/relationships/customXml" Target="../customXml/item13.xml"/><Relationship Id="rId47" Type="http://schemas.openxmlformats.org/officeDocument/2006/relationships/customXml" Target="../customXml/item18.xml"/><Relationship Id="rId50" Type="http://schemas.openxmlformats.org/officeDocument/2006/relationships/customXml" Target="../customXml/item21.xml"/><Relationship Id="rId55" Type="http://schemas.openxmlformats.org/officeDocument/2006/relationships/customXml" Target="../customXml/item2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alcChain" Target="calcChain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3.xml"/><Relationship Id="rId37" Type="http://schemas.openxmlformats.org/officeDocument/2006/relationships/customXml" Target="../customXml/item8.xml"/><Relationship Id="rId40" Type="http://schemas.openxmlformats.org/officeDocument/2006/relationships/customXml" Target="../customXml/item11.xml"/><Relationship Id="rId45" Type="http://schemas.openxmlformats.org/officeDocument/2006/relationships/customXml" Target="../customXml/item16.xml"/><Relationship Id="rId53" Type="http://schemas.openxmlformats.org/officeDocument/2006/relationships/customXml" Target="../customXml/item24.xml"/><Relationship Id="rId58" Type="http://schemas.openxmlformats.org/officeDocument/2006/relationships/customXml" Target="../customXml/item29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17/06/relationships/rdRichValueTypes" Target="richData/rdRichValueTypes.xml"/><Relationship Id="rId30" Type="http://schemas.openxmlformats.org/officeDocument/2006/relationships/customXml" Target="../customXml/item1.xml"/><Relationship Id="rId35" Type="http://schemas.openxmlformats.org/officeDocument/2006/relationships/customXml" Target="../customXml/item6.xml"/><Relationship Id="rId43" Type="http://schemas.openxmlformats.org/officeDocument/2006/relationships/customXml" Target="../customXml/item14.xml"/><Relationship Id="rId48" Type="http://schemas.openxmlformats.org/officeDocument/2006/relationships/customXml" Target="../customXml/item19.xml"/><Relationship Id="rId56" Type="http://schemas.openxmlformats.org/officeDocument/2006/relationships/customXml" Target="../customXml/item27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" Target="richData/rdrichvalue.xml"/><Relationship Id="rId33" Type="http://schemas.openxmlformats.org/officeDocument/2006/relationships/customXml" Target="../customXml/item4.xml"/><Relationship Id="rId38" Type="http://schemas.openxmlformats.org/officeDocument/2006/relationships/customXml" Target="../customXml/item9.xml"/><Relationship Id="rId46" Type="http://schemas.openxmlformats.org/officeDocument/2006/relationships/customXml" Target="../customXml/item17.xml"/><Relationship Id="rId59" Type="http://schemas.openxmlformats.org/officeDocument/2006/relationships/customXml" Target="../customXml/item30.xml"/><Relationship Id="rId20" Type="http://schemas.openxmlformats.org/officeDocument/2006/relationships/theme" Target="theme/theme1.xml"/><Relationship Id="rId41" Type="http://schemas.openxmlformats.org/officeDocument/2006/relationships/customXml" Target="../customXml/item12.xml"/><Relationship Id="rId54" Type="http://schemas.openxmlformats.org/officeDocument/2006/relationships/customXml" Target="../customXml/item2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powerPivotData" Target="model/item.data"/><Relationship Id="rId36" Type="http://schemas.openxmlformats.org/officeDocument/2006/relationships/customXml" Target="../customXml/item7.xml"/><Relationship Id="rId49" Type="http://schemas.openxmlformats.org/officeDocument/2006/relationships/customXml" Target="../customXml/item20.xml"/><Relationship Id="rId57" Type="http://schemas.openxmlformats.org/officeDocument/2006/relationships/customXml" Target="../customXml/item28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2.xml"/><Relationship Id="rId44" Type="http://schemas.openxmlformats.org/officeDocument/2006/relationships/customXml" Target="../customXml/item15.xml"/><Relationship Id="rId52" Type="http://schemas.openxmlformats.org/officeDocument/2006/relationships/customXml" Target="../customXml/item23.xml"/><Relationship Id="rId6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4999856"/>
        <c:axId val="1115000336"/>
      </c:barChart>
      <c:catAx>
        <c:axId val="1114999856"/>
        <c:scaling>
          <c:orientation val="minMax"/>
        </c:scaling>
        <c:delete val="0"/>
        <c:axPos val="b"/>
        <c:majorTickMark val="out"/>
        <c:minorTickMark val="none"/>
        <c:tickLblPos val="nextTo"/>
        <c:crossAx val="1115000336"/>
        <c:crosses val="autoZero"/>
        <c:auto val="1"/>
        <c:lblAlgn val="ctr"/>
        <c:lblOffset val="100"/>
        <c:noMultiLvlLbl val="0"/>
      </c:catAx>
      <c:valAx>
        <c:axId val="111500033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1149998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8054048"/>
        <c:axId val="1828054528"/>
      </c:barChart>
      <c:catAx>
        <c:axId val="1828054048"/>
        <c:scaling>
          <c:orientation val="minMax"/>
        </c:scaling>
        <c:delete val="0"/>
        <c:axPos val="b"/>
        <c:majorTickMark val="out"/>
        <c:minorTickMark val="none"/>
        <c:tickLblPos val="nextTo"/>
        <c:crossAx val="1828054528"/>
        <c:crosses val="autoZero"/>
        <c:auto val="1"/>
        <c:lblAlgn val="ctr"/>
        <c:lblOffset val="100"/>
        <c:noMultiLvlLbl val="0"/>
      </c:catAx>
      <c:valAx>
        <c:axId val="182805452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8280540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2981040"/>
        <c:axId val="1112981520"/>
      </c:barChart>
      <c:catAx>
        <c:axId val="111298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112981520"/>
        <c:crosses val="autoZero"/>
        <c:auto val="1"/>
        <c:lblAlgn val="ctr"/>
        <c:lblOffset val="100"/>
        <c:noMultiLvlLbl val="0"/>
      </c:catAx>
      <c:valAx>
        <c:axId val="111298152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1129810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svg"/><Relationship Id="rId1" Type="http://schemas.openxmlformats.org/officeDocument/2006/relationships/image" Target="../media/image10.png"/><Relationship Id="rId4" Type="http://schemas.openxmlformats.org/officeDocument/2006/relationships/image" Target="../media/image1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591910</xdr:colOff>
      <xdr:row>11</xdr:row>
      <xdr:rowOff>76853</xdr:rowOff>
    </xdr:from>
    <xdr:to>
      <xdr:col>18</xdr:col>
      <xdr:colOff>1511768</xdr:colOff>
      <xdr:row>12</xdr:row>
      <xdr:rowOff>420506</xdr:rowOff>
    </xdr:to>
    <xdr:pic macro="[0]!AgregarProductoDinamico">
      <xdr:nvPicPr>
        <xdr:cNvPr id="8" name="Imagen 7">
          <a:extLst>
            <a:ext uri="{FF2B5EF4-FFF2-40B4-BE49-F238E27FC236}">
              <a16:creationId xmlns:a16="http://schemas.microsoft.com/office/drawing/2014/main" id="{32FF0061-6D8F-7B5B-F3EC-2EFF23F38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66774" y="4822035"/>
          <a:ext cx="919858" cy="897835"/>
        </a:xfrm>
        <a:prstGeom prst="rect">
          <a:avLst/>
        </a:prstGeom>
      </xdr:spPr>
    </xdr:pic>
    <xdr:clientData/>
  </xdr:twoCellAnchor>
  <xdr:twoCellAnchor editAs="oneCell">
    <xdr:from>
      <xdr:col>19</xdr:col>
      <xdr:colOff>731618</xdr:colOff>
      <xdr:row>11</xdr:row>
      <xdr:rowOff>76853</xdr:rowOff>
    </xdr:from>
    <xdr:to>
      <xdr:col>19</xdr:col>
      <xdr:colOff>1638781</xdr:colOff>
      <xdr:row>12</xdr:row>
      <xdr:rowOff>420506</xdr:rowOff>
    </xdr:to>
    <xdr:pic macro="[0]!EliminarProductoSeleccionado">
      <xdr:nvPicPr>
        <xdr:cNvPr id="14" name="Imagen 13">
          <a:extLst>
            <a:ext uri="{FF2B5EF4-FFF2-40B4-BE49-F238E27FC236}">
              <a16:creationId xmlns:a16="http://schemas.microsoft.com/office/drawing/2014/main" id="{3E3E91EF-56D0-8666-8762-57D02E099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922663" y="4822035"/>
          <a:ext cx="915822" cy="897835"/>
        </a:xfrm>
        <a:prstGeom prst="rect">
          <a:avLst/>
        </a:prstGeom>
      </xdr:spPr>
    </xdr:pic>
    <xdr:clientData/>
  </xdr:twoCellAnchor>
  <xdr:twoCellAnchor editAs="oneCell">
    <xdr:from>
      <xdr:col>20</xdr:col>
      <xdr:colOff>174561</xdr:colOff>
      <xdr:row>11</xdr:row>
      <xdr:rowOff>76853</xdr:rowOff>
    </xdr:from>
    <xdr:to>
      <xdr:col>20</xdr:col>
      <xdr:colOff>1091879</xdr:colOff>
      <xdr:row>12</xdr:row>
      <xdr:rowOff>420506</xdr:rowOff>
    </xdr:to>
    <xdr:pic macro="[0]!ExportarPresupuestoComoImagen">
      <xdr:nvPicPr>
        <xdr:cNvPr id="23" name="Imagen 22">
          <a:extLst>
            <a:ext uri="{FF2B5EF4-FFF2-40B4-BE49-F238E27FC236}">
              <a16:creationId xmlns:a16="http://schemas.microsoft.com/office/drawing/2014/main" id="{657C5473-2812-4F3B-4E95-14CCF21BD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374516" y="4822035"/>
          <a:ext cx="917318" cy="897835"/>
        </a:xfrm>
        <a:prstGeom prst="rect">
          <a:avLst/>
        </a:prstGeom>
      </xdr:spPr>
    </xdr:pic>
    <xdr:clientData/>
  </xdr:twoCellAnchor>
  <xdr:twoCellAnchor editAs="oneCell">
    <xdr:from>
      <xdr:col>32</xdr:col>
      <xdr:colOff>628638</xdr:colOff>
      <xdr:row>0</xdr:row>
      <xdr:rowOff>257184</xdr:rowOff>
    </xdr:from>
    <xdr:to>
      <xdr:col>33</xdr:col>
      <xdr:colOff>714364</xdr:colOff>
      <xdr:row>3</xdr:row>
      <xdr:rowOff>28584</xdr:rowOff>
    </xdr:to>
    <xdr:pic macro="[0]!DesactivarCuadriculasEnTodasLasHojas">
      <xdr:nvPicPr>
        <xdr:cNvPr id="27" name="Gráfico 26" descr="Signo de intercalación hacia la izquierda con relleno sólido">
          <a:extLst>
            <a:ext uri="{FF2B5EF4-FFF2-40B4-BE49-F238E27FC236}">
              <a16:creationId xmlns:a16="http://schemas.microsoft.com/office/drawing/2014/main" id="{35483F5A-8D8D-D1D1-93D8-8B2516115F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52597038" y="257184"/>
          <a:ext cx="923925" cy="914400"/>
        </a:xfrm>
        <a:prstGeom prst="rect">
          <a:avLst/>
        </a:prstGeom>
      </xdr:spPr>
    </xdr:pic>
    <xdr:clientData/>
  </xdr:twoCellAnchor>
  <xdr:twoCellAnchor editAs="oneCell">
    <xdr:from>
      <xdr:col>33</xdr:col>
      <xdr:colOff>588138</xdr:colOff>
      <xdr:row>0</xdr:row>
      <xdr:rowOff>369084</xdr:rowOff>
    </xdr:from>
    <xdr:to>
      <xdr:col>34</xdr:col>
      <xdr:colOff>673864</xdr:colOff>
      <xdr:row>3</xdr:row>
      <xdr:rowOff>140484</xdr:rowOff>
    </xdr:to>
    <xdr:pic>
      <xdr:nvPicPr>
        <xdr:cNvPr id="29" name="Gráfico 28" descr="Signo de intercalación hacia la derecha con relleno sólido">
          <a:extLst>
            <a:ext uri="{FF2B5EF4-FFF2-40B4-BE49-F238E27FC236}">
              <a16:creationId xmlns:a16="http://schemas.microsoft.com/office/drawing/2014/main" id="{FF6BB22A-C28E-70F1-B39E-CE0C9D564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53394738" y="369084"/>
          <a:ext cx="923925" cy="914400"/>
        </a:xfrm>
        <a:prstGeom prst="rect">
          <a:avLst/>
        </a:prstGeom>
      </xdr:spPr>
    </xdr:pic>
    <xdr:clientData/>
  </xdr:twoCellAnchor>
  <xdr:twoCellAnchor editAs="oneCell">
    <xdr:from>
      <xdr:col>21</xdr:col>
      <xdr:colOff>311728</xdr:colOff>
      <xdr:row>11</xdr:row>
      <xdr:rowOff>75770</xdr:rowOff>
    </xdr:from>
    <xdr:to>
      <xdr:col>21</xdr:col>
      <xdr:colOff>1211728</xdr:colOff>
      <xdr:row>12</xdr:row>
      <xdr:rowOff>421588</xdr:rowOff>
    </xdr:to>
    <xdr:pic macro="[0]!RegistrarAbonoEnFinanzas">
      <xdr:nvPicPr>
        <xdr:cNvPr id="4" name="Imagen 3">
          <a:extLst>
            <a:ext uri="{FF2B5EF4-FFF2-40B4-BE49-F238E27FC236}">
              <a16:creationId xmlns:a16="http://schemas.microsoft.com/office/drawing/2014/main" id="{5094E256-4881-50F3-35B0-131CA2927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27864" y="4820952"/>
          <a:ext cx="900000" cy="9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254000</xdr:colOff>
      <xdr:row>70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87E74F7-1865-4F54-B082-C315519753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E4F2E8DC-9534-FA8B-9BBF-29387BBAC9F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0154900" cy="21450300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152400</xdr:colOff>
      <xdr:row>52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35AF2CF-7E7D-47A8-84C3-9F9A3BB943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152400</xdr:colOff>
      <xdr:row>52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6FD6829-CA1F-2B48-4C51-54B111AAE4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447677</xdr:colOff>
      <xdr:row>0</xdr:row>
      <xdr:rowOff>66677</xdr:rowOff>
    </xdr:from>
    <xdr:to>
      <xdr:col>17</xdr:col>
      <xdr:colOff>685801</xdr:colOff>
      <xdr:row>1</xdr:row>
      <xdr:rowOff>114301</xdr:rowOff>
    </xdr:to>
    <xdr:pic macro="[0]!OcultarPestañasHojas">
      <xdr:nvPicPr>
        <xdr:cNvPr id="3" name="Gráfico 2" descr="Cerrar con relleno sólido">
          <a:extLst>
            <a:ext uri="{FF2B5EF4-FFF2-40B4-BE49-F238E27FC236}">
              <a16:creationId xmlns:a16="http://schemas.microsoft.com/office/drawing/2014/main" id="{BFA415EA-9CB0-B240-FAD6-4F1035430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316452" y="66677"/>
          <a:ext cx="238124" cy="238124"/>
        </a:xfrm>
        <a:prstGeom prst="rect">
          <a:avLst/>
        </a:prstGeom>
      </xdr:spPr>
    </xdr:pic>
    <xdr:clientData/>
  </xdr:twoCellAnchor>
  <xdr:twoCellAnchor editAs="oneCell">
    <xdr:from>
      <xdr:col>16</xdr:col>
      <xdr:colOff>721500</xdr:colOff>
      <xdr:row>0</xdr:row>
      <xdr:rowOff>26175</xdr:rowOff>
    </xdr:from>
    <xdr:to>
      <xdr:col>17</xdr:col>
      <xdr:colOff>253729</xdr:colOff>
      <xdr:row>1</xdr:row>
      <xdr:rowOff>129904</xdr:rowOff>
    </xdr:to>
    <xdr:pic macro="[0]!MostrarPestañasHojas">
      <xdr:nvPicPr>
        <xdr:cNvPr id="5" name="Gráfico 4" descr="Comentario que gusta con relleno sólido">
          <a:extLst>
            <a:ext uri="{FF2B5EF4-FFF2-40B4-BE49-F238E27FC236}">
              <a16:creationId xmlns:a16="http://schemas.microsoft.com/office/drawing/2014/main" id="{FD3FA0F0-F4ED-49F1-38E9-85C562208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828275" y="26175"/>
          <a:ext cx="294229" cy="294229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0" xr16:uid="{4FD01BF7-62F0-43F5-97FE-71D9B6121A7D}" autoFormatId="16" applyNumberFormats="0" applyBorderFormats="0" applyFontFormats="0" applyPatternFormats="0" applyAlignmentFormats="0" applyWidthHeightFormats="0">
  <queryTableRefresh nextId="4">
    <queryTableFields count="3">
      <queryTableField id="1" name="PRODUCTO" tableColumnId="1"/>
      <queryTableField id="2" name="Atributo" tableColumnId="2"/>
      <queryTableField id="3" name="Valor" tableColumnId="3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24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8138724-3722-4F1F-B3A6-6FC53BD94CAC}" name="Costro_Producto" displayName="Costro_Producto" ref="K10:P28" totalsRowCount="1" headerRowDxfId="107" dataDxfId="106" totalsRowDxfId="105">
  <autoFilter ref="K10:P27" xr:uid="{D8138724-3722-4F1F-B3A6-6FC53BD94CAC}"/>
  <tableColumns count="6">
    <tableColumn id="1" xr3:uid="{77AC3D6D-F3F0-42BC-8CA6-0BA7D001CD22}" name="Codigo" dataDxfId="104" totalsRowDxfId="103"/>
    <tableColumn id="2" xr3:uid="{C16D6474-EB32-4B42-B290-A2F63A3975DD}" name="Concepto" dataDxfId="102" totalsRowDxfId="101"/>
    <tableColumn id="3" xr3:uid="{64CBF346-ADF0-4AA0-98AD-FA7A4DF03BF4}" name="Unidad" dataDxfId="100" totalsRowDxfId="99" dataCellStyle="Millares">
      <calculatedColumnFormula array="1">obtenerCostoGlobal(Costro_Producto[[#This Row],[Codigo]],$L$7,$M$7,$P$7,$Q$7,$Q$7,$S$7,$K$1,$K$6,$K$7)</calculatedColumnFormula>
    </tableColumn>
    <tableColumn id="4" xr3:uid="{2559029C-4F46-4ABE-AD0B-9385A795F5C4}" name="Unidad Manual" dataDxfId="98" totalsRowDxfId="97" dataCellStyle="Millares"/>
    <tableColumn id="8" xr3:uid="{3143EB1C-89FB-45B1-891E-185BFE18800D}" name="Sub Total" totalsRowFunction="sum" dataDxfId="96" totalsRowDxfId="95" dataCellStyle="Millares">
      <calculatedColumnFormula>IFERROR(IF(Costro_Producto[[#This Row],[Unidad Manual]]&lt;&gt;"",Costro_Producto[[#This Row],[Unidad Manual]],Costro_Producto[[#This Row],[Unidad]]),)</calculatedColumnFormula>
    </tableColumn>
    <tableColumn id="5" xr3:uid="{FEF6C681-85CF-4CBB-92F6-62BA09483FC8}" name="Total" totalsRowFunction="sum" dataDxfId="94" totalsRowDxfId="93" dataCellStyle="Millares">
      <calculatedColumnFormula>IFERROR(Costro_Producto[[#This Row],[Sub Total]]*$K$6,"")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E095E52-89B0-48B0-875A-5BB9E113404F}" name="tblPresupuesto" displayName="tblPresupuesto" ref="B17:F18" insertRow="1" totalsRowShown="0" headerRowDxfId="92" headerRowBorderDxfId="91" tableBorderDxfId="90" totalsRowBorderDxfId="89">
  <tableColumns count="5">
    <tableColumn id="1" xr3:uid="{5D6808DA-3CB8-4CC6-9B25-C3DC3A0CAE5F}" name="ITEM" dataDxfId="88"/>
    <tableColumn id="2" xr3:uid="{A1CFC567-906F-4825-83FA-A39AAF3C99A6}" name="CANT" dataDxfId="87"/>
    <tableColumn id="3" xr3:uid="{401FB196-7A12-4F06-B1FB-EB6E1A4277FF}" name="DESCRIPCIÓN" dataDxfId="86"/>
    <tableColumn id="4" xr3:uid="{BFB90FC9-369E-48A0-B642-44312BEC22EA}" name="COSTO UNIT" dataDxfId="85"/>
    <tableColumn id="5" xr3:uid="{2BA10D38-CD5F-46C3-BEE9-13D9DEB83193}" name="TOTAL" dataDxfId="8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0B63271-3A1B-4111-B8A2-C9A8BEC917B2}" name="Dim_Producto" displayName="Dim_Producto" ref="B5:E39" totalsRowShown="0">
  <autoFilter ref="B5:E39" xr:uid="{60B63271-3A1B-4111-B8A2-C9A8BEC917B2}"/>
  <sortState xmlns:xlrd2="http://schemas.microsoft.com/office/spreadsheetml/2017/richdata2" ref="B6:E38">
    <sortCondition ref="B5:B38"/>
  </sortState>
  <tableColumns count="4">
    <tableColumn id="1" xr3:uid="{8B10C8DB-1739-4D91-8235-CFF22AB40518}" name="Codigo_Producto"/>
    <tableColumn id="2" xr3:uid="{89F9AEA6-3D8E-4765-A0BC-04FE98FDB521}" name="Nombre"/>
    <tableColumn id="3" xr3:uid="{4943DEC3-8B6C-464D-A1F4-C21EA8BFE67D}" name="Categoría"/>
    <tableColumn id="4" xr3:uid="{9983DD69-6A87-4527-B1DE-DBAD30C24ED1}" name="Subcategoría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C95DD27-A19F-498B-ABF4-E2867A358DA7}" name="dim_variante" displayName="dim_variante" ref="K5:L20" totalsRowShown="0" headerRowDxfId="83" dataDxfId="82">
  <autoFilter ref="K5:L20" xr:uid="{1C95DD27-A19F-498B-ABF4-E2867A358DA7}"/>
  <sortState xmlns:xlrd2="http://schemas.microsoft.com/office/spreadsheetml/2017/richdata2" ref="K6:L20">
    <sortCondition ref="L5:L20"/>
  </sortState>
  <tableColumns count="2">
    <tableColumn id="1" xr3:uid="{B010D9E5-8C73-4096-BCA2-A74AAA9F07C2}" name="id_variante" dataDxfId="81">
      <calculatedColumnFormula>"VAR"&amp;TEXT(ROW()-ROW(dim_variante[[#Headers],[id_variante]]),"000")</calculatedColumnFormula>
    </tableColumn>
    <tableColumn id="2" xr3:uid="{8CB21E0B-7399-461A-91F5-AEA6452C77FC}" name="descripción" dataDxfId="80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1F7BE62-1DBF-4FEC-A1EA-336258C3B4DF}" name="Dim_Talla" displayName="Dim_Talla" ref="P5:Q11" totalsRowShown="0" headerRowDxfId="79" dataDxfId="78">
  <autoFilter ref="P5:Q11" xr:uid="{81F7BE62-1DBF-4FEC-A1EA-336258C3B4DF}"/>
  <tableColumns count="2">
    <tableColumn id="1" xr3:uid="{0B26BF52-7B45-4A14-B0ED-347E2F4CD15D}" name="Id_talla" dataDxfId="77"/>
    <tableColumn id="2" xr3:uid="{00A60A36-9FC4-45F3-BDA4-7AAB6EB68E35}" name="Talla" dataDxfId="76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AB152F4-E837-467D-965C-A31ED2CDBCB1}" name="Dim_Disenno" displayName="Dim_Disenno" ref="T5:U9" totalsRowShown="0" headerRowDxfId="75" dataDxfId="74">
  <autoFilter ref="T5:U9" xr:uid="{0AB152F4-E837-467D-965C-A31ED2CDBCB1}"/>
  <tableColumns count="2">
    <tableColumn id="1" xr3:uid="{EA42A277-7F60-4C76-A6BE-81535BFD84C8}" name="Id_Segmento" dataDxfId="73"/>
    <tableColumn id="2" xr3:uid="{A568C674-A6F2-41C5-8D62-190C86A38863}" name="descripción" dataDxfId="72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C876D3-6E80-45B6-8286-1C2F9653D321}" name="Tabla4__3" displayName="Tabla4__3" ref="A1:C37" tableType="queryTable" totalsRowShown="0">
  <autoFilter ref="A1:C37" xr:uid="{5AC876D3-6E80-45B6-8286-1C2F9653D321}"/>
  <tableColumns count="3">
    <tableColumn id="1" xr3:uid="{0C07257E-58B6-4A47-9833-F2218A90817D}" uniqueName="1" name="PRODUCTO" queryTableFieldId="1" dataDxfId="71"/>
    <tableColumn id="2" xr3:uid="{6C633A94-15D2-406D-83DB-1C3F2E51F9D4}" uniqueName="2" name="Atributo" queryTableFieldId="2" dataDxfId="70"/>
    <tableColumn id="3" xr3:uid="{C33C89DD-DCCC-40CC-BFFD-D8CDAAA8C4F9}" uniqueName="3" name="Valor" queryTableFieldId="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4B26122-DE1C-4F76-86A5-2681A59EE92A}" name="Tabla4" displayName="Tabla4" ref="O5:U24" totalsRowShown="0">
  <autoFilter ref="O5:U24" xr:uid="{14B26122-DE1C-4F76-86A5-2681A59EE92A}"/>
  <sortState xmlns:xlrd2="http://schemas.microsoft.com/office/spreadsheetml/2017/richdata2" ref="O6:U24">
    <sortCondition ref="O5:O24"/>
  </sortState>
  <tableColumns count="7">
    <tableColumn id="1" xr3:uid="{77EA07A5-8272-4706-85CB-1DD2AC7FF3B3}" name="PRODUCTO" dataDxfId="69"/>
    <tableColumn id="2" xr3:uid="{5A841170-BD2E-41E4-8157-D37041C281A0}" name="Tall-02" dataDxfId="68"/>
    <tableColumn id="3" xr3:uid="{F2E274DD-8DDF-47E4-9C23-A3EB4124E39A}" name="Tall-03" dataDxfId="67"/>
    <tableColumn id="4" xr3:uid="{EAB668BF-E34A-4682-9D11-C0F4A3922BCA}" name="Tall-01" dataDxfId="66"/>
    <tableColumn id="5" xr3:uid="{52B83A70-350F-4CAD-AFF7-983E6691DB66}" name="Tall-04" dataDxfId="65"/>
    <tableColumn id="6" xr3:uid="{5CDCD454-34BF-49DD-B60C-5578FEB15D19}" name="Tall-05" dataDxfId="64"/>
    <tableColumn id="7" xr3:uid="{AA505286-FA00-4406-B736-1503DBA94796}" name="Tall-06" dataDxfId="63" dataCellStyle="Millare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99F2B36-D48D-40F9-A072-9667BA5AF423}" name="Tabla4__2" displayName="Tabla4__2" ref="A1:G21" totalsRowShown="0">
  <autoFilter ref="A1:G21" xr:uid="{F99F2B36-D48D-40F9-A072-9667BA5AF423}"/>
  <tableColumns count="7">
    <tableColumn id="1" xr3:uid="{0FE2BAFF-7B34-43A4-A83B-8BB5F4462FF2}" name="PRODUCTO" dataDxfId="62"/>
    <tableColumn id="2" xr3:uid="{47E6F2F3-CA33-4CAF-AD2B-338E05A85999}" name="dama"/>
    <tableColumn id="3" xr3:uid="{29A7935F-6ADF-4665-B43B-47FD9C064E0A}" name="Caballero"/>
    <tableColumn id="4" xr3:uid="{BBB9CE9D-C2BE-487C-B133-7FF5E634C42B}" name="Niño"/>
    <tableColumn id="5" xr3:uid="{BD32E1B9-4C72-4D84-9D09-BB7AF740E1AA}" name="Plus"/>
    <tableColumn id="6" xr3:uid="{13AD985A-AFD3-45D4-82FE-E4F1002C690E}" name="UNICA"/>
    <tableColumn id="7" xr3:uid="{5878EE15-698D-4B1A-B202-E85898493A63}" name="Accesorio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D20532E-73E2-4FAC-8226-D2CBFB28FE6D}" name="HechosInventario" displayName="HechosInventario" ref="B5:N57" totalsRowShown="0" headerRowDxfId="61" dataDxfId="60">
  <autoFilter ref="B5:N57" xr:uid="{AD20532E-73E2-4FAC-8226-D2CBFB28FE6D}"/>
  <sortState xmlns:xlrd2="http://schemas.microsoft.com/office/spreadsheetml/2017/richdata2" ref="B6:N56">
    <sortCondition ref="C5:C56"/>
  </sortState>
  <tableColumns count="13">
    <tableColumn id="9" xr3:uid="{65D0D265-E9A7-4325-9F00-FCF69CB01581}" name="ID_Material" dataDxfId="59"/>
    <tableColumn id="2" xr3:uid="{4B56987E-79FD-4509-826E-830D75936464}" name="Nombre_Material"/>
    <tableColumn id="8" xr3:uid="{21B83AB7-3814-4EAD-9CC3-8AB760D47F9E}" name="Color_Material" dataDxfId="58"/>
    <tableColumn id="4" xr3:uid="{686376B0-E8D1-4511-AC9D-074AC9F7C1C7}" name="Costo_Unitario_Detal" dataDxfId="57"/>
    <tableColumn id="12" xr3:uid="{B5661971-4AF0-4C3B-B45F-12208DCB2B1B}" name="Costo_Unitario_Mayor" dataDxfId="56" dataCellStyle="Millares"/>
    <tableColumn id="13" xr3:uid="{9103ED92-320D-4B36-AE0C-BC6B615E9E1C}" name="Moneda" dataDxfId="55"/>
    <tableColumn id="5" xr3:uid="{9935073D-F7F2-45CE-B5AB-39A9B0361D10}" name="Proveedor" dataDxfId="54"/>
    <tableColumn id="6" xr3:uid="{9AFD2910-A551-4EDE-854F-F7D4BA1EAE5F}" name="Stock_Minimo" dataDxfId="53"/>
    <tableColumn id="7" xr3:uid="{3ED00574-9DE8-4BB3-A345-E9E2E79786DF}" name="Ubicación Actual" dataDxfId="52"/>
    <tableColumn id="1" xr3:uid="{4F4408ED-00D4-4013-97AF-1501957EE4DA}" name="Entradas" dataDxfId="51"/>
    <tableColumn id="3" xr3:uid="{C5FFE0A8-05F5-488B-96E7-669CE0859646}" name="Salidas" dataDxfId="50"/>
    <tableColumn id="10" xr3:uid="{36CF0604-BB37-4CE0-9DA8-263B2C80BFA8}" name="Stock_Actual2" dataDxfId="49"/>
    <tableColumn id="11" xr3:uid="{A329B156-F83A-487F-99A0-8449851F95BC}" name="Valor_Stock" dataDxfId="48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7858B36-BB4F-4293-906A-3C0FD390B028}" name="Hechos_Ingresos" displayName="Hechos_Ingresos" ref="A4:I37" totalsRowShown="0">
  <autoFilter ref="A4:I37" xr:uid="{67858B36-BB4F-4293-906A-3C0FD390B028}"/>
  <sortState xmlns:xlrd2="http://schemas.microsoft.com/office/spreadsheetml/2017/richdata2" ref="A5:I37">
    <sortCondition ref="A4:A37"/>
  </sortState>
  <tableColumns count="9">
    <tableColumn id="1" xr3:uid="{1773A81E-A364-4655-879F-B4523E46C1BE}" name="Comanda"/>
    <tableColumn id="2" xr3:uid="{45F89250-D0D6-49F7-8063-BD44DCEFBE4A}" name="FECHA " dataDxfId="45"/>
    <tableColumn id="3" xr3:uid="{F844BE48-8251-47BB-BF9E-54763058E691}" name="CLIENTE "/>
    <tableColumn id="4" xr3:uid="{12699F96-3DDF-4C88-9BF6-C961F69A48D0}" name="Telefóno"/>
    <tableColumn id="5" xr3:uid="{AE891A1F-3A11-456B-80D3-26773B297AC7}" name="DESCRIPCION "/>
    <tableColumn id="6" xr3:uid="{4B2DA3CC-4C1D-486F-AB1A-612836C1CFE8}" name="TOTAL " dataDxfId="44" dataCellStyle="Millares"/>
    <tableColumn id="7" xr3:uid="{84342DFF-C315-4C64-AB27-F441C6AAD375}" name="ABONO " dataDxfId="43" dataCellStyle="Millares">
      <calculatedColumnFormula>SUMIFS(Abonos[Abono],Abonos[Coomanda],Hechos_Ingresos[[#This Row],[Comanda]],Abonos[[ Cliente]],Hechos_Ingresos[[#This Row],[CLIENTE ]])</calculatedColumnFormula>
    </tableColumn>
    <tableColumn id="8" xr3:uid="{0CC9F007-AA83-4649-83DF-3F75B5786E45}" name="RESTA ">
      <calculatedColumnFormula>Hechos_Ingresos[[#This Row],[TOTAL ]]-Hechos_Ingresos[[#This Row],[ABONO ]]</calculatedColumnFormula>
    </tableColumn>
    <tableColumn id="13" xr3:uid="{87E9FCD6-073B-4652-863F-AD3DCBEF16C4}" name="Estatus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5277BA9-DD7B-47F6-8828-E712CBE5FADA}" name="Abonos" displayName="Abonos" ref="M4:Q66" totalsRowDxfId="42">
  <autoFilter ref="M4:Q66" xr:uid="{15277BA9-DD7B-47F6-8828-E712CBE5FADA}"/>
  <sortState xmlns:xlrd2="http://schemas.microsoft.com/office/spreadsheetml/2017/richdata2" ref="M5:Q64">
    <sortCondition ref="M4:M64"/>
  </sortState>
  <tableColumns count="5">
    <tableColumn id="1" xr3:uid="{3A621911-3452-4F38-BC86-B71F925C8726}" name="Fecha" totalsRowLabel="Total" dataDxfId="41" totalsRowDxfId="40"/>
    <tableColumn id="5" xr3:uid="{ABDD4AC2-88C1-4823-82F4-1958A0F7134E}" name=" Cliente" totalsRowDxfId="39"/>
    <tableColumn id="2" xr3:uid="{72802D9A-F562-4B9C-9FB2-90FE34D8ACA6}" name="Coomanda" totalsRowDxfId="38"/>
    <tableColumn id="3" xr3:uid="{DCC23C84-345F-42A3-A63E-2FB5A5C9320A}" name="Abono" dataDxfId="37" totalsRowDxfId="36" dataCellStyle="Millares"/>
    <tableColumn id="4" xr3:uid="{BDD21E22-F9C7-45F8-A868-B56EF52A0C12}" name="TipodePago" totalsRowFunction="count" totalsRowDxfId="35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EC9522-3DE6-4A90-9021-4184AC572CCC}" name="DimTienda" displayName="DimTienda" ref="Q4:S6" totalsRowShown="0" headerRowDxfId="34" dataDxfId="33">
  <autoFilter ref="Q4:S6" xr:uid="{86EC9522-3DE6-4A90-9021-4184AC572CCC}"/>
  <tableColumns count="3">
    <tableColumn id="1" xr3:uid="{8A2B6CA5-7C94-42DD-841F-D6EB71BE3756}" name="Id_tienda" dataDxfId="32"/>
    <tableColumn id="3" xr3:uid="{DA20D939-0A2A-4C93-BAE4-5320FC02AE8F}" name="Nombre_Tienda" dataDxfId="31"/>
    <tableColumn id="2" xr3:uid="{1A7B54C3-BC39-4DD5-A68E-5B3B1C128CE3}" name="Tipo_tienda" dataDxfId="30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625A581-030F-40B5-A26E-267E9B8FFA4E}" name="Dim_Actividad" displayName="Dim_Actividad" ref="A5:E23" totalsRowShown="0">
  <autoFilter ref="A5:E23" xr:uid="{C625A581-030F-40B5-A26E-267E9B8FFA4E}"/>
  <sortState xmlns:xlrd2="http://schemas.microsoft.com/office/spreadsheetml/2017/richdata2" ref="A6:E21">
    <sortCondition ref="A5:A21"/>
  </sortState>
  <tableColumns count="5">
    <tableColumn id="1" xr3:uid="{83C01A00-268A-4974-AF9D-A98C6FCA2674}" name="ID_Actividad"/>
    <tableColumn id="2" xr3:uid="{2FA668F7-E467-4D9B-B4B8-DD2FFB19813B}" name="Nombre_Actividad"/>
    <tableColumn id="3" xr3:uid="{CB7F9ED5-227C-4C0C-8FBE-D3FB46C7E035}" name="Tipo"/>
    <tableColumn id="4" xr3:uid="{F689CE17-1F92-4558-8273-5B1633FA25E8}" name="Unidad"/>
    <tableColumn id="5" xr3:uid="{B90BAEDE-AA59-407D-9887-3A617DD0BCB9}" name="Descripción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6C73D3-2D3A-4760-BC17-FDF713F4BB0F}" name="fact_costo_actividad_producto" displayName="fact_costo_actividad_producto" ref="I5:N91" totalsRowShown="0" headerRowDxfId="28" dataDxfId="27">
  <autoFilter ref="I5:N91" xr:uid="{3A6C73D3-2D3A-4760-BC17-FDF713F4BB0F}"/>
  <sortState xmlns:xlrd2="http://schemas.microsoft.com/office/spreadsheetml/2017/richdata2" ref="I6:N91">
    <sortCondition ref="K5:K91"/>
  </sortState>
  <tableColumns count="6">
    <tableColumn id="1" xr3:uid="{4C171489-5D2D-43D4-8C0A-913FFA9FA2C4}" name="id_costo" dataDxfId="26"/>
    <tableColumn id="2" xr3:uid="{66EA4279-86E4-436E-AAAA-8FB06137B667}" name="id_actividad" dataDxfId="25"/>
    <tableColumn id="3" xr3:uid="{2A0B4858-2778-4D3A-96F3-C1542341FB82}" name="Codigo_Producto" dataDxfId="24"/>
    <tableColumn id="4" xr3:uid="{B8E231EC-0042-48AE-AD2A-963CAFF225FA}" name="id_tipo_precio" dataDxfId="23"/>
    <tableColumn id="5" xr3:uid="{6A165A13-D4E9-4DF7-956A-DD554AC5092C}" name="costo_unitario" dataDxfId="22"/>
    <tableColumn id="6" xr3:uid="{A892C00B-2B5F-4814-9CB2-D5B358FEC86A}" name="Moneda_Act" dataDxfId="21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0977B5-A4AC-4074-BB1B-3EBE65D20297}" name="Dim_Tecnica_Tamano" displayName="Dim_Tecnica_Tamano" ref="X5:AB14" totalsRowShown="0">
  <autoFilter ref="X5:AB14" xr:uid="{E70977B5-A4AC-4074-BB1B-3EBE65D20297}"/>
  <tableColumns count="5">
    <tableColumn id="1" xr3:uid="{CDD7ED3B-E5D8-4592-A4F4-EB1A62143843}" name="Id_Tamano"/>
    <tableColumn id="2" xr3:uid="{36C89C36-61F6-4B0A-A21D-F5444D9DBAF1}" name="Id_Tecnica"/>
    <tableColumn id="3" xr3:uid="{20E0BACA-EB15-4E6D-9DB5-D741B75979A9}" name="Nombre_Tamano"/>
    <tableColumn id="5" xr3:uid="{64B9B2C4-CDAA-494B-9C28-6621C105703F}" name="Ancho_cm" dataDxfId="20"/>
    <tableColumn id="4" xr3:uid="{29C8D320-8298-434D-8260-32261B06B73A}" name="Alto_cm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DE3CA82-3A3E-4B38-BB75-3FAA40524E56}" name="Consumo_Tela_Producto" displayName="Consumo_Tela_Producto" ref="AO5:AR54">
  <autoFilter ref="AO5:AR54" xr:uid="{BDE3CA82-3A3E-4B38-BB75-3FAA40524E56}"/>
  <sortState xmlns:xlrd2="http://schemas.microsoft.com/office/spreadsheetml/2017/richdata2" ref="AO6:AR54">
    <sortCondition ref="AO6:AO54"/>
    <sortCondition ref="AP6:AP54"/>
  </sortState>
  <tableColumns count="4">
    <tableColumn id="1" xr3:uid="{EBDD0A9F-0D5D-4C2B-BC4F-5FD5B73ADCFF}" name="Codigo_Producto" dataDxfId="19" totalsRowDxfId="18"/>
    <tableColumn id="3" xr3:uid="{A28A07B9-A719-4E0F-9A07-AFC2A17A3154}" name="Talla" dataDxfId="17" totalsRowDxfId="16"/>
    <tableColumn id="4" xr3:uid="{FB6F2940-CC18-4DB2-923C-D22DDE539F44}" name="Cantidad_Tela_m²" dataCellStyle="Millares"/>
    <tableColumn id="5" xr3:uid="{3824620F-BB60-4043-9AE8-D1A8EA3A51E0}" name="Cantidad_Tela_Formula" dataDxfId="15" totalsRowDxfId="14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EEB0C54-1F99-41E9-B813-CC5ECECE2AE5}" name="dim_Tecnica" displayName="dim_Tecnica" ref="R5:T10" totalsRowShown="0" headerRowDxfId="13" dataDxfId="12">
  <autoFilter ref="R5:T10" xr:uid="{EEEB0C54-1F99-41E9-B813-CC5ECECE2AE5}"/>
  <tableColumns count="3">
    <tableColumn id="1" xr3:uid="{A47F9C2E-AA50-4A05-9907-0883B23314A4}" name="Id_Tecnica" dataDxfId="11"/>
    <tableColumn id="2" xr3:uid="{1D1455DE-F50E-4F62-AA1A-FCEFAABE4240}" name="técnica" dataDxfId="10"/>
    <tableColumn id="3" xr3:uid="{5BA0B6A1-62F2-42C6-9354-E9C41DF8E03F}" name="descripción" dataDxfId="9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BB5E861-C93B-49D1-98CF-1B39E921CE82}" name="dim_Vol_pedido" displayName="dim_Vol_pedido" ref="AW5:AX8" totalsRowShown="0" headerRowDxfId="8" dataDxfId="7">
  <autoFilter ref="AW5:AX8" xr:uid="{FBB5E861-C93B-49D1-98CF-1B39E921CE82}"/>
  <tableColumns count="2">
    <tableColumn id="1" xr3:uid="{72A6200D-DEEE-4AF8-936B-A3C83AA8E103}" name="id_tipo_precio" dataDxfId="6">
      <calculatedColumnFormula>"VC"&amp;TEXT(ROW()-ROW(dim_Vol_pedido[[#Headers],[id_tipo_precio]]),"000")</calculatedColumnFormula>
    </tableColumn>
    <tableColumn id="2" xr3:uid="{33BB4651-5095-4DE7-8C32-B4154CEC87C3}" name="Volumen_Compra" dataDxfId="5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7DE99ED-3BA0-4641-822C-A8D38707B0B7}" name="mapeo_tecnica_actividades" displayName="mapeo_tecnica_actividades" ref="AF5:AH28" totalsRowShown="0" headerRowDxfId="4" dataDxfId="3">
  <autoFilter ref="AF5:AH28" xr:uid="{47DE99ED-3BA0-4641-822C-A8D38707B0B7}"/>
  <sortState xmlns:xlrd2="http://schemas.microsoft.com/office/spreadsheetml/2017/richdata2" ref="AF6:AH28">
    <sortCondition ref="AF5:AF28"/>
  </sortState>
  <tableColumns count="3">
    <tableColumn id="1" xr3:uid="{C54A6AE7-A9C1-4F41-91E4-8A33D87669A5}" name="Técnica base" dataDxfId="2"/>
    <tableColumn id="2" xr3:uid="{5EFEFBB5-4758-4DF9-85F8-634908ADBECB}" name="Actividad relacionada" dataDxfId="1"/>
    <tableColumn id="4" xr3:uid="{120968C4-1A7B-4096-9FCB-83AEC03DB9ED}" name="Observació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4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8.xml"/><Relationship Id="rId1" Type="http://schemas.openxmlformats.org/officeDocument/2006/relationships/vmlDrawing" Target="../drawings/vmlDrawing1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2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7" Type="http://schemas.openxmlformats.org/officeDocument/2006/relationships/table" Target="../tables/table20.xml"/><Relationship Id="rId2" Type="http://schemas.openxmlformats.org/officeDocument/2006/relationships/table" Target="../tables/table15.xml"/><Relationship Id="rId1" Type="http://schemas.openxmlformats.org/officeDocument/2006/relationships/table" Target="../tables/table14.xml"/><Relationship Id="rId6" Type="http://schemas.openxmlformats.org/officeDocument/2006/relationships/table" Target="../tables/table19.xml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9A977-49D7-4293-9D8D-C42CD089FC7B}">
  <sheetPr filterMode="1"/>
  <dimension ref="A1:D137"/>
  <sheetViews>
    <sheetView workbookViewId="0">
      <selection activeCell="B135" sqref="B135"/>
    </sheetView>
  </sheetViews>
  <sheetFormatPr baseColWidth="10" defaultRowHeight="15"/>
  <cols>
    <col min="1" max="1" width="29.5703125" bestFit="1" customWidth="1"/>
    <col min="2" max="2" width="13.85546875" bestFit="1" customWidth="1"/>
    <col min="3" max="3" width="11.7109375" bestFit="1" customWidth="1"/>
    <col min="4" max="4" width="7.28515625" bestFit="1" customWidth="1"/>
  </cols>
  <sheetData>
    <row r="1" spans="1:4">
      <c r="A1" t="s">
        <v>0</v>
      </c>
      <c r="B1" t="s">
        <v>852</v>
      </c>
      <c r="C1" t="s">
        <v>853</v>
      </c>
      <c r="D1" t="s">
        <v>854</v>
      </c>
    </row>
    <row r="2" spans="1:4" hidden="1">
      <c r="A2" t="s">
        <v>855</v>
      </c>
      <c r="B2" t="e">
        <f>#NAME?</f>
        <v>#NAME?</v>
      </c>
      <c r="C2" t="e">
        <f>#NAME?</f>
        <v>#NAME?</v>
      </c>
      <c r="D2" t="s">
        <v>944</v>
      </c>
    </row>
    <row r="3" spans="1:4" hidden="1">
      <c r="A3" t="s">
        <v>987</v>
      </c>
      <c r="B3" t="e">
        <f>#NAME?</f>
        <v>#NAME?</v>
      </c>
      <c r="C3" t="e">
        <f>#NAME?</f>
        <v>#NAME?</v>
      </c>
      <c r="D3" t="s">
        <v>944</v>
      </c>
    </row>
    <row r="4" spans="1:4" hidden="1">
      <c r="A4" t="s">
        <v>857</v>
      </c>
      <c r="B4" t="e">
        <f>#NAME?</f>
        <v>#NAME?</v>
      </c>
      <c r="C4" t="e">
        <f>#NAME?</f>
        <v>#NAME?</v>
      </c>
      <c r="D4" t="s">
        <v>944</v>
      </c>
    </row>
    <row r="5" spans="1:4" hidden="1">
      <c r="A5" t="s">
        <v>858</v>
      </c>
      <c r="B5" t="e">
        <f>#NAME?</f>
        <v>#NAME?</v>
      </c>
      <c r="C5" t="e">
        <f>#NAME?</f>
        <v>#NAME?</v>
      </c>
      <c r="D5" t="s">
        <v>944</v>
      </c>
    </row>
    <row r="6" spans="1:4" hidden="1">
      <c r="A6" t="s">
        <v>859</v>
      </c>
      <c r="B6" t="e">
        <f>#NAME?</f>
        <v>#NAME?</v>
      </c>
      <c r="C6" t="e">
        <f>#NAME?</f>
        <v>#NAME?</v>
      </c>
      <c r="D6" t="s">
        <v>944</v>
      </c>
    </row>
    <row r="7" spans="1:4" hidden="1">
      <c r="A7" t="s">
        <v>860</v>
      </c>
      <c r="B7" t="e">
        <f>#NAME?</f>
        <v>#NAME?</v>
      </c>
      <c r="C7" t="e">
        <f>#NAME?</f>
        <v>#NAME?</v>
      </c>
      <c r="D7" t="s">
        <v>944</v>
      </c>
    </row>
    <row r="8" spans="1:4" hidden="1">
      <c r="A8" t="s">
        <v>861</v>
      </c>
      <c r="B8" t="e">
        <f>#NAME?</f>
        <v>#NAME?</v>
      </c>
      <c r="C8" t="e">
        <f>#NAME?</f>
        <v>#NAME?</v>
      </c>
      <c r="D8" t="s">
        <v>944</v>
      </c>
    </row>
    <row r="9" spans="1:4" hidden="1">
      <c r="A9" t="s">
        <v>862</v>
      </c>
      <c r="B9" t="e">
        <f>#NAME?</f>
        <v>#NAME?</v>
      </c>
      <c r="C9" t="e">
        <f>#NAME?</f>
        <v>#NAME?</v>
      </c>
      <c r="D9" t="s">
        <v>944</v>
      </c>
    </row>
    <row r="10" spans="1:4" hidden="1">
      <c r="A10" t="s">
        <v>863</v>
      </c>
      <c r="B10" t="e">
        <f>#NAME?</f>
        <v>#NAME?</v>
      </c>
      <c r="C10" t="e">
        <f>#NAME?</f>
        <v>#NAME?</v>
      </c>
      <c r="D10" t="s">
        <v>944</v>
      </c>
    </row>
    <row r="11" spans="1:4" hidden="1">
      <c r="A11" t="s">
        <v>864</v>
      </c>
      <c r="B11" t="e">
        <f>#NAME?</f>
        <v>#NAME?</v>
      </c>
      <c r="C11" t="e">
        <f>#NAME?</f>
        <v>#NAME?</v>
      </c>
      <c r="D11" t="s">
        <v>944</v>
      </c>
    </row>
    <row r="12" spans="1:4" hidden="1">
      <c r="A12" t="s">
        <v>865</v>
      </c>
      <c r="B12" t="e">
        <f>#NAME?</f>
        <v>#NAME?</v>
      </c>
      <c r="C12" t="e">
        <f>#NAME?</f>
        <v>#NAME?</v>
      </c>
      <c r="D12" t="s">
        <v>944</v>
      </c>
    </row>
    <row r="13" spans="1:4" hidden="1">
      <c r="A13" t="s">
        <v>866</v>
      </c>
      <c r="B13" t="e">
        <f>#NAME?</f>
        <v>#NAME?</v>
      </c>
      <c r="C13" t="e">
        <f>#NAME?</f>
        <v>#NAME?</v>
      </c>
      <c r="D13" t="s">
        <v>944</v>
      </c>
    </row>
    <row r="14" spans="1:4" hidden="1">
      <c r="A14" t="s">
        <v>867</v>
      </c>
      <c r="B14" t="e">
        <f>#NAME?</f>
        <v>#NAME?</v>
      </c>
      <c r="C14" t="e">
        <f>#NAME?</f>
        <v>#NAME?</v>
      </c>
      <c r="D14" t="s">
        <v>944</v>
      </c>
    </row>
    <row r="15" spans="1:4" hidden="1">
      <c r="A15" t="s">
        <v>868</v>
      </c>
      <c r="B15" t="e">
        <f>#NAME?</f>
        <v>#NAME?</v>
      </c>
      <c r="C15" t="e">
        <f>#NAME?</f>
        <v>#NAME?</v>
      </c>
      <c r="D15" t="s">
        <v>944</v>
      </c>
    </row>
    <row r="16" spans="1:4" hidden="1">
      <c r="A16" t="s">
        <v>869</v>
      </c>
      <c r="B16" t="e">
        <f>#NAME?</f>
        <v>#NAME?</v>
      </c>
      <c r="C16" t="e">
        <f>#NAME?</f>
        <v>#NAME?</v>
      </c>
      <c r="D16" t="s">
        <v>944</v>
      </c>
    </row>
    <row r="17" spans="1:4" hidden="1">
      <c r="A17" t="s">
        <v>870</v>
      </c>
      <c r="B17" t="e">
        <f>#NAME?</f>
        <v>#NAME?</v>
      </c>
      <c r="C17" t="e">
        <f>#NAME?</f>
        <v>#NAME?</v>
      </c>
      <c r="D17" t="s">
        <v>944</v>
      </c>
    </row>
    <row r="18" spans="1:4" hidden="1">
      <c r="A18" t="s">
        <v>871</v>
      </c>
      <c r="B18" t="e">
        <f>#NAME?</f>
        <v>#NAME?</v>
      </c>
      <c r="C18" t="e">
        <f>#NAME?</f>
        <v>#NAME?</v>
      </c>
      <c r="D18" t="s">
        <v>944</v>
      </c>
    </row>
    <row r="19" spans="1:4" hidden="1">
      <c r="A19" t="s">
        <v>966</v>
      </c>
      <c r="B19" t="e">
        <f>#NAME?</f>
        <v>#NAME?</v>
      </c>
      <c r="C19" t="e">
        <f>#NAME?</f>
        <v>#NAME?</v>
      </c>
      <c r="D19" t="s">
        <v>944</v>
      </c>
    </row>
    <row r="20" spans="1:4" hidden="1">
      <c r="A20" t="s">
        <v>872</v>
      </c>
      <c r="B20" t="e">
        <f>#NAME?</f>
        <v>#NAME?</v>
      </c>
      <c r="C20" t="e">
        <f>#NAME?</f>
        <v>#NAME?</v>
      </c>
      <c r="D20" t="s">
        <v>944</v>
      </c>
    </row>
    <row r="21" spans="1:4" hidden="1">
      <c r="A21" t="s">
        <v>873</v>
      </c>
      <c r="B21" t="e">
        <f>#NAME?</f>
        <v>#NAME?</v>
      </c>
      <c r="C21" t="e">
        <f>#NAME?</f>
        <v>#NAME?</v>
      </c>
      <c r="D21" t="s">
        <v>944</v>
      </c>
    </row>
    <row r="22" spans="1:4" hidden="1">
      <c r="A22" t="s">
        <v>874</v>
      </c>
      <c r="B22" t="e">
        <f>#NAME?</f>
        <v>#NAME?</v>
      </c>
      <c r="C22" t="e">
        <f>#NAME?</f>
        <v>#NAME?</v>
      </c>
      <c r="D22" t="s">
        <v>944</v>
      </c>
    </row>
    <row r="23" spans="1:4" hidden="1">
      <c r="A23" t="s">
        <v>875</v>
      </c>
      <c r="B23" t="e">
        <f>#NAME?</f>
        <v>#NAME?</v>
      </c>
      <c r="C23" t="e">
        <f>#NAME?</f>
        <v>#NAME?</v>
      </c>
      <c r="D23" t="s">
        <v>944</v>
      </c>
    </row>
    <row r="24" spans="1:4" hidden="1">
      <c r="A24" t="s">
        <v>876</v>
      </c>
      <c r="B24" t="e">
        <f>#NAME?</f>
        <v>#NAME?</v>
      </c>
      <c r="C24" t="e">
        <f>#NAME?</f>
        <v>#NAME?</v>
      </c>
      <c r="D24" t="s">
        <v>944</v>
      </c>
    </row>
    <row r="25" spans="1:4" hidden="1">
      <c r="A25" t="s">
        <v>877</v>
      </c>
      <c r="B25" t="e">
        <f>#NAME?</f>
        <v>#NAME?</v>
      </c>
      <c r="C25" t="e">
        <f>#NAME?</f>
        <v>#NAME?</v>
      </c>
      <c r="D25" t="s">
        <v>944</v>
      </c>
    </row>
    <row r="26" spans="1:4" hidden="1">
      <c r="A26" t="s">
        <v>988</v>
      </c>
      <c r="B26" t="e">
        <f>#NAME?</f>
        <v>#NAME?</v>
      </c>
      <c r="C26" t="e">
        <f>#NAME?</f>
        <v>#NAME?</v>
      </c>
      <c r="D26" t="s">
        <v>944</v>
      </c>
    </row>
    <row r="27" spans="1:4" hidden="1">
      <c r="A27" t="s">
        <v>1024</v>
      </c>
      <c r="B27" t="e">
        <f>#NAME?</f>
        <v>#NAME?</v>
      </c>
      <c r="C27" t="e">
        <f>#NAME?</f>
        <v>#NAME?</v>
      </c>
      <c r="D27" t="s">
        <v>944</v>
      </c>
    </row>
    <row r="28" spans="1:4" hidden="1">
      <c r="A28" t="s">
        <v>989</v>
      </c>
      <c r="B28" t="e">
        <f>#NAME?</f>
        <v>#NAME?</v>
      </c>
      <c r="C28" t="e">
        <f>#NAME?</f>
        <v>#NAME?</v>
      </c>
      <c r="D28" t="s">
        <v>944</v>
      </c>
    </row>
    <row r="29" spans="1:4" hidden="1">
      <c r="A29" t="s">
        <v>1025</v>
      </c>
      <c r="B29" t="e">
        <f>#NAME?</f>
        <v>#NAME?</v>
      </c>
      <c r="C29" t="e">
        <f>#NAME?</f>
        <v>#NAME?</v>
      </c>
      <c r="D29" t="s">
        <v>944</v>
      </c>
    </row>
    <row r="30" spans="1:4" hidden="1">
      <c r="A30" t="s">
        <v>878</v>
      </c>
      <c r="B30" t="e">
        <f>#NAME?</f>
        <v>#NAME?</v>
      </c>
      <c r="C30" t="e">
        <f>#NAME?</f>
        <v>#NAME?</v>
      </c>
      <c r="D30" t="s">
        <v>944</v>
      </c>
    </row>
    <row r="31" spans="1:4" hidden="1">
      <c r="A31" t="s">
        <v>879</v>
      </c>
      <c r="B31" t="e">
        <f>#NAME?</f>
        <v>#NAME?</v>
      </c>
      <c r="C31" t="e">
        <f>#NAME?</f>
        <v>#NAME?</v>
      </c>
      <c r="D31" t="s">
        <v>944</v>
      </c>
    </row>
    <row r="32" spans="1:4" hidden="1">
      <c r="A32" t="s">
        <v>990</v>
      </c>
      <c r="B32" t="e">
        <f>#NAME?</f>
        <v>#NAME?</v>
      </c>
      <c r="C32" t="e">
        <f>#NAME?</f>
        <v>#NAME?</v>
      </c>
      <c r="D32" t="s">
        <v>944</v>
      </c>
    </row>
    <row r="33" spans="1:4" hidden="1">
      <c r="A33" t="s">
        <v>880</v>
      </c>
      <c r="B33" t="e">
        <f>#NAME?</f>
        <v>#NAME?</v>
      </c>
      <c r="C33" t="e">
        <f>#NAME?</f>
        <v>#NAME?</v>
      </c>
      <c r="D33" t="s">
        <v>944</v>
      </c>
    </row>
    <row r="34" spans="1:4" hidden="1">
      <c r="A34" t="s">
        <v>881</v>
      </c>
      <c r="B34" t="e">
        <f>#NAME?</f>
        <v>#NAME?</v>
      </c>
      <c r="C34" t="e">
        <f>#NAME?</f>
        <v>#NAME?</v>
      </c>
      <c r="D34" t="s">
        <v>944</v>
      </c>
    </row>
    <row r="35" spans="1:4" hidden="1">
      <c r="A35" t="s">
        <v>991</v>
      </c>
      <c r="B35" t="e">
        <f>#NAME?</f>
        <v>#NAME?</v>
      </c>
      <c r="C35" t="e">
        <f>#NAME?</f>
        <v>#NAME?</v>
      </c>
      <c r="D35" t="s">
        <v>944</v>
      </c>
    </row>
    <row r="36" spans="1:4" hidden="1">
      <c r="A36" t="s">
        <v>992</v>
      </c>
      <c r="B36" t="e">
        <f>#NAME?</f>
        <v>#NAME?</v>
      </c>
      <c r="C36" t="e">
        <f>#NAME?</f>
        <v>#NAME?</v>
      </c>
      <c r="D36" t="s">
        <v>944</v>
      </c>
    </row>
    <row r="37" spans="1:4" hidden="1">
      <c r="A37" t="s">
        <v>882</v>
      </c>
      <c r="B37" t="e">
        <f>#NAME?</f>
        <v>#NAME?</v>
      </c>
      <c r="C37" t="e">
        <f>#NAME?</f>
        <v>#NAME?</v>
      </c>
      <c r="D37" t="s">
        <v>944</v>
      </c>
    </row>
    <row r="38" spans="1:4" hidden="1">
      <c r="A38" t="s">
        <v>993</v>
      </c>
      <c r="B38" t="e">
        <f>#NAME?</f>
        <v>#NAME?</v>
      </c>
      <c r="C38" t="e">
        <f>#NAME?</f>
        <v>#NAME?</v>
      </c>
      <c r="D38" t="s">
        <v>944</v>
      </c>
    </row>
    <row r="39" spans="1:4" hidden="1">
      <c r="A39" t="s">
        <v>994</v>
      </c>
      <c r="B39" t="e">
        <f>#NAME?</f>
        <v>#NAME?</v>
      </c>
      <c r="C39" t="e">
        <f>#NAME?</f>
        <v>#NAME?</v>
      </c>
      <c r="D39" t="s">
        <v>944</v>
      </c>
    </row>
    <row r="40" spans="1:4" hidden="1">
      <c r="A40" t="s">
        <v>995</v>
      </c>
      <c r="B40" t="e">
        <f>#NAME?</f>
        <v>#NAME?</v>
      </c>
      <c r="C40" t="e">
        <f>#NAME?</f>
        <v>#NAME?</v>
      </c>
      <c r="D40" t="s">
        <v>944</v>
      </c>
    </row>
    <row r="41" spans="1:4" hidden="1">
      <c r="A41" t="s">
        <v>883</v>
      </c>
      <c r="B41" t="e">
        <f>#NAME?</f>
        <v>#NAME?</v>
      </c>
      <c r="C41" t="e">
        <f>#NAME?</f>
        <v>#NAME?</v>
      </c>
      <c r="D41" t="s">
        <v>944</v>
      </c>
    </row>
    <row r="42" spans="1:4" hidden="1">
      <c r="A42" t="s">
        <v>884</v>
      </c>
      <c r="B42" t="e">
        <f>#NAME?</f>
        <v>#NAME?</v>
      </c>
      <c r="C42" t="e">
        <f>#NAME?</f>
        <v>#NAME?</v>
      </c>
      <c r="D42" t="s">
        <v>944</v>
      </c>
    </row>
    <row r="43" spans="1:4" hidden="1">
      <c r="A43" t="s">
        <v>885</v>
      </c>
      <c r="B43" t="e">
        <f>#NAME?</f>
        <v>#NAME?</v>
      </c>
      <c r="C43" t="e">
        <f>#NAME?</f>
        <v>#NAME?</v>
      </c>
      <c r="D43" t="s">
        <v>944</v>
      </c>
    </row>
    <row r="44" spans="1:4" hidden="1">
      <c r="A44" t="s">
        <v>886</v>
      </c>
      <c r="B44" t="e">
        <f>#NAME?</f>
        <v>#NAME?</v>
      </c>
      <c r="C44" t="e">
        <f>#NAME?</f>
        <v>#NAME?</v>
      </c>
      <c r="D44" t="s">
        <v>944</v>
      </c>
    </row>
    <row r="45" spans="1:4" hidden="1">
      <c r="A45" t="s">
        <v>887</v>
      </c>
      <c r="B45" t="e">
        <f>#NAME?</f>
        <v>#NAME?</v>
      </c>
      <c r="C45" t="e">
        <f>#NAME?</f>
        <v>#NAME?</v>
      </c>
      <c r="D45" t="s">
        <v>944</v>
      </c>
    </row>
    <row r="46" spans="1:4" hidden="1">
      <c r="A46" t="s">
        <v>888</v>
      </c>
      <c r="B46" t="e">
        <f>#NAME?</f>
        <v>#NAME?</v>
      </c>
      <c r="C46" t="e">
        <f>#NAME?</f>
        <v>#NAME?</v>
      </c>
      <c r="D46" t="s">
        <v>944</v>
      </c>
    </row>
    <row r="47" spans="1:4" hidden="1">
      <c r="A47" t="s">
        <v>1026</v>
      </c>
      <c r="B47" t="e">
        <f>#NAME?</f>
        <v>#NAME?</v>
      </c>
      <c r="C47" t="e">
        <f>#NAME?</f>
        <v>#NAME?</v>
      </c>
      <c r="D47" t="s">
        <v>944</v>
      </c>
    </row>
    <row r="48" spans="1:4" hidden="1">
      <c r="A48" t="s">
        <v>889</v>
      </c>
      <c r="B48" t="e">
        <f>#NAME?</f>
        <v>#NAME?</v>
      </c>
      <c r="C48" t="e">
        <f>#NAME?</f>
        <v>#NAME?</v>
      </c>
      <c r="D48" t="s">
        <v>944</v>
      </c>
    </row>
    <row r="49" spans="1:4" hidden="1">
      <c r="A49" t="s">
        <v>890</v>
      </c>
      <c r="B49" t="e">
        <f>#NAME?</f>
        <v>#NAME?</v>
      </c>
      <c r="C49" t="e">
        <f>#NAME?</f>
        <v>#NAME?</v>
      </c>
      <c r="D49" t="s">
        <v>944</v>
      </c>
    </row>
    <row r="50" spans="1:4" hidden="1">
      <c r="A50" t="s">
        <v>1006</v>
      </c>
      <c r="B50" t="e">
        <f>#NAME?</f>
        <v>#NAME?</v>
      </c>
      <c r="C50" t="e">
        <f>#NAME?</f>
        <v>#NAME?</v>
      </c>
      <c r="D50" t="s">
        <v>944</v>
      </c>
    </row>
    <row r="51" spans="1:4" hidden="1">
      <c r="A51" t="s">
        <v>891</v>
      </c>
      <c r="B51" t="e">
        <f>#NAME?</f>
        <v>#NAME?</v>
      </c>
      <c r="C51" t="e">
        <f>#NAME?</f>
        <v>#NAME?</v>
      </c>
      <c r="D51" t="s">
        <v>944</v>
      </c>
    </row>
    <row r="52" spans="1:4" hidden="1">
      <c r="A52" t="s">
        <v>996</v>
      </c>
      <c r="B52" t="e">
        <f>#NAME?</f>
        <v>#NAME?</v>
      </c>
      <c r="C52" t="e">
        <f>#NAME?</f>
        <v>#NAME?</v>
      </c>
      <c r="D52" t="s">
        <v>944</v>
      </c>
    </row>
    <row r="53" spans="1:4" hidden="1">
      <c r="A53" t="s">
        <v>892</v>
      </c>
      <c r="B53" t="e">
        <f>#NAME?</f>
        <v>#NAME?</v>
      </c>
      <c r="C53" t="e">
        <f>#NAME?</f>
        <v>#NAME?</v>
      </c>
      <c r="D53" t="s">
        <v>944</v>
      </c>
    </row>
    <row r="54" spans="1:4" hidden="1">
      <c r="A54" t="s">
        <v>893</v>
      </c>
      <c r="B54" t="e">
        <f>#NAME?</f>
        <v>#NAME?</v>
      </c>
      <c r="C54" t="e">
        <f>#NAME?</f>
        <v>#NAME?</v>
      </c>
      <c r="D54" t="s">
        <v>944</v>
      </c>
    </row>
    <row r="55" spans="1:4" hidden="1">
      <c r="A55" t="s">
        <v>894</v>
      </c>
      <c r="B55" t="e">
        <f>#NAME?</f>
        <v>#NAME?</v>
      </c>
      <c r="C55" t="e">
        <f>#NAME?</f>
        <v>#NAME?</v>
      </c>
      <c r="D55" t="s">
        <v>944</v>
      </c>
    </row>
    <row r="56" spans="1:4" hidden="1">
      <c r="A56" t="s">
        <v>895</v>
      </c>
      <c r="B56" t="e">
        <f>#NAME?</f>
        <v>#NAME?</v>
      </c>
      <c r="C56" t="e">
        <f>#NAME?</f>
        <v>#NAME?</v>
      </c>
      <c r="D56" t="s">
        <v>944</v>
      </c>
    </row>
    <row r="57" spans="1:4" hidden="1">
      <c r="A57" t="s">
        <v>896</v>
      </c>
      <c r="B57" t="e">
        <f>#NAME?</f>
        <v>#NAME?</v>
      </c>
      <c r="C57" t="e">
        <f>#NAME?</f>
        <v>#NAME?</v>
      </c>
      <c r="D57" t="s">
        <v>944</v>
      </c>
    </row>
    <row r="58" spans="1:4" hidden="1">
      <c r="A58" t="s">
        <v>897</v>
      </c>
      <c r="B58" t="e">
        <f>#NAME?</f>
        <v>#NAME?</v>
      </c>
      <c r="C58" t="e">
        <f>#NAME?</f>
        <v>#NAME?</v>
      </c>
      <c r="D58" t="s">
        <v>944</v>
      </c>
    </row>
    <row r="59" spans="1:4" hidden="1">
      <c r="A59" t="s">
        <v>898</v>
      </c>
      <c r="B59" t="e">
        <f>#NAME?</f>
        <v>#NAME?</v>
      </c>
      <c r="C59" t="e">
        <f>#NAME?</f>
        <v>#NAME?</v>
      </c>
      <c r="D59" t="s">
        <v>944</v>
      </c>
    </row>
    <row r="60" spans="1:4" hidden="1">
      <c r="A60" t="s">
        <v>899</v>
      </c>
      <c r="B60" t="e">
        <f>#NAME?</f>
        <v>#NAME?</v>
      </c>
      <c r="C60" t="e">
        <f>#NAME?</f>
        <v>#NAME?</v>
      </c>
      <c r="D60" t="s">
        <v>944</v>
      </c>
    </row>
    <row r="61" spans="1:4" hidden="1">
      <c r="A61" t="s">
        <v>900</v>
      </c>
      <c r="B61" t="e">
        <f>#NAME?</f>
        <v>#NAME?</v>
      </c>
      <c r="C61" t="e">
        <f>#NAME?</f>
        <v>#NAME?</v>
      </c>
      <c r="D61" t="s">
        <v>944</v>
      </c>
    </row>
    <row r="62" spans="1:4" hidden="1">
      <c r="A62" t="s">
        <v>901</v>
      </c>
      <c r="B62" t="e">
        <f>#NAME?</f>
        <v>#NAME?</v>
      </c>
      <c r="C62" t="e">
        <f>#NAME?</f>
        <v>#NAME?</v>
      </c>
      <c r="D62" t="s">
        <v>944</v>
      </c>
    </row>
    <row r="63" spans="1:4" hidden="1">
      <c r="A63" t="s">
        <v>1027</v>
      </c>
      <c r="B63" t="e">
        <f>#NAME?</f>
        <v>#NAME?</v>
      </c>
      <c r="C63" t="e">
        <f>#NAME?</f>
        <v>#NAME?</v>
      </c>
      <c r="D63" t="s">
        <v>944</v>
      </c>
    </row>
    <row r="64" spans="1:4" hidden="1">
      <c r="A64" t="s">
        <v>902</v>
      </c>
      <c r="B64" t="e">
        <f>#NAME?</f>
        <v>#NAME?</v>
      </c>
      <c r="C64" t="e">
        <f>#NAME?</f>
        <v>#NAME?</v>
      </c>
      <c r="D64" t="s">
        <v>944</v>
      </c>
    </row>
    <row r="65" spans="1:4" hidden="1">
      <c r="A65" t="s">
        <v>903</v>
      </c>
      <c r="B65" t="e">
        <f>#NAME?</f>
        <v>#NAME?</v>
      </c>
      <c r="C65" t="e">
        <f>#NAME?</f>
        <v>#NAME?</v>
      </c>
      <c r="D65" t="s">
        <v>944</v>
      </c>
    </row>
    <row r="66" spans="1:4" hidden="1">
      <c r="A66" t="s">
        <v>904</v>
      </c>
      <c r="B66" t="e">
        <f>#NAME?</f>
        <v>#NAME?</v>
      </c>
      <c r="C66" t="e">
        <f>#NAME?</f>
        <v>#NAME?</v>
      </c>
      <c r="D66" t="s">
        <v>944</v>
      </c>
    </row>
    <row r="67" spans="1:4" hidden="1">
      <c r="A67" t="s">
        <v>905</v>
      </c>
      <c r="B67" t="e">
        <f>#NAME?</f>
        <v>#NAME?</v>
      </c>
      <c r="C67" t="e">
        <f>#NAME?</f>
        <v>#NAME?</v>
      </c>
      <c r="D67" t="s">
        <v>944</v>
      </c>
    </row>
    <row r="68" spans="1:4" hidden="1">
      <c r="A68" t="s">
        <v>906</v>
      </c>
      <c r="B68" t="e">
        <f>#NAME?</f>
        <v>#NAME?</v>
      </c>
      <c r="C68" t="e">
        <f>#NAME?</f>
        <v>#NAME?</v>
      </c>
      <c r="D68" t="s">
        <v>944</v>
      </c>
    </row>
    <row r="69" spans="1:4" hidden="1">
      <c r="A69" t="s">
        <v>907</v>
      </c>
      <c r="B69" t="e">
        <f>#NAME?</f>
        <v>#NAME?</v>
      </c>
      <c r="C69" t="e">
        <f>#NAME?</f>
        <v>#NAME?</v>
      </c>
      <c r="D69" t="s">
        <v>944</v>
      </c>
    </row>
    <row r="70" spans="1:4" hidden="1">
      <c r="A70" t="s">
        <v>997</v>
      </c>
      <c r="B70" t="e">
        <f>#NAME?</f>
        <v>#NAME?</v>
      </c>
      <c r="C70" t="e">
        <f>#NAME?</f>
        <v>#NAME?</v>
      </c>
      <c r="D70" t="s">
        <v>944</v>
      </c>
    </row>
    <row r="71" spans="1:4" hidden="1">
      <c r="A71" t="s">
        <v>908</v>
      </c>
      <c r="B71" t="e">
        <f>#NAME?</f>
        <v>#NAME?</v>
      </c>
      <c r="C71" t="e">
        <f>#NAME?</f>
        <v>#NAME?</v>
      </c>
      <c r="D71" t="s">
        <v>944</v>
      </c>
    </row>
    <row r="72" spans="1:4" hidden="1">
      <c r="A72" t="s">
        <v>909</v>
      </c>
      <c r="B72" t="e">
        <f>#NAME?</f>
        <v>#NAME?</v>
      </c>
      <c r="C72" t="e">
        <f>#NAME?</f>
        <v>#NAME?</v>
      </c>
      <c r="D72" t="s">
        <v>944</v>
      </c>
    </row>
    <row r="73" spans="1:4" hidden="1">
      <c r="A73" t="s">
        <v>910</v>
      </c>
      <c r="B73" t="e">
        <f>#NAME?</f>
        <v>#NAME?</v>
      </c>
      <c r="C73" t="e">
        <f>#NAME?</f>
        <v>#NAME?</v>
      </c>
      <c r="D73" t="s">
        <v>944</v>
      </c>
    </row>
    <row r="74" spans="1:4" hidden="1">
      <c r="A74" t="s">
        <v>911</v>
      </c>
      <c r="B74" t="e">
        <f>#NAME?</f>
        <v>#NAME?</v>
      </c>
      <c r="C74" t="e">
        <f>#NAME?</f>
        <v>#NAME?</v>
      </c>
      <c r="D74" t="s">
        <v>944</v>
      </c>
    </row>
    <row r="75" spans="1:4" hidden="1">
      <c r="A75" t="s">
        <v>912</v>
      </c>
      <c r="B75" t="e">
        <f>#NAME?</f>
        <v>#NAME?</v>
      </c>
      <c r="C75" t="e">
        <f>#NAME?</f>
        <v>#NAME?</v>
      </c>
      <c r="D75" t="s">
        <v>944</v>
      </c>
    </row>
    <row r="76" spans="1:4" hidden="1">
      <c r="A76" t="s">
        <v>1028</v>
      </c>
      <c r="B76" t="e">
        <f>#NAME?</f>
        <v>#NAME?</v>
      </c>
      <c r="C76" t="e">
        <f>#NAME?</f>
        <v>#NAME?</v>
      </c>
      <c r="D76" t="s">
        <v>944</v>
      </c>
    </row>
    <row r="77" spans="1:4" hidden="1">
      <c r="A77" t="s">
        <v>913</v>
      </c>
      <c r="B77" t="e">
        <f>#NAME?</f>
        <v>#NAME?</v>
      </c>
      <c r="C77" t="e">
        <f>#NAME?</f>
        <v>#NAME?</v>
      </c>
      <c r="D77" t="s">
        <v>944</v>
      </c>
    </row>
    <row r="78" spans="1:4" hidden="1">
      <c r="A78" t="s">
        <v>914</v>
      </c>
      <c r="B78" t="e">
        <f>#NAME?</f>
        <v>#NAME?</v>
      </c>
      <c r="C78" t="e">
        <f>#NAME?</f>
        <v>#NAME?</v>
      </c>
      <c r="D78" t="s">
        <v>944</v>
      </c>
    </row>
    <row r="79" spans="1:4" hidden="1">
      <c r="A79" t="s">
        <v>915</v>
      </c>
      <c r="B79" t="e">
        <f>#NAME?</f>
        <v>#NAME?</v>
      </c>
      <c r="C79" t="e">
        <f>#NAME?</f>
        <v>#NAME?</v>
      </c>
      <c r="D79" t="s">
        <v>944</v>
      </c>
    </row>
    <row r="80" spans="1:4" hidden="1">
      <c r="A80" t="s">
        <v>916</v>
      </c>
      <c r="B80" t="e">
        <f>#NAME?</f>
        <v>#NAME?</v>
      </c>
      <c r="C80" t="e">
        <f>#NAME?</f>
        <v>#NAME?</v>
      </c>
      <c r="D80" t="s">
        <v>944</v>
      </c>
    </row>
    <row r="81" spans="1:4" hidden="1">
      <c r="A81" t="s">
        <v>917</v>
      </c>
      <c r="B81" t="e">
        <f>#NAME?</f>
        <v>#NAME?</v>
      </c>
      <c r="C81" t="e">
        <f>#NAME?</f>
        <v>#NAME?</v>
      </c>
      <c r="D81" t="s">
        <v>944</v>
      </c>
    </row>
    <row r="82" spans="1:4" hidden="1">
      <c r="A82" t="s">
        <v>918</v>
      </c>
      <c r="B82" t="e">
        <f>#NAME?</f>
        <v>#NAME?</v>
      </c>
      <c r="C82" t="e">
        <f>#NAME?</f>
        <v>#NAME?</v>
      </c>
      <c r="D82" t="s">
        <v>944</v>
      </c>
    </row>
    <row r="83" spans="1:4" hidden="1">
      <c r="A83" t="s">
        <v>998</v>
      </c>
      <c r="B83" t="e">
        <f>#NAME?</f>
        <v>#NAME?</v>
      </c>
      <c r="C83" t="e">
        <f>#NAME?</f>
        <v>#NAME?</v>
      </c>
      <c r="D83" t="s">
        <v>944</v>
      </c>
    </row>
    <row r="84" spans="1:4" hidden="1">
      <c r="A84" t="s">
        <v>919</v>
      </c>
      <c r="B84" t="e">
        <f>#NAME?</f>
        <v>#NAME?</v>
      </c>
      <c r="C84" t="e">
        <f>#NAME?</f>
        <v>#NAME?</v>
      </c>
      <c r="D84" t="s">
        <v>944</v>
      </c>
    </row>
    <row r="85" spans="1:4" hidden="1">
      <c r="A85" t="s">
        <v>920</v>
      </c>
      <c r="B85" t="e">
        <f>#NAME?</f>
        <v>#NAME?</v>
      </c>
      <c r="C85" t="e">
        <f>#NAME?</f>
        <v>#NAME?</v>
      </c>
      <c r="D85" t="s">
        <v>944</v>
      </c>
    </row>
    <row r="86" spans="1:4" hidden="1">
      <c r="A86" t="s">
        <v>921</v>
      </c>
      <c r="B86" t="e">
        <f>#NAME?</f>
        <v>#NAME?</v>
      </c>
      <c r="C86" t="e">
        <f>#NAME?</f>
        <v>#NAME?</v>
      </c>
      <c r="D86" t="s">
        <v>944</v>
      </c>
    </row>
    <row r="87" spans="1:4" hidden="1">
      <c r="A87" t="s">
        <v>922</v>
      </c>
      <c r="B87" t="e">
        <f>#NAME?</f>
        <v>#NAME?</v>
      </c>
      <c r="C87" t="e">
        <f>#NAME?</f>
        <v>#NAME?</v>
      </c>
      <c r="D87" t="s">
        <v>944</v>
      </c>
    </row>
    <row r="88" spans="1:4" hidden="1">
      <c r="A88" t="s">
        <v>923</v>
      </c>
      <c r="B88" t="e">
        <f>#NAME?</f>
        <v>#NAME?</v>
      </c>
      <c r="C88" t="e">
        <f>#NAME?</f>
        <v>#NAME?</v>
      </c>
      <c r="D88" t="s">
        <v>944</v>
      </c>
    </row>
    <row r="89" spans="1:4" hidden="1">
      <c r="A89" t="s">
        <v>924</v>
      </c>
      <c r="B89" t="e">
        <f>#NAME?</f>
        <v>#NAME?</v>
      </c>
      <c r="C89" t="e">
        <f>#NAME?</f>
        <v>#NAME?</v>
      </c>
      <c r="D89" t="s">
        <v>944</v>
      </c>
    </row>
    <row r="90" spans="1:4" hidden="1">
      <c r="A90" t="s">
        <v>925</v>
      </c>
      <c r="B90" t="e">
        <f>#NAME?</f>
        <v>#NAME?</v>
      </c>
      <c r="C90" t="e">
        <f>#NAME?</f>
        <v>#NAME?</v>
      </c>
      <c r="D90" t="s">
        <v>944</v>
      </c>
    </row>
    <row r="91" spans="1:4" hidden="1">
      <c r="A91" t="s">
        <v>926</v>
      </c>
      <c r="B91" t="e">
        <f>#NAME?</f>
        <v>#NAME?</v>
      </c>
      <c r="C91" t="e">
        <f>#NAME?</f>
        <v>#NAME?</v>
      </c>
      <c r="D91" t="s">
        <v>944</v>
      </c>
    </row>
    <row r="92" spans="1:4" hidden="1">
      <c r="A92" t="s">
        <v>999</v>
      </c>
      <c r="B92" t="e">
        <f>#NAME?</f>
        <v>#NAME?</v>
      </c>
      <c r="C92" t="e">
        <f>#NAME?</f>
        <v>#NAME?</v>
      </c>
      <c r="D92" t="s">
        <v>944</v>
      </c>
    </row>
    <row r="93" spans="1:4" hidden="1">
      <c r="A93" t="s">
        <v>1000</v>
      </c>
      <c r="B93" t="e">
        <f>#NAME?</f>
        <v>#NAME?</v>
      </c>
      <c r="C93" t="e">
        <f>#NAME?</f>
        <v>#NAME?</v>
      </c>
      <c r="D93" t="s">
        <v>944</v>
      </c>
    </row>
    <row r="94" spans="1:4" hidden="1">
      <c r="A94" t="s">
        <v>1001</v>
      </c>
      <c r="B94" t="e">
        <f>#NAME?</f>
        <v>#NAME?</v>
      </c>
      <c r="C94" t="e">
        <f>#NAME?</f>
        <v>#NAME?</v>
      </c>
      <c r="D94" t="s">
        <v>944</v>
      </c>
    </row>
    <row r="95" spans="1:4" hidden="1">
      <c r="A95" t="s">
        <v>927</v>
      </c>
      <c r="B95" t="e">
        <f>#NAME?</f>
        <v>#NAME?</v>
      </c>
      <c r="C95" t="e">
        <f>#NAME?</f>
        <v>#NAME?</v>
      </c>
      <c r="D95" t="s">
        <v>944</v>
      </c>
    </row>
    <row r="96" spans="1:4" hidden="1">
      <c r="A96" t="s">
        <v>928</v>
      </c>
      <c r="B96" t="e">
        <f>#NAME?</f>
        <v>#NAME?</v>
      </c>
      <c r="C96" t="e">
        <f>#NAME?</f>
        <v>#NAME?</v>
      </c>
      <c r="D96" t="s">
        <v>944</v>
      </c>
    </row>
    <row r="97" spans="1:4" hidden="1">
      <c r="A97" t="s">
        <v>929</v>
      </c>
      <c r="B97" t="e">
        <f>#NAME?</f>
        <v>#NAME?</v>
      </c>
      <c r="C97" t="e">
        <f>#NAME?</f>
        <v>#NAME?</v>
      </c>
      <c r="D97" t="s">
        <v>944</v>
      </c>
    </row>
    <row r="98" spans="1:4" hidden="1">
      <c r="A98" t="s">
        <v>930</v>
      </c>
      <c r="B98" t="e">
        <f>#NAME?</f>
        <v>#NAME?</v>
      </c>
      <c r="C98" t="e">
        <f>#NAME?</f>
        <v>#NAME?</v>
      </c>
      <c r="D98" t="s">
        <v>944</v>
      </c>
    </row>
    <row r="99" spans="1:4" hidden="1">
      <c r="A99" t="s">
        <v>931</v>
      </c>
      <c r="B99" t="e">
        <f>#NAME?</f>
        <v>#NAME?</v>
      </c>
      <c r="C99" t="e">
        <f>#NAME?</f>
        <v>#NAME?</v>
      </c>
      <c r="D99" t="s">
        <v>944</v>
      </c>
    </row>
    <row r="100" spans="1:4" hidden="1">
      <c r="A100" t="s">
        <v>932</v>
      </c>
      <c r="B100" t="e">
        <f>#NAME?</f>
        <v>#NAME?</v>
      </c>
      <c r="C100" t="e">
        <f>#NAME?</f>
        <v>#NAME?</v>
      </c>
      <c r="D100" t="s">
        <v>944</v>
      </c>
    </row>
    <row r="101" spans="1:4" hidden="1">
      <c r="A101" t="s">
        <v>933</v>
      </c>
      <c r="B101" t="e">
        <f>#NAME?</f>
        <v>#NAME?</v>
      </c>
      <c r="C101" t="e">
        <f>#NAME?</f>
        <v>#NAME?</v>
      </c>
      <c r="D101" t="s">
        <v>944</v>
      </c>
    </row>
    <row r="102" spans="1:4" hidden="1">
      <c r="A102" t="s">
        <v>934</v>
      </c>
      <c r="B102" t="e">
        <f>#NAME?</f>
        <v>#NAME?</v>
      </c>
      <c r="C102" t="e">
        <f>#NAME?</f>
        <v>#NAME?</v>
      </c>
      <c r="D102" t="s">
        <v>944</v>
      </c>
    </row>
    <row r="103" spans="1:4" hidden="1">
      <c r="A103" t="s">
        <v>935</v>
      </c>
      <c r="B103" t="e">
        <f>#NAME?</f>
        <v>#NAME?</v>
      </c>
      <c r="C103" t="e">
        <f>#NAME?</f>
        <v>#NAME?</v>
      </c>
      <c r="D103" t="s">
        <v>944</v>
      </c>
    </row>
    <row r="104" spans="1:4" hidden="1">
      <c r="A104" t="s">
        <v>936</v>
      </c>
      <c r="B104" t="e">
        <f>#NAME?</f>
        <v>#NAME?</v>
      </c>
      <c r="C104" t="e">
        <f>#NAME?</f>
        <v>#NAME?</v>
      </c>
      <c r="D104" t="s">
        <v>944</v>
      </c>
    </row>
    <row r="105" spans="1:4" hidden="1">
      <c r="A105" t="s">
        <v>937</v>
      </c>
      <c r="B105" t="e">
        <f>#NAME?</f>
        <v>#NAME?</v>
      </c>
      <c r="C105" t="e">
        <f>#NAME?</f>
        <v>#NAME?</v>
      </c>
      <c r="D105" t="s">
        <v>944</v>
      </c>
    </row>
    <row r="106" spans="1:4" hidden="1">
      <c r="A106" t="s">
        <v>938</v>
      </c>
      <c r="B106" t="e">
        <f>#NAME?</f>
        <v>#NAME?</v>
      </c>
      <c r="C106" t="e">
        <f>#NAME?</f>
        <v>#NAME?</v>
      </c>
      <c r="D106" t="s">
        <v>944</v>
      </c>
    </row>
    <row r="107" spans="1:4" hidden="1">
      <c r="A107" t="s">
        <v>939</v>
      </c>
      <c r="B107" t="e">
        <f>#NAME?</f>
        <v>#NAME?</v>
      </c>
      <c r="C107" t="e">
        <f>#NAME?</f>
        <v>#NAME?</v>
      </c>
      <c r="D107" t="s">
        <v>944</v>
      </c>
    </row>
    <row r="108" spans="1:4" hidden="1">
      <c r="A108" t="s">
        <v>940</v>
      </c>
      <c r="B108" t="e">
        <f>#NAME?</f>
        <v>#NAME?</v>
      </c>
      <c r="C108" t="e">
        <f>#NAME?</f>
        <v>#NAME?</v>
      </c>
      <c r="D108" t="s">
        <v>944</v>
      </c>
    </row>
    <row r="109" spans="1:4" hidden="1">
      <c r="A109" t="s">
        <v>941</v>
      </c>
      <c r="B109" t="e">
        <f>#NAME?</f>
        <v>#NAME?</v>
      </c>
      <c r="C109" t="e">
        <f>#NAME?</f>
        <v>#NAME?</v>
      </c>
      <c r="D109" t="s">
        <v>944</v>
      </c>
    </row>
    <row r="110" spans="1:4" hidden="1">
      <c r="A110" t="s">
        <v>942</v>
      </c>
      <c r="B110" t="e">
        <f>#NAME?</f>
        <v>#NAME?</v>
      </c>
      <c r="C110" t="e">
        <f>#NAME?</f>
        <v>#NAME?</v>
      </c>
      <c r="D110" t="s">
        <v>944</v>
      </c>
    </row>
    <row r="111" spans="1:4" hidden="1">
      <c r="A111" t="s">
        <v>943</v>
      </c>
      <c r="B111" t="e">
        <f>PresupuestoPlantilla!$A$1:$V$36</f>
        <v>#VALUE!</v>
      </c>
      <c r="C111" t="e">
        <f>PresupuestoPlantilla!$A$1:$V$36</f>
        <v>#VALUE!</v>
      </c>
      <c r="D111" t="s">
        <v>856</v>
      </c>
    </row>
    <row r="112" spans="1:4">
      <c r="A112" t="s">
        <v>945</v>
      </c>
      <c r="B112" t="e" vm="1">
        <f ca="1">_xlfn.LAMBDA(_xlpm.n, "PRE-" &amp; TEXT(TODAY(),"aaaaMM") &amp; TEXT(_xlpm.n,"00"))</f>
        <v>#VALUE!</v>
      </c>
      <c r="C112" t="e" vm="1">
        <f ca="1">_xlfn.LAMBDA(_xlpm.n, "PRE-" &amp; TEXT(TODAY(),"aaaaMM") &amp; TEXT(_xlpm.n,"00"))</f>
        <v>#VALUE!</v>
      </c>
      <c r="D112" t="s">
        <v>944</v>
      </c>
    </row>
    <row r="113" spans="1:4">
      <c r="A113" t="s">
        <v>946</v>
      </c>
      <c r="B113" t="e" vm="1">
        <f>_xlfn.LAMBDA(_xlpm.técnica_seleccionada,_xlpm.tamaño_id,_xlpm.producto_id,_xlpm.talla,_xlpm.tipo_vinil,_xlpm.tipo_precio,     _xlfn.LET(         _xlpm.datos_tamaño,_xlfn._xlws.FILTER(Dim_Tecnica_Tamano[],Dim_Tecnica_Tamano[Id_Tamano]=_xlpm.tamaño_id),         "Prueba2"     ) )</f>
        <v>#VALUE!</v>
      </c>
      <c r="C113" t="e" vm="1">
        <f>_xlfn.LAMBDA(_xlpm.técnica_seleccionada,_xlpm.tamaño_id,_xlpm.producto_id,_xlpm.talla,_xlpm.tipo_vinil,_xlpm.tipo_precio,     _xlfn.LET(         _xlpm.datos_tamaño,_xlfn._xlws.FILTER(Dim_Tecnica_Tamano[],Dim_Tecnica_Tamano[Id_Tamano]=_xlpm.tamaño_id),         "Prueba2"     ) )</f>
        <v>#VALUE!</v>
      </c>
      <c r="D113" t="s">
        <v>944</v>
      </c>
    </row>
    <row r="114" spans="1:4" hidden="1">
      <c r="A114" s="152" t="s">
        <v>947</v>
      </c>
      <c r="B114" t="e">
        <f>'Tabla4 (2)'!$A$1:$G$21</f>
        <v>#VALUE!</v>
      </c>
      <c r="C114" t="e">
        <f>'Tabla4 (2)'!$A$1:$G$21</f>
        <v>#VALUE!</v>
      </c>
      <c r="D114" t="s">
        <v>856</v>
      </c>
    </row>
    <row r="115" spans="1:4" hidden="1">
      <c r="A115" t="s">
        <v>948</v>
      </c>
      <c r="B115" t="e">
        <f ca="1">OFFSET(Dim_Actividad[#Headers],1,MATCH("Nombre_Actividad",Dim_Actividad[#Headers],0)-1,COUNTA(Dim_Actividad[Nombre_Actividad]),1)</f>
        <v>#VALUE!</v>
      </c>
      <c r="C115" t="e">
        <f ca="1">OFFSET(Dim_Actividad[#Headers],1,MATCH("Nombre_Actividad",Dim_Actividad[#Headers],0)-1,COUNTA(Dim_Actividad[Nombre_Actividad]),1)</f>
        <v>#VALUE!</v>
      </c>
      <c r="D115" t="s">
        <v>944</v>
      </c>
    </row>
    <row r="116" spans="1:4" hidden="1">
      <c r="A116" t="s">
        <v>949</v>
      </c>
      <c r="B116" t="e">
        <f ca="1">OFFSET(Dim_Disenno[#Headers],1,MATCH("descripción",Dim_Disenno[#Headers],0)-1,COUNTA(Dim_Disenno[descripción]),1)</f>
        <v>#VALUE!</v>
      </c>
      <c r="C116" t="e">
        <f ca="1">OFFSET(Dim_Disenno[#Headers],1,MATCH("descripción",Dim_Disenno[#Headers],0)-1,COUNTA(Dim_Disenno[descripción]),1)</f>
        <v>#VALUE!</v>
      </c>
      <c r="D116" t="s">
        <v>944</v>
      </c>
    </row>
    <row r="117" spans="1:4" hidden="1">
      <c r="A117" t="s">
        <v>950</v>
      </c>
      <c r="B117" t="e">
        <f ca="1">OFFSET(dim_variante[#Headers],1,MATCH("descripción",dim_variante[#Headers],0)-1,COUNTA(dim_variante[descripción]),1)</f>
        <v>#VALUE!</v>
      </c>
      <c r="C117" t="e">
        <f ca="1">OFFSET(dim_variante[#Headers],1,MATCH("descripción",dim_variante[#Headers],0)-1,COUNTA(dim_variante[descripción]),1)</f>
        <v>#VALUE!</v>
      </c>
      <c r="D117" t="s">
        <v>944</v>
      </c>
    </row>
    <row r="118" spans="1:4" hidden="1">
      <c r="A118" t="s">
        <v>951</v>
      </c>
      <c r="B118" t="e">
        <f ca="1">OFFSET(Dim_Producto[#Headers],1,MATCH("Nombre",Dim_Producto[#Headers],0)-1,COUNTA(Dim_Producto[Nombre]),1)</f>
        <v>#VALUE!</v>
      </c>
      <c r="C118" t="e">
        <f ca="1">OFFSET(Dim_Producto[#Headers],1,MATCH("Nombre",Dim_Producto[#Headers],0)-1,COUNTA(Dim_Producto[Nombre]),1)</f>
        <v>#VALUE!</v>
      </c>
      <c r="D118" t="s">
        <v>944</v>
      </c>
    </row>
    <row r="119" spans="1:4" hidden="1">
      <c r="A119" t="s">
        <v>952</v>
      </c>
      <c r="B119" t="e">
        <f ca="1">OFFSET(Dim_Talla[#Headers],1,MATCH("Talla",Dim_Talla[#Headers],0)-1,COUNTA(Dim_Talla[Talla]),1)</f>
        <v>#VALUE!</v>
      </c>
      <c r="C119" t="e">
        <f ca="1">OFFSET(Dim_Talla[#Headers],1,MATCH("Talla",Dim_Talla[#Headers],0)-1,COUNTA(Dim_Talla[Talla]),1)</f>
        <v>#VALUE!</v>
      </c>
      <c r="D119" t="s">
        <v>944</v>
      </c>
    </row>
    <row r="120" spans="1:4" hidden="1">
      <c r="A120" t="s">
        <v>953</v>
      </c>
      <c r="B120" t="e">
        <f ca="1">OFFSET(Dim_Tecnica_Tamano[#Headers],1,MATCH("Nombre_Tamano",Dim_Tecnica_Tamano[#Headers],0)-1,COUNTA(Dim_Tecnica_Tamano[Nombre_Tamano]),1)</f>
        <v>#VALUE!</v>
      </c>
      <c r="C120" t="e">
        <f ca="1">OFFSET(Dim_Tecnica_Tamano[#Headers],1,MATCH("Nombre_Tamano",Dim_Tecnica_Tamano[#Headers],0)-1,COUNTA(Dim_Tecnica_Tamano[Nombre_Tamano]),1)</f>
        <v>#VALUE!</v>
      </c>
      <c r="D120" t="s">
        <v>944</v>
      </c>
    </row>
    <row r="121" spans="1:4" hidden="1">
      <c r="A121" t="s">
        <v>954</v>
      </c>
      <c r="B121" t="e">
        <f ca="1">OFFSET(dim_Tecnica[#Headers],1,MATCH("técnica",dim_Tecnica[#Headers],0)-1,COUNTA(dim_Tecnica[técnica]),1)</f>
        <v>#VALUE!</v>
      </c>
      <c r="C121" t="e">
        <f ca="1">OFFSET(dim_Tecnica[#Headers],1,MATCH("técnica",dim_Tecnica[#Headers],0)-1,COUNTA(dim_Tecnica[técnica]),1)</f>
        <v>#VALUE!</v>
      </c>
      <c r="D121" t="s">
        <v>944</v>
      </c>
    </row>
    <row r="122" spans="1:4" hidden="1">
      <c r="A122" t="s">
        <v>955</v>
      </c>
      <c r="B122" t="e">
        <f ca="1">OFFSET(Auxiliares!$D$6,0,0,COUNTA(_xlfn.ANCHORARRAY(Auxiliares!$D$6)),1)</f>
        <v>#VALUE!</v>
      </c>
      <c r="C122" t="e">
        <f ca="1">OFFSET(Auxiliares!$D$6,0,0,COUNTA(_xlfn.ANCHORARRAY(Auxiliares!$D$6)),1)</f>
        <v>#VALUE!</v>
      </c>
      <c r="D122" t="s">
        <v>944</v>
      </c>
    </row>
    <row r="123" spans="1:4" hidden="1">
      <c r="A123" t="s">
        <v>956</v>
      </c>
      <c r="B123" t="e">
        <f ca="1">OFFSET(Auxiliares!$B$6,0,0,COUNTA(_xlfn.ANCHORARRAY(Auxiliares!$B$6)),1)</f>
        <v>#VALUE!</v>
      </c>
      <c r="C123" t="e">
        <f ca="1">OFFSET(Auxiliares!$B$6,0,0,COUNTA(_xlfn.ANCHORARRAY(Auxiliares!$B$6)),1)</f>
        <v>#VALUE!</v>
      </c>
      <c r="D123" t="s">
        <v>944</v>
      </c>
    </row>
    <row r="124" spans="1:4">
      <c r="A124" t="s">
        <v>957</v>
      </c>
      <c r="B124" t="e" vm="1">
        <f>_xlfn.LAMBDA(_xlpm.texto, UPPER(LEFT(_xlpm.texto,1)) &amp; LOWER(RIGHT(_xlpm.texto,LEN(_xlpm.texto)-1)))</f>
        <v>#VALUE!</v>
      </c>
      <c r="C124" t="e" vm="1">
        <f>_xlfn.LAMBDA(_xlpm.texto, UPPER(LEFT(_xlpm.texto,1)) &amp; LOWER(RIGHT(_xlpm.texto,LEN(_xlpm.texto)-1)))</f>
        <v>#VALUE!</v>
      </c>
      <c r="D124" t="s">
        <v>944</v>
      </c>
    </row>
    <row r="125" spans="1:4">
      <c r="A125" t="s">
        <v>958</v>
      </c>
      <c r="B125" t="e" vm="1">
        <f>_xlfn.LAMBDA(_xlpm.codigo_tecnica,_xlpm.fila,   IFERROR(     INDEX(       _xlfn._xlws.FILTER(         mapeo_tecnica_actividades[Actividad relacionada],         mapeo_tecnica_actividades[Técnica base]=_xlpm.codigo_tecnica       ),       _xlpm.fila     ),     ""   ) )</f>
        <v>#VALUE!</v>
      </c>
      <c r="C125" t="e" vm="1">
        <f>_xlfn.LAMBDA(_xlpm.codigo_tecnica,_xlpm.fila,   IFERROR(     INDEX(       _xlfn._xlws.FILTER(         mapeo_tecnica_actividades[Actividad relacionada],         mapeo_tecnica_actividades[Técnica base]=_xlpm.codigo_tecnica       ),       _xlpm.fila     ),     ""   ) )</f>
        <v>#VALUE!</v>
      </c>
      <c r="D125" t="s">
        <v>944</v>
      </c>
    </row>
    <row r="126" spans="1:4">
      <c r="A126" t="s">
        <v>959</v>
      </c>
      <c r="B126" t="e" vm="1">
        <f>_xlfn.LAMBDA(_xlpm.prod,_xlpm.talla,    IFERROR(     _xlfn.XLOOKUP(1,        (Consumo_Tela_Producto[Codigo_Producto]=_xlpm.prod)*(Consumo_Tela_Producto[Talla]=_xlpm.talla),       Consumo_Tela_Producto[Cantidad_Tela_m²]     ),     0   ) )</f>
        <v>#VALUE!</v>
      </c>
      <c r="C126" t="e" vm="1">
        <f>_xlfn.LAMBDA(_xlpm.prod,_xlpm.talla,    IFERROR(     _xlfn.XLOOKUP(1,        (Consumo_Tela_Producto[Codigo_Producto]=_xlpm.prod)*(Consumo_Tela_Producto[Talla]=_xlpm.talla),       Consumo_Tela_Producto[Cantidad_Tela_m²]     ),     0   ) )</f>
        <v>#VALUE!</v>
      </c>
      <c r="D126" t="s">
        <v>944</v>
      </c>
    </row>
    <row r="127" spans="1:4" hidden="1">
      <c r="A127" t="s">
        <v>1007</v>
      </c>
      <c r="B127" t="e">
        <f>_xlfn.LAMBDA(_xlpm.cod_tamano,_xlpm.cod_producto,_xlpm.cod_talla,   _xlfn.LET(     _xlpm.consumo_tamano, VALUE(IFERROR(_xlfn.XLOOKUP(_xlpm.cod_tamano, Dim_Tecnica_Tamano[Id_Tamano], Dim_Tecnica_Tamano[Alto_cm]), 0)),     _xlpm.consumo_tela,   VALUE(IFERROR(obtenerconsumotela(_xlpm.cod_producto, _xlpm.cod_talla), 0)),     _xlpm.consumo,       IF(_xlpm.cod_tamano="TAM-08", _xlpm.consumo_tela / 2,       IF(_xlpm.cod_tamano="TAM-09", _xlpm.consumo_tela,       _xlpm.consumo_tamano / 100)),     _xlpm.consumo   ) )=_xlfn.LAMBDA(_xlpm.cod_tamano,_xlpm.cod_producto,_xlpm.cod_talla,   _xlfn.LET(     _xlpm.consumo_tamano, VALUE(IFERROR(_xlfn.XLOOKUP(_xlpm.cod_tamano, Dim_Tecnica_Tamano[Id_Tamano], Dim_Tecnica_Tamano[Alto_cm]), 0)),     _xlpm.consumo_tela,   VALUE(IFERROR(obtenerconsumotela(_xlpm.cod_producto, _xlpm.cod_talla), 0)),     _xlpm.consumo,       IF(_xlpm.cod_tamano="TAM-08", _xlpm.consumo_tela / 2,       IF(_xlpm.cod_tamano="TAM-09", _xlpm.consumo_tela,       _xlpm.consumo_tamano / 100)),     _xlpm.consumo   ) )</f>
        <v>#VALUE!</v>
      </c>
      <c r="C127" t="e">
        <f>_xlfn.LAMBDA(_xlpm.cod_tamano,_xlpm.cod_producto,_xlpm.cod_talla,   _xlfn.LET(     _xlpm.consumo_tamano, VALUE(IFERROR(_xlfn.XLOOKUP(_xlpm.cod_tamano, Dim_Tecnica_Tamano[Id_Tamano], Dim_Tecnica_Tamano[Alto_cm]), 0)),     _xlpm.consumo_tela,   VALUE(IFERROR(obtenerconsumotela(_xlpm.cod_producto, _xlpm.cod_talla), 0)),     _xlpm.consumo,       IF(_xlpm.cod_tamano="TAM-08", _xlpm.consumo_tela / 2,       IF(_xlpm.cod_tamano="TAM-09", _xlpm.consumo_tela,       _xlpm.consumo_tamano / 100)),     _xlpm.consumo   ) )=_xlfn.LAMBDA(_xlpm.cod_tamano,_xlpm.cod_producto,_xlpm.cod_talla,   _xlfn.LET(     _xlpm.consumo_tamano, VALUE(IFERROR(_xlfn.XLOOKUP(_xlpm.cod_tamano, Dim_Tecnica_Tamano[Id_Tamano], Dim_Tecnica_Tamano[Alto_cm]), 0)),     _xlpm.consumo_tela,   VALUE(IFERROR(obtenerconsumotela(_xlpm.cod_producto, _xlpm.cod_talla), 0)),     _xlpm.consumo,       IF(_xlpm.cod_tamano="TAM-08", _xlpm.consumo_tela / 2,       IF(_xlpm.cod_tamano="TAM-09", _xlpm.consumo_tela,       _xlpm.consumo_tamano / 100)),     _xlpm.consumo   ) )</f>
        <v>#VALUE!</v>
      </c>
      <c r="D127" t="s">
        <v>944</v>
      </c>
    </row>
    <row r="128" spans="1:4">
      <c r="A128" t="s">
        <v>968</v>
      </c>
      <c r="B128" t="e" vm="1">
        <f>_xlfn.LAMBDA(_xlpm.cod_tamano,_xlpm.cod_producto,_xlpm.cod_talla,   _xlfn.LET(     _xlpm.consumo_tamano, VALUE(IFERROR(_xlfn.XLOOKUP(_xlpm.cod_tamano, Dim_Tecnica_Tamano[Id_Tamano], Dim_Tecnica_Tamano[Alto_cm]), 0)),     _xlpm.consumo_tela,   VALUE(IFERROR(obtenerconsumotela(_xlpm.cod_producto, _xlpm.cod_talla), 0)),     _xlpm.consumo,       IF(_xlpm.cod_tamano="TAM-08", _xlpm.consumo_tela / 2,       IF(_xlpm.cod_tamano="TAM-09", _xlpm.consumo_tela,       _xlpm.consumo_tamano / 100)),     _xlpm.consumo   ) )</f>
        <v>#VALUE!</v>
      </c>
      <c r="C128" t="e" vm="1">
        <f>_xlfn.LAMBDA(_xlpm.cod_tamano,_xlpm.cod_producto,_xlpm.cod_talla,   _xlfn.LET(     _xlpm.consumo_tamano, VALUE(IFERROR(_xlfn.XLOOKUP(_xlpm.cod_tamano, Dim_Tecnica_Tamano[Id_Tamano], Dim_Tecnica_Tamano[Alto_cm]), 0)),     _xlpm.consumo_tela,   VALUE(IFERROR(obtenerconsumotela(_xlpm.cod_producto, _xlpm.cod_talla), 0)),     _xlpm.consumo,       IF(_xlpm.cod_tamano="TAM-08", _xlpm.consumo_tela / 2,       IF(_xlpm.cod_tamano="TAM-09", _xlpm.consumo_tela,       _xlpm.consumo_tamano / 100)),     _xlpm.consumo   ) )</f>
        <v>#VALUE!</v>
      </c>
      <c r="D128" t="s">
        <v>944</v>
      </c>
    </row>
    <row r="129" spans="1:4">
      <c r="A129" t="s">
        <v>960</v>
      </c>
      <c r="B129" t="e" vm="1">
        <f>_xlfn.LAMBDA(_xlpm.prod,_xlpm.talla, IFERROR(_xlfn.XLOOKUP(1, (Consumo_Tela_Producto[Codigo_Producto]=_xlpm.prod)*(Consumo_Tela_Producto[Talla]=_xlpm.talla), Consumo_Tela_Producto[Cantidad_Tela_m²]), 0))</f>
        <v>#VALUE!</v>
      </c>
      <c r="C129" t="e" vm="1">
        <f>_xlfn.LAMBDA(_xlpm.prod,_xlpm.talla, IFERROR(_xlfn.XLOOKUP(1, (Consumo_Tela_Producto[Codigo_Producto]=_xlpm.prod)*(Consumo_Tela_Producto[Talla]=_xlpm.talla), Consumo_Tela_Producto[Cantidad_Tela_m²]), 0))</f>
        <v>#VALUE!</v>
      </c>
      <c r="D129" t="s">
        <v>944</v>
      </c>
    </row>
    <row r="130" spans="1:4">
      <c r="A130" t="s">
        <v>1002</v>
      </c>
      <c r="B130" t="e" vm="1">
        <f>_xlfn.LAMBDA(_xlpm.cod_tamano,_xlpm.cantidad,   _xlfn.LET(     _xlpm.ancho, VALUE(IFERROR(_xlfn.XLOOKUP(_xlpm.cod_tamano, Dim_Tecnica_Tamano[Id_Tamano], Dim_Tecnica_Tamano[Ancho_cm]), 0)),     _xlpm.alto,  VALUE(IFERROR(_xlfn.XLOOKUP(_xlpm.cod_tamano, Dim_Tecnica_Tamano[Id_Tamano], Dim_Tecnica_Tamano[Alto_cm]), 0)),     _xlpm.ancho_util, 48,   _xlpm.piezas_por_fila, INT(_xlpm.ancho_util / _xlpm.ancho),     _xlpm.filas_necesarias, ROUNDUP(_xlpm.cantidad / _xlpm.piezas_por_fila, 0),     _xlpm.alto_total, _xlpm.filas_necesarias * _xlpm.alto,     _xlpm.consumo, (_xlpm.ancho_util * _xlpm.alto_total) / 10000,     _xlpm.consumo   ) )</f>
        <v>#VALUE!</v>
      </c>
      <c r="C130" t="e" vm="1">
        <f>_xlfn.LAMBDA(_xlpm.cod_tamano,_xlpm.cantidad,   _xlfn.LET(     _xlpm.ancho, VALUE(IFERROR(_xlfn.XLOOKUP(_xlpm.cod_tamano, Dim_Tecnica_Tamano[Id_Tamano], Dim_Tecnica_Tamano[Ancho_cm]), 0)),     _xlpm.alto,  VALUE(IFERROR(_xlfn.XLOOKUP(_xlpm.cod_tamano, Dim_Tecnica_Tamano[Id_Tamano], Dim_Tecnica_Tamano[Alto_cm]), 0)),     _xlpm.ancho_util, 48,   _xlpm.piezas_por_fila, INT(_xlpm.ancho_util / _xlpm.ancho),     _xlpm.filas_necesarias, ROUNDUP(_xlpm.cantidad / _xlpm.piezas_por_fila, 0),     _xlpm.alto_total, _xlpm.filas_necesarias * _xlpm.alto,     _xlpm.consumo, (_xlpm.ancho_util * _xlpm.alto_total) / 10000,     _xlpm.consumo   ) )</f>
        <v>#VALUE!</v>
      </c>
      <c r="D130" t="s">
        <v>944</v>
      </c>
    </row>
    <row r="131" spans="1:4">
      <c r="A131" t="s">
        <v>961</v>
      </c>
      <c r="B131" t="e" vm="1">
        <f>_xlfn.LAMBDA(_xlpm.act,_xlpm.prod,_xlpm.tipo,   IFERROR(     INDEX(       _xlfn._xlws.FILTER(         fact_costo_actividad_producto[costo_unitario],         (fact_costo_actividad_producto[id_actividad]=_xlpm.act)*         ((fact_costo_actividad_producto[Codigo_Producto]=_xlpm.prod)+(fact_costo_actividad_producto[Codigo_Producto]="P-12"))*         (fact_costo_actividad_producto[id_tipo_precio]=_xlpm.tipo)       ),       1     ),     "No definido"   ) )</f>
        <v>#VALUE!</v>
      </c>
      <c r="C131" t="e" vm="1">
        <f>_xlfn.LAMBDA(_xlpm.act,_xlpm.prod,_xlpm.tipo,   IFERROR(     INDEX(       _xlfn._xlws.FILTER(         fact_costo_actividad_producto[costo_unitario],         (fact_costo_actividad_producto[id_actividad]=_xlpm.act)*         ((fact_costo_actividad_producto[Codigo_Producto]=_xlpm.prod)+(fact_costo_actividad_producto[Codigo_Producto]="P-12"))*         (fact_costo_actividad_producto[id_tipo_precio]=_xlpm.tipo)       ),       1     ),     "No definido"   ) )</f>
        <v>#VALUE!</v>
      </c>
      <c r="D131" t="s">
        <v>944</v>
      </c>
    </row>
    <row r="132" spans="1:4">
      <c r="A132" t="s">
        <v>1008</v>
      </c>
      <c r="B132" t="e" vm="1">
        <f>_xlfn.LAMBDA(_xlpm.cod_tamano,_xlpm.cod_producto,_xlpm.cod_talla,_xlpm.cod_material,_xlpm.tasa_dolar,   _xlfn.LET(     _xlpm.alto, _xlfn.XLOOKUP(_xlpm.cod_tamano, Dim_Tecnica_Tamano[Id_Tamano], Dim_Tecnica_Tamano[Alto_cm]),     _xlpm.ancho, _xlfn.XLOOKUP(_xlpm.cod_tamano, Dim_Tecnica_Tamano[Id_Tamano], Dim_Tecnica_Tamano[Ancho_cm]),     _xlpm.consumo_tamano, (_xlpm.alto * _xlpm.ancho) / 10000,     _xlpm.consumo_tela, obtenerconsumotela(_xlpm.cod_producto, _xlpm.cod_talla),     _xlpm.consumo_total,       IF(_xlpm.cod_tamano = "TAM-08", _xlpm.consumo_tela / 2,       IF(_xlpm.cod_tamano = "TAM-09", _xlpm.consumo_tela,       _xlpm.consumo_tamano)),          _xlpm.precio, _xlfn.XLOOKUP(_xlpm.cod_material, HechosInventario[ID_Material], HechosInventario[Costo_Unitario_Detal]),     _xlpm.moneda, _xlfn.XLOOKUP(_xlpm.cod_material, HechosInventario[ID_Material], HechosInventario[Moneda]),     _xlpm.costo_unitario, IF(_xlpm.moneda = "USD", _xlpm.precio * _xlpm.tasa_dolar, _xlpm.precio),          _xlpm.resultado, _xlpm.consumo_total * _xlpm.costo_unitario,          IFERROR(_xlpm.resultado, "Error en DTF")   ) )</f>
        <v>#VALUE!</v>
      </c>
      <c r="C132" t="e" vm="1">
        <f>_xlfn.LAMBDA(_xlpm.cod_tamano,_xlpm.cod_producto,_xlpm.cod_talla,_xlpm.cod_material,_xlpm.tasa_dolar,   _xlfn.LET(     _xlpm.alto, _xlfn.XLOOKUP(_xlpm.cod_tamano, Dim_Tecnica_Tamano[Id_Tamano], Dim_Tecnica_Tamano[Alto_cm]),     _xlpm.ancho, _xlfn.XLOOKUP(_xlpm.cod_tamano, Dim_Tecnica_Tamano[Id_Tamano], Dim_Tecnica_Tamano[Ancho_cm]),     _xlpm.consumo_tamano, (_xlpm.alto * _xlpm.ancho) / 10000,     _xlpm.consumo_tela, obtenerconsumotela(_xlpm.cod_producto, _xlpm.cod_talla),     _xlpm.consumo_total,       IF(_xlpm.cod_tamano = "TAM-08", _xlpm.consumo_tela / 2,       IF(_xlpm.cod_tamano = "TAM-09", _xlpm.consumo_tela,       _xlpm.consumo_tamano)),          _xlpm.precio, _xlfn.XLOOKUP(_xlpm.cod_material, HechosInventario[ID_Material], HechosInventario[Costo_Unitario_Detal]),     _xlpm.moneda, _xlfn.XLOOKUP(_xlpm.cod_material, HechosInventario[ID_Material], HechosInventario[Moneda]),     _xlpm.costo_unitario, IF(_xlpm.moneda = "USD", _xlpm.precio * _xlpm.tasa_dolar, _xlpm.precio),          _xlpm.resultado, _xlpm.consumo_total * _xlpm.costo_unitario,          IFERROR(_xlpm.resultado, "Error en DTF")   ) )</f>
        <v>#VALUE!</v>
      </c>
      <c r="D132" t="s">
        <v>944</v>
      </c>
    </row>
    <row r="133" spans="1:4">
      <c r="A133" t="s">
        <v>1003</v>
      </c>
      <c r="B133" t="e" vm="1">
        <f>_xlfn.LAMBDA(_xlpm.codigo,_xlpm.producto,_xlpm.talla,_xlpm.tamanoVinil,_xlpm.tamanoSublimado,_xlpm.tamanoDTF,_xlpm.materialTecnica,_xlpm.tasa_dolar,_xlpm.cantidad,_xlpm.tipo,     _xlfn.LET(         _xlpm.prefijo, LEFT(_xlpm.codigo, 3),         _xlpm.costo,         IF(_xlpm.codigo = "Act-11",             obtenerCostoVinil(_xlpm.tamanoVinil, _xlpm.materialTecnica, _xlpm.tasa_dolar, _xlpm.cantidad),         IF(_xlpm.codigo = "Act-10",             obtenerCostoSublimado(_xlpm.producto, _xlpm.talla, _xlpm.tamanoSublimado, _xlpm.materialTecnica, _xlpm.tasa_dolar),         IF(_xlpm.codigo = "Act-12",             ObtenerCostoDTF(_xlpm.producto, _xlpm.talla, _xlpm.tamanoDTF, _xlpm.materialTecnica, _xlpm.tasa_dolar),         IF(_xlpm.prefijo = "ACT",             obtenerCostoActividad(_xlpm.codigo, _xlpm.producto, _xlpm.tipo),         IF(_xlpm.prefijo = "MAT",             obtenerCostoMaterial(_xlpm.codigo, _xlpm.tipo, _xlpm.tasa_dolar),         0         ))))),         _xlpm.costo     ) )</f>
        <v>#VALUE!</v>
      </c>
      <c r="C133" t="e" vm="1">
        <f>_xlfn.LAMBDA(_xlpm.codigo,_xlpm.producto,_xlpm.talla,_xlpm.tamanoVinil,_xlpm.tamanoSublimado,_xlpm.tamanoDTF,_xlpm.materialTecnica,_xlpm.tasa_dolar,_xlpm.cantidad,_xlpm.tipo,     _xlfn.LET(         _xlpm.prefijo, LEFT(_xlpm.codigo, 3),         _xlpm.costo,         IF(_xlpm.codigo = "Act-11",             obtenerCostoVinil(_xlpm.tamanoVinil, _xlpm.materialTecnica, _xlpm.tasa_dolar, _xlpm.cantidad),         IF(_xlpm.codigo = "Act-10",             obtenerCostoSublimado(_xlpm.producto, _xlpm.talla, _xlpm.tamanoSublimado, _xlpm.materialTecnica, _xlpm.tasa_dolar),         IF(_xlpm.codigo = "Act-12",             ObtenerCostoDTF(_xlpm.producto, _xlpm.talla, _xlpm.tamanoDTF, _xlpm.materialTecnica, _xlpm.tasa_dolar),         IF(_xlpm.prefijo = "ACT",             obtenerCostoActividad(_xlpm.codigo, _xlpm.producto, _xlpm.tipo),         IF(_xlpm.prefijo = "MAT",             obtenerCostoMaterial(_xlpm.codigo, _xlpm.tipo, _xlpm.tasa_dolar),         0         ))))),         _xlpm.costo     ) )</f>
        <v>#VALUE!</v>
      </c>
      <c r="D133" t="s">
        <v>944</v>
      </c>
    </row>
    <row r="134" spans="1:4">
      <c r="A134" t="s">
        <v>962</v>
      </c>
      <c r="B134" t="e" vm="1">
        <f>_xlfn.LAMBDA(_xlpm.codigo_material,_xlpm.tipo_precio,_xlpm.tipo_cambio,   _xlfn.LET(     _xlpm.precio_mayor, _xlfn.XLOOKUP(_xlpm.codigo_material, HechosInventario[ID_Material], HechosInventario[Costo_Unitario_Mayor], 0),     _xlpm.precio_detal, _xlfn.XLOOKUP(_xlpm.codigo_material, HechosInventario[ID_Material], HechosInventario[Costo_Unitario_Detal], 0),     _xlpm.moneda, _xlfn.XLOOKUP(_xlpm.codigo_material, HechosInventario[ID_Material], HechosInventario[Moneda], "COP"),     _xlpm.precio, IF(_xlpm.tipo_precio &lt;&gt; "VC001", IF(_xlpm.precio_mayor &gt; 0, _xlpm.precio_mayor, _xlpm.precio_detal), _xlpm.precio_detal),     IF(_xlpm.precio = 0, 0, IF(_xlpm.moneda = "USD", _xlpm.precio * _xlpm.tipo_cambio, _xlpm.precio))   ) )</f>
        <v>#VALUE!</v>
      </c>
      <c r="C134" t="e" vm="1">
        <f>_xlfn.LAMBDA(_xlpm.codigo_material,_xlpm.tipo_precio,_xlpm.tipo_cambio,   _xlfn.LET(     _xlpm.precio_mayor, _xlfn.XLOOKUP(_xlpm.codigo_material, HechosInventario[ID_Material], HechosInventario[Costo_Unitario_Mayor], 0),     _xlpm.precio_detal, _xlfn.XLOOKUP(_xlpm.codigo_material, HechosInventario[ID_Material], HechosInventario[Costo_Unitario_Detal], 0),     _xlpm.moneda, _xlfn.XLOOKUP(_xlpm.codigo_material, HechosInventario[ID_Material], HechosInventario[Moneda], "COP"),     _xlpm.precio, IF(_xlpm.tipo_precio &lt;&gt; "VC001", IF(_xlpm.precio_mayor &gt; 0, _xlpm.precio_mayor, _xlpm.precio_detal), _xlpm.precio_detal),     IF(_xlpm.precio = 0, 0, IF(_xlpm.moneda = "USD", _xlpm.precio * _xlpm.tipo_cambio, _xlpm.precio))   ) )</f>
        <v>#VALUE!</v>
      </c>
      <c r="D134" t="s">
        <v>944</v>
      </c>
    </row>
    <row r="135" spans="1:4">
      <c r="A135" t="s">
        <v>963</v>
      </c>
      <c r="B135" t="e" vm="1">
        <f>_xlfn.LAMBDA(_xlpm.cod_producto,_xlpm.cod_talla,_xlpm.cod_tamano,_xlpm.cod_material,_xlpm.tasa_dolar,   _xlfn.LET(     _xlpm.consumo, obtenerConsumoSublimado(_xlpm.cod_tamano, _xlpm.cod_producto, _xlpm.cod_talla),     _xlpm.precio,  VALUE(IFERROR(_xlfn.XLOOKUP(_xlpm.cod_material, HechosInventario[ID_Material], HechosInventario[Costo_Unitario_Detal]), 0)),     _xlpm.moneda,  IFERROR(_xlfn.XLOOKUP(_xlpm.cod_material, HechosInventario[ID_Material], HechosInventario[Moneda]), "USD"),     _xlpm.costo_unitario, IF(_xlpm.moneda="USD", _xlpm.precio * _xlpm.tasa_dolar, _xlpm.precio),     _xlpm.consumo * _xlpm.costo_unitario   ) )</f>
        <v>#VALUE!</v>
      </c>
      <c r="C135" t="e" vm="1">
        <f>_xlfn.LAMBDA(_xlpm.cod_producto,_xlpm.cod_talla,_xlpm.cod_tamano,_xlpm.cod_material,_xlpm.tasa_dolar,   _xlfn.LET(     _xlpm.consumo, obtenerConsumoSublimado(_xlpm.cod_tamano, _xlpm.cod_producto, _xlpm.cod_talla),     _xlpm.precio,  VALUE(IFERROR(_xlfn.XLOOKUP(_xlpm.cod_material, HechosInventario[ID_Material], HechosInventario[Costo_Unitario_Detal]), 0)),     _xlpm.moneda,  IFERROR(_xlfn.XLOOKUP(_xlpm.cod_material, HechosInventario[ID_Material], HechosInventario[Moneda]), "USD"),     _xlpm.costo_unitario, IF(_xlpm.moneda="USD", _xlpm.precio * _xlpm.tasa_dolar, _xlpm.precio),     _xlpm.consumo * _xlpm.costo_unitario   ) )</f>
        <v>#VALUE!</v>
      </c>
      <c r="D135" t="s">
        <v>944</v>
      </c>
    </row>
    <row r="136" spans="1:4">
      <c r="A136" t="s">
        <v>964</v>
      </c>
      <c r="B136" t="e" vm="1">
        <f>_xlfn.LAMBDA(_xlpm.producto,_xlpm.talla,_xlpm.cod_material,_xlpm.tasa_dolar,   _xlfn.LET(     _xlpm.consumo, obtenerconsumotela(_xlpm.producto, _xlpm.talla),     _xlpm.precio, _xlfn.XLOOKUP(_xlpm.cod_material, HechosInventario[ID_Material], HechosInventario[Costo_Unitario_Detal]),     _xlpm.moneda, _xlfn.XLOOKUP(_xlpm.cod_material, HechosInventario[ID_Material], HechosInventario[Moneda]),     _xlpm.precio_final, IF(_xlpm.moneda="USD", _xlpm.precio * _xlpm.tasa_dolar, _xlpm.precio),     IFERROR(_xlpm.consumo * _xlpm.precio_final, "No encontrado")   ) )</f>
        <v>#VALUE!</v>
      </c>
      <c r="C136" t="e" vm="1">
        <f>_xlfn.LAMBDA(_xlpm.producto,_xlpm.talla,_xlpm.cod_material,_xlpm.tasa_dolar,   _xlfn.LET(     _xlpm.consumo, obtenerconsumotela(_xlpm.producto, _xlpm.talla),     _xlpm.precio, _xlfn.XLOOKUP(_xlpm.cod_material, HechosInventario[ID_Material], HechosInventario[Costo_Unitario_Detal]),     _xlpm.moneda, _xlfn.XLOOKUP(_xlpm.cod_material, HechosInventario[ID_Material], HechosInventario[Moneda]),     _xlpm.precio_final, IF(_xlpm.moneda="USD", _xlpm.precio * _xlpm.tasa_dolar, _xlpm.precio),     IFERROR(_xlpm.consumo * _xlpm.precio_final, "No encontrado")   ) )</f>
        <v>#VALUE!</v>
      </c>
      <c r="D136" t="s">
        <v>944</v>
      </c>
    </row>
    <row r="137" spans="1:4">
      <c r="A137" t="s">
        <v>965</v>
      </c>
      <c r="B137" t="e" vm="1">
        <f>_xlfn.LAMBDA(_xlpm.cod_tamano,_xlpm.cantidad,   _xlfn.LET(     _xlpm.ancho, VALUE(IFERROR(_xlfn.XLOOKUP(_xlpm.cod_tamano, Dim_Tecnica_Tamano[Id_Tamano], Dim_Tecnica_Tamano[Ancho_cm]), 0)),     _xlpm.alto,  VALUE(IFERROR(_xlfn.XLOOKUP(_xlpm.cod_tamano, Dim_Tecnica_Tamano[Id_Tamano], Dim_Tecnica_Tamano[Alto_cm]), 0)),     _xlpm.ancho_util, 48,  _xlpm.piezas_por_fila, INT(_xlpm.ancho_util / _xlpm.ancho),   _xlpm.filas_necesarias, ROUNDUP(_xlpm.cantidad / _xlpm.piezas_por_fila, 0),  _xlpm.alto_total, _xlpm.filas_necesarias * _xlpm.alto,          _xlpm.consumo_m2, (_xlpm.ancho_util * _xlpm.alto_total) / 10000,     _xlpm.consumo_m2   ) )</f>
        <v>#VALUE!</v>
      </c>
      <c r="C137" t="e" vm="1">
        <f>_xlfn.LAMBDA(_xlpm.cod_tamano,_xlpm.cantidad,   _xlfn.LET(     _xlpm.ancho, VALUE(IFERROR(_xlfn.XLOOKUP(_xlpm.cod_tamano, Dim_Tecnica_Tamano[Id_Tamano], Dim_Tecnica_Tamano[Ancho_cm]), 0)),     _xlpm.alto,  VALUE(IFERROR(_xlfn.XLOOKUP(_xlpm.cod_tamano, Dim_Tecnica_Tamano[Id_Tamano], Dim_Tecnica_Tamano[Alto_cm]), 0)),     _xlpm.ancho_util, 48,  _xlpm.piezas_por_fila, INT(_xlpm.ancho_util / _xlpm.ancho),   _xlpm.filas_necesarias, ROUNDUP(_xlpm.cantidad / _xlpm.piezas_por_fila, 0),  _xlpm.alto_total, _xlpm.filas_necesarias * _xlpm.alto,          _xlpm.consumo_m2, (_xlpm.ancho_util * _xlpm.alto_total) / 10000,     _xlpm.consumo_m2   ) )</f>
        <v>#VALUE!</v>
      </c>
      <c r="D137" t="s">
        <v>944</v>
      </c>
    </row>
  </sheetData>
  <autoFilter ref="A1:D137" xr:uid="{9879A977-49D7-4293-9D8D-C42CD089FC7B}">
    <filterColumn colId="1">
      <filters>
        <filter val="#CALC!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D290F-99AD-436C-A79A-5531EC13DC83}">
  <sheetPr codeName="Hoja13"/>
  <dimension ref="A1:AI1003"/>
  <sheetViews>
    <sheetView showGridLines="0" zoomScale="25" zoomScaleNormal="25" zoomScaleSheetLayoutView="40" zoomScalePageLayoutView="10" workbookViewId="0">
      <selection activeCell="M6" sqref="M6"/>
    </sheetView>
  </sheetViews>
  <sheetFormatPr baseColWidth="10" defaultColWidth="0" defaultRowHeight="0" customHeight="1" zeroHeight="1"/>
  <cols>
    <col min="1" max="1" width="12.5703125" customWidth="1"/>
    <col min="2" max="2" width="17.85546875" customWidth="1"/>
    <col min="3" max="3" width="32.7109375" customWidth="1"/>
    <col min="4" max="4" width="145.85546875" customWidth="1"/>
    <col min="5" max="5" width="38.42578125" customWidth="1"/>
    <col min="6" max="6" width="55.7109375" customWidth="1"/>
    <col min="7" max="8" width="19.5703125" customWidth="1"/>
    <col min="9" max="9" width="19.7109375" customWidth="1"/>
    <col min="10" max="10" width="15.5703125" customWidth="1"/>
    <col min="11" max="11" width="19.42578125" bestFit="1" customWidth="1"/>
    <col min="12" max="12" width="45.140625" customWidth="1"/>
    <col min="13" max="15" width="25.85546875" customWidth="1"/>
    <col min="16" max="16" width="30.140625" customWidth="1"/>
    <col min="17" max="17" width="36.42578125" style="8" customWidth="1"/>
    <col min="18" max="18" width="24.5703125" bestFit="1" customWidth="1"/>
    <col min="19" max="21" width="30.42578125" style="14" customWidth="1"/>
    <col min="22" max="22" width="24.28515625" style="14" customWidth="1"/>
    <col min="23" max="23" width="20.140625" customWidth="1"/>
    <col min="24" max="24" width="72" bestFit="1" customWidth="1"/>
    <col min="25" max="25" width="17.28515625" bestFit="1" customWidth="1"/>
    <col min="26" max="35" width="12.5703125" customWidth="1"/>
    <col min="36" max="16384" width="12.5703125" hidden="1"/>
  </cols>
  <sheetData>
    <row r="1" spans="1:28" ht="30.75" customHeight="1">
      <c r="B1" s="64"/>
      <c r="G1" s="147" t="s">
        <v>843</v>
      </c>
      <c r="J1" s="145" t="s">
        <v>426</v>
      </c>
      <c r="K1" s="149">
        <v>4000</v>
      </c>
      <c r="L1" s="150" t="s">
        <v>636</v>
      </c>
      <c r="N1" s="58"/>
      <c r="O1" s="58"/>
    </row>
    <row r="2" spans="1:28" ht="30.75" customHeight="1">
      <c r="B2" s="62"/>
      <c r="G2" s="147">
        <v>42</v>
      </c>
      <c r="J2" s="151" t="s">
        <v>639</v>
      </c>
      <c r="K2" s="150">
        <v>27</v>
      </c>
      <c r="L2" s="150" t="s">
        <v>637</v>
      </c>
    </row>
    <row r="3" spans="1:28" ht="30.75" customHeight="1">
      <c r="B3" s="65"/>
      <c r="J3" s="59"/>
      <c r="K3" s="59"/>
      <c r="N3" s="201"/>
      <c r="O3" s="201"/>
    </row>
    <row r="4" spans="1:28" ht="30.75" customHeight="1" thickBot="1">
      <c r="E4" s="63"/>
      <c r="J4" s="59"/>
      <c r="K4" s="59"/>
      <c r="L4" s="60"/>
      <c r="N4" s="61"/>
    </row>
    <row r="5" spans="1:28" ht="30.75" customHeight="1" thickBot="1">
      <c r="E5" s="63"/>
      <c r="K5" s="136" t="s">
        <v>517</v>
      </c>
      <c r="L5" s="136" t="s">
        <v>516</v>
      </c>
      <c r="M5" s="137" t="s">
        <v>79</v>
      </c>
      <c r="N5" s="137" t="s">
        <v>500</v>
      </c>
      <c r="O5" s="138" t="s">
        <v>80</v>
      </c>
      <c r="P5" s="136" t="s">
        <v>818</v>
      </c>
      <c r="Q5" s="136" t="s">
        <v>819</v>
      </c>
      <c r="R5" s="136" t="s">
        <v>1029</v>
      </c>
      <c r="S5" s="136" t="s">
        <v>633</v>
      </c>
      <c r="T5" s="136" t="s">
        <v>501</v>
      </c>
      <c r="U5" s="136" t="s">
        <v>502</v>
      </c>
      <c r="V5" s="136" t="s">
        <v>986</v>
      </c>
    </row>
    <row r="6" spans="1:28" ht="30.75" customHeight="1" thickBot="1">
      <c r="E6" s="63"/>
      <c r="K6" s="139">
        <v>1</v>
      </c>
      <c r="L6" s="140" t="s">
        <v>4</v>
      </c>
      <c r="M6" s="141"/>
      <c r="N6" s="141"/>
      <c r="O6" s="141" t="s">
        <v>102</v>
      </c>
      <c r="P6" s="142" t="s">
        <v>470</v>
      </c>
      <c r="Q6" s="142"/>
      <c r="R6" s="142"/>
      <c r="S6" s="173" t="s">
        <v>357</v>
      </c>
      <c r="T6" s="142"/>
      <c r="U6" s="140"/>
      <c r="V6" s="182"/>
      <c r="X6" s="66"/>
      <c r="Y6" s="66"/>
    </row>
    <row r="7" spans="1:28" ht="30.75" customHeight="1">
      <c r="E7" s="62"/>
      <c r="F7" s="62"/>
      <c r="G7" s="62"/>
      <c r="H7" s="62"/>
      <c r="I7" s="62"/>
      <c r="K7" s="184" t="str">
        <f>IF(K6&lt;=0, "S/N", IF(K6&lt;12, "VC001", IF(K6&lt;1000, "VC002", "VC003")))</f>
        <v>VC001</v>
      </c>
      <c r="L7" s="184" t="str">
        <f>_xlfn.XLOOKUP($L$6,Dim_Producto[Nombre],Dim_Producto[Codigo_Producto])</f>
        <v>P-10</v>
      </c>
      <c r="M7" s="184" t="e">
        <f>_xlfn.XLOOKUP($M$6,Dim_Talla[Talla],Dim_Talla[Id_talla])</f>
        <v>#N/A</v>
      </c>
      <c r="N7" s="184" t="e">
        <f>_xlfn.XLOOKUP("Tela "&amp;N6,HechosInventario[Nombre_Material],HechosInventario[ID_Material])</f>
        <v>#N/A</v>
      </c>
      <c r="O7" s="184" t="str">
        <f>_xlfn.XLOOKUP($O$6,dim_Tecnica[técnica],dim_Tecnica[Id_Tecnica])</f>
        <v>Tec-01</v>
      </c>
      <c r="P7" s="184" t="str">
        <f>_xlfn.XLOOKUP(P6,Dim_Tecnica_Tamano[Nombre_Tamano],Dim_Tecnica_Tamano[Id_Tamano])</f>
        <v>TAM-01</v>
      </c>
      <c r="Q7" s="184" t="e">
        <f>_xlfn.XLOOKUP(Q6,Dim_Tecnica_Tamano[Nombre_Tamano],Dim_Tecnica_Tamano[Id_Tamano])</f>
        <v>#N/A</v>
      </c>
      <c r="R7" s="37"/>
      <c r="S7" s="184" t="str">
        <f>_xlfn.XLOOKUP("vINIL "&amp;S6,HechosInventario[Nombre_Material],HechosInventario[ID_Material])</f>
        <v>Mat-49</v>
      </c>
      <c r="T7" s="185" t="e">
        <f>_xlfn.XLOOKUP(T6,Dim_Disenno[descripción],Dim_Disenno[Id_Segmento])</f>
        <v>#N/A</v>
      </c>
      <c r="U7" s="185" t="e">
        <f>_xlfn.XLOOKUP(U6,dim_variante[descripción],dim_variante[id_variante])</f>
        <v>#N/A</v>
      </c>
      <c r="V7" s="186"/>
    </row>
    <row r="8" spans="1:28" ht="15">
      <c r="E8" s="62"/>
      <c r="F8" s="62"/>
      <c r="G8" s="62"/>
      <c r="H8" s="62"/>
      <c r="I8" s="62"/>
      <c r="K8" s="37"/>
      <c r="L8" s="37"/>
      <c r="M8" s="37"/>
      <c r="N8" s="37"/>
      <c r="O8" s="37"/>
      <c r="P8" s="37"/>
      <c r="Q8" s="37"/>
      <c r="R8" s="37"/>
      <c r="S8" s="187"/>
      <c r="T8" s="187"/>
      <c r="U8" s="187"/>
      <c r="V8" s="187"/>
    </row>
    <row r="9" spans="1:28" ht="15">
      <c r="G9" s="62"/>
      <c r="H9" s="62"/>
      <c r="I9" s="62"/>
      <c r="K9" s="3"/>
      <c r="Q9"/>
    </row>
    <row r="10" spans="1:28" s="66" customFormat="1" ht="81" customHeight="1">
      <c r="B10" s="207" t="s">
        <v>841</v>
      </c>
      <c r="C10" s="207"/>
      <c r="D10" s="207"/>
      <c r="E10" s="207"/>
      <c r="F10" s="207"/>
      <c r="G10" s="106"/>
      <c r="H10" s="106"/>
      <c r="I10" s="106"/>
      <c r="K10" s="143" t="s">
        <v>626</v>
      </c>
      <c r="L10" s="143" t="s">
        <v>519</v>
      </c>
      <c r="M10" s="143" t="s">
        <v>42</v>
      </c>
      <c r="N10" s="143" t="s">
        <v>844</v>
      </c>
      <c r="O10" s="143" t="s">
        <v>845</v>
      </c>
      <c r="P10" s="143" t="s">
        <v>638</v>
      </c>
      <c r="Q10" s="71"/>
      <c r="R10" s="148"/>
      <c r="S10" s="153"/>
      <c r="T10" s="153"/>
      <c r="U10" s="153"/>
      <c r="V10" s="153"/>
      <c r="W10"/>
      <c r="X10"/>
      <c r="Y10" s="8"/>
    </row>
    <row r="11" spans="1:28" ht="43.5" customHeight="1" thickBot="1">
      <c r="B11" s="120" t="s">
        <v>840</v>
      </c>
      <c r="C11" s="121" t="str" cm="1">
        <f t="array" aca="1" ref="C11" ca="1">CodPres(46)</f>
        <v>PRE-20260846</v>
      </c>
      <c r="D11" s="200" t="s">
        <v>490</v>
      </c>
      <c r="E11" s="200"/>
      <c r="F11" s="108">
        <f ca="1">TODAY()</f>
        <v>46250</v>
      </c>
      <c r="K11" s="127" t="e">
        <f>_xlfn.XLOOKUP("Tela "&amp;N6,HechosInventario[Nombre_Material],HechosInventario[ID_Material])</f>
        <v>#N/A</v>
      </c>
      <c r="L11" s="128" t="s">
        <v>621</v>
      </c>
      <c r="M11" s="129" t="e" cm="1">
        <f t="array" ref="M11">obtenerCostoGlobal(Costro_Producto[[#This Row],[Codigo]],$L$7,$M$7,$P$7,$Q$7,$Q$7,$S$7,$K$1,$K$6,$K$7)</f>
        <v>#N/A</v>
      </c>
      <c r="N11" s="129"/>
      <c r="O11" s="129">
        <f>IFERROR(IF(Costro_Producto[[#This Row],[Unidad Manual]]&lt;&gt;"",Costro_Producto[[#This Row],[Unidad Manual]],Costro_Producto[[#This Row],[Unidad]]),)</f>
        <v>0</v>
      </c>
      <c r="P11" s="130">
        <f>IFERROR(Costro_Producto[[#This Row],[Sub Total]]*$K$6,"")</f>
        <v>0</v>
      </c>
      <c r="Q11" s="96"/>
      <c r="R11" s="8"/>
      <c r="Y11" s="73"/>
      <c r="AA11" s="174"/>
    </row>
    <row r="12" spans="1:28" ht="43.5" customHeight="1" thickBot="1">
      <c r="B12" s="189" t="s">
        <v>842</v>
      </c>
      <c r="C12" s="190"/>
      <c r="D12" s="190"/>
      <c r="E12" s="190"/>
      <c r="F12" s="190"/>
      <c r="G12" s="62"/>
      <c r="H12" s="62"/>
      <c r="I12" s="62"/>
      <c r="K12" s="127" t="str">
        <f>IFERROR(IFERROR(
  _xlfn.XLOOKUP(L12, Dim_Actividad[Nombre_Actividad], Dim_Actividad[ID_Actividad]),
  _xlfn.XLOOKUP(L12, HechosInventario[Nombre_Material], HechosInventario[ID_Material])
),"")</f>
        <v>Act-08</v>
      </c>
      <c r="L12" s="128" t="s">
        <v>537</v>
      </c>
      <c r="M12" s="129" cm="1">
        <f t="array" ref="M12">obtenerCostoGlobal(Costro_Producto[[#This Row],[Codigo]],$L$7,$M$7,$P$7,$Q$7,$Q$7,$S$7,$K$1,$K$6,$K$7)</f>
        <v>700</v>
      </c>
      <c r="N12" s="129"/>
      <c r="O12" s="129">
        <f>IFERROR(IF(Costro_Producto[[#This Row],[Unidad Manual]]&lt;&gt;"",Costro_Producto[[#This Row],[Unidad Manual]],Costro_Producto[[#This Row],[Unidad]]),)</f>
        <v>700</v>
      </c>
      <c r="P12" s="130">
        <f>IFERROR(Costro_Producto[[#This Row],[Sub Total]]*$K$6,"")</f>
        <v>700</v>
      </c>
      <c r="Q12" s="96"/>
      <c r="R12" s="8"/>
      <c r="S12" s="154"/>
      <c r="T12" s="154"/>
      <c r="U12" s="154"/>
      <c r="V12" s="154"/>
      <c r="Y12" s="73"/>
    </row>
    <row r="13" spans="1:28" s="8" customFormat="1" ht="43.5" customHeight="1" thickTop="1" thickBot="1">
      <c r="B13" s="202" t="s">
        <v>491</v>
      </c>
      <c r="C13" s="203"/>
      <c r="D13" s="118"/>
      <c r="E13" s="105"/>
      <c r="F13" s="105"/>
      <c r="G13" s="107"/>
      <c r="H13" s="62"/>
      <c r="I13" s="62"/>
      <c r="K13" s="127" t="str">
        <f>IFERROR(IFERROR(
  _xlfn.XLOOKUP(L13, Dim_Actividad[Nombre_Actividad], Dim_Actividad[ID_Actividad]),
  _xlfn.XLOOKUP(L13, HechosInventario[Nombre_Material], HechosInventario[ID_Material])
),"")</f>
        <v>Act-09</v>
      </c>
      <c r="L13" s="128" t="s">
        <v>466</v>
      </c>
      <c r="M13" s="129" cm="1">
        <f t="array" ref="M13">obtenerCostoGlobal(Costro_Producto[[#This Row],[Codigo]],$L$7,$M$7,$P$7,$Q$7,$Q$7,$S$7,$K$1,$K$6,$K$7)</f>
        <v>3000</v>
      </c>
      <c r="N13" s="129"/>
      <c r="O13" s="129">
        <f>IFERROR(IF(Costro_Producto[[#This Row],[Unidad Manual]]&lt;&gt;"",Costro_Producto[[#This Row],[Unidad Manual]],Costro_Producto[[#This Row],[Unidad]]),)</f>
        <v>3000</v>
      </c>
      <c r="P13" s="130">
        <f>IFERROR(Costro_Producto[[#This Row],[Sub Total]]*$K$6,"")</f>
        <v>3000</v>
      </c>
      <c r="Q13" s="96"/>
      <c r="S13" s="155"/>
      <c r="T13" s="155"/>
      <c r="U13" s="155"/>
      <c r="V13" s="155"/>
      <c r="W13"/>
      <c r="X13" s="176" t="s">
        <v>1037</v>
      </c>
      <c r="Y13" s="73"/>
      <c r="AB13" s="147"/>
    </row>
    <row r="14" spans="1:28" ht="50.25" customHeight="1" thickTop="1" thickBot="1">
      <c r="A14" s="8"/>
      <c r="B14" s="202" t="s">
        <v>492</v>
      </c>
      <c r="C14" s="203"/>
      <c r="D14" s="85"/>
      <c r="E14" s="119"/>
      <c r="F14" s="119"/>
      <c r="G14" s="97"/>
      <c r="H14" s="62"/>
      <c r="I14" s="62"/>
      <c r="K14" s="127" t="str">
        <f>IFERROR(IFERROR(
  _xlfn.XLOOKUP(L14, Dim_Actividad[Nombre_Actividad], Dim_Actividad[ID_Actividad]),
  _xlfn.XLOOKUP(L14, HechosInventario[Nombre_Material], HechosInventario[ID_Material])
),"")</f>
        <v>Mat-08</v>
      </c>
      <c r="L14" s="128" t="s">
        <v>37</v>
      </c>
      <c r="M14" s="129" cm="1">
        <f t="array" ref="M14">obtenerCostoGlobal(Costro_Producto[[#This Row],[Codigo]],$L$7,$M$7,$P$7,$Q$7,$Q$7,$S$7,$K$1,$K$6,$K$7)</f>
        <v>250</v>
      </c>
      <c r="N14" s="129"/>
      <c r="O14" s="129">
        <f>IFERROR(IF(Costro_Producto[[#This Row],[Unidad Manual]]&lt;&gt;"",Costro_Producto[[#This Row],[Unidad Manual]],Costro_Producto[[#This Row],[Unidad]]),)</f>
        <v>250</v>
      </c>
      <c r="P14" s="130">
        <f>IFERROR(Costro_Producto[[#This Row],[Sub Total]]*$K$6,"")</f>
        <v>250</v>
      </c>
      <c r="Q14" s="96"/>
      <c r="S14" s="206">
        <f>$V$6</f>
        <v>0</v>
      </c>
      <c r="T14" s="206"/>
      <c r="U14" s="206"/>
      <c r="V14" s="206"/>
      <c r="X14" s="176" t="str">
        <f>"Consumo de material " &amp; S6</f>
        <v>Consumo de material Reflectivo</v>
      </c>
      <c r="Y14" s="177" cm="1">
        <f t="array" ref="Y14">ObtenerConsumoVinil(P7,K6)</f>
        <v>7.1999999999999995E-2</v>
      </c>
      <c r="AB14" s="144"/>
    </row>
    <row r="15" spans="1:28" s="73" customFormat="1" ht="50.25" customHeight="1" thickTop="1" thickBot="1">
      <c r="A15" s="8"/>
      <c r="B15" s="202" t="s">
        <v>493</v>
      </c>
      <c r="C15" s="203"/>
      <c r="D15" s="103"/>
      <c r="E15" s="104"/>
      <c r="F15" s="105"/>
      <c r="G15" s="97"/>
      <c r="H15" s="62"/>
      <c r="I15" s="62"/>
      <c r="K15" s="127" t="str">
        <f>IFERROR(IFERROR(
  _xlfn.XLOOKUP(L15, Dim_Actividad[Nombre_Actividad], Dim_Actividad[ID_Actividad]),
  _xlfn.XLOOKUP(L15, HechosInventario[Nombre_Material], HechosInventario[ID_Material])
),"")</f>
        <v>Mat-01</v>
      </c>
      <c r="L15" s="128" t="s">
        <v>520</v>
      </c>
      <c r="M15" s="129" cm="1">
        <f t="array" ref="M15">obtenerCostoGlobal(Costro_Producto[[#This Row],[Codigo]],$L$7,$M$7,$P$7,$Q$7,$Q$7,$S$7,$K$1,$K$6,$K$7)</f>
        <v>100</v>
      </c>
      <c r="N15" s="129"/>
      <c r="O15" s="129">
        <f>IFERROR(IF(Costro_Producto[[#This Row],[Unidad Manual]]&lt;&gt;"",Costro_Producto[[#This Row],[Unidad Manual]],Costro_Producto[[#This Row],[Unidad]]),)</f>
        <v>100</v>
      </c>
      <c r="P15" s="130">
        <f>IFERROR(Costro_Producto[[#This Row],[Sub Total]]*$K$6,"")</f>
        <v>100</v>
      </c>
      <c r="Q15" s="96"/>
      <c r="R15" s="8"/>
      <c r="S15" s="206"/>
      <c r="T15" s="206"/>
      <c r="U15" s="206"/>
      <c r="V15" s="206"/>
      <c r="W15"/>
      <c r="X15" s="176" t="str">
        <f>"Consumo de Tela " &amp; N6</f>
        <v xml:space="preserve">Consumo de Tela </v>
      </c>
      <c r="Y15" s="177" cm="1">
        <f t="array" ref="Y15">obtenerconsumotela(L7,M7)</f>
        <v>0</v>
      </c>
    </row>
    <row r="16" spans="1:28" s="66" customFormat="1" ht="50.25" customHeight="1" thickTop="1">
      <c r="A16" s="8"/>
      <c r="B16" s="62"/>
      <c r="C16" s="62"/>
      <c r="D16" s="62"/>
      <c r="E16" s="62"/>
      <c r="F16" s="62"/>
      <c r="G16" s="97"/>
      <c r="H16" s="62"/>
      <c r="I16" s="62"/>
      <c r="K16" s="127" t="str">
        <f>IFERROR(IFERROR(
  _xlfn.XLOOKUP(L16, Dim_Actividad[Nombre_Actividad], Dim_Actividad[ID_Actividad]),
  _xlfn.XLOOKUP(L16, HechosInventario[Nombre_Material], HechosInventario[ID_Material])
),"")</f>
        <v>Mat-09</v>
      </c>
      <c r="L16" s="128" t="s">
        <v>32</v>
      </c>
      <c r="M16" s="129" cm="1">
        <f t="array" ref="M16">obtenerCostoGlobal(Costro_Producto[[#This Row],[Codigo]],$L$7,$M$7,$P$7,$Q$7,$Q$7,$S$7,$K$1,$K$6,$K$7)</f>
        <v>250</v>
      </c>
      <c r="N16" s="129"/>
      <c r="O16" s="129">
        <f>IFERROR(IF(Costro_Producto[[#This Row],[Unidad Manual]]&lt;&gt;"",Costro_Producto[[#This Row],[Unidad Manual]],Costro_Producto[[#This Row],[Unidad]]),)</f>
        <v>250</v>
      </c>
      <c r="P16" s="130">
        <f>IFERROR(Costro_Producto[[#This Row],[Sub Total]]*$K$6,"")</f>
        <v>250</v>
      </c>
      <c r="Q16" s="96"/>
      <c r="R16" s="8"/>
      <c r="S16" s="134" t="s">
        <v>94</v>
      </c>
      <c r="T16" s="134" t="s">
        <v>95</v>
      </c>
      <c r="U16" s="134" t="s">
        <v>96</v>
      </c>
      <c r="V16" s="134" t="s">
        <v>426</v>
      </c>
      <c r="Y16" s="177"/>
    </row>
    <row r="17" spans="1:25" ht="50.25" customHeight="1" thickBot="1">
      <c r="A17" s="8"/>
      <c r="B17" s="112" t="s">
        <v>634</v>
      </c>
      <c r="C17" s="113" t="s">
        <v>494</v>
      </c>
      <c r="D17" s="114" t="s">
        <v>495</v>
      </c>
      <c r="E17" s="113" t="s">
        <v>496</v>
      </c>
      <c r="F17" s="115" t="s">
        <v>836</v>
      </c>
      <c r="G17" s="97"/>
      <c r="H17" s="62"/>
      <c r="I17" s="62"/>
      <c r="K17" s="127" t="str">
        <f>IFERROR(IFERROR(
  _xlfn.XLOOKUP(L17, Dim_Actividad[Nombre_Actividad], Dim_Actividad[ID_Actividad]),
  _xlfn.XLOOKUP(L17, HechosInventario[Nombre_Material], HechosInventario[ID_Material])
),"")</f>
        <v>Mat-10</v>
      </c>
      <c r="L17" s="128" t="s">
        <v>521</v>
      </c>
      <c r="M17" s="129" cm="1">
        <f t="array" ref="M17">obtenerCostoGlobal(Costro_Producto[[#This Row],[Codigo]],$L$7,$M$7,$P$7,$Q$7,$Q$7,$S$7,$K$1,$K$6,$K$7)</f>
        <v>120</v>
      </c>
      <c r="N17" s="129"/>
      <c r="O17" s="129">
        <f>IFERROR(IF(Costro_Producto[[#This Row],[Unidad Manual]]&lt;&gt;"",Costro_Producto[[#This Row],[Unidad Manual]],Costro_Producto[[#This Row],[Unidad]]),)</f>
        <v>120</v>
      </c>
      <c r="P17" s="130">
        <f>IFERROR(Costro_Producto[[#This Row],[Sub Total]]*$K$6,"")</f>
        <v>120</v>
      </c>
      <c r="Q17" s="96"/>
      <c r="R17" s="8"/>
      <c r="S17" s="134">
        <v>0.99</v>
      </c>
      <c r="T17" s="134">
        <v>0.55000000000000004</v>
      </c>
      <c r="U17" s="134">
        <v>0.4</v>
      </c>
      <c r="V17" s="156"/>
    </row>
    <row r="18" spans="1:25" ht="50.25" customHeight="1" thickTop="1" thickBot="1">
      <c r="A18" s="8"/>
      <c r="B18" s="167"/>
      <c r="C18" s="168"/>
      <c r="D18" s="169"/>
      <c r="E18" s="170"/>
      <c r="F18" s="171"/>
      <c r="H18" s="62"/>
      <c r="I18" s="62"/>
      <c r="K18" s="127" t="str">
        <f>IFERROR(IFERROR(
  _xlfn.XLOOKUP(L18, Dim_Actividad[Nombre_Actividad], Dim_Actividad[ID_Actividad]),
  _xlfn.XLOOKUP(L18, HechosInventario[Nombre_Material], HechosInventario[ID_Material])
),"")</f>
        <v>Act-21</v>
      </c>
      <c r="L18" s="128" t="s">
        <v>48</v>
      </c>
      <c r="M18" s="129" cm="1">
        <f t="array" ref="M18">obtenerCostoGlobal(Costro_Producto[[#This Row],[Codigo]],$L$7,$M$7,$P$7,$Q$7,$Q$7,$S$7,$K$1,$K$6,$K$7)</f>
        <v>5000</v>
      </c>
      <c r="N18" s="129"/>
      <c r="O18" s="129">
        <f>IFERROR(IF(Costro_Producto[[#This Row],[Unidad Manual]]&lt;&gt;"",Costro_Producto[[#This Row],[Unidad Manual]],Costro_Producto[[#This Row],[Unidad]]),)</f>
        <v>5000</v>
      </c>
      <c r="P18" s="130">
        <f>IFERROR(Costro_Producto[[#This Row],[Sub Total]]*$K$6,"")</f>
        <v>5000</v>
      </c>
      <c r="Q18" s="96"/>
      <c r="R18" s="8"/>
      <c r="S18" s="135">
        <f>$O$28*(1+S$17)</f>
        <v>38227.9</v>
      </c>
      <c r="T18" s="135">
        <f>$O$28*(1+T$17)</f>
        <v>29775.5</v>
      </c>
      <c r="U18" s="135">
        <f>$O$28*(1+U$17)</f>
        <v>26894</v>
      </c>
      <c r="V18" s="126" t="s">
        <v>427</v>
      </c>
    </row>
    <row r="19" spans="1:25" ht="50.25" customHeight="1" thickTop="1" thickBot="1">
      <c r="A19" s="8"/>
      <c r="B19" s="188" t="s">
        <v>499</v>
      </c>
      <c r="C19" s="188"/>
      <c r="D19" s="188"/>
      <c r="E19" s="125" t="s">
        <v>837</v>
      </c>
      <c r="F19" s="183">
        <f>SUM(F18:F18)</f>
        <v>0</v>
      </c>
      <c r="H19" s="62"/>
      <c r="I19" s="62"/>
      <c r="K19" s="127" t="str">
        <f>IF(Costro_Producto[[#This Row],[Concepto]]="","",IFERROR(
  _xlfn.XLOOKUP(L19, Dim_Actividad[Nombre_Actividad], Dim_Actividad[ID_Actividad]),
  _xlfn.XLOOKUP(L19, HechosInventario[Nombre_Material], HechosInventario[ID_Material])
))</f>
        <v/>
      </c>
      <c r="L19" s="128" t="str">
        <f>IF(U6="","",U6)</f>
        <v/>
      </c>
      <c r="M19" s="129" cm="1">
        <f t="array" ref="M19">obtenerCostoGlobal(Costro_Producto[[#This Row],[Codigo]],$L$7,$M$7,$P$7,$Q$7,$Q$7,$S$7,$K$1,$K$6,$K$7)</f>
        <v>0</v>
      </c>
      <c r="N19" s="129"/>
      <c r="O19" s="129"/>
      <c r="P19" s="130">
        <f>IFERROR(Costro_Producto[[#This Row],[Sub Total]]*$K$6,"")</f>
        <v>0</v>
      </c>
      <c r="Q19" s="96"/>
      <c r="R19" s="8"/>
      <c r="S19" s="135">
        <f>$P$28*(1+S$17)</f>
        <v>38227.9</v>
      </c>
      <c r="T19" s="135">
        <f>$P$28*(1+T$17)</f>
        <v>29775.5</v>
      </c>
      <c r="U19" s="135">
        <f>$P$28*(1+U$17)</f>
        <v>26894</v>
      </c>
      <c r="V19" s="126" t="s">
        <v>427</v>
      </c>
    </row>
    <row r="20" spans="1:25" ht="50.25" customHeight="1" thickTop="1" thickBot="1">
      <c r="A20" s="8"/>
      <c r="B20" s="188"/>
      <c r="C20" s="188"/>
      <c r="D20" s="188"/>
      <c r="E20" s="111" t="s">
        <v>505</v>
      </c>
      <c r="F20" s="122"/>
      <c r="H20" s="62"/>
      <c r="I20" s="62"/>
      <c r="K20" s="127" t="str">
        <f>IFERROR(IFERROR(
  _xlfn.XLOOKUP(L20, Dim_Actividad[Nombre_Actividad], Dim_Actividad[ID_Actividad]),
  _xlfn.XLOOKUP(L20, HechosInventario[Nombre_Material], HechosInventario[ID_Material])
),"")</f>
        <v>Act-11</v>
      </c>
      <c r="L20" s="128" t="str" cm="1">
        <f t="array" ref="L20">obtenerActividadPorTecnica($O$6, ROW()-ROW($K$10)-9)</f>
        <v>Vinilado</v>
      </c>
      <c r="M20" s="129" cm="1">
        <f t="array" ref="M20">obtenerCostoGlobal(Costro_Producto[[#This Row],[Codigo]],$L$7,$M$7,$P$7,$Q$7,$Q$7,$S$7,$K$1,$K$6,$K$7)</f>
        <v>5040</v>
      </c>
      <c r="N20" s="129"/>
      <c r="O20" s="129">
        <f>IFERROR(IF(Costro_Producto[[#This Row],[Unidad Manual]]&lt;&gt;"",Costro_Producto[[#This Row],[Unidad Manual]],Costro_Producto[[#This Row],[Unidad]]),)</f>
        <v>5040</v>
      </c>
      <c r="P20" s="130">
        <f>IFERROR(Costro_Producto[[#This Row],[Sub Total]]*$K$6,"")</f>
        <v>5040</v>
      </c>
      <c r="Q20" s="96"/>
      <c r="R20" s="8"/>
      <c r="S20" s="157"/>
      <c r="T20" s="157"/>
      <c r="U20" s="157"/>
      <c r="V20" s="158"/>
    </row>
    <row r="21" spans="1:25" ht="50.25" customHeight="1" thickTop="1" thickBot="1">
      <c r="A21" s="8"/>
      <c r="B21" s="188"/>
      <c r="C21" s="188"/>
      <c r="D21" s="188"/>
      <c r="E21" s="123" t="s">
        <v>625</v>
      </c>
      <c r="F21" s="124">
        <f>F19-F20</f>
        <v>0</v>
      </c>
      <c r="H21" s="62"/>
      <c r="I21" s="62"/>
      <c r="K21" s="127" t="str">
        <f>IFERROR(IFERROR(
  _xlfn.XLOOKUP(L21, Dim_Actividad[Nombre_Actividad], Dim_Actividad[ID_Actividad]),
  _xlfn.XLOOKUP(L21, HechosInventario[Nombre_Material], HechosInventario[ID_Material])
),"")</f>
        <v>Act-01</v>
      </c>
      <c r="L21" s="128" t="str" cm="1">
        <f t="array" ref="L21">obtenerActividadPorTecnica($O$6, ROW()-ROW($K$10)-9)</f>
        <v>Corte del Plotter</v>
      </c>
      <c r="M21" s="129" cm="1">
        <f t="array" ref="M21">obtenerCostoGlobal(Costro_Producto[[#This Row],[Codigo]],$L$7,$M$7,$P$7,$Q$7,$Q$7,$S$7,$K$1,$K$6,$K$7)</f>
        <v>200</v>
      </c>
      <c r="N21" s="129"/>
      <c r="O21" s="129">
        <f>IFERROR(IF(Costro_Producto[[#This Row],[Unidad Manual]]&lt;&gt;"",Costro_Producto[[#This Row],[Unidad Manual]],Costro_Producto[[#This Row],[Unidad]]),)</f>
        <v>200</v>
      </c>
      <c r="P21" s="130">
        <f>IFERROR(Costro_Producto[[#This Row],[Sub Total]]*$K$6,"")</f>
        <v>200</v>
      </c>
      <c r="Q21" s="96"/>
      <c r="R21" s="8"/>
      <c r="S21" s="157"/>
      <c r="T21" s="157"/>
      <c r="U21" s="157"/>
      <c r="V21" s="158"/>
    </row>
    <row r="22" spans="1:25" ht="50.25" customHeight="1" thickTop="1" thickBot="1">
      <c r="A22" s="8"/>
      <c r="B22" s="204"/>
      <c r="C22" s="205"/>
      <c r="D22" s="110"/>
      <c r="E22" s="107"/>
      <c r="F22" s="107"/>
      <c r="H22" s="62"/>
      <c r="I22" s="62"/>
      <c r="K22" s="127" t="str">
        <f>IFERROR(IFERROR(
  _xlfn.XLOOKUP(L22, Dim_Actividad[Nombre_Actividad], Dim_Actividad[ID_Actividad]),
  _xlfn.XLOOKUP(L22, HechosInventario[Nombre_Material], HechosInventario[ID_Material])
),"")</f>
        <v>Act-03</v>
      </c>
      <c r="L22" s="128" t="str" cm="1">
        <f t="array" ref="L22">obtenerActividadPorTecnica($O$6, ROW()-ROW($K$10)-9)</f>
        <v>Depilada</v>
      </c>
      <c r="M22" s="129" cm="1">
        <f t="array" ref="M22">obtenerCostoGlobal(Costro_Producto[[#This Row],[Codigo]],$L$7,$M$7,$P$7,$Q$7,$Q$7,$S$7,$K$1,$K$6,$K$7)</f>
        <v>500</v>
      </c>
      <c r="N22" s="129"/>
      <c r="O22" s="129">
        <f>IFERROR(IF(Costro_Producto[[#This Row],[Unidad Manual]]&lt;&gt;"",Costro_Producto[[#This Row],[Unidad Manual]],Costro_Producto[[#This Row],[Unidad]]),)</f>
        <v>500</v>
      </c>
      <c r="P22" s="130">
        <f>IFERROR(Costro_Producto[[#This Row],[Sub Total]]*$K$6,"")</f>
        <v>500</v>
      </c>
      <c r="Q22" s="96"/>
      <c r="R22" s="8"/>
      <c r="S22" s="172"/>
      <c r="V22" s="159"/>
    </row>
    <row r="23" spans="1:25" ht="50.25" customHeight="1" thickBot="1">
      <c r="A23" s="8"/>
      <c r="B23" s="189" t="s">
        <v>497</v>
      </c>
      <c r="C23" s="190"/>
      <c r="D23" s="190"/>
      <c r="E23" s="190"/>
      <c r="F23" s="190"/>
      <c r="H23" s="62"/>
      <c r="I23" s="62"/>
      <c r="K23" s="127" t="str">
        <f>IFERROR(IFERROR(
  _xlfn.XLOOKUP(L23, Dim_Actividad[Nombre_Actividad], Dim_Actividad[ID_Actividad]),
  _xlfn.XLOOKUP(L23, HechosInventario[Nombre_Material], HechosInventario[ID_Material])
),"")</f>
        <v>Mat-08</v>
      </c>
      <c r="L23" s="128" t="str" cm="1">
        <f t="array" ref="L23">obtenerActividadPorTecnica($O$6, ROW()-ROW($K$10)-9)</f>
        <v>Etiquetas</v>
      </c>
      <c r="M23" s="129" cm="1">
        <f t="array" ref="M23">obtenerCostoGlobal(Costro_Producto[[#This Row],[Codigo]],$L$7,$M$7,$P$7,$Q$7,$Q$7,$S$7,$K$1,$K$6,$K$7)</f>
        <v>250</v>
      </c>
      <c r="N23" s="129"/>
      <c r="O23" s="129">
        <f>IFERROR(IF(Costro_Producto[[#This Row],[Unidad Manual]]&lt;&gt;"",Costro_Producto[[#This Row],[Unidad Manual]],Costro_Producto[[#This Row],[Unidad]]),)</f>
        <v>250</v>
      </c>
      <c r="P23" s="130">
        <f>IFERROR(Costro_Producto[[#This Row],[Sub Total]]*$K$6,"")</f>
        <v>250</v>
      </c>
      <c r="Q23" s="96"/>
      <c r="R23" s="8"/>
      <c r="S23" s="160"/>
      <c r="T23" s="160"/>
      <c r="U23" s="160"/>
    </row>
    <row r="24" spans="1:25" ht="50.25" customHeight="1" thickTop="1">
      <c r="A24" s="8"/>
      <c r="B24" s="191" t="s">
        <v>498</v>
      </c>
      <c r="C24" s="192"/>
      <c r="D24" s="192"/>
      <c r="E24" s="192"/>
      <c r="F24" s="193"/>
      <c r="H24" s="62"/>
      <c r="I24" s="62"/>
      <c r="K24" s="127" t="str">
        <f>IFERROR(IFERROR(
  _xlfn.XLOOKUP(L24, Dim_Actividad[Nombre_Actividad], Dim_Actividad[ID_Actividad]),
  _xlfn.XLOOKUP(L24, HechosInventario[Nombre_Material], HechosInventario[ID_Material])
),"")</f>
        <v>Act-17</v>
      </c>
      <c r="L24" s="128" t="str" cm="1">
        <f t="array" ref="L24">obtenerActividadPorTecnica($O$6, ROW()-ROW($K$10)-9)</f>
        <v>Planchado Grande</v>
      </c>
      <c r="M24" s="129" cm="1">
        <f t="array" ref="M24">obtenerCostoGlobal(Costro_Producto[[#This Row],[Codigo]],$L$7,$M$7,$P$7,$Q$7,$Q$7,$S$7,$K$1,$K$6,$K$7)</f>
        <v>800</v>
      </c>
      <c r="N24" s="129"/>
      <c r="O24" s="129">
        <f>IFERROR(IF(Costro_Producto[[#This Row],[Unidad Manual]]&lt;&gt;"",Costro_Producto[[#This Row],[Unidad Manual]],Costro_Producto[[#This Row],[Unidad]]),)</f>
        <v>800</v>
      </c>
      <c r="P24" s="130">
        <f>IFERROR(Costro_Producto[[#This Row],[Sub Total]]*$K$6,"")</f>
        <v>800</v>
      </c>
      <c r="Q24"/>
      <c r="R24" s="8"/>
      <c r="S24" s="161"/>
      <c r="T24" s="161"/>
      <c r="U24" s="178"/>
    </row>
    <row r="25" spans="1:25" ht="50.25" customHeight="1">
      <c r="A25" s="8"/>
      <c r="B25" s="194"/>
      <c r="C25" s="195"/>
      <c r="D25" s="195"/>
      <c r="E25" s="195"/>
      <c r="F25" s="196"/>
      <c r="H25" s="62"/>
      <c r="I25" s="62"/>
      <c r="K25" s="127" t="str">
        <f>IFERROR(IFERROR(
  _xlfn.XLOOKUP(L25, Dim_Actividad[Nombre_Actividad], Dim_Actividad[ID_Actividad]),
  _xlfn.XLOOKUP(L25, HechosInventario[Nombre_Material], HechosInventario[ID_Material])
),"")</f>
        <v>Act-04</v>
      </c>
      <c r="L25" s="128" t="str" cm="1">
        <f t="array" ref="L25">obtenerActividadPorTecnica($O$6, ROW()-ROW($K$10)-9)</f>
        <v>Diseño</v>
      </c>
      <c r="M25" s="129" cm="1">
        <f t="array" ref="M25">obtenerCostoGlobal(Costro_Producto[[#This Row],[Codigo]],$L$7,$M$7,$P$7,$Q$7,$Q$7,$S$7,$K$1,$K$6,$K$7)</f>
        <v>3000</v>
      </c>
      <c r="N25" s="129"/>
      <c r="O25" s="129">
        <f>IFERROR(IF(Costro_Producto[[#This Row],[Unidad Manual]]&lt;&gt;"",Costro_Producto[[#This Row],[Unidad Manual]],Costro_Producto[[#This Row],[Unidad]]),)</f>
        <v>3000</v>
      </c>
      <c r="P25" s="130">
        <f>IFERROR(Costro_Producto[[#This Row],[Sub Total]]*$K$6,"")</f>
        <v>3000</v>
      </c>
      <c r="Q25"/>
      <c r="R25" s="8"/>
      <c r="S25" s="161"/>
      <c r="T25" s="161"/>
      <c r="U25" s="161"/>
    </row>
    <row r="26" spans="1:25" ht="50.25" customHeight="1">
      <c r="A26" s="8"/>
      <c r="B26" s="194"/>
      <c r="C26" s="195"/>
      <c r="D26" s="195"/>
      <c r="E26" s="195"/>
      <c r="F26" s="196"/>
      <c r="H26" s="62"/>
      <c r="I26" s="62"/>
      <c r="K26" s="127" t="str">
        <f>IFERROR(IFERROR(
  _xlfn.XLOOKUP(L26, Dim_Actividad[Nombre_Actividad], Dim_Actividad[ID_Actividad]),
  _xlfn.XLOOKUP(L26, HechosInventario[Nombre_Material], HechosInventario[ID_Material])
),"")</f>
        <v/>
      </c>
      <c r="L26" s="128" t="str" cm="1">
        <f t="array" ref="L26">obtenerActividadPorTecnica($O$6, ROW()-ROW($K$10)-9)</f>
        <v/>
      </c>
      <c r="M26" s="129" cm="1">
        <f t="array" ref="M26">obtenerCostoGlobal(Costro_Producto[[#This Row],[Codigo]],$L$7,$M$7,$P$7,$Q$7,$Q$7,$S$7,$K$1,$K$6,$K$7)</f>
        <v>0</v>
      </c>
      <c r="N26" s="129"/>
      <c r="O26" s="129">
        <f>IFERROR(IF(Costro_Producto[[#This Row],[Unidad Manual]]&lt;&gt;"",Costro_Producto[[#This Row],[Unidad Manual]],Costro_Producto[[#This Row],[Unidad]]),)</f>
        <v>0</v>
      </c>
      <c r="P26" s="130">
        <f>IFERROR(Costro_Producto[[#This Row],[Sub Total]]*$K$6,"")</f>
        <v>0</v>
      </c>
      <c r="Q26"/>
      <c r="R26" s="8"/>
      <c r="S26" s="81"/>
      <c r="T26" s="81"/>
      <c r="U26" s="81"/>
      <c r="V26" s="158"/>
    </row>
    <row r="27" spans="1:25" ht="50.25" customHeight="1">
      <c r="A27" s="8"/>
      <c r="B27" s="194"/>
      <c r="C27" s="195"/>
      <c r="D27" s="195"/>
      <c r="E27" s="195"/>
      <c r="F27" s="196"/>
      <c r="H27" s="62"/>
      <c r="I27" s="62"/>
      <c r="K27" s="127" t="str">
        <f>IFERROR(IFERROR(
  _xlfn.XLOOKUP(L27, Dim_Actividad[Nombre_Actividad], Dim_Actividad[ID_Actividad]),
  _xlfn.XLOOKUP(L27, HechosInventario[Nombre_Material], HechosInventario[ID_Material])
),"")</f>
        <v/>
      </c>
      <c r="L27" s="128" t="str" cm="1">
        <f t="array" ref="L27">obtenerActividadPorTecnica($O$6, ROW()-ROW($K$10)-9)</f>
        <v/>
      </c>
      <c r="M27" s="129" cm="1">
        <f t="array" ref="M27">obtenerCostoGlobal(Costro_Producto[[#This Row],[Codigo]],$L$7,$M$7,$P$7,$Q$7,$Q$7,$S$7,$K$1,$K$6,$K$7)</f>
        <v>0</v>
      </c>
      <c r="N27" s="129"/>
      <c r="O27" s="129">
        <f>IFERROR(IF(Costro_Producto[[#This Row],[Unidad Manual]]&lt;&gt;"",Costro_Producto[[#This Row],[Unidad Manual]],Costro_Producto[[#This Row],[Unidad]]),)</f>
        <v>0</v>
      </c>
      <c r="P27" s="130">
        <f>IFERROR(Costro_Producto[[#This Row],[Sub Total]]*$K$6,"")</f>
        <v>0</v>
      </c>
      <c r="Q27"/>
      <c r="R27" s="8"/>
      <c r="S27" s="157"/>
      <c r="T27" s="157"/>
      <c r="U27" s="157"/>
      <c r="V27" s="162"/>
      <c r="X27" s="66"/>
      <c r="Y27" s="59"/>
    </row>
    <row r="28" spans="1:25" ht="50.25" customHeight="1" thickBot="1">
      <c r="A28" s="8"/>
      <c r="B28" s="197"/>
      <c r="C28" s="198"/>
      <c r="D28" s="198"/>
      <c r="E28" s="198"/>
      <c r="F28" s="199"/>
      <c r="H28" s="62"/>
      <c r="I28" s="62"/>
      <c r="K28" s="131"/>
      <c r="L28" s="132"/>
      <c r="M28" s="133"/>
      <c r="N28" s="133"/>
      <c r="O28" s="133">
        <f>SUBTOTAL(109,Costro_Producto[Sub Total])</f>
        <v>19210</v>
      </c>
      <c r="P28" s="133">
        <f>SUBTOTAL(109,Costro_Producto[Total])</f>
        <v>19210</v>
      </c>
      <c r="Q28"/>
      <c r="R28" s="8"/>
      <c r="S28" s="157"/>
      <c r="T28" s="157"/>
      <c r="U28" s="157"/>
      <c r="V28" s="158"/>
      <c r="Y28" s="59"/>
    </row>
    <row r="29" spans="1:25" ht="50.25" customHeight="1" thickTop="1">
      <c r="A29" s="8"/>
      <c r="B29" s="62"/>
      <c r="C29" s="62"/>
      <c r="D29" s="62"/>
      <c r="E29" s="62"/>
      <c r="F29" s="62"/>
      <c r="H29" s="62"/>
      <c r="I29" s="62"/>
      <c r="M29" s="109"/>
      <c r="O29" s="146">
        <f>Costro_Producto[[#Totals],[Sub Total]]/K1</f>
        <v>4.8025000000000002</v>
      </c>
      <c r="Q29"/>
      <c r="R29" s="95"/>
      <c r="S29" s="158"/>
      <c r="T29" s="157"/>
      <c r="U29" s="157"/>
      <c r="V29" s="157"/>
    </row>
    <row r="30" spans="1:25" ht="50.25" customHeight="1">
      <c r="A30" s="8"/>
      <c r="H30" s="62"/>
      <c r="I30" s="62"/>
      <c r="P30" s="66"/>
      <c r="Q30"/>
      <c r="R30" s="95"/>
      <c r="S30" s="157"/>
      <c r="T30" s="157"/>
      <c r="U30" s="157"/>
      <c r="V30" s="157"/>
      <c r="Y30" s="66"/>
    </row>
    <row r="31" spans="1:25" ht="50.25" customHeight="1">
      <c r="A31" s="8"/>
      <c r="H31" s="62"/>
      <c r="I31" s="62"/>
      <c r="Q31"/>
      <c r="R31" s="95"/>
      <c r="S31" s="157"/>
      <c r="T31" s="157"/>
      <c r="U31" s="157"/>
      <c r="V31" s="157"/>
    </row>
    <row r="32" spans="1:25" ht="50.25" customHeight="1">
      <c r="A32" s="8"/>
      <c r="H32" s="62"/>
      <c r="I32" s="62"/>
      <c r="Q32"/>
      <c r="R32" s="94"/>
      <c r="W32" s="116"/>
    </row>
    <row r="33" spans="1:25" ht="50.25" customHeight="1">
      <c r="A33" s="8"/>
      <c r="H33" s="62"/>
      <c r="I33" s="62"/>
      <c r="K33" s="66"/>
      <c r="L33" s="66"/>
      <c r="M33" s="66"/>
      <c r="N33" s="66"/>
      <c r="O33" s="66"/>
      <c r="P33" s="66"/>
      <c r="Q33" s="50"/>
      <c r="R33" s="50"/>
    </row>
    <row r="34" spans="1:25" ht="50.25" customHeight="1">
      <c r="A34" s="8"/>
      <c r="G34" s="97"/>
      <c r="H34" s="62"/>
      <c r="I34" s="62"/>
      <c r="K34" s="66"/>
      <c r="L34" s="66"/>
      <c r="M34" s="66"/>
      <c r="N34" s="66"/>
      <c r="O34" s="66"/>
      <c r="Q34" s="94"/>
      <c r="R34" s="94"/>
      <c r="S34" s="155"/>
      <c r="T34" s="155"/>
      <c r="U34" s="155"/>
      <c r="V34" s="155"/>
      <c r="W34" s="66"/>
      <c r="X34" s="66"/>
      <c r="Y34" s="66"/>
    </row>
    <row r="35" spans="1:25" ht="171" customHeight="1">
      <c r="A35" s="8"/>
      <c r="G35" s="97"/>
      <c r="H35" s="59"/>
      <c r="I35" s="59"/>
      <c r="J35" s="59"/>
      <c r="Q35"/>
    </row>
    <row r="36" spans="1:25" ht="56.25" customHeight="1">
      <c r="A36" s="8"/>
      <c r="G36" s="97"/>
      <c r="I36" s="8"/>
      <c r="Q36"/>
    </row>
    <row r="37" spans="1:25" s="66" customFormat="1" ht="56.25" hidden="1" customHeight="1">
      <c r="A37" s="8"/>
      <c r="B37"/>
      <c r="C37"/>
      <c r="D37"/>
      <c r="E37"/>
      <c r="F37"/>
      <c r="G37" s="62"/>
      <c r="I37" s="75"/>
      <c r="K37"/>
      <c r="L37"/>
      <c r="M37"/>
      <c r="N37"/>
      <c r="O37"/>
      <c r="P37"/>
      <c r="S37" s="14"/>
      <c r="T37" s="14"/>
      <c r="U37" s="14"/>
      <c r="V37" s="14"/>
    </row>
    <row r="38" spans="1:25" ht="56.25" hidden="1" customHeight="1">
      <c r="A38" s="8"/>
      <c r="G38" s="62"/>
      <c r="I38" s="8"/>
      <c r="Q38"/>
    </row>
    <row r="39" spans="1:25" ht="56.25" hidden="1" customHeight="1">
      <c r="A39" s="8"/>
      <c r="G39" s="62"/>
      <c r="Q39"/>
    </row>
    <row r="40" spans="1:25" ht="56.25" hidden="1" customHeight="1">
      <c r="A40" s="8"/>
      <c r="Q40"/>
    </row>
    <row r="41" spans="1:25" ht="56.25" hidden="1" customHeight="1">
      <c r="A41" s="8"/>
      <c r="Q41"/>
    </row>
    <row r="42" spans="1:25" ht="56.25" hidden="1" customHeight="1">
      <c r="A42" s="8"/>
      <c r="Q42"/>
    </row>
    <row r="43" spans="1:25" ht="56.25" hidden="1" customHeight="1">
      <c r="A43" s="8"/>
      <c r="Q43"/>
    </row>
    <row r="44" spans="1:25" ht="56.25" hidden="1" customHeight="1">
      <c r="A44" s="8"/>
      <c r="Q44"/>
    </row>
    <row r="45" spans="1:25" ht="56.25" hidden="1" customHeight="1">
      <c r="Q45"/>
    </row>
    <row r="46" spans="1:25" ht="56.25" hidden="1" customHeight="1">
      <c r="A46" s="73"/>
      <c r="Q46"/>
    </row>
    <row r="47" spans="1:25" ht="56.25" hidden="1" customHeight="1">
      <c r="A47" s="66"/>
      <c r="M47" s="97"/>
      <c r="N47" s="97"/>
      <c r="P47" s="8"/>
      <c r="Q47"/>
    </row>
    <row r="48" spans="1:25" ht="56.25" hidden="1" customHeight="1">
      <c r="H48" s="8"/>
      <c r="M48" s="97"/>
      <c r="N48" s="97"/>
      <c r="P48" s="8"/>
      <c r="Q48"/>
    </row>
    <row r="49" spans="8:17" ht="56.25" hidden="1" customHeight="1">
      <c r="H49" s="8"/>
      <c r="M49" s="97"/>
      <c r="N49" s="97"/>
      <c r="P49" s="8"/>
      <c r="Q49"/>
    </row>
    <row r="50" spans="8:17" ht="56.25" hidden="1" customHeight="1">
      <c r="H50" s="8"/>
      <c r="N50" s="97"/>
      <c r="O50" s="97"/>
      <c r="Q50"/>
    </row>
    <row r="51" spans="8:17" ht="56.25" hidden="1" customHeight="1">
      <c r="I51" s="62"/>
      <c r="N51" s="97"/>
      <c r="O51" s="97"/>
      <c r="Q51"/>
    </row>
    <row r="52" spans="8:17" ht="57.75" hidden="1" customHeight="1">
      <c r="H52" s="97"/>
      <c r="I52" s="62"/>
      <c r="N52" s="97"/>
      <c r="O52" s="97"/>
      <c r="Q52"/>
    </row>
    <row r="53" spans="8:17" ht="57.75" hidden="1" customHeight="1">
      <c r="H53" s="97"/>
      <c r="I53" s="62"/>
      <c r="N53" s="97"/>
      <c r="O53" s="97"/>
      <c r="Q53"/>
    </row>
    <row r="54" spans="8:17" ht="57.75" hidden="1" customHeight="1">
      <c r="H54" s="97"/>
      <c r="I54" s="62"/>
      <c r="N54" s="97"/>
      <c r="O54" s="97"/>
    </row>
    <row r="55" spans="8:17" ht="57.75" hidden="1" customHeight="1">
      <c r="H55" s="62"/>
      <c r="I55" s="62"/>
      <c r="N55" s="97"/>
      <c r="O55" s="97"/>
    </row>
    <row r="56" spans="8:17" ht="57.75" hidden="1" customHeight="1">
      <c r="H56" s="62"/>
      <c r="I56" s="62"/>
      <c r="M56" s="97"/>
      <c r="N56" s="97"/>
      <c r="P56" s="8"/>
    </row>
    <row r="57" spans="8:17" ht="57.75" hidden="1" customHeight="1">
      <c r="M57" s="97"/>
      <c r="N57" s="97"/>
      <c r="P57" s="8"/>
    </row>
    <row r="58" spans="8:17" ht="57.75" hidden="1" customHeight="1">
      <c r="H58" s="62"/>
      <c r="I58" s="62"/>
    </row>
    <row r="59" spans="8:17" ht="57.75" hidden="1" customHeight="1">
      <c r="H59" s="62"/>
      <c r="I59" s="62"/>
    </row>
    <row r="60" spans="8:17" ht="57.75" hidden="1" customHeight="1">
      <c r="H60" s="62"/>
      <c r="I60" s="62"/>
      <c r="Q60"/>
    </row>
    <row r="61" spans="8:17" ht="57.75" hidden="1" customHeight="1">
      <c r="H61" s="62"/>
      <c r="I61" s="62"/>
      <c r="Q61"/>
    </row>
    <row r="62" spans="8:17" ht="15.75" hidden="1" customHeight="1">
      <c r="H62" s="62"/>
      <c r="I62" s="62"/>
      <c r="Q62"/>
    </row>
    <row r="63" spans="8:17" ht="15.75" hidden="1" customHeight="1">
      <c r="H63" s="62"/>
      <c r="I63" s="62"/>
      <c r="Q63"/>
    </row>
    <row r="64" spans="8:17" ht="15.75" hidden="1" customHeight="1">
      <c r="H64" s="62"/>
      <c r="I64" s="62"/>
      <c r="N64" s="97"/>
      <c r="O64" s="97"/>
      <c r="Q64"/>
    </row>
    <row r="65" spans="8:17" ht="15.75" hidden="1" customHeight="1">
      <c r="H65" s="62"/>
      <c r="I65" s="62"/>
      <c r="K65" s="62"/>
      <c r="L65" s="62"/>
      <c r="M65" s="62"/>
      <c r="N65" s="97"/>
      <c r="O65" s="97"/>
      <c r="Q65"/>
    </row>
    <row r="66" spans="8:17" ht="15.75" hidden="1" customHeight="1">
      <c r="H66" s="73"/>
      <c r="I66" s="73"/>
      <c r="K66" s="62"/>
      <c r="L66" s="62"/>
      <c r="M66" s="62"/>
      <c r="N66" s="97"/>
      <c r="O66" s="97"/>
      <c r="Q66"/>
    </row>
    <row r="67" spans="8:17" ht="158.25" hidden="1" customHeight="1">
      <c r="K67" s="62"/>
      <c r="L67" s="62"/>
      <c r="M67" s="62"/>
      <c r="N67" s="97"/>
      <c r="O67" s="97"/>
      <c r="Q67"/>
    </row>
    <row r="68" spans="8:17" ht="15.75" hidden="1" customHeight="1">
      <c r="K68" s="62"/>
      <c r="L68" s="62"/>
      <c r="M68" s="62"/>
      <c r="N68" s="97"/>
      <c r="O68" s="97"/>
    </row>
    <row r="69" spans="8:17" ht="15.75" hidden="1" customHeight="1">
      <c r="J69" s="62"/>
      <c r="N69" s="97"/>
      <c r="O69" s="97"/>
    </row>
    <row r="70" spans="8:17" ht="15.75" hidden="1" customHeight="1">
      <c r="J70" s="62"/>
      <c r="N70" s="97"/>
      <c r="O70" s="97"/>
    </row>
    <row r="71" spans="8:17" ht="15.75" hidden="1" customHeight="1">
      <c r="J71" s="62"/>
      <c r="N71" s="97"/>
      <c r="O71" s="97"/>
    </row>
    <row r="72" spans="8:17" ht="15.75" hidden="1" customHeight="1">
      <c r="J72" s="62"/>
      <c r="N72" s="97"/>
      <c r="O72" s="97"/>
    </row>
    <row r="73" spans="8:17" ht="15.75" hidden="1" customHeight="1">
      <c r="N73" s="97"/>
      <c r="O73" s="97"/>
    </row>
    <row r="74" spans="8:17" ht="15.75" hidden="1" customHeight="1">
      <c r="N74" s="97"/>
      <c r="O74" s="97"/>
    </row>
    <row r="75" spans="8:17" ht="15.75" hidden="1" customHeight="1">
      <c r="N75" s="97"/>
      <c r="O75" s="97"/>
    </row>
    <row r="76" spans="8:17" ht="15.75" hidden="1" customHeight="1">
      <c r="N76" s="67"/>
      <c r="O76" s="67"/>
    </row>
    <row r="77" spans="8:17" ht="15.75" hidden="1" customHeight="1">
      <c r="N77" s="67"/>
      <c r="O77" s="67"/>
    </row>
    <row r="78" spans="8:17" ht="15.75" hidden="1" customHeight="1">
      <c r="I78" s="97"/>
      <c r="N78" s="74"/>
      <c r="O78" s="74"/>
    </row>
    <row r="79" spans="8:17" ht="15.75" hidden="1" customHeight="1">
      <c r="I79" s="97"/>
    </row>
    <row r="80" spans="8:17" ht="15.75" hidden="1" customHeight="1"/>
    <row r="81" spans="9:15" ht="15.75" hidden="1" customHeight="1"/>
    <row r="82" spans="9:15" ht="15.75" hidden="1" customHeight="1"/>
    <row r="83" spans="9:15" ht="15.75" hidden="1" customHeight="1"/>
    <row r="84" spans="9:15" ht="15.75" hidden="1" customHeight="1"/>
    <row r="85" spans="9:15" ht="15.75" hidden="1" customHeight="1">
      <c r="I85" s="62"/>
    </row>
    <row r="86" spans="9:15" ht="15.75" hidden="1" customHeight="1">
      <c r="I86" s="62"/>
    </row>
    <row r="87" spans="9:15" ht="15.75" hidden="1" customHeight="1">
      <c r="I87" s="62"/>
    </row>
    <row r="88" spans="9:15" ht="15.75" hidden="1" customHeight="1">
      <c r="I88" s="62"/>
    </row>
    <row r="89" spans="9:15" ht="15.75" hidden="1" customHeight="1" thickBot="1"/>
    <row r="90" spans="9:15" ht="15.75" hidden="1" customHeight="1" thickBot="1">
      <c r="N90" s="98"/>
      <c r="O90" s="99"/>
    </row>
    <row r="91" spans="9:15" ht="15.75" hidden="1" customHeight="1" thickBot="1">
      <c r="N91" s="98"/>
      <c r="O91" s="99"/>
    </row>
    <row r="92" spans="9:15" ht="15.75" hidden="1" customHeight="1" thickBot="1">
      <c r="N92" s="98"/>
      <c r="O92" s="99"/>
    </row>
    <row r="93" spans="9:15" ht="15.75" hidden="1" customHeight="1" thickBot="1">
      <c r="N93" s="83"/>
      <c r="O93" s="84"/>
    </row>
    <row r="94" spans="9:15" ht="15.75" hidden="1" customHeight="1" thickBot="1">
      <c r="N94" s="100"/>
      <c r="O94" s="101"/>
    </row>
    <row r="95" spans="9:15" ht="15.75" hidden="1" customHeight="1" thickBot="1">
      <c r="N95" s="102"/>
      <c r="O95" s="102"/>
    </row>
    <row r="96" spans="9:15" ht="15.75" hidden="1" customHeight="1">
      <c r="N96" s="92"/>
      <c r="O96" s="93"/>
    </row>
    <row r="97" spans="14:15" ht="15.75" hidden="1" customHeight="1">
      <c r="N97" s="86"/>
      <c r="O97" s="87"/>
    </row>
    <row r="98" spans="14:15" ht="15.75" hidden="1" customHeight="1">
      <c r="N98" s="88"/>
      <c r="O98" s="89"/>
    </row>
    <row r="99" spans="14:15" ht="15.75" hidden="1" customHeight="1">
      <c r="N99" s="88"/>
      <c r="O99" s="89"/>
    </row>
    <row r="100" spans="14:15" ht="15.75" hidden="1" customHeight="1">
      <c r="N100" s="88"/>
      <c r="O100" s="89"/>
    </row>
    <row r="101" spans="14:15" ht="15.75" hidden="1" customHeight="1">
      <c r="N101" s="88"/>
      <c r="O101" s="89"/>
    </row>
    <row r="102" spans="14:15" ht="15.75" hidden="1" customHeight="1">
      <c r="N102" s="88"/>
      <c r="O102" s="89"/>
    </row>
    <row r="103" spans="14:15" ht="15.75" hidden="1" customHeight="1" thickBot="1">
      <c r="N103" s="90"/>
      <c r="O103" s="91"/>
    </row>
    <row r="104" spans="14:15" ht="15.75" hidden="1" customHeight="1">
      <c r="N104" s="62"/>
      <c r="O104" s="62"/>
    </row>
    <row r="105" spans="14:15" ht="15.75" hidden="1" customHeight="1">
      <c r="N105" s="62"/>
    </row>
    <row r="106" spans="14:15" ht="15.75" hidden="1" customHeight="1">
      <c r="N106" s="62"/>
      <c r="O106" s="62"/>
    </row>
    <row r="107" spans="14:15" ht="15.75" hidden="1" customHeight="1">
      <c r="N107" s="62"/>
      <c r="O107" s="62"/>
    </row>
    <row r="108" spans="14:15" ht="15.75" hidden="1" customHeight="1">
      <c r="N108" s="62"/>
      <c r="O108" s="62"/>
    </row>
    <row r="109" spans="14:15" ht="15.75" hidden="1" customHeight="1"/>
    <row r="110" spans="14:15" ht="15.75" hidden="1" customHeight="1"/>
    <row r="111" spans="14:15" ht="15.75" hidden="1" customHeight="1"/>
    <row r="112" spans="14:15" ht="15.75" hidden="1" customHeight="1"/>
    <row r="113" ht="15.75" hidden="1" customHeight="1"/>
    <row r="114" ht="15.75" hidden="1" customHeight="1"/>
    <row r="115" ht="15.75" hidden="1" customHeight="1"/>
    <row r="116" ht="15.75" hidden="1" customHeight="1"/>
    <row r="117" ht="15.75" hidden="1" customHeight="1"/>
    <row r="118" ht="15.75" hidden="1" customHeight="1"/>
    <row r="119" ht="15.75" hidden="1" customHeight="1"/>
    <row r="120" ht="15.75" hidden="1" customHeight="1"/>
    <row r="121" ht="15.75" hidden="1" customHeight="1"/>
    <row r="122" ht="15.75" hidden="1" customHeight="1"/>
    <row r="123" ht="15.75" hidden="1" customHeight="1"/>
    <row r="124" ht="15.75" hidden="1" customHeight="1"/>
    <row r="125" ht="15.75" hidden="1" customHeight="1"/>
    <row r="126" ht="15.75" hidden="1" customHeight="1"/>
    <row r="127" ht="15.75" hidden="1" customHeight="1"/>
    <row r="128" ht="15.75" hidden="1" customHeight="1"/>
    <row r="129" ht="15.75" hidden="1" customHeight="1"/>
    <row r="130" ht="15.75" hidden="1" customHeight="1"/>
    <row r="131" ht="15.75" hidden="1" customHeight="1"/>
    <row r="132" ht="15.75" hidden="1" customHeight="1"/>
    <row r="133" ht="15.75" hidden="1" customHeight="1"/>
    <row r="134" ht="15.75" hidden="1" customHeight="1"/>
    <row r="135" ht="15.75" hidden="1" customHeight="1"/>
    <row r="136" ht="15.75" hidden="1" customHeight="1"/>
    <row r="137" ht="15.75" hidden="1" customHeight="1"/>
    <row r="138" ht="15.75" hidden="1" customHeight="1"/>
    <row r="139" ht="15.75" hidden="1" customHeight="1"/>
    <row r="140" ht="15.75" hidden="1" customHeight="1"/>
    <row r="141" ht="15.75" hidden="1" customHeight="1"/>
    <row r="142" ht="15.75" hidden="1" customHeight="1"/>
    <row r="143" ht="15.75" hidden="1" customHeight="1"/>
    <row r="144" ht="15.75" hidden="1" customHeight="1"/>
    <row r="145" ht="15.75" hidden="1" customHeight="1"/>
    <row r="146" ht="15.75" hidden="1" customHeight="1"/>
    <row r="147" ht="15.75" hidden="1" customHeight="1"/>
    <row r="148" ht="15.75" hidden="1" customHeight="1"/>
    <row r="149" ht="15.75" hidden="1" customHeight="1"/>
    <row r="150" ht="15.75" hidden="1" customHeight="1"/>
    <row r="151" ht="15.75" hidden="1" customHeight="1"/>
    <row r="152" ht="15.75" hidden="1" customHeight="1"/>
    <row r="153" ht="15.75" hidden="1" customHeight="1"/>
    <row r="154" ht="15.75" hidden="1" customHeight="1"/>
    <row r="155" ht="15.75" hidden="1" customHeight="1"/>
    <row r="156" ht="15.75" hidden="1" customHeight="1"/>
    <row r="157" ht="15.75" hidden="1" customHeight="1"/>
    <row r="158" ht="15.75" hidden="1" customHeight="1"/>
    <row r="159" ht="15.75" hidden="1" customHeight="1"/>
    <row r="160" ht="15.75" hidden="1" customHeight="1"/>
    <row r="161" ht="15.75" hidden="1" customHeight="1"/>
    <row r="162" ht="15.75" hidden="1" customHeight="1"/>
    <row r="163" ht="15.75" hidden="1" customHeight="1"/>
    <row r="164" ht="15.75" hidden="1" customHeight="1"/>
    <row r="165" ht="15.75" hidden="1" customHeight="1"/>
    <row r="166" ht="15.75" hidden="1" customHeight="1"/>
    <row r="167" ht="15.75" hidden="1" customHeight="1"/>
    <row r="168" ht="15.75" hidden="1" customHeight="1"/>
    <row r="169" ht="15.75" hidden="1" customHeight="1"/>
    <row r="170" ht="15.75" hidden="1" customHeight="1"/>
    <row r="171" ht="15.75" hidden="1" customHeight="1"/>
    <row r="172" ht="15.75" hidden="1" customHeight="1"/>
    <row r="173" ht="15.75" hidden="1" customHeight="1"/>
    <row r="174" ht="15.75" hidden="1" customHeight="1"/>
    <row r="175" ht="15.75" hidden="1" customHeight="1"/>
    <row r="176" ht="15.75" hidden="1" customHeight="1"/>
    <row r="177" ht="15.75" hidden="1" customHeight="1"/>
    <row r="178" ht="15.75" hidden="1" customHeight="1"/>
    <row r="179" ht="15.75" hidden="1" customHeight="1"/>
    <row r="180" ht="15.75" hidden="1" customHeight="1"/>
    <row r="181" ht="15.75" hidden="1" customHeight="1"/>
    <row r="182" ht="15.75" hidden="1" customHeight="1"/>
    <row r="183" ht="15.75" hidden="1" customHeight="1"/>
    <row r="184" ht="15.75" hidden="1" customHeight="1"/>
    <row r="185" ht="15.75" hidden="1" customHeight="1"/>
    <row r="186" ht="15.75" hidden="1" customHeight="1"/>
    <row r="187" ht="15.75" hidden="1" customHeight="1"/>
    <row r="188" ht="15.75" hidden="1" customHeight="1"/>
    <row r="189" ht="15.75" hidden="1" customHeight="1"/>
    <row r="190" ht="15.75" hidden="1" customHeight="1"/>
    <row r="191" ht="15.75" hidden="1" customHeight="1"/>
    <row r="192" ht="15.75" hidden="1" customHeight="1"/>
    <row r="193" ht="15.75" hidden="1" customHeight="1"/>
    <row r="194" ht="15.75" hidden="1" customHeight="1"/>
    <row r="195" ht="15.75" hidden="1" customHeight="1"/>
    <row r="196" ht="15.75" hidden="1" customHeight="1"/>
    <row r="197" ht="15.75" hidden="1" customHeight="1"/>
    <row r="198" ht="15.75" hidden="1" customHeight="1"/>
    <row r="199" ht="15.75" hidden="1" customHeight="1"/>
    <row r="200" ht="15.75" hidden="1" customHeight="1"/>
    <row r="201" ht="15.75" hidden="1" customHeight="1"/>
    <row r="202" ht="15.75" hidden="1" customHeight="1"/>
    <row r="203" ht="15.75" hidden="1" customHeight="1"/>
    <row r="204" ht="15.75" hidden="1" customHeight="1"/>
    <row r="205" ht="15.75" hidden="1" customHeight="1"/>
    <row r="206" ht="15.75" hidden="1" customHeight="1"/>
    <row r="207" ht="15.75" hidden="1" customHeight="1"/>
    <row r="208" ht="15.75" hidden="1" customHeight="1"/>
    <row r="209" ht="15.75" hidden="1" customHeight="1"/>
    <row r="210" ht="15.75" hidden="1" customHeight="1"/>
    <row r="211" ht="15.75" hidden="1" customHeight="1"/>
    <row r="212" ht="15.75" hidden="1" customHeight="1"/>
    <row r="213" ht="15.75" hidden="1" customHeight="1"/>
    <row r="214" ht="15.75" hidden="1" customHeight="1"/>
    <row r="215" ht="15.75" hidden="1" customHeight="1"/>
    <row r="216" ht="15.75" hidden="1" customHeight="1"/>
    <row r="217" ht="15.75" hidden="1" customHeight="1"/>
    <row r="218" ht="15.75" hidden="1" customHeight="1"/>
    <row r="219" ht="15.75" hidden="1" customHeight="1"/>
    <row r="220" ht="15.75" hidden="1" customHeight="1"/>
    <row r="221" ht="15.75" hidden="1" customHeight="1"/>
    <row r="222" ht="15.75" hidden="1" customHeight="1"/>
    <row r="223" ht="15.75" hidden="1" customHeight="1"/>
    <row r="224" ht="15.75" hidden="1" customHeight="1"/>
    <row r="225" ht="15.75" hidden="1" customHeight="1"/>
    <row r="226" ht="15.75" hidden="1" customHeight="1"/>
    <row r="227" ht="15.75" hidden="1" customHeight="1"/>
    <row r="228" ht="15.75" hidden="1" customHeight="1"/>
    <row r="229" ht="15.75" hidden="1" customHeight="1"/>
    <row r="230" ht="15.75" hidden="1" customHeight="1"/>
    <row r="231" ht="15.75" hidden="1" customHeight="1"/>
    <row r="232" ht="15.75" hidden="1" customHeight="1"/>
    <row r="233" ht="15.75" hidden="1" customHeight="1"/>
    <row r="234" ht="15.75" hidden="1" customHeight="1"/>
    <row r="235" ht="15.75" hidden="1" customHeight="1"/>
    <row r="236" ht="15.75" hidden="1" customHeight="1"/>
    <row r="237" ht="15.75" hidden="1" customHeight="1"/>
    <row r="238" ht="15.75" hidden="1" customHeight="1"/>
    <row r="239" ht="15.75" hidden="1" customHeight="1"/>
    <row r="240" ht="15.75" hidden="1" customHeight="1"/>
    <row r="241" ht="15.75" hidden="1" customHeight="1"/>
    <row r="242" ht="15.75" hidden="1" customHeight="1"/>
    <row r="243" ht="15.75" hidden="1" customHeight="1"/>
    <row r="244" ht="15.75" hidden="1" customHeight="1"/>
    <row r="245" ht="15.75" hidden="1" customHeight="1"/>
    <row r="246" ht="15.75" hidden="1" customHeight="1"/>
    <row r="247" ht="15.75" hidden="1" customHeight="1"/>
    <row r="248" ht="15.75" hidden="1" customHeight="1"/>
    <row r="249" ht="15.75" hidden="1" customHeight="1"/>
    <row r="250" ht="15.75" hidden="1" customHeight="1"/>
    <row r="251" ht="15.75" hidden="1" customHeight="1"/>
    <row r="252" ht="15.75" hidden="1" customHeight="1"/>
    <row r="253" ht="15.75" hidden="1" customHeight="1"/>
    <row r="254" ht="15.75" hidden="1" customHeight="1"/>
    <row r="255" ht="15.75" hidden="1" customHeight="1"/>
    <row r="256" ht="15.75" hidden="1" customHeight="1"/>
    <row r="257" ht="15.75" hidden="1" customHeight="1"/>
    <row r="258" ht="15.75" hidden="1" customHeight="1"/>
    <row r="259" ht="15.75" hidden="1" customHeight="1"/>
    <row r="260" ht="15.75" hidden="1" customHeight="1"/>
    <row r="261" ht="15.75" hidden="1" customHeight="1"/>
    <row r="262" ht="15.75" hidden="1" customHeight="1"/>
    <row r="263" ht="15.75" hidden="1" customHeight="1"/>
    <row r="264" ht="15.75" hidden="1" customHeight="1"/>
    <row r="265" ht="15.75" hidden="1" customHeight="1"/>
    <row r="266" ht="15.75" hidden="1" customHeight="1"/>
    <row r="267" ht="15.75" hidden="1" customHeight="1"/>
    <row r="268" ht="15.75" hidden="1" customHeight="1"/>
    <row r="269" ht="15.75" hidden="1" customHeight="1"/>
    <row r="270" ht="15.75" hidden="1" customHeight="1"/>
    <row r="271" ht="15.75" hidden="1" customHeight="1"/>
    <row r="272" ht="15.75" hidden="1" customHeight="1"/>
    <row r="273" ht="15.75" hidden="1" customHeight="1"/>
    <row r="274" ht="15.75" hidden="1" customHeight="1"/>
    <row r="275" ht="15.75" hidden="1" customHeight="1"/>
    <row r="276" ht="15.75" hidden="1" customHeight="1"/>
    <row r="277" ht="15.75" hidden="1" customHeight="1"/>
    <row r="278" ht="15.75" hidden="1" customHeight="1"/>
    <row r="279" ht="15.75" hidden="1" customHeight="1"/>
    <row r="280" ht="15.75" hidden="1" customHeight="1"/>
    <row r="281" ht="15.75" hidden="1" customHeight="1"/>
    <row r="282" ht="15.75" hidden="1" customHeight="1"/>
    <row r="283" ht="15.75" hidden="1" customHeight="1"/>
    <row r="284" ht="15.75" hidden="1" customHeight="1"/>
    <row r="285" ht="15.75" hidden="1" customHeight="1"/>
    <row r="286" ht="15.75" hidden="1" customHeight="1"/>
    <row r="287" ht="15.75" hidden="1" customHeight="1"/>
    <row r="288" ht="15.75" hidden="1" customHeight="1"/>
    <row r="289" ht="15.75" hidden="1" customHeight="1"/>
    <row r="290" ht="15.75" hidden="1" customHeight="1"/>
    <row r="291" ht="15.75" hidden="1" customHeight="1"/>
    <row r="292" ht="15.75" hidden="1" customHeight="1"/>
    <row r="293" ht="15.75" hidden="1" customHeight="1"/>
    <row r="294" ht="15.75" hidden="1" customHeight="1"/>
    <row r="295" ht="15.75" hidden="1" customHeight="1"/>
    <row r="296" ht="15.75" hidden="1" customHeight="1"/>
    <row r="297" ht="15.75" hidden="1" customHeight="1"/>
    <row r="298" ht="15.75" hidden="1" customHeight="1"/>
    <row r="299" ht="15.75" hidden="1" customHeight="1"/>
    <row r="300" ht="15.75" hidden="1" customHeight="1"/>
    <row r="301" ht="15.75" hidden="1" customHeight="1"/>
    <row r="302" ht="15.75" hidden="1" customHeight="1"/>
    <row r="303" ht="15.75" hidden="1" customHeight="1"/>
    <row r="304" ht="15.75" hidden="1" customHeight="1"/>
    <row r="305" ht="15.75" hidden="1" customHeight="1"/>
    <row r="306" ht="15.75" hidden="1" customHeight="1"/>
    <row r="307" ht="15.75" hidden="1" customHeight="1"/>
    <row r="308" ht="15.75" hidden="1" customHeight="1"/>
    <row r="309" ht="15.75" hidden="1" customHeight="1"/>
    <row r="310" ht="15.75" hidden="1" customHeight="1"/>
    <row r="311" ht="15.75" hidden="1" customHeight="1"/>
    <row r="312" ht="15.75" hidden="1" customHeight="1"/>
    <row r="313" ht="15.75" hidden="1" customHeight="1"/>
    <row r="314" ht="15.75" hidden="1" customHeight="1"/>
    <row r="315" ht="15.75" hidden="1" customHeight="1"/>
    <row r="316" ht="15.75" hidden="1" customHeight="1"/>
    <row r="317" ht="15.75" hidden="1" customHeight="1"/>
    <row r="318" ht="15.75" hidden="1" customHeight="1"/>
    <row r="319" ht="15.75" hidden="1" customHeight="1"/>
    <row r="320" ht="15.75" hidden="1" customHeight="1"/>
    <row r="321" ht="15.75" hidden="1" customHeight="1"/>
    <row r="322" ht="15.75" hidden="1" customHeight="1"/>
    <row r="323" ht="15.75" hidden="1" customHeight="1"/>
    <row r="324" ht="15.75" hidden="1" customHeight="1"/>
    <row r="325" ht="15.75" hidden="1" customHeight="1"/>
    <row r="326" ht="15.75" hidden="1" customHeight="1"/>
    <row r="327" ht="15.75" hidden="1" customHeight="1"/>
    <row r="328" ht="15.75" hidden="1" customHeight="1"/>
    <row r="329" ht="15.75" hidden="1" customHeight="1"/>
    <row r="330" ht="15.75" hidden="1" customHeight="1"/>
    <row r="331" ht="15.75" hidden="1" customHeight="1"/>
    <row r="332" ht="15.75" hidden="1" customHeight="1"/>
    <row r="333" ht="15.75" hidden="1" customHeight="1"/>
    <row r="334" ht="15.75" hidden="1" customHeight="1"/>
    <row r="335" ht="15.75" hidden="1" customHeight="1"/>
    <row r="336" ht="15.75" hidden="1" customHeight="1"/>
    <row r="337" ht="15.75" hidden="1" customHeight="1"/>
    <row r="338" ht="15.75" hidden="1" customHeight="1"/>
    <row r="339" ht="15.75" hidden="1" customHeight="1"/>
    <row r="340" ht="15.75" hidden="1" customHeight="1"/>
    <row r="341" ht="15.75" hidden="1" customHeight="1"/>
    <row r="342" ht="15.75" hidden="1" customHeight="1"/>
    <row r="343" ht="15.75" hidden="1" customHeight="1"/>
    <row r="344" ht="15.75" hidden="1" customHeight="1"/>
    <row r="345" ht="15.75" hidden="1" customHeight="1"/>
    <row r="346" ht="15.75" hidden="1" customHeight="1"/>
    <row r="347" ht="15.75" hidden="1" customHeight="1"/>
    <row r="348" ht="15.75" hidden="1" customHeight="1"/>
    <row r="349" ht="15.75" hidden="1" customHeight="1"/>
    <row r="350" ht="15.75" hidden="1" customHeight="1"/>
    <row r="351" ht="15.75" hidden="1" customHeight="1"/>
    <row r="352" ht="15.75" hidden="1" customHeight="1"/>
    <row r="353" ht="15.75" hidden="1" customHeight="1"/>
    <row r="354" ht="15.75" hidden="1" customHeight="1"/>
    <row r="355" ht="15.75" hidden="1" customHeight="1"/>
    <row r="356" ht="15.75" hidden="1" customHeight="1"/>
    <row r="357" ht="15.75" hidden="1" customHeight="1"/>
    <row r="358" ht="15.75" hidden="1" customHeight="1"/>
    <row r="359" ht="15.75" hidden="1" customHeight="1"/>
    <row r="360" ht="15.75" hidden="1" customHeight="1"/>
    <row r="361" ht="15.75" hidden="1" customHeight="1"/>
    <row r="362" ht="15.75" hidden="1" customHeight="1"/>
    <row r="363" ht="15.75" hidden="1" customHeight="1"/>
    <row r="364" ht="15.75" hidden="1" customHeight="1"/>
    <row r="365" ht="15.75" hidden="1" customHeight="1"/>
    <row r="366" ht="15.75" hidden="1" customHeight="1"/>
    <row r="367" ht="15.75" hidden="1" customHeight="1"/>
    <row r="368" ht="15.75" hidden="1" customHeight="1"/>
    <row r="369" ht="15.75" hidden="1" customHeight="1"/>
    <row r="370" ht="15.75" hidden="1" customHeight="1"/>
    <row r="371" ht="15.75" hidden="1" customHeight="1"/>
    <row r="372" ht="15.75" hidden="1" customHeight="1"/>
    <row r="373" ht="15.75" hidden="1" customHeight="1"/>
    <row r="374" ht="15.75" hidden="1" customHeight="1"/>
    <row r="375" ht="15.75" hidden="1" customHeight="1"/>
    <row r="376" ht="15.75" hidden="1" customHeight="1"/>
    <row r="377" ht="15.75" hidden="1" customHeight="1"/>
    <row r="378" ht="15.75" hidden="1" customHeight="1"/>
    <row r="379" ht="15.75" hidden="1" customHeight="1"/>
    <row r="380" ht="15.75" hidden="1" customHeight="1"/>
    <row r="381" ht="15.75" hidden="1" customHeight="1"/>
    <row r="382" ht="15.75" hidden="1" customHeight="1"/>
    <row r="383" ht="15.75" hidden="1" customHeight="1"/>
    <row r="384" ht="15.75" hidden="1" customHeight="1"/>
    <row r="385" ht="15.75" hidden="1" customHeight="1"/>
    <row r="386" ht="15.75" hidden="1" customHeight="1"/>
    <row r="387" ht="15.75" hidden="1" customHeight="1"/>
    <row r="388" ht="15.75" hidden="1" customHeight="1"/>
    <row r="389" ht="15.75" hidden="1" customHeight="1"/>
    <row r="390" ht="15.75" hidden="1" customHeight="1"/>
    <row r="391" ht="15.75" hidden="1" customHeight="1"/>
    <row r="392" ht="15.75" hidden="1" customHeight="1"/>
    <row r="393" ht="15.75" hidden="1" customHeight="1"/>
    <row r="394" ht="15.75" hidden="1" customHeight="1"/>
    <row r="395" ht="15.75" hidden="1" customHeight="1"/>
    <row r="396" ht="15.75" hidden="1" customHeight="1"/>
    <row r="397" ht="15.75" hidden="1" customHeight="1"/>
    <row r="398" ht="15.75" hidden="1" customHeight="1"/>
    <row r="399" ht="15.75" hidden="1" customHeight="1"/>
    <row r="400" ht="15.75" hidden="1" customHeight="1"/>
    <row r="401" ht="15.75" hidden="1" customHeight="1"/>
    <row r="402" ht="15.75" hidden="1" customHeight="1"/>
    <row r="403" ht="15.75" hidden="1" customHeight="1"/>
    <row r="404" ht="15.75" hidden="1" customHeight="1"/>
    <row r="405" ht="15.75" hidden="1" customHeight="1"/>
    <row r="406" ht="15.75" hidden="1" customHeight="1"/>
    <row r="407" ht="15.75" hidden="1" customHeight="1"/>
    <row r="408" ht="15.75" hidden="1" customHeight="1"/>
    <row r="409" ht="15.75" hidden="1" customHeight="1"/>
    <row r="410" ht="15.75" hidden="1" customHeight="1"/>
    <row r="411" ht="15.75" hidden="1" customHeight="1"/>
    <row r="412" ht="15.75" hidden="1" customHeight="1"/>
    <row r="413" ht="15.75" hidden="1" customHeight="1"/>
    <row r="414" ht="15.75" hidden="1" customHeight="1"/>
    <row r="415" ht="15.75" hidden="1" customHeight="1"/>
    <row r="416" ht="15.75" hidden="1" customHeight="1"/>
    <row r="417" ht="15.75" hidden="1" customHeight="1"/>
    <row r="418" ht="15.75" hidden="1" customHeight="1"/>
    <row r="419" ht="15.75" hidden="1" customHeight="1"/>
    <row r="420" ht="15.75" hidden="1" customHeight="1"/>
    <row r="421" ht="15.75" hidden="1" customHeight="1"/>
    <row r="422" ht="15.75" hidden="1" customHeight="1"/>
    <row r="423" ht="15.75" hidden="1" customHeight="1"/>
    <row r="424" ht="15.75" hidden="1" customHeight="1"/>
    <row r="425" ht="15.75" hidden="1" customHeight="1"/>
    <row r="426" ht="15.75" hidden="1" customHeight="1"/>
    <row r="427" ht="15.75" hidden="1" customHeight="1"/>
    <row r="428" ht="15.75" hidden="1" customHeight="1"/>
    <row r="429" ht="15.75" hidden="1" customHeight="1"/>
    <row r="430" ht="15.75" hidden="1" customHeight="1"/>
    <row r="431" ht="15.75" hidden="1" customHeight="1"/>
    <row r="432" ht="15.75" hidden="1" customHeight="1"/>
    <row r="433" ht="15.75" hidden="1" customHeight="1"/>
    <row r="434" ht="15.75" hidden="1" customHeight="1"/>
    <row r="435" ht="15.75" hidden="1" customHeight="1"/>
    <row r="436" ht="15.75" hidden="1" customHeight="1"/>
    <row r="437" ht="15.75" hidden="1" customHeight="1"/>
    <row r="438" ht="15.75" hidden="1" customHeight="1"/>
    <row r="439" ht="15.75" hidden="1" customHeight="1"/>
    <row r="440" ht="15.75" hidden="1" customHeight="1"/>
    <row r="441" ht="15.75" hidden="1" customHeight="1"/>
    <row r="442" ht="15.75" hidden="1" customHeight="1"/>
    <row r="443" ht="15.75" hidden="1" customHeight="1"/>
    <row r="444" ht="15.75" hidden="1" customHeight="1"/>
    <row r="445" ht="15.75" hidden="1" customHeight="1"/>
    <row r="446" ht="15.75" hidden="1" customHeight="1"/>
    <row r="447" ht="15.75" hidden="1" customHeight="1"/>
    <row r="448" ht="15.75" hidden="1" customHeight="1"/>
    <row r="449" ht="15.75" hidden="1" customHeight="1"/>
    <row r="450" ht="15.75" hidden="1" customHeight="1"/>
    <row r="451" ht="15.75" hidden="1" customHeight="1"/>
    <row r="452" ht="15.75" hidden="1" customHeight="1"/>
    <row r="453" ht="15.75" hidden="1" customHeight="1"/>
    <row r="454" ht="15.75" hidden="1" customHeight="1"/>
    <row r="455" ht="15.75" hidden="1" customHeight="1"/>
    <row r="456" ht="15.75" hidden="1" customHeight="1"/>
    <row r="457" ht="15.75" hidden="1" customHeight="1"/>
    <row r="458" ht="15.75" hidden="1" customHeight="1"/>
    <row r="459" ht="15.75" hidden="1" customHeight="1"/>
    <row r="460" ht="15.75" hidden="1" customHeight="1"/>
    <row r="461" ht="15.75" hidden="1" customHeight="1"/>
    <row r="462" ht="15.75" hidden="1" customHeight="1"/>
    <row r="463" ht="15.75" hidden="1" customHeight="1"/>
    <row r="464" ht="15.75" hidden="1" customHeight="1"/>
    <row r="465" ht="15.75" hidden="1" customHeight="1"/>
    <row r="466" ht="15.75" hidden="1" customHeight="1"/>
    <row r="467" ht="15.75" hidden="1" customHeight="1"/>
    <row r="468" ht="15.75" hidden="1" customHeight="1"/>
    <row r="469" ht="15.75" hidden="1" customHeight="1"/>
    <row r="470" ht="15.75" hidden="1" customHeight="1"/>
    <row r="471" ht="15.75" hidden="1" customHeight="1"/>
    <row r="472" ht="15.75" hidden="1" customHeight="1"/>
    <row r="473" ht="15.75" hidden="1" customHeight="1"/>
    <row r="474" ht="15.75" hidden="1" customHeight="1"/>
    <row r="475" ht="15.75" hidden="1" customHeight="1"/>
    <row r="476" ht="15.75" hidden="1" customHeight="1"/>
    <row r="477" ht="15.75" hidden="1" customHeight="1"/>
    <row r="478" ht="15.75" hidden="1" customHeight="1"/>
    <row r="479" ht="15.75" hidden="1" customHeight="1"/>
    <row r="480" ht="15.75" hidden="1" customHeight="1"/>
    <row r="481" ht="15.75" hidden="1" customHeight="1"/>
    <row r="482" ht="15.75" hidden="1" customHeight="1"/>
    <row r="483" ht="15.75" hidden="1" customHeight="1"/>
    <row r="484" ht="15.75" hidden="1" customHeight="1"/>
    <row r="485" ht="15.75" hidden="1" customHeight="1"/>
    <row r="486" ht="15.75" hidden="1" customHeight="1"/>
    <row r="487" ht="15.75" hidden="1" customHeight="1"/>
    <row r="488" ht="15.75" hidden="1" customHeight="1"/>
    <row r="489" ht="15.75" hidden="1" customHeight="1"/>
    <row r="490" ht="15.75" hidden="1" customHeight="1"/>
    <row r="491" ht="15.75" hidden="1" customHeight="1"/>
    <row r="492" ht="15.75" hidden="1" customHeight="1"/>
    <row r="493" ht="15.75" hidden="1" customHeight="1"/>
    <row r="494" ht="15.75" hidden="1" customHeight="1"/>
    <row r="495" ht="15.75" hidden="1" customHeight="1"/>
    <row r="496" ht="15.75" hidden="1" customHeight="1"/>
    <row r="497" ht="15.75" hidden="1" customHeight="1"/>
    <row r="498" ht="15.75" hidden="1" customHeight="1"/>
    <row r="499" ht="15.75" hidden="1" customHeight="1"/>
    <row r="500" ht="15.75" hidden="1" customHeight="1"/>
    <row r="501" ht="15.75" hidden="1" customHeight="1"/>
    <row r="502" ht="15.75" hidden="1" customHeight="1"/>
    <row r="503" ht="15.75" hidden="1" customHeight="1"/>
    <row r="504" ht="15.75" hidden="1" customHeight="1"/>
    <row r="505" ht="15.75" hidden="1" customHeight="1"/>
    <row r="506" ht="15.75" hidden="1" customHeight="1"/>
    <row r="507" ht="15.75" hidden="1" customHeight="1"/>
    <row r="508" ht="15.75" hidden="1" customHeight="1"/>
    <row r="509" ht="15.75" hidden="1" customHeight="1"/>
    <row r="510" ht="15.75" hidden="1" customHeight="1"/>
    <row r="511" ht="15.75" hidden="1" customHeight="1"/>
    <row r="512" ht="15.75" hidden="1" customHeight="1"/>
    <row r="513" ht="15.75" hidden="1" customHeight="1"/>
    <row r="514" ht="15.75" hidden="1" customHeight="1"/>
    <row r="515" ht="15.75" hidden="1" customHeight="1"/>
    <row r="516" ht="15.75" hidden="1" customHeight="1"/>
    <row r="517" ht="15.75" hidden="1" customHeight="1"/>
    <row r="518" ht="15.75" hidden="1" customHeight="1"/>
    <row r="519" ht="15.75" hidden="1" customHeight="1"/>
    <row r="520" ht="15.75" hidden="1" customHeight="1"/>
    <row r="521" ht="15.75" hidden="1" customHeight="1"/>
    <row r="522" ht="15.75" hidden="1" customHeight="1"/>
    <row r="523" ht="15.75" hidden="1" customHeight="1"/>
    <row r="524" ht="15.75" hidden="1" customHeight="1"/>
    <row r="525" ht="15.75" hidden="1" customHeight="1"/>
    <row r="526" ht="15.75" hidden="1" customHeight="1"/>
    <row r="527" ht="15.75" hidden="1" customHeight="1"/>
    <row r="528" ht="15.75" hidden="1" customHeight="1"/>
    <row r="529" ht="15.75" hidden="1" customHeight="1"/>
    <row r="530" ht="15.75" hidden="1" customHeight="1"/>
    <row r="531" ht="15.75" hidden="1" customHeight="1"/>
    <row r="532" ht="15.75" hidden="1" customHeight="1"/>
    <row r="533" ht="15.75" hidden="1" customHeight="1"/>
    <row r="534" ht="15.75" hidden="1" customHeight="1"/>
    <row r="535" ht="15.75" hidden="1" customHeight="1"/>
    <row r="536" ht="15.75" hidden="1" customHeight="1"/>
    <row r="537" ht="15.75" hidden="1" customHeight="1"/>
    <row r="538" ht="15.75" hidden="1" customHeight="1"/>
    <row r="539" ht="15.75" hidden="1" customHeight="1"/>
    <row r="540" ht="15.75" hidden="1" customHeight="1"/>
    <row r="541" ht="15.75" hidden="1" customHeight="1"/>
    <row r="542" ht="15.75" hidden="1" customHeight="1"/>
    <row r="543" ht="15.75" hidden="1" customHeight="1"/>
    <row r="544" ht="15.75" hidden="1" customHeight="1"/>
    <row r="545" ht="15.75" hidden="1" customHeight="1"/>
    <row r="546" ht="15.75" hidden="1" customHeight="1"/>
    <row r="547" ht="15.75" hidden="1" customHeight="1"/>
    <row r="548" ht="15.75" hidden="1" customHeight="1"/>
    <row r="549" ht="15.75" hidden="1" customHeight="1"/>
    <row r="550" ht="15.75" hidden="1" customHeight="1"/>
    <row r="551" ht="15.75" hidden="1" customHeight="1"/>
    <row r="552" ht="15.75" hidden="1" customHeight="1"/>
    <row r="553" ht="15.75" hidden="1" customHeight="1"/>
    <row r="554" ht="15.75" hidden="1" customHeight="1"/>
    <row r="555" ht="15.75" hidden="1" customHeight="1"/>
    <row r="556" ht="15.75" hidden="1" customHeight="1"/>
    <row r="557" ht="15.75" hidden="1" customHeight="1"/>
    <row r="558" ht="15.75" hidden="1" customHeight="1"/>
    <row r="559" ht="15.75" hidden="1" customHeight="1"/>
    <row r="560" ht="15.75" hidden="1" customHeight="1"/>
    <row r="561" ht="15.75" hidden="1" customHeight="1"/>
    <row r="562" ht="15.75" hidden="1" customHeight="1"/>
    <row r="563" ht="15.75" hidden="1" customHeight="1"/>
    <row r="564" ht="15.75" hidden="1" customHeight="1"/>
    <row r="565" ht="15.75" hidden="1" customHeight="1"/>
    <row r="566" ht="15.75" hidden="1" customHeight="1"/>
    <row r="567" ht="15.75" hidden="1" customHeight="1"/>
    <row r="568" ht="15.75" hidden="1" customHeight="1"/>
    <row r="569" ht="15.75" hidden="1" customHeight="1"/>
    <row r="570" ht="15.75" hidden="1" customHeight="1"/>
    <row r="571" ht="15.75" hidden="1" customHeight="1"/>
    <row r="572" ht="15.75" hidden="1" customHeight="1"/>
    <row r="573" ht="15.75" hidden="1" customHeight="1"/>
    <row r="574" ht="15.75" hidden="1" customHeight="1"/>
    <row r="575" ht="15.75" hidden="1" customHeight="1"/>
    <row r="576" ht="15.75" hidden="1" customHeight="1"/>
    <row r="577" ht="15.75" hidden="1" customHeight="1"/>
    <row r="578" ht="15.75" hidden="1" customHeight="1"/>
    <row r="579" ht="15.75" hidden="1" customHeight="1"/>
    <row r="580" ht="15.75" hidden="1" customHeight="1"/>
    <row r="581" ht="15.75" hidden="1" customHeight="1"/>
    <row r="582" ht="15.75" hidden="1" customHeight="1"/>
    <row r="583" ht="15.75" hidden="1" customHeight="1"/>
    <row r="584" ht="15.75" hidden="1" customHeight="1"/>
    <row r="585" ht="15.75" hidden="1" customHeight="1"/>
    <row r="586" ht="15.75" hidden="1" customHeight="1"/>
    <row r="587" ht="15.75" hidden="1" customHeight="1"/>
    <row r="588" ht="15.75" hidden="1" customHeight="1"/>
    <row r="589" ht="15.75" hidden="1" customHeight="1"/>
    <row r="590" ht="15.75" hidden="1" customHeight="1"/>
    <row r="591" ht="15.75" hidden="1" customHeight="1"/>
    <row r="592" ht="15.75" hidden="1" customHeight="1"/>
    <row r="593" ht="15.75" hidden="1" customHeight="1"/>
    <row r="594" ht="15.75" hidden="1" customHeight="1"/>
    <row r="595" ht="15.75" hidden="1" customHeight="1"/>
    <row r="596" ht="15.75" hidden="1" customHeight="1"/>
    <row r="597" ht="15.75" hidden="1" customHeight="1"/>
    <row r="598" ht="15.75" hidden="1" customHeight="1"/>
    <row r="599" ht="15.75" hidden="1" customHeight="1"/>
    <row r="600" ht="15.75" hidden="1" customHeight="1"/>
    <row r="601" ht="15.75" hidden="1" customHeight="1"/>
    <row r="602" ht="15.75" hidden="1" customHeight="1"/>
    <row r="603" ht="15.75" hidden="1" customHeight="1"/>
    <row r="604" ht="15.75" hidden="1" customHeight="1"/>
    <row r="605" ht="15.75" hidden="1" customHeight="1"/>
    <row r="606" ht="15.75" hidden="1" customHeight="1"/>
    <row r="607" ht="15.75" hidden="1" customHeight="1"/>
    <row r="608" ht="15.75" hidden="1" customHeight="1"/>
    <row r="609" ht="15.75" hidden="1" customHeight="1"/>
    <row r="610" ht="15.75" hidden="1" customHeight="1"/>
    <row r="611" ht="15.75" hidden="1" customHeight="1"/>
    <row r="612" ht="15.75" hidden="1" customHeight="1"/>
    <row r="613" ht="15.75" hidden="1" customHeight="1"/>
    <row r="614" ht="15.75" hidden="1" customHeight="1"/>
    <row r="615" ht="15.75" hidden="1" customHeight="1"/>
    <row r="616" ht="15.75" hidden="1" customHeight="1"/>
    <row r="617" ht="15.75" hidden="1" customHeight="1"/>
    <row r="618" ht="15.75" hidden="1" customHeight="1"/>
    <row r="619" ht="15.75" hidden="1" customHeight="1"/>
    <row r="620" ht="15.75" hidden="1" customHeight="1"/>
    <row r="621" ht="15.75" hidden="1" customHeight="1"/>
    <row r="622" ht="15.75" hidden="1" customHeight="1"/>
    <row r="623" ht="15.75" hidden="1" customHeight="1"/>
    <row r="624" ht="15.75" hidden="1" customHeight="1"/>
    <row r="625" ht="15.75" hidden="1" customHeight="1"/>
    <row r="626" ht="15.75" hidden="1" customHeight="1"/>
    <row r="627" ht="15.75" hidden="1" customHeight="1"/>
    <row r="628" ht="15.75" hidden="1" customHeight="1"/>
    <row r="629" ht="15.75" hidden="1" customHeight="1"/>
    <row r="630" ht="15.75" hidden="1" customHeight="1"/>
    <row r="631" ht="15.75" hidden="1" customHeight="1"/>
    <row r="632" ht="15.75" hidden="1" customHeight="1"/>
    <row r="633" ht="15.75" hidden="1" customHeight="1"/>
    <row r="634" ht="15.75" hidden="1" customHeight="1"/>
    <row r="635" ht="15.75" hidden="1" customHeight="1"/>
    <row r="636" ht="15.75" hidden="1" customHeight="1"/>
    <row r="637" ht="15.75" hidden="1" customHeight="1"/>
    <row r="638" ht="15.75" hidden="1" customHeight="1"/>
    <row r="639" ht="15.75" hidden="1" customHeight="1"/>
    <row r="640" ht="15.75" hidden="1" customHeight="1"/>
    <row r="641" ht="15.75" hidden="1" customHeight="1"/>
    <row r="642" ht="15.75" hidden="1" customHeight="1"/>
    <row r="643" ht="15.75" hidden="1" customHeight="1"/>
    <row r="644" ht="15.75" hidden="1" customHeight="1"/>
    <row r="645" ht="15.75" hidden="1" customHeight="1"/>
    <row r="646" ht="15.75" hidden="1" customHeight="1"/>
    <row r="647" ht="15.75" hidden="1" customHeight="1"/>
    <row r="648" ht="15.75" hidden="1" customHeight="1"/>
    <row r="649" ht="15.75" hidden="1" customHeight="1"/>
    <row r="650" ht="15.75" hidden="1" customHeight="1"/>
    <row r="651" ht="15.75" hidden="1" customHeight="1"/>
    <row r="652" ht="15.75" hidden="1" customHeight="1"/>
    <row r="653" ht="15.75" hidden="1" customHeight="1"/>
    <row r="654" ht="15.75" hidden="1" customHeight="1"/>
    <row r="655" ht="15.75" hidden="1" customHeight="1"/>
    <row r="656" ht="15.75" hidden="1" customHeight="1"/>
    <row r="657" ht="15.75" hidden="1" customHeight="1"/>
    <row r="658" ht="15.75" hidden="1" customHeight="1"/>
    <row r="659" ht="15.75" hidden="1" customHeight="1"/>
    <row r="660" ht="15.75" hidden="1" customHeight="1"/>
    <row r="661" ht="15.75" hidden="1" customHeight="1"/>
    <row r="662" ht="15.75" hidden="1" customHeight="1"/>
    <row r="663" ht="15.75" hidden="1" customHeight="1"/>
    <row r="664" ht="15.75" hidden="1" customHeight="1"/>
    <row r="665" ht="15.75" hidden="1" customHeight="1"/>
    <row r="666" ht="15.75" hidden="1" customHeight="1"/>
    <row r="667" ht="15.75" hidden="1" customHeight="1"/>
    <row r="668" ht="15.75" hidden="1" customHeight="1"/>
    <row r="669" ht="15.75" hidden="1" customHeight="1"/>
    <row r="670" ht="15.75" hidden="1" customHeight="1"/>
    <row r="671" ht="15.75" hidden="1" customHeight="1"/>
    <row r="672" ht="15.75" hidden="1" customHeight="1"/>
    <row r="673" ht="15.75" hidden="1" customHeight="1"/>
    <row r="674" ht="15.75" hidden="1" customHeight="1"/>
    <row r="675" ht="15.75" hidden="1" customHeight="1"/>
    <row r="676" ht="15.75" hidden="1" customHeight="1"/>
    <row r="677" ht="15.75" hidden="1" customHeight="1"/>
    <row r="678" ht="15.75" hidden="1" customHeight="1"/>
    <row r="679" ht="15.75" hidden="1" customHeight="1"/>
    <row r="680" ht="15.75" hidden="1" customHeight="1"/>
    <row r="681" ht="15.75" hidden="1" customHeight="1"/>
    <row r="682" ht="15.75" hidden="1" customHeight="1"/>
    <row r="683" ht="15.75" hidden="1" customHeight="1"/>
    <row r="684" ht="15.75" hidden="1" customHeight="1"/>
    <row r="685" ht="15.75" hidden="1" customHeight="1"/>
    <row r="686" ht="15.75" hidden="1" customHeight="1"/>
    <row r="687" ht="15.75" hidden="1" customHeight="1"/>
    <row r="688" ht="15.75" hidden="1" customHeight="1"/>
    <row r="689" ht="15.75" hidden="1" customHeight="1"/>
    <row r="690" ht="15.75" hidden="1" customHeight="1"/>
    <row r="691" ht="15.75" hidden="1" customHeight="1"/>
    <row r="692" ht="15.75" hidden="1" customHeight="1"/>
    <row r="693" ht="15.75" hidden="1" customHeight="1"/>
    <row r="694" ht="15.75" hidden="1" customHeight="1"/>
    <row r="695" ht="15.75" hidden="1" customHeight="1"/>
    <row r="696" ht="15.75" hidden="1" customHeight="1"/>
    <row r="697" ht="15.75" hidden="1" customHeight="1"/>
    <row r="698" ht="15.75" hidden="1" customHeight="1"/>
    <row r="699" ht="15.75" hidden="1" customHeight="1"/>
    <row r="700" ht="15.75" hidden="1" customHeight="1"/>
    <row r="701" ht="15.75" hidden="1" customHeight="1"/>
    <row r="702" ht="15.75" hidden="1" customHeight="1"/>
    <row r="703" ht="15.75" hidden="1" customHeight="1"/>
    <row r="704" ht="15.75" hidden="1" customHeight="1"/>
    <row r="705" ht="15.75" hidden="1" customHeight="1"/>
    <row r="706" ht="15.75" hidden="1" customHeight="1"/>
    <row r="707" ht="15.75" hidden="1" customHeight="1"/>
    <row r="708" ht="15.75" hidden="1" customHeight="1"/>
    <row r="709" ht="15.75" hidden="1" customHeight="1"/>
    <row r="710" ht="15.75" hidden="1" customHeight="1"/>
    <row r="711" ht="15.75" hidden="1" customHeight="1"/>
    <row r="712" ht="15.75" hidden="1" customHeight="1"/>
    <row r="713" ht="15.75" hidden="1" customHeight="1"/>
    <row r="714" ht="15.75" hidden="1" customHeight="1"/>
    <row r="715" ht="15.75" hidden="1" customHeight="1"/>
    <row r="716" ht="15.75" hidden="1" customHeight="1"/>
    <row r="717" ht="15.75" hidden="1" customHeight="1"/>
    <row r="718" ht="15.75" hidden="1" customHeight="1"/>
    <row r="719" ht="15.75" hidden="1" customHeight="1"/>
    <row r="720" ht="15.75" hidden="1" customHeight="1"/>
    <row r="721" ht="15.75" hidden="1" customHeight="1"/>
    <row r="722" ht="15.75" hidden="1" customHeight="1"/>
    <row r="723" ht="15.75" hidden="1" customHeight="1"/>
    <row r="724" ht="15.75" hidden="1" customHeight="1"/>
    <row r="725" ht="15.75" hidden="1" customHeight="1"/>
    <row r="726" ht="15.75" hidden="1" customHeight="1"/>
    <row r="727" ht="15.75" hidden="1" customHeight="1"/>
    <row r="728" ht="15.75" hidden="1" customHeight="1"/>
    <row r="729" ht="15.75" hidden="1" customHeight="1"/>
    <row r="730" ht="15.75" hidden="1" customHeight="1"/>
    <row r="731" ht="15.75" hidden="1" customHeight="1"/>
    <row r="732" ht="15.75" hidden="1" customHeight="1"/>
    <row r="733" ht="15.75" hidden="1" customHeight="1"/>
    <row r="734" ht="15.75" hidden="1" customHeight="1"/>
    <row r="735" ht="15.75" hidden="1" customHeight="1"/>
    <row r="736" ht="15.75" hidden="1" customHeight="1"/>
    <row r="737" ht="15.75" hidden="1" customHeight="1"/>
    <row r="738" ht="15.75" hidden="1" customHeight="1"/>
    <row r="739" ht="15.75" hidden="1" customHeight="1"/>
    <row r="740" ht="15.75" hidden="1" customHeight="1"/>
    <row r="741" ht="15.75" hidden="1" customHeight="1"/>
    <row r="742" ht="15.75" hidden="1" customHeight="1"/>
    <row r="743" ht="15.75" hidden="1" customHeight="1"/>
    <row r="744" ht="15.75" hidden="1" customHeight="1"/>
    <row r="745" ht="15.75" hidden="1" customHeight="1"/>
    <row r="746" ht="15.75" hidden="1" customHeight="1"/>
    <row r="747" ht="15.75" hidden="1" customHeight="1"/>
    <row r="748" ht="15.75" hidden="1" customHeight="1"/>
    <row r="749" ht="15.75" hidden="1" customHeight="1"/>
    <row r="750" ht="15.75" hidden="1" customHeight="1"/>
    <row r="751" ht="15.75" hidden="1" customHeight="1"/>
    <row r="752" ht="15.75" hidden="1" customHeight="1"/>
    <row r="753" ht="15.75" hidden="1" customHeight="1"/>
    <row r="754" ht="15.75" hidden="1" customHeight="1"/>
    <row r="755" ht="15.75" hidden="1" customHeight="1"/>
    <row r="756" ht="15.75" hidden="1" customHeight="1"/>
    <row r="757" ht="15.75" hidden="1" customHeight="1"/>
    <row r="758" ht="15.75" hidden="1" customHeight="1"/>
    <row r="759" ht="15.75" hidden="1" customHeight="1"/>
    <row r="760" ht="15.75" hidden="1" customHeight="1"/>
    <row r="761" ht="15.75" hidden="1" customHeight="1"/>
    <row r="762" ht="15.75" hidden="1" customHeight="1"/>
    <row r="763" ht="15.75" hidden="1" customHeight="1"/>
    <row r="764" ht="15.75" hidden="1" customHeight="1"/>
    <row r="765" ht="15.75" hidden="1" customHeight="1"/>
    <row r="766" ht="15.75" hidden="1" customHeight="1"/>
    <row r="767" ht="15.75" hidden="1" customHeight="1"/>
    <row r="768" ht="15.75" hidden="1" customHeight="1"/>
    <row r="769" ht="15.75" hidden="1" customHeight="1"/>
    <row r="770" ht="15.75" hidden="1" customHeight="1"/>
    <row r="771" ht="15.75" hidden="1" customHeight="1"/>
    <row r="772" ht="15.75" hidden="1" customHeight="1"/>
    <row r="773" ht="15.75" hidden="1" customHeight="1"/>
    <row r="774" ht="15.75" hidden="1" customHeight="1"/>
    <row r="775" ht="15.75" hidden="1" customHeight="1"/>
    <row r="776" ht="15.75" hidden="1" customHeight="1"/>
    <row r="777" ht="15.75" hidden="1" customHeight="1"/>
    <row r="778" ht="15.75" hidden="1" customHeight="1"/>
    <row r="779" ht="15.75" hidden="1" customHeight="1"/>
    <row r="780" ht="15.75" hidden="1" customHeight="1"/>
    <row r="781" ht="15.75" hidden="1" customHeight="1"/>
    <row r="782" ht="15.75" hidden="1" customHeight="1"/>
    <row r="783" ht="15.75" hidden="1" customHeight="1"/>
    <row r="784" ht="15.75" hidden="1" customHeight="1"/>
    <row r="785" ht="15.75" hidden="1" customHeight="1"/>
    <row r="786" ht="15.75" hidden="1" customHeight="1"/>
    <row r="787" ht="15.75" hidden="1" customHeight="1"/>
    <row r="788" ht="15.75" hidden="1" customHeight="1"/>
    <row r="789" ht="15.75" hidden="1" customHeight="1"/>
    <row r="790" ht="15.75" hidden="1" customHeight="1"/>
    <row r="791" ht="15.75" hidden="1" customHeight="1"/>
    <row r="792" ht="15.75" hidden="1" customHeight="1"/>
    <row r="793" ht="15.75" hidden="1" customHeight="1"/>
    <row r="794" ht="15.75" hidden="1" customHeight="1"/>
    <row r="795" ht="15.75" hidden="1" customHeight="1"/>
    <row r="796" ht="15.75" hidden="1" customHeight="1"/>
    <row r="797" ht="15.75" hidden="1" customHeight="1"/>
    <row r="798" ht="15.75" hidden="1" customHeight="1"/>
    <row r="799" ht="15.75" hidden="1" customHeight="1"/>
    <row r="800" ht="15.75" hidden="1" customHeight="1"/>
    <row r="801" ht="15.75" hidden="1" customHeight="1"/>
    <row r="802" ht="15.75" hidden="1" customHeight="1"/>
    <row r="803" ht="15.75" hidden="1" customHeight="1"/>
    <row r="804" ht="15.75" hidden="1" customHeight="1"/>
    <row r="805" ht="15.75" hidden="1" customHeight="1"/>
    <row r="806" ht="15.75" hidden="1" customHeight="1"/>
    <row r="807" ht="15.75" hidden="1" customHeight="1"/>
    <row r="808" ht="15.75" hidden="1" customHeight="1"/>
    <row r="809" ht="15.75" hidden="1" customHeight="1"/>
    <row r="810" ht="15.75" hidden="1" customHeight="1"/>
    <row r="811" ht="15.75" hidden="1" customHeight="1"/>
    <row r="812" ht="15.75" hidden="1" customHeight="1"/>
    <row r="813" ht="15.75" hidden="1" customHeight="1"/>
    <row r="814" ht="15.75" hidden="1" customHeight="1"/>
    <row r="815" ht="15.75" hidden="1" customHeight="1"/>
    <row r="816" ht="15.75" hidden="1" customHeight="1"/>
    <row r="817" ht="15.75" hidden="1" customHeight="1"/>
    <row r="818" ht="15.75" hidden="1" customHeight="1"/>
    <row r="819" ht="15.75" hidden="1" customHeight="1"/>
    <row r="820" ht="15.75" hidden="1" customHeight="1"/>
    <row r="821" ht="15.75" hidden="1" customHeight="1"/>
    <row r="822" ht="15.75" hidden="1" customHeight="1"/>
    <row r="823" ht="15.75" hidden="1" customHeight="1"/>
    <row r="824" ht="15.75" hidden="1" customHeight="1"/>
    <row r="825" ht="15.75" hidden="1" customHeight="1"/>
    <row r="826" ht="15.75" hidden="1" customHeight="1"/>
    <row r="827" ht="15.75" hidden="1" customHeight="1"/>
    <row r="828" ht="15.75" hidden="1" customHeight="1"/>
    <row r="829" ht="15.75" hidden="1" customHeight="1"/>
    <row r="830" ht="15.75" hidden="1" customHeight="1"/>
    <row r="831" ht="15.75" hidden="1" customHeight="1"/>
    <row r="832" ht="15.75" hidden="1" customHeight="1"/>
    <row r="833" ht="15.75" hidden="1" customHeight="1"/>
    <row r="834" ht="15.75" hidden="1" customHeight="1"/>
    <row r="835" ht="15.75" hidden="1" customHeight="1"/>
    <row r="836" ht="15.75" hidden="1" customHeight="1"/>
    <row r="837" ht="15.75" hidden="1" customHeight="1"/>
    <row r="838" ht="15.75" hidden="1" customHeight="1"/>
    <row r="839" ht="15.75" hidden="1" customHeight="1"/>
    <row r="840" ht="15.75" hidden="1" customHeight="1"/>
    <row r="841" ht="15.75" hidden="1" customHeight="1"/>
    <row r="842" ht="15.75" hidden="1" customHeight="1"/>
    <row r="843" ht="15.75" hidden="1" customHeight="1"/>
    <row r="844" ht="15.75" hidden="1" customHeight="1"/>
    <row r="845" ht="15.75" hidden="1" customHeight="1"/>
    <row r="846" ht="15.75" hidden="1" customHeight="1"/>
    <row r="847" ht="15.75" hidden="1" customHeight="1"/>
    <row r="848" ht="15.75" hidden="1" customHeight="1"/>
    <row r="849" ht="15.75" hidden="1" customHeight="1"/>
    <row r="850" ht="15.75" hidden="1" customHeight="1"/>
    <row r="851" ht="15.75" hidden="1" customHeight="1"/>
    <row r="852" ht="15.75" hidden="1" customHeight="1"/>
    <row r="853" ht="15.75" hidden="1" customHeight="1"/>
    <row r="854" ht="15.75" hidden="1" customHeight="1"/>
    <row r="855" ht="15.75" hidden="1" customHeight="1"/>
    <row r="856" ht="15.75" hidden="1" customHeight="1"/>
    <row r="857" ht="15.75" hidden="1" customHeight="1"/>
    <row r="858" ht="15.75" hidden="1" customHeight="1"/>
    <row r="859" ht="15.75" hidden="1" customHeight="1"/>
    <row r="860" ht="15.75" hidden="1" customHeight="1"/>
    <row r="861" ht="15.75" hidden="1" customHeight="1"/>
    <row r="862" ht="15.75" hidden="1" customHeight="1"/>
    <row r="863" ht="15.75" hidden="1" customHeight="1"/>
    <row r="864" ht="15.75" hidden="1" customHeight="1"/>
    <row r="865" ht="15.75" hidden="1" customHeight="1"/>
    <row r="866" ht="15.75" hidden="1" customHeight="1"/>
    <row r="867" ht="15.75" hidden="1" customHeight="1"/>
    <row r="868" ht="15.75" hidden="1" customHeight="1"/>
    <row r="869" ht="15.75" hidden="1" customHeight="1"/>
    <row r="870" ht="15.75" hidden="1" customHeight="1"/>
    <row r="871" ht="15.75" hidden="1" customHeight="1"/>
    <row r="872" ht="15.75" hidden="1" customHeight="1"/>
    <row r="873" ht="15.75" hidden="1" customHeight="1"/>
    <row r="874" ht="15.75" hidden="1" customHeight="1"/>
    <row r="875" ht="15.75" hidden="1" customHeight="1"/>
    <row r="876" ht="15.75" hidden="1" customHeight="1"/>
    <row r="877" ht="15.75" hidden="1" customHeight="1"/>
    <row r="878" ht="15.75" hidden="1" customHeight="1"/>
    <row r="879" ht="15.75" hidden="1" customHeight="1"/>
    <row r="880" ht="15.75" hidden="1" customHeight="1"/>
    <row r="881" ht="15.75" hidden="1" customHeight="1"/>
    <row r="882" ht="15.75" hidden="1" customHeight="1"/>
    <row r="883" ht="15.75" hidden="1" customHeight="1"/>
    <row r="884" ht="15.75" hidden="1" customHeight="1"/>
    <row r="885" ht="15.75" hidden="1" customHeight="1"/>
    <row r="886" ht="15.75" hidden="1" customHeight="1"/>
    <row r="887" ht="15.75" hidden="1" customHeight="1"/>
    <row r="888" ht="15.75" hidden="1" customHeight="1"/>
    <row r="889" ht="15.75" hidden="1" customHeight="1"/>
    <row r="890" ht="15.75" hidden="1" customHeight="1"/>
    <row r="891" ht="15.75" hidden="1" customHeight="1"/>
    <row r="892" ht="15.75" hidden="1" customHeight="1"/>
    <row r="893" ht="15.75" hidden="1" customHeight="1"/>
    <row r="894" ht="15.75" hidden="1" customHeight="1"/>
    <row r="895" ht="15.75" hidden="1" customHeight="1"/>
    <row r="896" ht="15.75" hidden="1" customHeight="1"/>
    <row r="897" ht="15.75" hidden="1" customHeight="1"/>
    <row r="898" ht="15.75" hidden="1" customHeight="1"/>
    <row r="899" ht="15.75" hidden="1" customHeight="1"/>
    <row r="900" ht="15.75" hidden="1" customHeight="1"/>
    <row r="901" ht="15.75" hidden="1" customHeight="1"/>
    <row r="902" ht="15.75" hidden="1" customHeight="1"/>
    <row r="903" ht="15.75" hidden="1" customHeight="1"/>
    <row r="904" ht="15.75" hidden="1" customHeight="1"/>
    <row r="905" ht="15.75" hidden="1" customHeight="1"/>
    <row r="906" ht="15.75" hidden="1" customHeight="1"/>
    <row r="907" ht="15.75" hidden="1" customHeight="1"/>
    <row r="908" ht="15.75" hidden="1" customHeight="1"/>
    <row r="909" ht="15.75" hidden="1" customHeight="1"/>
    <row r="910" ht="15.75" hidden="1" customHeight="1"/>
    <row r="911" ht="15.75" hidden="1" customHeight="1"/>
    <row r="912" ht="15.75" hidden="1" customHeight="1"/>
    <row r="913" ht="15.75" hidden="1" customHeight="1"/>
    <row r="914" ht="15.75" hidden="1" customHeight="1"/>
    <row r="915" ht="15.75" hidden="1" customHeight="1"/>
    <row r="916" ht="15.75" hidden="1" customHeight="1"/>
    <row r="917" ht="15.75" hidden="1" customHeight="1"/>
    <row r="918" ht="15.75" hidden="1" customHeight="1"/>
    <row r="919" ht="15.75" hidden="1" customHeight="1"/>
    <row r="920" ht="15.75" hidden="1" customHeight="1"/>
    <row r="921" ht="15.75" hidden="1" customHeight="1"/>
    <row r="922" ht="15.75" hidden="1" customHeight="1"/>
    <row r="923" ht="15.75" hidden="1" customHeight="1"/>
    <row r="924" ht="15.75" hidden="1" customHeight="1"/>
    <row r="925" ht="15.75" hidden="1" customHeight="1"/>
    <row r="926" ht="15.75" hidden="1" customHeight="1"/>
    <row r="927" ht="15.75" hidden="1" customHeight="1"/>
    <row r="928" ht="15.75" hidden="1" customHeight="1"/>
    <row r="929" ht="15.75" hidden="1" customHeight="1"/>
    <row r="930" ht="15.75" hidden="1" customHeight="1"/>
    <row r="931" ht="15.75" hidden="1" customHeight="1"/>
    <row r="932" ht="15.75" hidden="1" customHeight="1"/>
    <row r="933" ht="15.75" hidden="1" customHeight="1"/>
    <row r="934" ht="15.75" hidden="1" customHeight="1"/>
    <row r="935" ht="15.75" hidden="1" customHeight="1"/>
    <row r="936" ht="15.75" hidden="1" customHeight="1"/>
    <row r="937" ht="15.75" hidden="1" customHeight="1"/>
    <row r="938" ht="15.75" hidden="1" customHeight="1"/>
    <row r="939" ht="15.75" hidden="1" customHeight="1"/>
    <row r="940" ht="15.75" hidden="1" customHeight="1"/>
    <row r="941" ht="15.75" hidden="1" customHeight="1"/>
    <row r="942" ht="15.75" hidden="1" customHeight="1"/>
    <row r="943" ht="15.75" hidden="1" customHeight="1"/>
    <row r="944" ht="15.75" hidden="1" customHeight="1"/>
    <row r="945" ht="15.75" hidden="1" customHeight="1"/>
    <row r="946" ht="15.75" hidden="1" customHeight="1"/>
    <row r="947" ht="15.75" hidden="1" customHeight="1"/>
    <row r="948" ht="15.75" hidden="1" customHeight="1"/>
    <row r="949" ht="15.75" hidden="1" customHeight="1"/>
    <row r="950" ht="15.75" hidden="1" customHeight="1"/>
    <row r="951" ht="15.75" hidden="1" customHeight="1"/>
    <row r="952" ht="15.75" hidden="1" customHeight="1"/>
    <row r="953" ht="15.75" hidden="1" customHeight="1"/>
    <row r="954" ht="15.75" hidden="1" customHeight="1"/>
    <row r="955" ht="15.75" hidden="1" customHeight="1"/>
    <row r="956" ht="15.75" hidden="1" customHeight="1"/>
    <row r="957" ht="15.75" hidden="1" customHeight="1"/>
    <row r="958" ht="15.75" hidden="1" customHeight="1"/>
    <row r="959" ht="15.75" hidden="1" customHeight="1"/>
    <row r="960" ht="15.75" hidden="1" customHeight="1"/>
    <row r="961" ht="15.75" hidden="1" customHeight="1"/>
    <row r="962" ht="15.75" hidden="1" customHeight="1"/>
    <row r="963" ht="15.75" hidden="1" customHeight="1"/>
    <row r="964" ht="15.75" hidden="1" customHeight="1"/>
    <row r="965" ht="15.75" hidden="1" customHeight="1"/>
    <row r="966" ht="15.75" hidden="1" customHeight="1"/>
    <row r="967" ht="15.75" hidden="1" customHeight="1"/>
    <row r="968" ht="15.75" hidden="1" customHeight="1"/>
    <row r="969" ht="15.75" hidden="1" customHeight="1"/>
    <row r="970" ht="15.75" hidden="1" customHeight="1"/>
    <row r="971" ht="15.75" hidden="1" customHeight="1"/>
    <row r="972" ht="15.75" hidden="1" customHeight="1"/>
    <row r="973" ht="15.75" hidden="1" customHeight="1"/>
    <row r="974" ht="15.75" hidden="1" customHeight="1"/>
    <row r="975" ht="15.75" hidden="1" customHeight="1"/>
    <row r="976" ht="15.75" hidden="1" customHeight="1"/>
    <row r="977" ht="15.75" hidden="1" customHeight="1"/>
    <row r="978" ht="15.75" hidden="1" customHeight="1"/>
    <row r="979" ht="15.75" hidden="1" customHeight="1"/>
    <row r="980" ht="15.75" hidden="1" customHeight="1"/>
    <row r="981" ht="15.75" hidden="1" customHeight="1"/>
    <row r="982" ht="15.75" hidden="1" customHeight="1"/>
    <row r="983" ht="15.75" hidden="1" customHeight="1"/>
    <row r="984" ht="15.75" hidden="1" customHeight="1"/>
    <row r="985" ht="15.75" hidden="1" customHeight="1"/>
    <row r="986" ht="15.75" hidden="1" customHeight="1"/>
    <row r="987" ht="15.75" hidden="1" customHeight="1"/>
    <row r="988" ht="15.75" hidden="1" customHeight="1"/>
    <row r="989" ht="15.75" hidden="1" customHeight="1"/>
    <row r="990" ht="15.75" hidden="1" customHeight="1"/>
    <row r="991" ht="15.75" hidden="1" customHeight="1"/>
    <row r="992" ht="15.75" hidden="1" customHeight="1"/>
    <row r="993" ht="15.75" hidden="1" customHeight="1"/>
    <row r="994" ht="15.75" hidden="1" customHeight="1"/>
    <row r="995" ht="15.75" hidden="1" customHeight="1"/>
    <row r="996" ht="15.75" hidden="1" customHeight="1"/>
    <row r="997" ht="15.75" hidden="1" customHeight="1"/>
    <row r="998" ht="15.75" hidden="1" customHeight="1"/>
    <row r="999" ht="15.75" hidden="1" customHeight="1"/>
    <row r="1000" ht="15.75" hidden="1" customHeight="1"/>
    <row r="1001" ht="15.75" hidden="1" customHeight="1"/>
    <row r="1002" ht="15.75" hidden="1" customHeight="1"/>
    <row r="1003" ht="15.75" hidden="1" customHeight="1"/>
  </sheetData>
  <mergeCells count="12">
    <mergeCell ref="S14:V15"/>
    <mergeCell ref="B10:F10"/>
    <mergeCell ref="B14:C14"/>
    <mergeCell ref="B15:C15"/>
    <mergeCell ref="B12:F12"/>
    <mergeCell ref="B19:D21"/>
    <mergeCell ref="B23:F23"/>
    <mergeCell ref="B24:F28"/>
    <mergeCell ref="D11:E11"/>
    <mergeCell ref="N3:O3"/>
    <mergeCell ref="B13:C13"/>
    <mergeCell ref="B22:C22"/>
  </mergeCells>
  <phoneticPr fontId="3" type="noConversion"/>
  <dataValidations count="9">
    <dataValidation type="list" allowBlank="1" showInputMessage="1" showErrorMessage="1" sqref="M6" xr:uid="{CFD1A8A6-9A49-4A17-9923-97D98F81856D}">
      <formula1>ListaTalla</formula1>
    </dataValidation>
    <dataValidation type="list" allowBlank="1" showInputMessage="1" showErrorMessage="1" sqref="O6" xr:uid="{A0D5886B-497E-4139-9964-7EA34ED8FA13}">
      <formula1>ListaTecnicas</formula1>
    </dataValidation>
    <dataValidation type="list" allowBlank="1" showInputMessage="1" showErrorMessage="1" sqref="U6" xr:uid="{E74E417B-3609-4CD4-B3EC-D296004A1B51}">
      <formula1>ListaModelo</formula1>
    </dataValidation>
    <dataValidation type="list" allowBlank="1" showInputMessage="1" showErrorMessage="1" sqref="L6" xr:uid="{BFBDA313-0B32-48A2-87B5-64598087A8C9}">
      <formula1>ListaProductos</formula1>
    </dataValidation>
    <dataValidation type="list" allowBlank="1" showInputMessage="1" showErrorMessage="1" sqref="T6" xr:uid="{35347FAE-B0F7-4C02-B193-9997E89D422D}">
      <formula1>ListaDisennos</formula1>
    </dataValidation>
    <dataValidation type="list" allowBlank="1" showInputMessage="1" showErrorMessage="1" sqref="P6:Q6" xr:uid="{757DC395-B823-401C-8C42-1E34BC73EE3A}">
      <formula1>ListaTamTecnica</formula1>
    </dataValidation>
    <dataValidation type="list" allowBlank="1" showInputMessage="1" showErrorMessage="1" sqref="N6" xr:uid="{1D58CFD7-11A9-45FF-9680-2E389A640127}">
      <formula1>LIstaTelas</formula1>
    </dataValidation>
    <dataValidation type="list" allowBlank="1" showInputMessage="1" showErrorMessage="1" sqref="S6" xr:uid="{B96DFAFE-E7B4-483D-A15C-034B3094F2E3}">
      <formula1>ListaViniles</formula1>
    </dataValidation>
    <dataValidation type="list" allowBlank="1" showInputMessage="1" showErrorMessage="1" sqref="J2" xr:uid="{8D3D8F84-7750-4EFF-9678-238345CB5BBE}">
      <formula1>"COP,USD,VES"</formula1>
    </dataValidation>
  </dataValidations>
  <printOptions horizontalCentered="1"/>
  <pageMargins left="0.43307086614173229" right="0.43307086614173229" top="0.74803149606299213" bottom="0.74803149606299213" header="0" footer="0"/>
  <pageSetup scale="24" fitToWidth="2" orientation="portrait" r:id="rId1"/>
  <headerFooter differentFirst="1"/>
  <colBreaks count="2" manualBreakCount="2">
    <brk id="7" max="35" man="1"/>
    <brk id="22" max="35" man="1"/>
  </colBreaks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4D362-07A0-47AA-83A9-5351C404DC9B}">
  <sheetPr codeName="Hoja23"/>
  <dimension ref="A1"/>
  <sheetViews>
    <sheetView showGridLines="0" workbookViewId="0"/>
  </sheetViews>
  <sheetFormatPr baseColWidth="10"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A8C10-F854-4A8C-8A6C-4697E1F154E8}">
  <sheetPr codeName="Hoja22"/>
  <dimension ref="A1"/>
  <sheetViews>
    <sheetView showGridLines="0" workbookViewId="0"/>
  </sheetViews>
  <sheetFormatPr baseColWidth="10" defaultRowHeight="1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79BCC-D9B4-4E1E-9F86-9112FAB6B46C}">
  <sheetPr codeName="Hoja21"/>
  <dimension ref="A1"/>
  <sheetViews>
    <sheetView showGridLines="0" workbookViewId="0"/>
  </sheetViews>
  <sheetFormatPr baseColWidth="10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99FE4-FBC9-4E8C-924A-F3407E349437}">
  <sheetPr codeName="Hoja3"/>
  <dimension ref="B2:L50"/>
  <sheetViews>
    <sheetView showGridLines="0" workbookViewId="0"/>
  </sheetViews>
  <sheetFormatPr baseColWidth="10" defaultRowHeight="15"/>
  <cols>
    <col min="2" max="2" width="6.28515625" customWidth="1"/>
    <col min="3" max="3" width="35.140625" bestFit="1" customWidth="1"/>
    <col min="6" max="6" width="32" bestFit="1" customWidth="1"/>
    <col min="11" max="11" width="17" customWidth="1"/>
    <col min="12" max="13" width="18.42578125" customWidth="1"/>
  </cols>
  <sheetData>
    <row r="2" spans="2:8" ht="46.5">
      <c r="C2" s="208" t="s">
        <v>139</v>
      </c>
      <c r="D2" s="208"/>
      <c r="E2" s="208"/>
      <c r="F2" s="208"/>
      <c r="G2" s="208"/>
    </row>
    <row r="5" spans="2:8">
      <c r="B5" s="20"/>
      <c r="C5" s="21"/>
      <c r="D5" s="21"/>
      <c r="E5" s="21"/>
      <c r="F5" s="21"/>
      <c r="G5" s="21"/>
      <c r="H5" s="22"/>
    </row>
    <row r="6" spans="2:8">
      <c r="B6" s="23"/>
      <c r="C6" s="24" t="s">
        <v>132</v>
      </c>
      <c r="D6" s="25" t="s">
        <v>138</v>
      </c>
      <c r="F6" s="24" t="s">
        <v>133</v>
      </c>
      <c r="G6" s="26">
        <v>2025</v>
      </c>
      <c r="H6" s="27"/>
    </row>
    <row r="7" spans="2:8">
      <c r="B7" s="23"/>
      <c r="C7" s="24"/>
      <c r="D7" s="25"/>
      <c r="F7" s="24"/>
      <c r="H7" s="27"/>
    </row>
    <row r="8" spans="2:8">
      <c r="B8" s="23"/>
      <c r="C8" s="24"/>
      <c r="D8" s="25"/>
      <c r="F8" s="24"/>
      <c r="H8" s="27"/>
    </row>
    <row r="9" spans="2:8">
      <c r="B9" s="23"/>
      <c r="C9" s="24"/>
      <c r="D9" s="25"/>
      <c r="F9" s="24"/>
      <c r="H9" s="27"/>
    </row>
    <row r="10" spans="2:8">
      <c r="B10" s="23"/>
      <c r="C10" s="24" t="s">
        <v>140</v>
      </c>
      <c r="D10" s="25" t="s">
        <v>138</v>
      </c>
      <c r="F10" s="24" t="s">
        <v>134</v>
      </c>
      <c r="G10" s="25" t="s">
        <v>138</v>
      </c>
      <c r="H10" s="27"/>
    </row>
    <row r="11" spans="2:8">
      <c r="B11" s="23"/>
      <c r="C11" s="24" t="s">
        <v>142</v>
      </c>
      <c r="D11" s="25" t="s">
        <v>138</v>
      </c>
      <c r="F11" s="37" t="s">
        <v>135</v>
      </c>
      <c r="G11" s="38" t="s">
        <v>138</v>
      </c>
      <c r="H11" s="27"/>
    </row>
    <row r="12" spans="2:8">
      <c r="B12" s="23"/>
      <c r="C12" s="24" t="s">
        <v>144</v>
      </c>
      <c r="D12" s="25" t="s">
        <v>138</v>
      </c>
      <c r="H12" s="27"/>
    </row>
    <row r="13" spans="2:8">
      <c r="B13" s="23"/>
      <c r="C13" s="24" t="s">
        <v>146</v>
      </c>
      <c r="D13" s="25" t="s">
        <v>138</v>
      </c>
      <c r="H13" s="27"/>
    </row>
    <row r="14" spans="2:8">
      <c r="B14" s="23"/>
      <c r="C14" s="24" t="s">
        <v>153</v>
      </c>
      <c r="D14" s="25" t="s">
        <v>138</v>
      </c>
      <c r="H14" s="27"/>
    </row>
    <row r="15" spans="2:8">
      <c r="B15" s="23"/>
      <c r="C15" s="24" t="s">
        <v>148</v>
      </c>
      <c r="D15" s="25" t="s">
        <v>138</v>
      </c>
      <c r="H15" s="27"/>
    </row>
    <row r="16" spans="2:8">
      <c r="B16" s="23"/>
      <c r="C16" s="24" t="s">
        <v>150</v>
      </c>
      <c r="D16" s="25" t="s">
        <v>138</v>
      </c>
      <c r="H16" s="27"/>
    </row>
    <row r="17" spans="2:12">
      <c r="B17" s="23"/>
      <c r="C17" s="24" t="s">
        <v>151</v>
      </c>
      <c r="D17" s="25" t="s">
        <v>138</v>
      </c>
      <c r="H17" s="27"/>
    </row>
    <row r="18" spans="2:12">
      <c r="B18" s="28"/>
      <c r="C18" s="29"/>
      <c r="D18" s="30"/>
      <c r="E18" s="29"/>
      <c r="F18" s="29"/>
      <c r="G18" s="29"/>
      <c r="H18" s="31"/>
    </row>
    <row r="20" spans="2:12">
      <c r="B20" s="209" t="s">
        <v>136</v>
      </c>
      <c r="C20" s="209"/>
      <c r="D20" s="209"/>
    </row>
    <row r="21" spans="2:12">
      <c r="B21" s="20"/>
      <c r="C21" s="21"/>
      <c r="D21" s="22"/>
    </row>
    <row r="22" spans="2:12">
      <c r="B22" s="23"/>
      <c r="C22" s="24" t="s">
        <v>137</v>
      </c>
      <c r="D22" s="25" t="s">
        <v>138</v>
      </c>
      <c r="E22" s="23"/>
    </row>
    <row r="23" spans="2:12">
      <c r="B23" s="28"/>
      <c r="C23" s="29"/>
      <c r="D23" s="31"/>
    </row>
    <row r="27" spans="2:12" ht="30" customHeight="1">
      <c r="K27" s="4"/>
      <c r="L27" s="4"/>
    </row>
    <row r="28" spans="2:12" ht="18">
      <c r="B28" s="52"/>
      <c r="K28" s="15"/>
      <c r="L28" s="3"/>
    </row>
    <row r="29" spans="2:12">
      <c r="K29" s="15"/>
      <c r="L29" s="3"/>
    </row>
    <row r="30" spans="2:12" ht="15.75">
      <c r="B30" s="53"/>
      <c r="K30" s="15"/>
      <c r="L30" s="3"/>
    </row>
    <row r="31" spans="2:12">
      <c r="B31" s="54"/>
      <c r="K31" s="15"/>
      <c r="L31" s="3"/>
    </row>
    <row r="32" spans="2:12">
      <c r="B32" s="55"/>
      <c r="K32" s="15"/>
      <c r="L32" s="3"/>
    </row>
    <row r="33" spans="2:12">
      <c r="B33" s="54"/>
      <c r="K33" s="15"/>
      <c r="L33" s="3"/>
    </row>
    <row r="34" spans="2:12">
      <c r="B34" s="55"/>
      <c r="K34" s="15"/>
      <c r="L34" s="3"/>
    </row>
    <row r="35" spans="2:12">
      <c r="B35" s="54"/>
    </row>
    <row r="36" spans="2:12">
      <c r="B36" s="55"/>
    </row>
    <row r="37" spans="2:12">
      <c r="B37" s="54"/>
    </row>
    <row r="38" spans="2:12">
      <c r="B38" s="55"/>
    </row>
    <row r="39" spans="2:12">
      <c r="B39" s="54"/>
    </row>
    <row r="40" spans="2:12">
      <c r="B40" s="55"/>
    </row>
    <row r="42" spans="2:12" ht="15.75">
      <c r="B42" s="53"/>
    </row>
    <row r="43" spans="2:12">
      <c r="B43" s="54"/>
    </row>
    <row r="44" spans="2:12">
      <c r="B44" s="55"/>
    </row>
    <row r="45" spans="2:12">
      <c r="B45" s="54"/>
    </row>
    <row r="46" spans="2:12">
      <c r="B46" s="55"/>
    </row>
    <row r="47" spans="2:12">
      <c r="B47" s="54"/>
    </row>
    <row r="48" spans="2:12">
      <c r="B48" s="55"/>
    </row>
    <row r="49" spans="2:2">
      <c r="B49" s="54"/>
    </row>
    <row r="50" spans="2:2">
      <c r="B50" s="55"/>
    </row>
  </sheetData>
  <mergeCells count="2">
    <mergeCell ref="C2:G2"/>
    <mergeCell ref="B20:D20"/>
  </mergeCells>
  <hyperlinks>
    <hyperlink ref="D6" location="Productos!A1" display="VER" xr:uid="{BBB9D9F3-0C3F-43BC-9412-C8D422B1DA06}"/>
    <hyperlink ref="D10" location="Producción!A1" display="VER" xr:uid="{9536FE54-F9C1-470E-A524-3B5BF93C2A7C}"/>
    <hyperlink ref="D11" location="Compras!A1" display="VER" xr:uid="{AC2C1393-FA08-4B41-B67E-0D686066C5BA}"/>
    <hyperlink ref="D12" location="Ventas!A1" display="VER" xr:uid="{39ED5746-A67F-4B90-96E9-3590E05460BC}"/>
    <hyperlink ref="D13" location="Costos!A1" display="VER" xr:uid="{7BC3398E-2095-4E10-B9E8-3C35128F3D92}"/>
    <hyperlink ref="D14" location="Inventario!AK1" display="VER" xr:uid="{99BE8B1F-BF54-40B7-99F1-445E16A52198}"/>
    <hyperlink ref="D15" location="'Clientes _CRM'!A1" display="VER" xr:uid="{E7DBAD04-F78C-435F-A254-8A53D6B275B2}"/>
    <hyperlink ref="D16" location="PresupuestoPlantilla!A1" display="VER" xr:uid="{790A3ABB-F583-4BCE-88B6-4737CEA25ED2}"/>
    <hyperlink ref="D17" location="Finanzas!A1" display="VER" xr:uid="{305D6DEE-2C83-4CAA-B306-93132ED78142}"/>
    <hyperlink ref="G10" location="'Costos Adicionales'!A1" display="VER" xr:uid="{1F3CF2A5-28AA-4A27-9EB4-5154E411D4B3}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69764-C1AF-4C7A-A7BD-D41452C43B33}">
  <sheetPr codeName="Hoja12"/>
  <dimension ref="A1:U41"/>
  <sheetViews>
    <sheetView showGridLines="0" zoomScale="115" zoomScaleNormal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42" sqref="C42"/>
    </sheetView>
  </sheetViews>
  <sheetFormatPr baseColWidth="10" defaultColWidth="19.85546875" defaultRowHeight="15"/>
  <cols>
    <col min="3" max="3" width="39.42578125" customWidth="1"/>
    <col min="12" max="12" width="19.28515625" bestFit="1" customWidth="1"/>
    <col min="17" max="17" width="38.5703125" customWidth="1"/>
  </cols>
  <sheetData>
    <row r="1" spans="1:21" ht="15.75">
      <c r="A1" s="40"/>
    </row>
    <row r="4" spans="1:21">
      <c r="B4" t="s">
        <v>429</v>
      </c>
      <c r="K4" s="1" t="s">
        <v>431</v>
      </c>
      <c r="P4" s="11" t="s">
        <v>817</v>
      </c>
      <c r="T4" s="11" t="s">
        <v>511</v>
      </c>
    </row>
    <row r="5" spans="1:21">
      <c r="B5" s="4" t="s">
        <v>172</v>
      </c>
      <c r="C5" s="4" t="s">
        <v>0</v>
      </c>
      <c r="D5" s="4" t="s">
        <v>1</v>
      </c>
      <c r="E5" s="4" t="s">
        <v>2</v>
      </c>
      <c r="F5" s="4"/>
      <c r="G5" s="4"/>
      <c r="H5" s="4"/>
      <c r="I5" s="4"/>
      <c r="K5" s="4" t="s">
        <v>86</v>
      </c>
      <c r="L5" s="4" t="s">
        <v>65</v>
      </c>
      <c r="P5" s="4" t="s">
        <v>816</v>
      </c>
      <c r="Q5" s="4" t="s">
        <v>98</v>
      </c>
      <c r="T5" s="4" t="s">
        <v>430</v>
      </c>
      <c r="U5" s="4" t="s">
        <v>65</v>
      </c>
    </row>
    <row r="6" spans="1:21">
      <c r="B6" s="3" t="s">
        <v>154</v>
      </c>
      <c r="C6" s="3" t="s">
        <v>109</v>
      </c>
      <c r="D6" s="3" t="s">
        <v>8</v>
      </c>
      <c r="E6" s="3" t="s">
        <v>14</v>
      </c>
      <c r="F6" s="15"/>
      <c r="G6" s="3"/>
      <c r="H6" s="3"/>
      <c r="I6" s="3"/>
      <c r="K6" s="2" t="str">
        <f>"VAR"&amp;TEXT(ROW()-ROW(dim_variante[[#Headers],[id_variante]]),"000")</f>
        <v>VAR001</v>
      </c>
      <c r="L6" s="3" t="s">
        <v>506</v>
      </c>
      <c r="P6" s="3" t="s">
        <v>211</v>
      </c>
      <c r="Q6" s="3" t="s">
        <v>66</v>
      </c>
      <c r="T6" s="3" t="s">
        <v>512</v>
      </c>
      <c r="U6" s="3" t="s">
        <v>513</v>
      </c>
    </row>
    <row r="7" spans="1:21">
      <c r="B7" s="3" t="s">
        <v>155</v>
      </c>
      <c r="C7" s="3" t="s">
        <v>110</v>
      </c>
      <c r="D7" s="3" t="s">
        <v>8</v>
      </c>
      <c r="E7" s="3" t="s">
        <v>14</v>
      </c>
      <c r="F7" s="15"/>
      <c r="G7" s="3"/>
      <c r="H7" s="3"/>
      <c r="I7" s="3"/>
      <c r="K7" s="2" t="str">
        <f>"VAR"&amp;TEXT(ROW()-ROW(dim_variante[[#Headers],[id_variante]]),"000")</f>
        <v>VAR002</v>
      </c>
      <c r="L7" s="5" t="s">
        <v>377</v>
      </c>
      <c r="P7" s="3" t="s">
        <v>212</v>
      </c>
      <c r="Q7" s="3" t="s">
        <v>67</v>
      </c>
      <c r="T7" s="3" t="s">
        <v>813</v>
      </c>
      <c r="U7" s="3" t="s">
        <v>514</v>
      </c>
    </row>
    <row r="8" spans="1:21">
      <c r="B8" s="3" t="s">
        <v>156</v>
      </c>
      <c r="C8" s="3" t="s">
        <v>111</v>
      </c>
      <c r="D8" s="3" t="s">
        <v>15</v>
      </c>
      <c r="E8" s="3" t="s">
        <v>12</v>
      </c>
      <c r="F8" s="15"/>
      <c r="G8" s="3"/>
      <c r="H8" s="3"/>
      <c r="I8" s="3"/>
      <c r="K8" s="2" t="str">
        <f>"VAR"&amp;TEXT(ROW()-ROW(dim_variante[[#Headers],[id_variante]]),"000")</f>
        <v>VAR003</v>
      </c>
      <c r="L8" s="3" t="s">
        <v>93</v>
      </c>
      <c r="P8" s="3" t="s">
        <v>213</v>
      </c>
      <c r="Q8" s="3" t="s">
        <v>68</v>
      </c>
      <c r="T8" s="3" t="s">
        <v>814</v>
      </c>
      <c r="U8" s="3" t="s">
        <v>515</v>
      </c>
    </row>
    <row r="9" spans="1:21">
      <c r="B9" s="3" t="s">
        <v>157</v>
      </c>
      <c r="C9" s="3" t="s">
        <v>348</v>
      </c>
      <c r="D9" s="3" t="s">
        <v>113</v>
      </c>
      <c r="E9" s="3" t="s">
        <v>112</v>
      </c>
      <c r="F9" s="15"/>
      <c r="G9" s="3"/>
      <c r="H9" s="3"/>
      <c r="I9" s="3"/>
      <c r="K9" s="2" t="str">
        <f>"VAR"&amp;TEXT(ROW()-ROW(dim_variante[[#Headers],[id_variante]]),"000")</f>
        <v>VAR004</v>
      </c>
      <c r="L9" s="3" t="s">
        <v>85</v>
      </c>
      <c r="P9" s="3" t="s">
        <v>214</v>
      </c>
      <c r="Q9" s="3" t="s">
        <v>69</v>
      </c>
      <c r="T9" s="3" t="s">
        <v>815</v>
      </c>
      <c r="U9" s="3" t="s">
        <v>509</v>
      </c>
    </row>
    <row r="10" spans="1:21">
      <c r="B10" s="3" t="s">
        <v>158</v>
      </c>
      <c r="C10" s="3" t="s">
        <v>347</v>
      </c>
      <c r="D10" s="3" t="s">
        <v>3</v>
      </c>
      <c r="E10" s="3" t="s">
        <v>10</v>
      </c>
      <c r="F10" s="15"/>
      <c r="G10" s="3"/>
      <c r="H10" s="3"/>
      <c r="I10" s="3"/>
      <c r="K10" s="2" t="str">
        <f>"VAR"&amp;TEXT(ROW()-ROW(dim_variante[[#Headers],[id_variante]]),"000")</f>
        <v>VAR005</v>
      </c>
      <c r="L10" s="3" t="s">
        <v>507</v>
      </c>
      <c r="P10" s="3" t="s">
        <v>215</v>
      </c>
      <c r="Q10" s="3" t="s">
        <v>89</v>
      </c>
      <c r="T10" s="3"/>
      <c r="U10" s="3"/>
    </row>
    <row r="11" spans="1:21">
      <c r="B11" s="3" t="s">
        <v>159</v>
      </c>
      <c r="C11" s="3" t="s">
        <v>346</v>
      </c>
      <c r="D11" s="3" t="s">
        <v>3</v>
      </c>
      <c r="E11" s="3" t="s">
        <v>12</v>
      </c>
      <c r="F11" s="15"/>
      <c r="G11" s="3"/>
      <c r="H11" s="3"/>
      <c r="I11" s="3"/>
      <c r="K11" s="2" t="str">
        <f>"VAR"&amp;TEXT(ROW()-ROW(dim_variante[[#Headers],[id_variante]]),"000")</f>
        <v>VAR006</v>
      </c>
      <c r="L11" s="3" t="s">
        <v>84</v>
      </c>
      <c r="P11" s="3" t="s">
        <v>673</v>
      </c>
      <c r="Q11" s="3" t="s">
        <v>672</v>
      </c>
    </row>
    <row r="12" spans="1:21">
      <c r="B12" s="3" t="s">
        <v>160</v>
      </c>
      <c r="C12" s="3" t="s">
        <v>345</v>
      </c>
      <c r="D12" s="3" t="s">
        <v>15</v>
      </c>
      <c r="E12" s="3" t="s">
        <v>5</v>
      </c>
      <c r="F12" s="15"/>
      <c r="G12" s="3"/>
      <c r="H12" s="3"/>
      <c r="I12" s="3"/>
      <c r="K12" s="2" t="str">
        <f>"VAR"&amp;TEXT(ROW()-ROW(dim_variante[[#Headers],[id_variante]]),"000")</f>
        <v>VAR007</v>
      </c>
      <c r="L12" s="3" t="s">
        <v>91</v>
      </c>
    </row>
    <row r="13" spans="1:21">
      <c r="B13" s="3" t="s">
        <v>161</v>
      </c>
      <c r="C13" s="3" t="s">
        <v>114</v>
      </c>
      <c r="D13" s="3" t="s">
        <v>3</v>
      </c>
      <c r="E13" s="3" t="s">
        <v>12</v>
      </c>
      <c r="F13" s="15"/>
      <c r="G13" s="3"/>
      <c r="H13" s="3"/>
      <c r="I13" s="3"/>
      <c r="K13" s="2" t="str">
        <f>"VAR"&amp;TEXT(ROW()-ROW(dim_variante[[#Headers],[id_variante]]),"000")</f>
        <v>VAR008</v>
      </c>
      <c r="L13" s="3" t="s">
        <v>92</v>
      </c>
    </row>
    <row r="14" spans="1:21">
      <c r="B14" s="3" t="s">
        <v>162</v>
      </c>
      <c r="C14" s="3" t="s">
        <v>115</v>
      </c>
      <c r="D14" s="3" t="s">
        <v>16</v>
      </c>
      <c r="E14" s="3" t="s">
        <v>13</v>
      </c>
      <c r="F14" s="15"/>
      <c r="G14" s="3"/>
      <c r="H14" s="3"/>
      <c r="I14" s="3"/>
      <c r="K14" s="2" t="str">
        <f>"VAR"&amp;TEXT(ROW()-ROW(dim_variante[[#Headers],[id_variante]]),"000")</f>
        <v>VAR009</v>
      </c>
      <c r="L14" s="3" t="s">
        <v>508</v>
      </c>
    </row>
    <row r="15" spans="1:21">
      <c r="B15" s="3" t="s">
        <v>163</v>
      </c>
      <c r="C15" s="3" t="s">
        <v>4</v>
      </c>
      <c r="D15" s="3" t="s">
        <v>3</v>
      </c>
      <c r="E15" s="3" t="s">
        <v>4</v>
      </c>
      <c r="F15" s="15"/>
      <c r="G15" s="3"/>
      <c r="H15" s="3"/>
      <c r="I15" s="3"/>
      <c r="K15" s="2" t="str">
        <f>"VAR"&amp;TEXT(ROW()-ROW(dim_variante[[#Headers],[id_variante]]),"000")</f>
        <v>VAR010</v>
      </c>
      <c r="L15" s="3" t="s">
        <v>90</v>
      </c>
    </row>
    <row r="16" spans="1:21">
      <c r="B16" s="3" t="s">
        <v>164</v>
      </c>
      <c r="C16" s="3" t="s">
        <v>116</v>
      </c>
      <c r="D16" s="3" t="s">
        <v>15</v>
      </c>
      <c r="E16" s="3" t="s">
        <v>5</v>
      </c>
      <c r="F16" s="15"/>
      <c r="G16" s="3"/>
      <c r="H16" s="3"/>
      <c r="I16" s="3"/>
      <c r="K16" s="2" t="str">
        <f>"VAR"&amp;TEXT(ROW()-ROW(dim_variante[[#Headers],[id_variante]]),"000")</f>
        <v>VAR011</v>
      </c>
      <c r="L16" t="s">
        <v>641</v>
      </c>
    </row>
    <row r="17" spans="2:12">
      <c r="B17" s="3" t="s">
        <v>165</v>
      </c>
      <c r="C17" s="3" t="s">
        <v>73</v>
      </c>
      <c r="D17" s="3" t="s">
        <v>438</v>
      </c>
      <c r="E17" s="3" t="s">
        <v>438</v>
      </c>
      <c r="F17" s="15"/>
      <c r="G17" s="3"/>
      <c r="H17" s="3"/>
      <c r="I17" s="3"/>
      <c r="K17" s="2" t="str">
        <f>"VAR"&amp;TEXT(ROW()-ROW(dim_variante[[#Headers],[id_variante]]),"000")</f>
        <v>VAR012</v>
      </c>
      <c r="L17" s="3" t="s">
        <v>82</v>
      </c>
    </row>
    <row r="18" spans="2:12">
      <c r="B18" s="3" t="s">
        <v>166</v>
      </c>
      <c r="C18" s="3" t="s">
        <v>117</v>
      </c>
      <c r="D18" s="3" t="s">
        <v>8</v>
      </c>
      <c r="E18" s="3" t="s">
        <v>9</v>
      </c>
      <c r="F18" s="15"/>
      <c r="G18" s="3"/>
      <c r="H18" s="3"/>
      <c r="I18" s="3"/>
      <c r="K18" s="2" t="str">
        <f>"VAR"&amp;TEXT(ROW()-ROW(dim_variante[[#Headers],[id_variante]]),"000")</f>
        <v>VAR013</v>
      </c>
      <c r="L18" s="3" t="s">
        <v>83</v>
      </c>
    </row>
    <row r="19" spans="2:12">
      <c r="B19" s="3" t="s">
        <v>167</v>
      </c>
      <c r="C19" s="3" t="s">
        <v>118</v>
      </c>
      <c r="D19" s="3" t="s">
        <v>15</v>
      </c>
      <c r="E19" s="3" t="s">
        <v>6</v>
      </c>
      <c r="F19" s="15"/>
      <c r="G19" s="3"/>
      <c r="H19" s="3"/>
      <c r="I19" s="3"/>
      <c r="K19" s="2" t="str">
        <f>"VAR"&amp;TEXT(ROW()-ROW(dim_variante[[#Headers],[id_variante]]),"000")</f>
        <v>VAR014</v>
      </c>
      <c r="L19" s="3" t="s">
        <v>510</v>
      </c>
    </row>
    <row r="20" spans="2:12">
      <c r="B20" s="3" t="s">
        <v>168</v>
      </c>
      <c r="C20" s="3" t="s">
        <v>119</v>
      </c>
      <c r="D20" s="3" t="s">
        <v>3</v>
      </c>
      <c r="E20" s="3" t="s">
        <v>7</v>
      </c>
      <c r="F20" s="15"/>
      <c r="G20" s="3"/>
      <c r="H20" s="3"/>
      <c r="I20" s="3"/>
      <c r="K20" s="2" t="str">
        <f>"VAR"&amp;TEXT(ROW()-ROW(dim_variante[[#Headers],[id_variante]]),"000")</f>
        <v>VAR015</v>
      </c>
      <c r="L20" s="3" t="s">
        <v>509</v>
      </c>
    </row>
    <row r="21" spans="2:12">
      <c r="B21" s="3" t="s">
        <v>169</v>
      </c>
      <c r="C21" s="3" t="s">
        <v>120</v>
      </c>
      <c r="D21" s="3" t="s">
        <v>8</v>
      </c>
      <c r="E21" s="3" t="s">
        <v>11</v>
      </c>
      <c r="F21" s="15"/>
      <c r="G21" s="3"/>
      <c r="H21" s="3"/>
      <c r="I21" s="3"/>
    </row>
    <row r="22" spans="2:12">
      <c r="B22" s="3" t="s">
        <v>170</v>
      </c>
      <c r="C22" s="3" t="s">
        <v>13</v>
      </c>
      <c r="D22" s="3" t="s">
        <v>16</v>
      </c>
      <c r="E22" s="3" t="s">
        <v>13</v>
      </c>
      <c r="F22" s="15"/>
      <c r="G22" s="3"/>
      <c r="H22" s="3"/>
      <c r="I22" s="3"/>
    </row>
    <row r="23" spans="2:12">
      <c r="B23" s="3" t="s">
        <v>171</v>
      </c>
      <c r="C23" s="3" t="s">
        <v>121</v>
      </c>
      <c r="D23" s="3" t="s">
        <v>8</v>
      </c>
      <c r="E23" s="3" t="s">
        <v>9</v>
      </c>
      <c r="F23" s="15"/>
      <c r="G23" s="3"/>
      <c r="H23" s="3"/>
      <c r="I23" s="3"/>
    </row>
    <row r="24" spans="2:12">
      <c r="B24" s="3" t="s">
        <v>439</v>
      </c>
      <c r="C24" s="3" t="s">
        <v>440</v>
      </c>
      <c r="D24" s="3" t="s">
        <v>8</v>
      </c>
      <c r="E24" s="3" t="s">
        <v>103</v>
      </c>
      <c r="F24" s="15"/>
      <c r="G24" s="3"/>
      <c r="H24" s="3"/>
      <c r="I24" s="3"/>
    </row>
    <row r="25" spans="2:12">
      <c r="B25" s="3" t="s">
        <v>441</v>
      </c>
      <c r="C25" s="3" t="s">
        <v>444</v>
      </c>
      <c r="D25" s="3" t="s">
        <v>15</v>
      </c>
      <c r="E25" s="3" t="s">
        <v>5</v>
      </c>
      <c r="F25" s="15"/>
      <c r="G25" s="3"/>
      <c r="H25" s="3"/>
      <c r="I25" s="3"/>
    </row>
    <row r="26" spans="2:12">
      <c r="B26" s="3" t="s">
        <v>486</v>
      </c>
      <c r="C26" s="3" t="s">
        <v>446</v>
      </c>
      <c r="D26" s="3" t="s">
        <v>8</v>
      </c>
      <c r="E26" s="3" t="s">
        <v>11</v>
      </c>
      <c r="F26" s="15"/>
      <c r="G26" s="3"/>
      <c r="H26" s="3"/>
      <c r="I26" s="3"/>
    </row>
    <row r="27" spans="2:12">
      <c r="B27" s="3" t="s">
        <v>442</v>
      </c>
      <c r="C27" s="3" t="s">
        <v>448</v>
      </c>
      <c r="D27" s="3" t="s">
        <v>15</v>
      </c>
      <c r="E27" s="3" t="s">
        <v>449</v>
      </c>
      <c r="F27" s="15"/>
      <c r="G27" s="3"/>
      <c r="H27" s="3"/>
      <c r="I27" s="3"/>
    </row>
    <row r="28" spans="2:12">
      <c r="B28" s="3" t="s">
        <v>443</v>
      </c>
      <c r="C28" s="3" t="s">
        <v>451</v>
      </c>
      <c r="D28" s="3" t="s">
        <v>8</v>
      </c>
      <c r="E28" s="3" t="s">
        <v>103</v>
      </c>
      <c r="F28" s="15"/>
      <c r="G28" s="3"/>
      <c r="H28" s="3"/>
      <c r="I28" s="3"/>
    </row>
    <row r="29" spans="2:12">
      <c r="B29" s="3" t="s">
        <v>445</v>
      </c>
      <c r="C29" s="3" t="s">
        <v>453</v>
      </c>
      <c r="D29" s="3" t="s">
        <v>435</v>
      </c>
      <c r="E29" s="3" t="s">
        <v>103</v>
      </c>
      <c r="F29" s="15"/>
      <c r="G29" s="3"/>
      <c r="H29" s="3"/>
      <c r="I29" s="3"/>
    </row>
    <row r="30" spans="2:12">
      <c r="B30" s="3" t="s">
        <v>447</v>
      </c>
      <c r="C30" s="3" t="s">
        <v>455</v>
      </c>
      <c r="D30" s="3" t="s">
        <v>3</v>
      </c>
      <c r="E30" s="3" t="s">
        <v>455</v>
      </c>
      <c r="F30" s="15"/>
      <c r="G30" s="3"/>
      <c r="H30" s="3"/>
      <c r="I30" s="3"/>
    </row>
    <row r="31" spans="2:12">
      <c r="B31" s="3" t="s">
        <v>487</v>
      </c>
      <c r="C31" s="3" t="s">
        <v>457</v>
      </c>
      <c r="D31" s="3" t="s">
        <v>8</v>
      </c>
      <c r="E31" s="3" t="s">
        <v>103</v>
      </c>
      <c r="F31" s="15"/>
      <c r="G31" s="3"/>
      <c r="H31" s="3"/>
      <c r="I31" s="3"/>
    </row>
    <row r="32" spans="2:12">
      <c r="B32" s="3" t="s">
        <v>450</v>
      </c>
      <c r="C32" s="3" t="s">
        <v>459</v>
      </c>
      <c r="D32" s="3" t="s">
        <v>8</v>
      </c>
      <c r="E32" s="3" t="s">
        <v>103</v>
      </c>
      <c r="F32" s="15"/>
      <c r="G32" s="3"/>
      <c r="H32" s="3"/>
      <c r="I32" s="3"/>
    </row>
    <row r="33" spans="2:9">
      <c r="B33" s="3" t="s">
        <v>452</v>
      </c>
      <c r="C33" s="3" t="s">
        <v>488</v>
      </c>
      <c r="D33" s="3" t="s">
        <v>15</v>
      </c>
      <c r="E33" s="3" t="s">
        <v>6</v>
      </c>
      <c r="F33" s="15"/>
      <c r="G33" s="3"/>
      <c r="H33" s="3"/>
      <c r="I33" s="3"/>
    </row>
    <row r="34" spans="2:9">
      <c r="B34" s="3" t="s">
        <v>454</v>
      </c>
      <c r="C34" s="3" t="s">
        <v>460</v>
      </c>
      <c r="D34" s="3" t="s">
        <v>15</v>
      </c>
      <c r="E34" s="3" t="s">
        <v>5</v>
      </c>
      <c r="F34" s="15"/>
      <c r="G34" s="3"/>
      <c r="H34" s="3"/>
      <c r="I34" s="3"/>
    </row>
    <row r="35" spans="2:9">
      <c r="B35" s="3" t="s">
        <v>456</v>
      </c>
      <c r="C35" s="3" t="s">
        <v>461</v>
      </c>
      <c r="D35" s="3" t="s">
        <v>8</v>
      </c>
      <c r="E35" s="3" t="s">
        <v>103</v>
      </c>
      <c r="F35" s="15"/>
      <c r="G35" s="3"/>
      <c r="H35" s="3"/>
      <c r="I35" s="3"/>
    </row>
    <row r="36" spans="2:9">
      <c r="B36" s="3" t="s">
        <v>458</v>
      </c>
      <c r="C36" s="3" t="s">
        <v>462</v>
      </c>
      <c r="D36" s="3" t="s">
        <v>8</v>
      </c>
      <c r="E36" s="3" t="s">
        <v>103</v>
      </c>
      <c r="F36" s="15"/>
      <c r="G36" s="3"/>
      <c r="H36" s="3"/>
      <c r="I36" s="3"/>
    </row>
    <row r="37" spans="2:9">
      <c r="B37" s="3" t="s">
        <v>847</v>
      </c>
      <c r="C37" s="3" t="s">
        <v>846</v>
      </c>
      <c r="D37" s="3" t="s">
        <v>16</v>
      </c>
      <c r="E37" s="3" t="s">
        <v>13</v>
      </c>
      <c r="F37" s="15"/>
      <c r="G37" s="3"/>
      <c r="H37" s="3"/>
      <c r="I37" s="3"/>
    </row>
    <row r="38" spans="2:9">
      <c r="B38" s="3" t="s">
        <v>848</v>
      </c>
      <c r="C38" s="3" t="s">
        <v>849</v>
      </c>
      <c r="D38" s="3" t="s">
        <v>3</v>
      </c>
      <c r="E38" s="3" t="s">
        <v>12</v>
      </c>
      <c r="F38" s="15"/>
      <c r="G38" s="3"/>
      <c r="H38" s="3"/>
      <c r="I38" s="3"/>
    </row>
    <row r="39" spans="2:9">
      <c r="B39" s="3" t="s">
        <v>1033</v>
      </c>
      <c r="C39" s="3" t="s">
        <v>656</v>
      </c>
      <c r="D39" s="3" t="s">
        <v>8</v>
      </c>
      <c r="E39" s="3" t="s">
        <v>1032</v>
      </c>
      <c r="F39" s="15"/>
      <c r="G39" s="3"/>
      <c r="H39" s="3"/>
      <c r="I39" s="3"/>
    </row>
    <row r="40" spans="2:9">
      <c r="F40" s="15"/>
      <c r="G40" s="3"/>
      <c r="H40" s="3"/>
      <c r="I40" s="3"/>
    </row>
    <row r="41" spans="2:9">
      <c r="F41" s="15"/>
      <c r="G41" s="3"/>
      <c r="H41" s="3"/>
      <c r="I41" s="3"/>
    </row>
  </sheetData>
  <phoneticPr fontId="3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9DA09-A96A-4C66-93E1-C40783463666}">
  <dimension ref="A1:C37"/>
  <sheetViews>
    <sheetView topLeftCell="A9" workbookViewId="0">
      <selection sqref="A1:C37"/>
    </sheetView>
  </sheetViews>
  <sheetFormatPr baseColWidth="10" defaultRowHeight="15"/>
  <cols>
    <col min="1" max="1" width="13.7109375" bestFit="1" customWidth="1"/>
    <col min="2" max="2" width="10.5703125" bestFit="1" customWidth="1"/>
    <col min="3" max="3" width="15.28515625" bestFit="1" customWidth="1"/>
  </cols>
  <sheetData>
    <row r="1" spans="1:3">
      <c r="A1" t="s">
        <v>516</v>
      </c>
      <c r="B1" t="s">
        <v>1030</v>
      </c>
      <c r="C1" t="s">
        <v>1031</v>
      </c>
    </row>
    <row r="2" spans="1:3">
      <c r="A2" t="s">
        <v>780</v>
      </c>
      <c r="B2" t="s">
        <v>215</v>
      </c>
      <c r="C2">
        <v>0.6</v>
      </c>
    </row>
    <row r="3" spans="1:3">
      <c r="A3" t="s">
        <v>154</v>
      </c>
      <c r="B3" t="s">
        <v>673</v>
      </c>
      <c r="C3">
        <v>0.16250000000000001</v>
      </c>
    </row>
    <row r="4" spans="1:3">
      <c r="A4" t="s">
        <v>156</v>
      </c>
      <c r="B4" t="s">
        <v>212</v>
      </c>
      <c r="C4" t="s">
        <v>734</v>
      </c>
    </row>
    <row r="5" spans="1:3">
      <c r="A5" t="s">
        <v>156</v>
      </c>
      <c r="B5" t="s">
        <v>213</v>
      </c>
      <c r="C5" t="s">
        <v>735</v>
      </c>
    </row>
    <row r="6" spans="1:3">
      <c r="A6" t="s">
        <v>156</v>
      </c>
      <c r="B6" t="s">
        <v>211</v>
      </c>
      <c r="C6" t="s">
        <v>736</v>
      </c>
    </row>
    <row r="7" spans="1:3">
      <c r="A7" t="s">
        <v>157</v>
      </c>
      <c r="B7" t="s">
        <v>213</v>
      </c>
      <c r="C7" t="s">
        <v>808</v>
      </c>
    </row>
    <row r="8" spans="1:3">
      <c r="A8" t="s">
        <v>159</v>
      </c>
      <c r="B8" t="s">
        <v>213</v>
      </c>
      <c r="C8">
        <v>2</v>
      </c>
    </row>
    <row r="9" spans="1:3">
      <c r="A9" t="s">
        <v>160</v>
      </c>
      <c r="B9" t="s">
        <v>212</v>
      </c>
      <c r="C9">
        <v>0.8</v>
      </c>
    </row>
    <row r="10" spans="1:3">
      <c r="A10" t="s">
        <v>160</v>
      </c>
      <c r="B10" t="s">
        <v>213</v>
      </c>
      <c r="C10">
        <v>1</v>
      </c>
    </row>
    <row r="11" spans="1:3">
      <c r="A11" t="s">
        <v>160</v>
      </c>
      <c r="B11" t="s">
        <v>211</v>
      </c>
      <c r="C11">
        <v>0.6</v>
      </c>
    </row>
    <row r="12" spans="1:3">
      <c r="A12" t="s">
        <v>161</v>
      </c>
      <c r="B12" t="s">
        <v>212</v>
      </c>
      <c r="C12">
        <v>1.8</v>
      </c>
    </row>
    <row r="13" spans="1:3">
      <c r="A13" t="s">
        <v>161</v>
      </c>
      <c r="B13" t="s">
        <v>213</v>
      </c>
      <c r="C13" t="s">
        <v>751</v>
      </c>
    </row>
    <row r="14" spans="1:3">
      <c r="A14" t="s">
        <v>161</v>
      </c>
      <c r="B14" t="s">
        <v>211</v>
      </c>
      <c r="C14">
        <v>1.4</v>
      </c>
    </row>
    <row r="15" spans="1:3">
      <c r="A15" t="s">
        <v>162</v>
      </c>
      <c r="B15" t="s">
        <v>673</v>
      </c>
      <c r="C15">
        <v>0.7</v>
      </c>
    </row>
    <row r="16" spans="1:3">
      <c r="A16" t="s">
        <v>163</v>
      </c>
      <c r="B16" t="s">
        <v>212</v>
      </c>
      <c r="C16">
        <v>0.8</v>
      </c>
    </row>
    <row r="17" spans="1:3">
      <c r="A17" t="s">
        <v>163</v>
      </c>
      <c r="B17" t="s">
        <v>213</v>
      </c>
      <c r="C17">
        <v>0.9</v>
      </c>
    </row>
    <row r="18" spans="1:3">
      <c r="A18" t="s">
        <v>163</v>
      </c>
      <c r="B18" t="s">
        <v>211</v>
      </c>
      <c r="C18" t="s">
        <v>676</v>
      </c>
    </row>
    <row r="19" spans="1:3">
      <c r="A19" t="s">
        <v>163</v>
      </c>
      <c r="B19" t="s">
        <v>214</v>
      </c>
      <c r="C19">
        <v>1</v>
      </c>
    </row>
    <row r="20" spans="1:3">
      <c r="A20" t="s">
        <v>164</v>
      </c>
      <c r="B20" t="s">
        <v>212</v>
      </c>
      <c r="C20">
        <v>0.46666666666666662</v>
      </c>
    </row>
    <row r="21" spans="1:3">
      <c r="A21" t="s">
        <v>164</v>
      </c>
      <c r="B21" t="s">
        <v>213</v>
      </c>
      <c r="C21">
        <v>0.53333333333333333</v>
      </c>
    </row>
    <row r="22" spans="1:3">
      <c r="A22" t="s">
        <v>164</v>
      </c>
      <c r="B22" t="s">
        <v>211</v>
      </c>
      <c r="C22">
        <v>0.25</v>
      </c>
    </row>
    <row r="23" spans="1:3">
      <c r="A23" t="s">
        <v>167</v>
      </c>
      <c r="B23" t="s">
        <v>212</v>
      </c>
      <c r="C23">
        <v>1.7</v>
      </c>
    </row>
    <row r="24" spans="1:3">
      <c r="A24" t="s">
        <v>167</v>
      </c>
      <c r="B24" t="s">
        <v>213</v>
      </c>
      <c r="C24">
        <v>2</v>
      </c>
    </row>
    <row r="25" spans="1:3">
      <c r="A25" t="s">
        <v>167</v>
      </c>
      <c r="B25" t="s">
        <v>211</v>
      </c>
      <c r="C25">
        <v>1.5</v>
      </c>
    </row>
    <row r="26" spans="1:3">
      <c r="A26" t="s">
        <v>168</v>
      </c>
      <c r="B26" t="s">
        <v>212</v>
      </c>
      <c r="C26" t="s">
        <v>783</v>
      </c>
    </row>
    <row r="27" spans="1:3">
      <c r="A27" t="s">
        <v>168</v>
      </c>
      <c r="B27" t="s">
        <v>213</v>
      </c>
      <c r="C27">
        <v>0.8</v>
      </c>
    </row>
    <row r="28" spans="1:3">
      <c r="A28" t="s">
        <v>168</v>
      </c>
      <c r="B28" t="s">
        <v>211</v>
      </c>
      <c r="C28" t="s">
        <v>782</v>
      </c>
    </row>
    <row r="29" spans="1:3">
      <c r="A29" t="s">
        <v>170</v>
      </c>
      <c r="B29" t="s">
        <v>211</v>
      </c>
      <c r="C29">
        <v>1.2</v>
      </c>
    </row>
    <row r="30" spans="1:3">
      <c r="A30" t="s">
        <v>442</v>
      </c>
      <c r="B30" t="s">
        <v>212</v>
      </c>
      <c r="C30">
        <v>1.5</v>
      </c>
    </row>
    <row r="31" spans="1:3">
      <c r="A31" t="s">
        <v>447</v>
      </c>
      <c r="B31" t="s">
        <v>212</v>
      </c>
      <c r="C31">
        <v>1.1000000000000001</v>
      </c>
    </row>
    <row r="32" spans="1:3">
      <c r="A32" t="s">
        <v>452</v>
      </c>
      <c r="B32" t="s">
        <v>212</v>
      </c>
      <c r="C32">
        <v>1.1000000000000001</v>
      </c>
    </row>
    <row r="33" spans="1:3">
      <c r="A33" t="s">
        <v>452</v>
      </c>
      <c r="B33" t="s">
        <v>213</v>
      </c>
      <c r="C33">
        <v>1.2</v>
      </c>
    </row>
    <row r="34" spans="1:3">
      <c r="A34" t="s">
        <v>452</v>
      </c>
      <c r="B34" t="s">
        <v>211</v>
      </c>
      <c r="C34">
        <v>0.9</v>
      </c>
    </row>
    <row r="35" spans="1:3">
      <c r="A35" t="s">
        <v>454</v>
      </c>
      <c r="B35" t="s">
        <v>212</v>
      </c>
      <c r="C35">
        <v>0.6</v>
      </c>
    </row>
    <row r="36" spans="1:3">
      <c r="A36" t="s">
        <v>656</v>
      </c>
      <c r="B36" t="s">
        <v>673</v>
      </c>
      <c r="C36">
        <v>0.58333333333333337</v>
      </c>
    </row>
    <row r="37" spans="1:3">
      <c r="A37" t="s">
        <v>847</v>
      </c>
      <c r="B37" t="s">
        <v>212</v>
      </c>
      <c r="C37">
        <v>1.8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65F1F-CFD0-4F3F-8D1B-0F1C985DEE0F}">
  <sheetPr codeName="Hoja2"/>
  <dimension ref="A1:AD291"/>
  <sheetViews>
    <sheetView showGridLines="0" topLeftCell="J1" zoomScale="85" zoomScaleNormal="85" workbookViewId="0">
      <pane ySplit="2" topLeftCell="A3" activePane="bottomLeft" state="frozen"/>
      <selection pane="bottomLeft" activeCell="O16" sqref="O16:U16"/>
    </sheetView>
  </sheetViews>
  <sheetFormatPr baseColWidth="10" defaultRowHeight="15"/>
  <cols>
    <col min="1" max="6" width="26.7109375" customWidth="1"/>
    <col min="7" max="7" width="24.7109375" customWidth="1"/>
    <col min="8" max="8" width="19.85546875" bestFit="1" customWidth="1"/>
    <col min="9" max="9" width="19.85546875" customWidth="1"/>
    <col min="11" max="11" width="17.42578125" customWidth="1"/>
    <col min="15" max="15" width="29" bestFit="1" customWidth="1"/>
    <col min="18" max="18" width="15.28515625" bestFit="1" customWidth="1"/>
    <col min="21" max="21" width="12.28515625" style="79" customWidth="1"/>
    <col min="22" max="22" width="21.42578125" bestFit="1" customWidth="1"/>
    <col min="24" max="24" width="28" bestFit="1" customWidth="1"/>
  </cols>
  <sheetData>
    <row r="1" spans="1:28">
      <c r="A1" s="72" t="s">
        <v>271</v>
      </c>
      <c r="B1" s="72"/>
      <c r="C1" s="72"/>
      <c r="D1" s="72"/>
      <c r="E1" s="72"/>
      <c r="F1" s="72"/>
      <c r="G1" s="72"/>
      <c r="H1" s="72"/>
      <c r="I1" s="72"/>
    </row>
    <row r="2" spans="1:28" ht="45">
      <c r="A2" s="9" t="s">
        <v>657</v>
      </c>
      <c r="B2" s="9" t="s">
        <v>671</v>
      </c>
      <c r="C2" s="9" t="s">
        <v>765</v>
      </c>
      <c r="D2" s="9" t="s">
        <v>665</v>
      </c>
      <c r="E2" s="9" t="s">
        <v>668</v>
      </c>
      <c r="F2" s="9" t="s">
        <v>674</v>
      </c>
      <c r="G2" s="9" t="s">
        <v>675</v>
      </c>
      <c r="H2" s="9" t="s">
        <v>677</v>
      </c>
      <c r="I2" s="9" t="s">
        <v>797</v>
      </c>
      <c r="X2" t="s">
        <v>717</v>
      </c>
      <c r="AB2" t="s">
        <v>757</v>
      </c>
    </row>
    <row r="3" spans="1:28">
      <c r="A3" t="s">
        <v>643</v>
      </c>
      <c r="B3" t="s">
        <v>643</v>
      </c>
      <c r="D3" t="s">
        <v>643</v>
      </c>
      <c r="E3" t="s">
        <v>643</v>
      </c>
      <c r="F3" t="s">
        <v>643</v>
      </c>
      <c r="G3" t="s">
        <v>643</v>
      </c>
      <c r="H3" t="s">
        <v>643</v>
      </c>
      <c r="I3" t="s">
        <v>798</v>
      </c>
      <c r="K3" s="117"/>
      <c r="L3" s="117"/>
      <c r="X3" t="s">
        <v>718</v>
      </c>
      <c r="AB3" t="s">
        <v>756</v>
      </c>
    </row>
    <row r="4" spans="1:28">
      <c r="A4" t="s">
        <v>644</v>
      </c>
      <c r="B4" t="s">
        <v>644</v>
      </c>
      <c r="D4" t="s">
        <v>644</v>
      </c>
      <c r="E4" t="s">
        <v>644</v>
      </c>
      <c r="F4" t="s">
        <v>644</v>
      </c>
      <c r="G4" t="s">
        <v>644</v>
      </c>
      <c r="H4" t="s">
        <v>644</v>
      </c>
      <c r="I4" t="s">
        <v>799</v>
      </c>
      <c r="K4" s="3"/>
      <c r="L4" s="3"/>
      <c r="P4" s="8" t="str">
        <f>_xlfn.XLOOKUP(Tabla4[[#Headers],[Tall-02]],Dim_Talla[Id_talla],Dim_Talla[Talla])</f>
        <v>Dama</v>
      </c>
      <c r="Q4" s="8" t="str">
        <f>_xlfn.XLOOKUP(Tabla4[[#Headers],[Tall-03]],Dim_Talla[Id_talla],Dim_Talla[Talla])</f>
        <v>Caballero</v>
      </c>
      <c r="R4" s="8" t="str">
        <f>_xlfn.XLOOKUP(Tabla4[[#Headers],[Tall-01]],Dim_Talla[Id_talla],Dim_Talla[Talla])</f>
        <v>Niño</v>
      </c>
      <c r="S4" s="8" t="str">
        <f>_xlfn.XLOOKUP(Tabla4[[#Headers],[Tall-04]],Dim_Talla[Id_talla],Dim_Talla[Talla])</f>
        <v>Plus</v>
      </c>
      <c r="T4" s="8" t="str">
        <f>_xlfn.XLOOKUP(Tabla4[[#Headers],[Tall-05]],Dim_Talla[Id_talla],Dim_Talla[Talla])</f>
        <v>Unica</v>
      </c>
      <c r="U4" s="8" t="str">
        <f>_xlfn.XLOOKUP(Tabla4[[#Headers],[Tall-06]],Dim_Talla[Id_talla],Dim_Talla[Talla])</f>
        <v>Accesorio</v>
      </c>
      <c r="X4" t="s">
        <v>670</v>
      </c>
      <c r="AB4" t="s">
        <v>758</v>
      </c>
    </row>
    <row r="5" spans="1:28">
      <c r="A5" t="s">
        <v>645</v>
      </c>
      <c r="B5" t="s">
        <v>645</v>
      </c>
      <c r="D5" t="s">
        <v>645</v>
      </c>
      <c r="E5" t="s">
        <v>645</v>
      </c>
      <c r="F5" t="s">
        <v>645</v>
      </c>
      <c r="G5" t="s">
        <v>645</v>
      </c>
      <c r="H5" t="s">
        <v>645</v>
      </c>
      <c r="I5" t="s">
        <v>106</v>
      </c>
      <c r="K5" s="3"/>
      <c r="L5" s="3"/>
      <c r="O5" s="2" t="s">
        <v>516</v>
      </c>
      <c r="P5" s="8" t="s">
        <v>212</v>
      </c>
      <c r="Q5" s="8" t="s">
        <v>213</v>
      </c>
      <c r="R5" s="8" t="s">
        <v>211</v>
      </c>
      <c r="S5" s="8" t="s">
        <v>214</v>
      </c>
      <c r="T5" s="8" t="s">
        <v>215</v>
      </c>
      <c r="U5" s="80" t="s">
        <v>673</v>
      </c>
      <c r="X5" t="s">
        <v>679</v>
      </c>
    </row>
    <row r="6" spans="1:28">
      <c r="A6" t="s">
        <v>646</v>
      </c>
      <c r="B6" t="s">
        <v>646</v>
      </c>
      <c r="D6" t="s">
        <v>646</v>
      </c>
      <c r="E6" t="s">
        <v>646</v>
      </c>
      <c r="F6" t="s">
        <v>646</v>
      </c>
      <c r="G6" t="s">
        <v>646</v>
      </c>
      <c r="H6" t="s">
        <v>646</v>
      </c>
      <c r="I6" t="s">
        <v>800</v>
      </c>
      <c r="K6" s="3"/>
      <c r="L6" s="3"/>
      <c r="O6" t="s">
        <v>780</v>
      </c>
      <c r="T6">
        <v>0.6</v>
      </c>
      <c r="X6" t="s">
        <v>680</v>
      </c>
    </row>
    <row r="7" spans="1:28">
      <c r="A7" t="s">
        <v>658</v>
      </c>
      <c r="B7" t="s">
        <v>658</v>
      </c>
      <c r="D7" t="s">
        <v>658</v>
      </c>
      <c r="E7" t="s">
        <v>658</v>
      </c>
      <c r="F7" t="s">
        <v>658</v>
      </c>
      <c r="G7" t="s">
        <v>658</v>
      </c>
      <c r="H7" t="s">
        <v>658</v>
      </c>
      <c r="I7" t="s">
        <v>667</v>
      </c>
      <c r="K7" s="3"/>
      <c r="L7" s="3"/>
      <c r="O7" s="3" t="s">
        <v>154</v>
      </c>
      <c r="U7" s="79">
        <f>1.3/8</f>
        <v>0.16250000000000001</v>
      </c>
      <c r="X7" t="s">
        <v>681</v>
      </c>
    </row>
    <row r="8" spans="1:28">
      <c r="A8" t="s">
        <v>659</v>
      </c>
      <c r="B8" t="s">
        <v>659</v>
      </c>
      <c r="D8" t="s">
        <v>659</v>
      </c>
      <c r="E8" t="s">
        <v>659</v>
      </c>
      <c r="F8" t="s">
        <v>659</v>
      </c>
      <c r="G8" t="s">
        <v>659</v>
      </c>
      <c r="H8" t="s">
        <v>659</v>
      </c>
      <c r="I8" t="s">
        <v>647</v>
      </c>
      <c r="K8" s="3"/>
      <c r="L8" s="3"/>
      <c r="O8" s="3" t="s">
        <v>156</v>
      </c>
      <c r="P8" s="14" t="s">
        <v>734</v>
      </c>
      <c r="Q8" s="14" t="s">
        <v>735</v>
      </c>
      <c r="R8" s="14" t="s">
        <v>736</v>
      </c>
      <c r="X8" t="s">
        <v>682</v>
      </c>
    </row>
    <row r="9" spans="1:28">
      <c r="A9" t="s">
        <v>660</v>
      </c>
      <c r="B9" t="s">
        <v>664</v>
      </c>
      <c r="D9" t="s">
        <v>660</v>
      </c>
      <c r="E9" t="s">
        <v>660</v>
      </c>
      <c r="F9" t="s">
        <v>660</v>
      </c>
      <c r="G9" t="s">
        <v>660</v>
      </c>
      <c r="H9" t="s">
        <v>664</v>
      </c>
      <c r="I9" t="s">
        <v>645</v>
      </c>
      <c r="K9" s="3"/>
      <c r="L9" s="3"/>
      <c r="O9" s="3" t="s">
        <v>157</v>
      </c>
      <c r="Q9" t="s">
        <v>808</v>
      </c>
      <c r="X9" t="s">
        <v>683</v>
      </c>
    </row>
    <row r="10" spans="1:28">
      <c r="A10" t="s">
        <v>653</v>
      </c>
      <c r="B10" t="s">
        <v>653</v>
      </c>
      <c r="D10" t="s">
        <v>653</v>
      </c>
      <c r="E10" t="s">
        <v>653</v>
      </c>
      <c r="F10" t="s">
        <v>653</v>
      </c>
      <c r="G10" t="s">
        <v>653</v>
      </c>
      <c r="H10" t="s">
        <v>653</v>
      </c>
      <c r="I10" t="s">
        <v>646</v>
      </c>
      <c r="K10" s="3"/>
      <c r="L10" s="3"/>
      <c r="O10" s="3" t="s">
        <v>159</v>
      </c>
      <c r="P10" s="14"/>
      <c r="Q10" s="14">
        <v>2</v>
      </c>
      <c r="R10" s="14"/>
      <c r="X10" t="s">
        <v>684</v>
      </c>
    </row>
    <row r="11" spans="1:28">
      <c r="A11" t="s">
        <v>654</v>
      </c>
      <c r="B11" t="s">
        <v>654</v>
      </c>
      <c r="D11" t="s">
        <v>654</v>
      </c>
      <c r="E11" t="s">
        <v>654</v>
      </c>
      <c r="F11" t="s">
        <v>654</v>
      </c>
      <c r="G11" t="s">
        <v>654</v>
      </c>
      <c r="H11" t="s">
        <v>654</v>
      </c>
      <c r="I11" t="s">
        <v>648</v>
      </c>
      <c r="K11" s="3"/>
      <c r="L11" s="3"/>
      <c r="O11" s="3" t="s">
        <v>160</v>
      </c>
      <c r="P11">
        <v>0.8</v>
      </c>
      <c r="Q11">
        <v>1</v>
      </c>
      <c r="R11">
        <v>0.6</v>
      </c>
      <c r="X11" t="s">
        <v>788</v>
      </c>
    </row>
    <row r="12" spans="1:28">
      <c r="B12" t="s">
        <v>662</v>
      </c>
      <c r="D12" t="s">
        <v>666</v>
      </c>
      <c r="E12" t="s">
        <v>669</v>
      </c>
      <c r="F12" t="s">
        <v>647</v>
      </c>
      <c r="G12" t="s">
        <v>647</v>
      </c>
      <c r="H12" t="s">
        <v>648</v>
      </c>
      <c r="I12" t="s">
        <v>658</v>
      </c>
      <c r="K12" s="3"/>
      <c r="L12" s="3"/>
      <c r="O12" s="3" t="s">
        <v>161</v>
      </c>
      <c r="P12" s="14">
        <v>1.8</v>
      </c>
      <c r="Q12" s="14" t="s">
        <v>751</v>
      </c>
      <c r="R12" s="14">
        <v>1.4</v>
      </c>
      <c r="X12" t="s">
        <v>685</v>
      </c>
    </row>
    <row r="13" spans="1:28">
      <c r="B13" t="s">
        <v>648</v>
      </c>
      <c r="D13" t="s">
        <v>648</v>
      </c>
      <c r="E13" t="s">
        <v>649</v>
      </c>
      <c r="F13" t="s">
        <v>649</v>
      </c>
      <c r="G13" t="s">
        <v>649</v>
      </c>
      <c r="H13" t="s">
        <v>678</v>
      </c>
      <c r="I13" t="s">
        <v>659</v>
      </c>
      <c r="K13" s="3"/>
      <c r="L13" s="3"/>
      <c r="O13" s="3" t="s">
        <v>162</v>
      </c>
      <c r="U13" s="79">
        <v>0.7</v>
      </c>
      <c r="X13" t="s">
        <v>686</v>
      </c>
    </row>
    <row r="14" spans="1:28">
      <c r="B14" t="s">
        <v>105</v>
      </c>
      <c r="D14" t="s">
        <v>648</v>
      </c>
      <c r="E14" t="s">
        <v>648</v>
      </c>
      <c r="F14" t="s">
        <v>648</v>
      </c>
      <c r="G14" t="s">
        <v>648</v>
      </c>
      <c r="H14" t="s">
        <v>649</v>
      </c>
      <c r="I14" t="s">
        <v>660</v>
      </c>
      <c r="K14" s="3"/>
      <c r="L14" s="3"/>
      <c r="O14" s="3" t="s">
        <v>163</v>
      </c>
      <c r="P14" s="14">
        <v>0.8</v>
      </c>
      <c r="Q14" s="14">
        <v>0.9</v>
      </c>
      <c r="R14" s="14" t="s">
        <v>676</v>
      </c>
      <c r="S14">
        <v>1</v>
      </c>
      <c r="X14" t="s">
        <v>690</v>
      </c>
    </row>
    <row r="15" spans="1:28">
      <c r="B15" t="s">
        <v>663</v>
      </c>
      <c r="D15" t="s">
        <v>667</v>
      </c>
      <c r="H15" t="s">
        <v>105</v>
      </c>
      <c r="I15" t="s">
        <v>653</v>
      </c>
      <c r="K15" s="3"/>
      <c r="L15" s="3"/>
      <c r="O15" s="3" t="s">
        <v>164</v>
      </c>
      <c r="P15" s="81">
        <f>0.7/3*2</f>
        <v>0.46666666666666662</v>
      </c>
      <c r="Q15" s="81">
        <f>0.8/3*2</f>
        <v>0.53333333333333333</v>
      </c>
      <c r="R15" s="14">
        <f>0.5/4*2</f>
        <v>0.25</v>
      </c>
      <c r="X15" t="s">
        <v>691</v>
      </c>
    </row>
    <row r="16" spans="1:28">
      <c r="B16" t="s">
        <v>649</v>
      </c>
      <c r="H16" t="s">
        <v>663</v>
      </c>
      <c r="I16" t="s">
        <v>654</v>
      </c>
      <c r="K16" s="3"/>
      <c r="L16" s="3"/>
      <c r="O16" s="3" t="s">
        <v>167</v>
      </c>
      <c r="P16" s="14">
        <v>1.7</v>
      </c>
      <c r="Q16" s="14">
        <v>2</v>
      </c>
      <c r="R16" s="14">
        <v>1.5</v>
      </c>
      <c r="X16" t="s">
        <v>699</v>
      </c>
    </row>
    <row r="17" spans="1:24">
      <c r="A17" s="72" t="s">
        <v>807</v>
      </c>
      <c r="B17" s="72"/>
      <c r="C17" s="72"/>
      <c r="D17" s="72"/>
      <c r="E17" s="72"/>
      <c r="F17" s="72"/>
      <c r="G17" s="72"/>
      <c r="H17" s="72"/>
      <c r="I17" s="72"/>
      <c r="K17" s="3"/>
      <c r="L17" s="3"/>
      <c r="O17" s="3" t="s">
        <v>168</v>
      </c>
      <c r="P17" t="s">
        <v>783</v>
      </c>
      <c r="Q17">
        <v>0.8</v>
      </c>
      <c r="R17" t="s">
        <v>782</v>
      </c>
      <c r="X17" t="s">
        <v>778</v>
      </c>
    </row>
    <row r="18" spans="1:24">
      <c r="A18" t="s">
        <v>644</v>
      </c>
      <c r="K18" s="3"/>
      <c r="L18" s="3"/>
      <c r="O18" s="3" t="s">
        <v>170</v>
      </c>
      <c r="R18">
        <v>1.2</v>
      </c>
      <c r="X18" t="s">
        <v>707</v>
      </c>
    </row>
    <row r="19" spans="1:24">
      <c r="A19" t="s">
        <v>645</v>
      </c>
      <c r="K19" s="3"/>
      <c r="L19" s="3"/>
      <c r="O19" s="3" t="s">
        <v>442</v>
      </c>
      <c r="P19">
        <v>1.5</v>
      </c>
      <c r="X19" t="s">
        <v>709</v>
      </c>
    </row>
    <row r="20" spans="1:24">
      <c r="A20" t="s">
        <v>799</v>
      </c>
      <c r="K20" s="3"/>
      <c r="L20" s="3"/>
      <c r="O20" s="3" t="s">
        <v>447</v>
      </c>
      <c r="P20" s="14">
        <v>1.1000000000000001</v>
      </c>
      <c r="Q20" s="14"/>
      <c r="R20" s="14"/>
      <c r="X20" t="s">
        <v>714</v>
      </c>
    </row>
    <row r="21" spans="1:24">
      <c r="A21" t="s">
        <v>646</v>
      </c>
      <c r="K21" s="3"/>
      <c r="L21" s="3"/>
      <c r="O21" s="3" t="s">
        <v>452</v>
      </c>
      <c r="P21" s="14">
        <v>1.1000000000000001</v>
      </c>
      <c r="Q21" s="14">
        <v>1.2</v>
      </c>
      <c r="R21" s="14">
        <v>0.9</v>
      </c>
      <c r="X21" t="s">
        <v>747</v>
      </c>
    </row>
    <row r="22" spans="1:24">
      <c r="A22" t="s">
        <v>802</v>
      </c>
      <c r="K22" s="3"/>
      <c r="L22" s="3"/>
      <c r="O22" s="3" t="s">
        <v>454</v>
      </c>
      <c r="P22" s="14">
        <v>0.6</v>
      </c>
      <c r="X22" t="s">
        <v>749</v>
      </c>
    </row>
    <row r="23" spans="1:24">
      <c r="A23" t="s">
        <v>648</v>
      </c>
      <c r="K23" s="3"/>
      <c r="L23" s="3"/>
      <c r="O23" t="s">
        <v>656</v>
      </c>
      <c r="P23" s="14"/>
      <c r="Q23" s="14"/>
      <c r="R23" s="14"/>
      <c r="U23" s="79">
        <f>7/12</f>
        <v>0.58333333333333337</v>
      </c>
      <c r="X23" t="s">
        <v>754</v>
      </c>
    </row>
    <row r="24" spans="1:24">
      <c r="A24" t="s">
        <v>105</v>
      </c>
      <c r="K24" s="3"/>
      <c r="L24" s="3"/>
      <c r="O24" s="3" t="s">
        <v>847</v>
      </c>
      <c r="P24" s="14">
        <v>1.8</v>
      </c>
      <c r="Q24" s="14"/>
      <c r="R24" s="14"/>
      <c r="X24" t="s">
        <v>790</v>
      </c>
    </row>
    <row r="25" spans="1:24">
      <c r="A25" t="s">
        <v>803</v>
      </c>
      <c r="K25" s="3"/>
      <c r="L25" s="3"/>
      <c r="X25" t="s">
        <v>804</v>
      </c>
    </row>
    <row r="26" spans="1:24">
      <c r="A26" t="s">
        <v>658</v>
      </c>
      <c r="K26" s="3"/>
      <c r="L26" s="3"/>
      <c r="X26" t="s">
        <v>806</v>
      </c>
    </row>
    <row r="27" spans="1:24">
      <c r="A27" t="s">
        <v>659</v>
      </c>
      <c r="K27" s="3"/>
      <c r="L27" s="3"/>
      <c r="X27" t="s">
        <v>805</v>
      </c>
    </row>
    <row r="28" spans="1:24">
      <c r="A28" t="s">
        <v>653</v>
      </c>
      <c r="K28" s="3"/>
      <c r="L28" s="3"/>
    </row>
    <row r="29" spans="1:24">
      <c r="A29" t="s">
        <v>664</v>
      </c>
      <c r="K29" s="3"/>
      <c r="L29" s="3"/>
    </row>
    <row r="30" spans="1:24">
      <c r="A30" t="s">
        <v>654</v>
      </c>
      <c r="K30" s="3"/>
      <c r="L30" s="3"/>
    </row>
    <row r="31" spans="1:24">
      <c r="K31" s="3"/>
      <c r="L31" s="3"/>
    </row>
    <row r="32" spans="1:24">
      <c r="K32" s="3"/>
      <c r="L32" s="3"/>
    </row>
    <row r="33" spans="1:30">
      <c r="A33" s="72" t="s">
        <v>791</v>
      </c>
      <c r="B33" s="72"/>
      <c r="C33" s="72"/>
      <c r="D33" s="72"/>
      <c r="E33" s="72"/>
      <c r="F33" s="72"/>
      <c r="G33" s="72"/>
      <c r="H33" s="72"/>
      <c r="I33" s="72"/>
      <c r="K33" s="3"/>
      <c r="L33" s="3"/>
    </row>
    <row r="34" spans="1:30">
      <c r="A34" t="s">
        <v>793</v>
      </c>
      <c r="B34" t="s">
        <v>794</v>
      </c>
      <c r="C34" t="s">
        <v>795</v>
      </c>
      <c r="K34" s="3"/>
      <c r="L34" s="3"/>
    </row>
    <row r="35" spans="1:30">
      <c r="A35" t="s">
        <v>644</v>
      </c>
      <c r="B35" t="s">
        <v>644</v>
      </c>
      <c r="C35" t="s">
        <v>644</v>
      </c>
      <c r="K35" s="3"/>
      <c r="L35" s="3"/>
    </row>
    <row r="36" spans="1:30">
      <c r="A36" t="s">
        <v>640</v>
      </c>
      <c r="B36" t="s">
        <v>640</v>
      </c>
      <c r="C36" t="s">
        <v>640</v>
      </c>
      <c r="K36" s="3"/>
      <c r="L36" s="3"/>
    </row>
    <row r="37" spans="1:30">
      <c r="A37" t="s">
        <v>106</v>
      </c>
      <c r="B37" t="s">
        <v>106</v>
      </c>
      <c r="C37" t="s">
        <v>106</v>
      </c>
    </row>
    <row r="38" spans="1:30">
      <c r="A38" t="s">
        <v>792</v>
      </c>
      <c r="B38" t="s">
        <v>792</v>
      </c>
      <c r="C38" t="s">
        <v>647</v>
      </c>
    </row>
    <row r="39" spans="1:30">
      <c r="A39" t="s">
        <v>645</v>
      </c>
      <c r="B39" t="s">
        <v>645</v>
      </c>
      <c r="C39" t="s">
        <v>645</v>
      </c>
      <c r="X39" t="s">
        <v>516</v>
      </c>
      <c r="Y39" t="s">
        <v>661</v>
      </c>
      <c r="Z39" t="s">
        <v>68</v>
      </c>
      <c r="AA39" t="s">
        <v>66</v>
      </c>
      <c r="AB39" t="s">
        <v>69</v>
      </c>
      <c r="AC39" t="s">
        <v>779</v>
      </c>
      <c r="AD39" t="s">
        <v>672</v>
      </c>
    </row>
    <row r="40" spans="1:30" ht="18.75">
      <c r="A40" t="s">
        <v>646</v>
      </c>
      <c r="B40" t="s">
        <v>646</v>
      </c>
      <c r="C40" t="s">
        <v>796</v>
      </c>
      <c r="O40" s="76"/>
      <c r="P40" s="76"/>
      <c r="Q40" s="76"/>
      <c r="X40" t="s">
        <v>657</v>
      </c>
      <c r="Y40">
        <v>0.8</v>
      </c>
      <c r="Z40">
        <v>0.9</v>
      </c>
      <c r="AA40" t="s">
        <v>676</v>
      </c>
      <c r="AB40">
        <v>1</v>
      </c>
    </row>
    <row r="41" spans="1:30">
      <c r="A41" t="s">
        <v>648</v>
      </c>
      <c r="B41" t="s">
        <v>648</v>
      </c>
      <c r="C41" t="s">
        <v>646</v>
      </c>
      <c r="X41" t="s">
        <v>656</v>
      </c>
      <c r="AD41">
        <v>0.58333333333333337</v>
      </c>
    </row>
    <row r="42" spans="1:30">
      <c r="A42" t="s">
        <v>658</v>
      </c>
      <c r="B42" t="s">
        <v>658</v>
      </c>
      <c r="C42" t="s">
        <v>664</v>
      </c>
      <c r="X42" t="s">
        <v>696</v>
      </c>
      <c r="Y42">
        <v>1.8</v>
      </c>
    </row>
    <row r="43" spans="1:30">
      <c r="A43" t="s">
        <v>659</v>
      </c>
      <c r="B43" t="s">
        <v>659</v>
      </c>
      <c r="C43" t="s">
        <v>658</v>
      </c>
      <c r="X43" t="s">
        <v>695</v>
      </c>
      <c r="Y43">
        <v>1.8</v>
      </c>
      <c r="Z43" t="s">
        <v>751</v>
      </c>
      <c r="AA43">
        <v>1.4</v>
      </c>
    </row>
    <row r="44" spans="1:30">
      <c r="A44" t="s">
        <v>660</v>
      </c>
      <c r="B44" t="s">
        <v>660</v>
      </c>
      <c r="C44" t="s">
        <v>659</v>
      </c>
      <c r="X44" t="s">
        <v>772</v>
      </c>
      <c r="Z44">
        <v>1.2</v>
      </c>
    </row>
    <row r="45" spans="1:30">
      <c r="A45" t="s">
        <v>653</v>
      </c>
      <c r="B45" t="s">
        <v>653</v>
      </c>
      <c r="C45" t="s">
        <v>653</v>
      </c>
      <c r="X45" t="s">
        <v>697</v>
      </c>
      <c r="Y45">
        <v>1.7</v>
      </c>
      <c r="Z45">
        <v>2</v>
      </c>
      <c r="AA45">
        <v>1.5</v>
      </c>
    </row>
    <row r="46" spans="1:30">
      <c r="A46" t="s">
        <v>654</v>
      </c>
      <c r="B46" t="s">
        <v>654</v>
      </c>
      <c r="C46" t="s">
        <v>654</v>
      </c>
      <c r="X46" t="s">
        <v>708</v>
      </c>
      <c r="Z46">
        <v>2</v>
      </c>
    </row>
    <row r="47" spans="1:30">
      <c r="X47" t="s">
        <v>713</v>
      </c>
      <c r="Y47">
        <v>1.1000000000000001</v>
      </c>
    </row>
    <row r="48" spans="1:30" s="9" customFormat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 s="79"/>
      <c r="V48"/>
      <c r="W48"/>
      <c r="X48" s="9" t="s">
        <v>715</v>
      </c>
      <c r="Y48" s="9">
        <v>0.46666666666666662</v>
      </c>
      <c r="Z48" s="9">
        <v>0.53333333333333333</v>
      </c>
      <c r="AA48" s="9">
        <v>0.25</v>
      </c>
    </row>
    <row r="49" spans="1:30" s="76" customFormat="1" ht="18.75">
      <c r="A49" s="72" t="s">
        <v>785</v>
      </c>
      <c r="B49" s="72"/>
      <c r="C49" s="72"/>
      <c r="D49" s="72"/>
      <c r="E49" s="72"/>
      <c r="F49" s="72"/>
      <c r="G49" s="72"/>
      <c r="H49" s="72"/>
      <c r="I49" s="72"/>
      <c r="O49"/>
      <c r="P49"/>
      <c r="Q49"/>
      <c r="R49"/>
      <c r="S49"/>
      <c r="T49"/>
      <c r="U49" s="79"/>
      <c r="X49" s="76" t="s">
        <v>727</v>
      </c>
      <c r="Y49" s="76">
        <v>1.1000000000000001</v>
      </c>
      <c r="Z49" s="76">
        <v>1.2</v>
      </c>
      <c r="AA49" s="76">
        <v>0.9</v>
      </c>
    </row>
    <row r="50" spans="1:30" ht="18.75">
      <c r="B50" t="s">
        <v>777</v>
      </c>
      <c r="G50" t="s">
        <v>781</v>
      </c>
      <c r="R50" s="76"/>
      <c r="S50" s="76"/>
      <c r="T50" s="76"/>
      <c r="U50" s="82"/>
      <c r="X50" t="s">
        <v>732</v>
      </c>
      <c r="Y50" t="s">
        <v>734</v>
      </c>
      <c r="Z50" t="s">
        <v>735</v>
      </c>
      <c r="AA50" t="s">
        <v>736</v>
      </c>
    </row>
    <row r="51" spans="1:30">
      <c r="B51" t="s">
        <v>775</v>
      </c>
      <c r="G51" t="s">
        <v>775</v>
      </c>
      <c r="X51" t="s">
        <v>738</v>
      </c>
      <c r="Y51">
        <v>1.5</v>
      </c>
    </row>
    <row r="52" spans="1:30">
      <c r="B52" t="s">
        <v>645</v>
      </c>
      <c r="G52" t="s">
        <v>645</v>
      </c>
      <c r="X52" t="s">
        <v>741</v>
      </c>
      <c r="Y52">
        <v>0.6</v>
      </c>
    </row>
    <row r="53" spans="1:30">
      <c r="B53" t="s">
        <v>646</v>
      </c>
      <c r="G53" t="s">
        <v>646</v>
      </c>
      <c r="X53" t="s">
        <v>746</v>
      </c>
      <c r="Y53" t="s">
        <v>783</v>
      </c>
      <c r="Z53">
        <v>0.8</v>
      </c>
      <c r="AA53" t="s">
        <v>782</v>
      </c>
    </row>
    <row r="54" spans="1:30">
      <c r="B54" t="s">
        <v>647</v>
      </c>
      <c r="G54" t="s">
        <v>647</v>
      </c>
      <c r="X54" t="s">
        <v>759</v>
      </c>
      <c r="AD54">
        <v>0.7</v>
      </c>
    </row>
    <row r="55" spans="1:30">
      <c r="B55" t="s">
        <v>648</v>
      </c>
      <c r="G55" t="s">
        <v>648</v>
      </c>
      <c r="X55" t="s">
        <v>761</v>
      </c>
      <c r="AD55">
        <v>0.16250000000000001</v>
      </c>
    </row>
    <row r="56" spans="1:30">
      <c r="B56" t="s">
        <v>776</v>
      </c>
      <c r="G56" t="s">
        <v>776</v>
      </c>
      <c r="X56" t="s">
        <v>780</v>
      </c>
      <c r="AC56">
        <v>0.6</v>
      </c>
    </row>
    <row r="57" spans="1:30">
      <c r="B57" t="s">
        <v>649</v>
      </c>
      <c r="G57" t="s">
        <v>649</v>
      </c>
      <c r="X57" t="s">
        <v>786</v>
      </c>
      <c r="Y57">
        <v>1.5</v>
      </c>
    </row>
    <row r="58" spans="1:30">
      <c r="B58" t="s">
        <v>702</v>
      </c>
      <c r="G58" t="s">
        <v>105</v>
      </c>
      <c r="X58" t="s">
        <v>791</v>
      </c>
      <c r="Y58">
        <v>0.8</v>
      </c>
      <c r="Z58">
        <v>1</v>
      </c>
      <c r="AA58">
        <v>0.6</v>
      </c>
    </row>
    <row r="59" spans="1:30">
      <c r="B59" t="s">
        <v>744</v>
      </c>
      <c r="G59" t="s">
        <v>744</v>
      </c>
      <c r="X59" t="s">
        <v>801</v>
      </c>
      <c r="AA59">
        <v>1.2</v>
      </c>
    </row>
    <row r="60" spans="1:30">
      <c r="B60" t="s">
        <v>658</v>
      </c>
      <c r="G60" t="s">
        <v>658</v>
      </c>
      <c r="X60" t="s">
        <v>807</v>
      </c>
      <c r="Z60" t="s">
        <v>808</v>
      </c>
    </row>
    <row r="61" spans="1:30">
      <c r="B61" t="s">
        <v>659</v>
      </c>
      <c r="G61" t="s">
        <v>659</v>
      </c>
    </row>
    <row r="62" spans="1:30">
      <c r="B62" t="s">
        <v>653</v>
      </c>
      <c r="G62" t="s">
        <v>653</v>
      </c>
    </row>
    <row r="63" spans="1:30">
      <c r="B63" t="s">
        <v>664</v>
      </c>
      <c r="G63" t="s">
        <v>664</v>
      </c>
    </row>
    <row r="64" spans="1:30">
      <c r="B64" t="s">
        <v>654</v>
      </c>
      <c r="G64" t="s">
        <v>654</v>
      </c>
    </row>
    <row r="65" spans="1:9" ht="18.75">
      <c r="A65" s="78" t="s">
        <v>784</v>
      </c>
      <c r="B65" s="78"/>
      <c r="C65" s="78"/>
      <c r="D65" s="78"/>
      <c r="E65" s="78"/>
      <c r="F65" s="78"/>
      <c r="G65" s="78"/>
      <c r="H65" s="78"/>
      <c r="I65" s="78"/>
    </row>
    <row r="66" spans="1:9">
      <c r="A66" s="9" t="s">
        <v>655</v>
      </c>
      <c r="B66" t="s">
        <v>759</v>
      </c>
      <c r="C66" t="s">
        <v>761</v>
      </c>
    </row>
    <row r="67" spans="1:9" ht="18.75">
      <c r="A67" s="76" t="s">
        <v>643</v>
      </c>
      <c r="B67" s="76" t="s">
        <v>643</v>
      </c>
      <c r="C67" t="s">
        <v>762</v>
      </c>
    </row>
    <row r="68" spans="1:9">
      <c r="A68" s="77" t="s">
        <v>644</v>
      </c>
      <c r="B68" t="s">
        <v>644</v>
      </c>
      <c r="C68" t="s">
        <v>763</v>
      </c>
    </row>
    <row r="69" spans="1:9">
      <c r="A69" t="s">
        <v>645</v>
      </c>
      <c r="B69" t="s">
        <v>645</v>
      </c>
      <c r="C69" t="s">
        <v>764</v>
      </c>
    </row>
    <row r="70" spans="1:9">
      <c r="A70" t="s">
        <v>646</v>
      </c>
      <c r="B70" t="s">
        <v>646</v>
      </c>
      <c r="C70" t="s">
        <v>466</v>
      </c>
    </row>
    <row r="71" spans="1:9">
      <c r="A71" t="s">
        <v>647</v>
      </c>
      <c r="B71" t="s">
        <v>647</v>
      </c>
      <c r="C71" t="s">
        <v>364</v>
      </c>
    </row>
    <row r="72" spans="1:9">
      <c r="A72" t="s">
        <v>648</v>
      </c>
      <c r="B72" t="s">
        <v>648</v>
      </c>
    </row>
    <row r="73" spans="1:9">
      <c r="A73" t="s">
        <v>649</v>
      </c>
      <c r="B73" t="s">
        <v>649</v>
      </c>
    </row>
    <row r="74" spans="1:9">
      <c r="A74" t="s">
        <v>650</v>
      </c>
      <c r="B74" t="s">
        <v>105</v>
      </c>
    </row>
    <row r="75" spans="1:9">
      <c r="A75" t="s">
        <v>651</v>
      </c>
      <c r="B75" t="s">
        <v>760</v>
      </c>
    </row>
    <row r="76" spans="1:9">
      <c r="A76" t="s">
        <v>652</v>
      </c>
      <c r="B76" t="s">
        <v>653</v>
      </c>
    </row>
    <row r="77" spans="1:9">
      <c r="A77" t="s">
        <v>653</v>
      </c>
      <c r="B77" t="s">
        <v>654</v>
      </c>
    </row>
    <row r="78" spans="1:9">
      <c r="A78" t="s">
        <v>654</v>
      </c>
    </row>
    <row r="79" spans="1:9">
      <c r="A79" s="72"/>
      <c r="B79" s="72"/>
      <c r="C79" s="72"/>
      <c r="D79" s="72"/>
      <c r="E79" s="72"/>
      <c r="F79" s="72"/>
      <c r="G79" s="72"/>
      <c r="H79" s="72"/>
      <c r="I79" s="72"/>
    </row>
    <row r="80" spans="1:9">
      <c r="A80" t="s">
        <v>787</v>
      </c>
      <c r="G80" t="s">
        <v>789</v>
      </c>
    </row>
    <row r="81" spans="1:9">
      <c r="A81" t="s">
        <v>643</v>
      </c>
      <c r="G81" t="s">
        <v>643</v>
      </c>
    </row>
    <row r="82" spans="1:9">
      <c r="A82" t="s">
        <v>644</v>
      </c>
      <c r="G82" t="s">
        <v>644</v>
      </c>
    </row>
    <row r="83" spans="1:9">
      <c r="A83" t="s">
        <v>645</v>
      </c>
      <c r="G83" t="s">
        <v>689</v>
      </c>
    </row>
    <row r="84" spans="1:9">
      <c r="A84" t="s">
        <v>646</v>
      </c>
      <c r="G84" t="s">
        <v>645</v>
      </c>
    </row>
    <row r="85" spans="1:9">
      <c r="A85" t="s">
        <v>658</v>
      </c>
      <c r="G85" t="s">
        <v>646</v>
      </c>
    </row>
    <row r="86" spans="1:9">
      <c r="A86" t="s">
        <v>659</v>
      </c>
      <c r="G86" t="s">
        <v>658</v>
      </c>
    </row>
    <row r="87" spans="1:9">
      <c r="A87" t="s">
        <v>664</v>
      </c>
      <c r="G87" t="s">
        <v>659</v>
      </c>
    </row>
    <row r="88" spans="1:9">
      <c r="A88" t="s">
        <v>653</v>
      </c>
      <c r="G88" t="s">
        <v>653</v>
      </c>
    </row>
    <row r="89" spans="1:9">
      <c r="A89" t="s">
        <v>654</v>
      </c>
      <c r="G89" t="s">
        <v>664</v>
      </c>
    </row>
    <row r="90" spans="1:9">
      <c r="A90" t="s">
        <v>662</v>
      </c>
      <c r="G90" t="s">
        <v>654</v>
      </c>
    </row>
    <row r="91" spans="1:9">
      <c r="A91" t="s">
        <v>648</v>
      </c>
      <c r="G91" t="s">
        <v>647</v>
      </c>
    </row>
    <row r="92" spans="1:9">
      <c r="A92" t="s">
        <v>105</v>
      </c>
      <c r="G92" t="s">
        <v>649</v>
      </c>
    </row>
    <row r="93" spans="1:9">
      <c r="A93" t="s">
        <v>663</v>
      </c>
      <c r="G93" t="s">
        <v>105</v>
      </c>
    </row>
    <row r="94" spans="1:9">
      <c r="A94" t="s">
        <v>649</v>
      </c>
      <c r="G94" t="s">
        <v>663</v>
      </c>
    </row>
    <row r="95" spans="1:9">
      <c r="G95" t="s">
        <v>648</v>
      </c>
    </row>
    <row r="96" spans="1:9">
      <c r="A96" s="72"/>
      <c r="B96" s="72"/>
      <c r="C96" s="72"/>
      <c r="D96" s="72"/>
      <c r="E96" s="72"/>
      <c r="F96" s="72"/>
      <c r="G96" s="72"/>
      <c r="H96" s="72"/>
      <c r="I96" s="72"/>
    </row>
    <row r="97" spans="2:9">
      <c r="B97" t="s">
        <v>687</v>
      </c>
      <c r="G97" t="s">
        <v>692</v>
      </c>
      <c r="I97" t="s">
        <v>755</v>
      </c>
    </row>
    <row r="98" spans="2:9">
      <c r="B98" t="s">
        <v>688</v>
      </c>
      <c r="G98" t="s">
        <v>693</v>
      </c>
      <c r="I98" t="s">
        <v>693</v>
      </c>
    </row>
    <row r="99" spans="2:9">
      <c r="B99" t="s">
        <v>644</v>
      </c>
      <c r="G99" t="s">
        <v>645</v>
      </c>
      <c r="I99" t="s">
        <v>645</v>
      </c>
    </row>
    <row r="100" spans="2:9">
      <c r="B100" t="s">
        <v>645</v>
      </c>
      <c r="G100" t="s">
        <v>646</v>
      </c>
      <c r="I100" t="s">
        <v>646</v>
      </c>
    </row>
    <row r="101" spans="2:9">
      <c r="B101" t="s">
        <v>646</v>
      </c>
      <c r="G101" t="s">
        <v>689</v>
      </c>
      <c r="I101" t="s">
        <v>752</v>
      </c>
    </row>
    <row r="102" spans="2:9">
      <c r="B102" t="s">
        <v>689</v>
      </c>
      <c r="G102" t="s">
        <v>694</v>
      </c>
      <c r="I102" t="s">
        <v>689</v>
      </c>
    </row>
    <row r="103" spans="2:9">
      <c r="B103" t="s">
        <v>648</v>
      </c>
      <c r="G103" t="s">
        <v>647</v>
      </c>
      <c r="I103" t="s">
        <v>648</v>
      </c>
    </row>
    <row r="104" spans="2:9">
      <c r="B104" t="s">
        <v>662</v>
      </c>
      <c r="G104" t="s">
        <v>649</v>
      </c>
      <c r="I104" t="s">
        <v>753</v>
      </c>
    </row>
    <row r="105" spans="2:9">
      <c r="B105" t="s">
        <v>649</v>
      </c>
      <c r="G105" t="s">
        <v>730</v>
      </c>
      <c r="I105" t="s">
        <v>649</v>
      </c>
    </row>
    <row r="106" spans="2:9">
      <c r="B106" t="s">
        <v>105</v>
      </c>
      <c r="G106" t="s">
        <v>767</v>
      </c>
      <c r="I106" t="s">
        <v>658</v>
      </c>
    </row>
    <row r="107" spans="2:9">
      <c r="B107" t="s">
        <v>663</v>
      </c>
      <c r="G107" t="s">
        <v>658</v>
      </c>
      <c r="I107" t="s">
        <v>730</v>
      </c>
    </row>
    <row r="108" spans="2:9">
      <c r="B108" t="s">
        <v>658</v>
      </c>
      <c r="G108" t="s">
        <v>659</v>
      </c>
      <c r="I108" t="s">
        <v>653</v>
      </c>
    </row>
    <row r="109" spans="2:9">
      <c r="B109" t="s">
        <v>659</v>
      </c>
      <c r="G109" t="s">
        <v>653</v>
      </c>
      <c r="I109" t="s">
        <v>664</v>
      </c>
    </row>
    <row r="110" spans="2:9">
      <c r="B110" t="s">
        <v>653</v>
      </c>
      <c r="G110" t="s">
        <v>664</v>
      </c>
      <c r="I110" t="s">
        <v>654</v>
      </c>
    </row>
    <row r="111" spans="2:9">
      <c r="B111" t="s">
        <v>664</v>
      </c>
      <c r="G111" t="s">
        <v>654</v>
      </c>
    </row>
    <row r="112" spans="2:9">
      <c r="B112" t="s">
        <v>654</v>
      </c>
    </row>
    <row r="113" spans="1:9">
      <c r="A113" s="72"/>
      <c r="B113" s="72"/>
      <c r="C113" s="72"/>
      <c r="D113" s="72"/>
      <c r="E113" s="72"/>
      <c r="F113" s="72"/>
      <c r="G113" s="72"/>
      <c r="H113" s="72"/>
      <c r="I113" s="72"/>
    </row>
    <row r="114" spans="1:9">
      <c r="G114" t="s">
        <v>768</v>
      </c>
    </row>
    <row r="115" spans="1:9">
      <c r="G115" t="s">
        <v>766</v>
      </c>
    </row>
    <row r="116" spans="1:9">
      <c r="G116" t="s">
        <v>647</v>
      </c>
    </row>
    <row r="117" spans="1:9">
      <c r="G117" t="s">
        <v>645</v>
      </c>
    </row>
    <row r="118" spans="1:9">
      <c r="G118" t="s">
        <v>646</v>
      </c>
    </row>
    <row r="119" spans="1:9">
      <c r="G119" t="s">
        <v>689</v>
      </c>
    </row>
    <row r="120" spans="1:9">
      <c r="G120" t="s">
        <v>705</v>
      </c>
    </row>
    <row r="121" spans="1:9">
      <c r="G121" t="s">
        <v>667</v>
      </c>
    </row>
    <row r="122" spans="1:9">
      <c r="G122" t="s">
        <v>649</v>
      </c>
    </row>
    <row r="123" spans="1:9">
      <c r="G123" t="s">
        <v>752</v>
      </c>
    </row>
    <row r="124" spans="1:9">
      <c r="G124" t="s">
        <v>769</v>
      </c>
    </row>
    <row r="125" spans="1:9">
      <c r="G125" t="s">
        <v>770</v>
      </c>
    </row>
    <row r="126" spans="1:9">
      <c r="G126" t="s">
        <v>771</v>
      </c>
    </row>
    <row r="127" spans="1:9">
      <c r="G127" t="s">
        <v>653</v>
      </c>
    </row>
    <row r="128" spans="1:9">
      <c r="G128" t="s">
        <v>664</v>
      </c>
    </row>
    <row r="129" spans="1:9">
      <c r="G129" t="s">
        <v>654</v>
      </c>
    </row>
    <row r="131" spans="1:9">
      <c r="A131" s="72"/>
      <c r="B131" s="72"/>
      <c r="C131" s="72"/>
      <c r="D131" s="72"/>
      <c r="E131" s="72"/>
      <c r="F131" s="72"/>
      <c r="G131" s="72"/>
      <c r="H131" s="72"/>
      <c r="I131" s="72"/>
    </row>
    <row r="132" spans="1:9">
      <c r="G132" t="s">
        <v>774</v>
      </c>
    </row>
    <row r="133" spans="1:9">
      <c r="G133" t="s">
        <v>766</v>
      </c>
    </row>
    <row r="134" spans="1:9">
      <c r="G134" t="s">
        <v>647</v>
      </c>
    </row>
    <row r="135" spans="1:9">
      <c r="G135" t="s">
        <v>645</v>
      </c>
    </row>
    <row r="136" spans="1:9">
      <c r="G136" t="s">
        <v>773</v>
      </c>
    </row>
    <row r="137" spans="1:9">
      <c r="G137" t="s">
        <v>646</v>
      </c>
    </row>
    <row r="138" spans="1:9">
      <c r="G138" t="s">
        <v>689</v>
      </c>
    </row>
    <row r="139" spans="1:9">
      <c r="G139" t="s">
        <v>744</v>
      </c>
    </row>
    <row r="140" spans="1:9">
      <c r="G140" t="s">
        <v>649</v>
      </c>
    </row>
    <row r="141" spans="1:9">
      <c r="G141" t="s">
        <v>653</v>
      </c>
    </row>
    <row r="142" spans="1:9">
      <c r="G142" t="s">
        <v>664</v>
      </c>
    </row>
    <row r="143" spans="1:9">
      <c r="G143" t="s">
        <v>654</v>
      </c>
    </row>
    <row r="148" spans="1:9">
      <c r="A148" s="72"/>
      <c r="B148" s="72"/>
      <c r="C148" s="72"/>
      <c r="D148" s="72"/>
      <c r="E148" s="72"/>
      <c r="F148" s="72"/>
      <c r="G148" s="72"/>
      <c r="H148" s="72"/>
      <c r="I148" s="72"/>
    </row>
    <row r="149" spans="1:9">
      <c r="A149" t="s">
        <v>697</v>
      </c>
      <c r="B149" t="s">
        <v>704</v>
      </c>
      <c r="G149" t="s">
        <v>704</v>
      </c>
    </row>
    <row r="150" spans="1:9">
      <c r="A150" t="s">
        <v>698</v>
      </c>
      <c r="B150" t="s">
        <v>698</v>
      </c>
      <c r="G150" t="s">
        <v>698</v>
      </c>
    </row>
    <row r="151" spans="1:9">
      <c r="A151" t="s">
        <v>693</v>
      </c>
      <c r="B151" t="s">
        <v>644</v>
      </c>
      <c r="G151" t="s">
        <v>693</v>
      </c>
    </row>
    <row r="152" spans="1:9">
      <c r="A152" t="s">
        <v>645</v>
      </c>
      <c r="B152" t="s">
        <v>645</v>
      </c>
      <c r="G152" t="s">
        <v>645</v>
      </c>
    </row>
    <row r="153" spans="1:9">
      <c r="A153" t="s">
        <v>646</v>
      </c>
      <c r="B153" t="s">
        <v>646</v>
      </c>
      <c r="G153" t="s">
        <v>646</v>
      </c>
    </row>
    <row r="154" spans="1:9">
      <c r="A154" t="s">
        <v>700</v>
      </c>
      <c r="B154" t="s">
        <v>648</v>
      </c>
      <c r="G154" t="s">
        <v>648</v>
      </c>
    </row>
    <row r="155" spans="1:9">
      <c r="A155" t="s">
        <v>701</v>
      </c>
      <c r="B155" t="s">
        <v>662</v>
      </c>
      <c r="G155" t="s">
        <v>706</v>
      </c>
    </row>
    <row r="156" spans="1:9">
      <c r="A156" t="s">
        <v>702</v>
      </c>
      <c r="B156" t="s">
        <v>705</v>
      </c>
      <c r="G156" t="s">
        <v>705</v>
      </c>
    </row>
    <row r="157" spans="1:9">
      <c r="A157" t="s">
        <v>703</v>
      </c>
      <c r="B157" t="s">
        <v>649</v>
      </c>
      <c r="G157" t="s">
        <v>649</v>
      </c>
    </row>
    <row r="158" spans="1:9">
      <c r="A158" t="s">
        <v>658</v>
      </c>
      <c r="B158" t="s">
        <v>105</v>
      </c>
      <c r="G158" t="s">
        <v>658</v>
      </c>
    </row>
    <row r="159" spans="1:9">
      <c r="A159" t="s">
        <v>659</v>
      </c>
      <c r="B159" t="s">
        <v>663</v>
      </c>
      <c r="G159" t="s">
        <v>659</v>
      </c>
    </row>
    <row r="160" spans="1:9">
      <c r="A160" t="s">
        <v>653</v>
      </c>
      <c r="B160" t="s">
        <v>658</v>
      </c>
      <c r="G160" t="s">
        <v>653</v>
      </c>
    </row>
    <row r="161" spans="1:9">
      <c r="A161" t="s">
        <v>664</v>
      </c>
      <c r="B161" t="s">
        <v>659</v>
      </c>
      <c r="G161" t="s">
        <v>664</v>
      </c>
    </row>
    <row r="162" spans="1:9">
      <c r="A162" t="s">
        <v>654</v>
      </c>
      <c r="B162" t="s">
        <v>653</v>
      </c>
      <c r="G162" t="s">
        <v>654</v>
      </c>
    </row>
    <row r="163" spans="1:9">
      <c r="B163" t="s">
        <v>664</v>
      </c>
    </row>
    <row r="164" spans="1:9">
      <c r="B164" t="s">
        <v>654</v>
      </c>
    </row>
    <row r="165" spans="1:9">
      <c r="A165" s="72"/>
      <c r="B165" s="72"/>
      <c r="C165" s="72"/>
      <c r="D165" s="72"/>
      <c r="E165" s="72"/>
      <c r="F165" s="72"/>
      <c r="G165" s="72"/>
      <c r="H165" s="72"/>
      <c r="I165" s="72"/>
    </row>
    <row r="166" spans="1:9">
      <c r="A166" t="s">
        <v>708</v>
      </c>
    </row>
    <row r="167" spans="1:9">
      <c r="A167" t="s">
        <v>698</v>
      </c>
    </row>
    <row r="168" spans="1:9">
      <c r="A168" t="s">
        <v>693</v>
      </c>
    </row>
    <row r="169" spans="1:9">
      <c r="A169" t="s">
        <v>645</v>
      </c>
    </row>
    <row r="170" spans="1:9">
      <c r="A170" t="s">
        <v>646</v>
      </c>
    </row>
    <row r="171" spans="1:9">
      <c r="A171" t="s">
        <v>710</v>
      </c>
    </row>
    <row r="172" spans="1:9">
      <c r="A172" t="s">
        <v>711</v>
      </c>
    </row>
    <row r="173" spans="1:9">
      <c r="A173" t="s">
        <v>705</v>
      </c>
    </row>
    <row r="174" spans="1:9">
      <c r="A174" t="s">
        <v>649</v>
      </c>
    </row>
    <row r="175" spans="1:9">
      <c r="A175" t="s">
        <v>702</v>
      </c>
    </row>
    <row r="176" spans="1:9">
      <c r="A176" t="s">
        <v>703</v>
      </c>
    </row>
    <row r="177" spans="1:9">
      <c r="A177" t="s">
        <v>712</v>
      </c>
    </row>
    <row r="178" spans="1:9">
      <c r="A178" t="s">
        <v>659</v>
      </c>
    </row>
    <row r="179" spans="1:9">
      <c r="A179" t="s">
        <v>653</v>
      </c>
    </row>
    <row r="180" spans="1:9">
      <c r="A180" t="s">
        <v>664</v>
      </c>
    </row>
    <row r="181" spans="1:9">
      <c r="A181" t="s">
        <v>654</v>
      </c>
    </row>
    <row r="182" spans="1:9">
      <c r="A182" s="72"/>
      <c r="B182" s="72"/>
      <c r="C182" s="72"/>
      <c r="D182" s="72"/>
      <c r="E182" s="72"/>
      <c r="F182" s="72"/>
      <c r="G182" s="72"/>
      <c r="H182" s="72"/>
      <c r="I182" s="72"/>
    </row>
    <row r="183" spans="1:9">
      <c r="A183" t="s">
        <v>713</v>
      </c>
    </row>
    <row r="184" spans="1:9">
      <c r="A184" t="s">
        <v>698</v>
      </c>
    </row>
    <row r="185" spans="1:9">
      <c r="A185" t="s">
        <v>644</v>
      </c>
    </row>
    <row r="186" spans="1:9">
      <c r="A186" t="s">
        <v>645</v>
      </c>
    </row>
    <row r="187" spans="1:9">
      <c r="A187" t="s">
        <v>646</v>
      </c>
    </row>
    <row r="188" spans="1:9">
      <c r="A188" t="s">
        <v>648</v>
      </c>
    </row>
    <row r="189" spans="1:9">
      <c r="A189" t="s">
        <v>105</v>
      </c>
    </row>
    <row r="190" spans="1:9">
      <c r="A190" t="s">
        <v>667</v>
      </c>
    </row>
    <row r="191" spans="1:9">
      <c r="A191" t="s">
        <v>663</v>
      </c>
    </row>
    <row r="192" spans="1:9">
      <c r="A192" t="s">
        <v>658</v>
      </c>
    </row>
    <row r="193" spans="1:9">
      <c r="A193" t="s">
        <v>659</v>
      </c>
    </row>
    <row r="194" spans="1:9">
      <c r="A194" t="s">
        <v>653</v>
      </c>
    </row>
    <row r="195" spans="1:9">
      <c r="A195" t="s">
        <v>664</v>
      </c>
    </row>
    <row r="196" spans="1:9">
      <c r="A196" t="s">
        <v>654</v>
      </c>
    </row>
    <row r="197" spans="1:9">
      <c r="A197" s="72"/>
      <c r="B197" s="72"/>
      <c r="C197" s="72"/>
      <c r="D197" s="72"/>
      <c r="E197" s="72"/>
      <c r="F197" s="72"/>
      <c r="G197" s="72"/>
      <c r="H197" s="72"/>
      <c r="I197" s="72"/>
    </row>
    <row r="198" spans="1:9">
      <c r="A198" t="s">
        <v>715</v>
      </c>
      <c r="B198" t="s">
        <v>719</v>
      </c>
      <c r="D198" t="s">
        <v>720</v>
      </c>
      <c r="E198" t="s">
        <v>721</v>
      </c>
      <c r="F198" t="s">
        <v>723</v>
      </c>
      <c r="G198" t="s">
        <v>724</v>
      </c>
      <c r="H198" t="s">
        <v>725</v>
      </c>
    </row>
    <row r="199" spans="1:9">
      <c r="A199" t="s">
        <v>716</v>
      </c>
      <c r="B199" t="s">
        <v>716</v>
      </c>
      <c r="D199" t="s">
        <v>716</v>
      </c>
      <c r="E199" t="s">
        <v>722</v>
      </c>
      <c r="F199" t="s">
        <v>722</v>
      </c>
      <c r="G199" t="s">
        <v>722</v>
      </c>
      <c r="H199" t="s">
        <v>722</v>
      </c>
    </row>
    <row r="200" spans="1:9">
      <c r="A200" t="s">
        <v>644</v>
      </c>
      <c r="B200" t="s">
        <v>644</v>
      </c>
      <c r="D200" t="s">
        <v>644</v>
      </c>
      <c r="E200" t="s">
        <v>644</v>
      </c>
      <c r="F200" t="s">
        <v>644</v>
      </c>
      <c r="G200" t="s">
        <v>644</v>
      </c>
      <c r="H200" t="s">
        <v>644</v>
      </c>
    </row>
    <row r="201" spans="1:9">
      <c r="A201" t="s">
        <v>645</v>
      </c>
      <c r="B201" t="s">
        <v>645</v>
      </c>
      <c r="D201" t="s">
        <v>645</v>
      </c>
      <c r="E201" t="s">
        <v>645</v>
      </c>
      <c r="F201" t="s">
        <v>645</v>
      </c>
      <c r="G201" t="s">
        <v>645</v>
      </c>
      <c r="H201" t="s">
        <v>645</v>
      </c>
    </row>
    <row r="202" spans="1:9">
      <c r="A202" t="s">
        <v>646</v>
      </c>
      <c r="B202" t="s">
        <v>646</v>
      </c>
      <c r="D202" t="s">
        <v>646</v>
      </c>
      <c r="E202" t="s">
        <v>646</v>
      </c>
      <c r="F202" t="s">
        <v>646</v>
      </c>
      <c r="G202" t="s">
        <v>646</v>
      </c>
      <c r="H202" t="s">
        <v>646</v>
      </c>
    </row>
    <row r="203" spans="1:9">
      <c r="A203" t="s">
        <v>658</v>
      </c>
      <c r="B203" t="s">
        <v>648</v>
      </c>
      <c r="D203" t="s">
        <v>666</v>
      </c>
      <c r="E203" t="s">
        <v>669</v>
      </c>
      <c r="F203" t="s">
        <v>647</v>
      </c>
      <c r="G203" t="s">
        <v>647</v>
      </c>
      <c r="H203" t="s">
        <v>648</v>
      </c>
    </row>
    <row r="204" spans="1:9">
      <c r="A204" t="s">
        <v>659</v>
      </c>
      <c r="B204" t="s">
        <v>662</v>
      </c>
      <c r="D204" t="s">
        <v>649</v>
      </c>
      <c r="E204" t="s">
        <v>649</v>
      </c>
      <c r="F204" t="s">
        <v>649</v>
      </c>
      <c r="G204" t="s">
        <v>649</v>
      </c>
      <c r="H204" t="s">
        <v>726</v>
      </c>
    </row>
    <row r="205" spans="1:9">
      <c r="A205" t="s">
        <v>660</v>
      </c>
      <c r="B205" t="s">
        <v>649</v>
      </c>
      <c r="D205" t="s">
        <v>648</v>
      </c>
      <c r="E205" t="s">
        <v>648</v>
      </c>
      <c r="F205" t="s">
        <v>648</v>
      </c>
      <c r="G205" t="s">
        <v>648</v>
      </c>
      <c r="H205" t="s">
        <v>649</v>
      </c>
    </row>
    <row r="206" spans="1:9">
      <c r="A206" t="s">
        <v>653</v>
      </c>
      <c r="B206" t="s">
        <v>105</v>
      </c>
      <c r="D206" t="s">
        <v>658</v>
      </c>
      <c r="E206" t="s">
        <v>658</v>
      </c>
      <c r="F206" t="s">
        <v>658</v>
      </c>
      <c r="G206" t="s">
        <v>658</v>
      </c>
      <c r="H206" t="s">
        <v>105</v>
      </c>
    </row>
    <row r="207" spans="1:9">
      <c r="A207" t="s">
        <v>654</v>
      </c>
      <c r="B207" t="s">
        <v>663</v>
      </c>
      <c r="D207" t="s">
        <v>659</v>
      </c>
      <c r="E207" t="s">
        <v>659</v>
      </c>
      <c r="F207" t="s">
        <v>659</v>
      </c>
      <c r="G207" t="s">
        <v>659</v>
      </c>
      <c r="H207" t="s">
        <v>663</v>
      </c>
    </row>
    <row r="208" spans="1:9">
      <c r="B208" t="s">
        <v>658</v>
      </c>
      <c r="D208" t="s">
        <v>660</v>
      </c>
      <c r="E208" t="s">
        <v>660</v>
      </c>
      <c r="F208" t="s">
        <v>660</v>
      </c>
      <c r="G208" t="s">
        <v>660</v>
      </c>
      <c r="H208" t="s">
        <v>658</v>
      </c>
    </row>
    <row r="209" spans="1:9">
      <c r="B209" t="s">
        <v>659</v>
      </c>
      <c r="D209" t="s">
        <v>653</v>
      </c>
      <c r="E209" t="s">
        <v>653</v>
      </c>
      <c r="F209" t="s">
        <v>653</v>
      </c>
      <c r="G209" t="s">
        <v>653</v>
      </c>
      <c r="H209" t="s">
        <v>659</v>
      </c>
    </row>
    <row r="210" spans="1:9">
      <c r="B210" t="s">
        <v>653</v>
      </c>
      <c r="D210" t="s">
        <v>654</v>
      </c>
      <c r="E210" t="s">
        <v>654</v>
      </c>
      <c r="F210" t="s">
        <v>654</v>
      </c>
      <c r="G210" t="s">
        <v>654</v>
      </c>
      <c r="H210" t="s">
        <v>653</v>
      </c>
    </row>
    <row r="211" spans="1:9">
      <c r="B211" t="s">
        <v>664</v>
      </c>
      <c r="H211" t="s">
        <v>664</v>
      </c>
    </row>
    <row r="212" spans="1:9">
      <c r="B212" t="s">
        <v>654</v>
      </c>
      <c r="H212" t="s">
        <v>654</v>
      </c>
    </row>
    <row r="213" spans="1:9">
      <c r="A213" s="72"/>
      <c r="B213" s="72"/>
      <c r="C213" s="72"/>
      <c r="D213" s="72"/>
      <c r="E213" s="72"/>
      <c r="F213" s="72"/>
      <c r="G213" s="72"/>
      <c r="H213" s="72"/>
      <c r="I213" s="72"/>
    </row>
    <row r="214" spans="1:9">
      <c r="A214" t="s">
        <v>727</v>
      </c>
      <c r="B214" t="s">
        <v>729</v>
      </c>
      <c r="C214" t="s">
        <v>731</v>
      </c>
    </row>
    <row r="215" spans="1:9">
      <c r="A215" t="s">
        <v>728</v>
      </c>
      <c r="B215" t="s">
        <v>728</v>
      </c>
      <c r="C215" t="s">
        <v>728</v>
      </c>
    </row>
    <row r="216" spans="1:9">
      <c r="A216" t="s">
        <v>645</v>
      </c>
      <c r="B216" t="s">
        <v>645</v>
      </c>
      <c r="C216" t="s">
        <v>645</v>
      </c>
    </row>
    <row r="217" spans="1:9">
      <c r="A217" t="s">
        <v>646</v>
      </c>
      <c r="B217" t="s">
        <v>646</v>
      </c>
      <c r="C217" t="s">
        <v>646</v>
      </c>
    </row>
    <row r="218" spans="1:9">
      <c r="A218" t="s">
        <v>648</v>
      </c>
      <c r="B218" t="s">
        <v>648</v>
      </c>
      <c r="C218" t="s">
        <v>648</v>
      </c>
    </row>
    <row r="219" spans="1:9">
      <c r="A219" t="s">
        <v>649</v>
      </c>
      <c r="B219" t="s">
        <v>667</v>
      </c>
      <c r="C219" t="s">
        <v>662</v>
      </c>
    </row>
    <row r="220" spans="1:9">
      <c r="A220" t="s">
        <v>105</v>
      </c>
      <c r="B220" t="s">
        <v>730</v>
      </c>
      <c r="C220" t="s">
        <v>649</v>
      </c>
    </row>
    <row r="221" spans="1:9">
      <c r="A221" t="s">
        <v>663</v>
      </c>
      <c r="B221" t="s">
        <v>105</v>
      </c>
      <c r="C221" t="s">
        <v>105</v>
      </c>
    </row>
    <row r="222" spans="1:9">
      <c r="A222" t="s">
        <v>667</v>
      </c>
      <c r="B222" t="s">
        <v>663</v>
      </c>
      <c r="C222" t="s">
        <v>663</v>
      </c>
    </row>
    <row r="223" spans="1:9">
      <c r="A223" t="s">
        <v>659</v>
      </c>
      <c r="B223" t="s">
        <v>658</v>
      </c>
      <c r="C223" t="s">
        <v>658</v>
      </c>
    </row>
    <row r="224" spans="1:9">
      <c r="A224" t="s">
        <v>653</v>
      </c>
      <c r="B224" t="s">
        <v>659</v>
      </c>
      <c r="C224" t="s">
        <v>659</v>
      </c>
    </row>
    <row r="225" spans="1:9">
      <c r="A225" t="s">
        <v>664</v>
      </c>
      <c r="B225" t="s">
        <v>653</v>
      </c>
      <c r="C225" t="s">
        <v>653</v>
      </c>
    </row>
    <row r="226" spans="1:9">
      <c r="A226" t="s">
        <v>654</v>
      </c>
      <c r="B226" t="s">
        <v>664</v>
      </c>
      <c r="C226" t="s">
        <v>664</v>
      </c>
    </row>
    <row r="227" spans="1:9">
      <c r="B227" t="s">
        <v>654</v>
      </c>
      <c r="C227" t="s">
        <v>654</v>
      </c>
    </row>
    <row r="228" spans="1:9">
      <c r="A228" s="72"/>
      <c r="B228" s="72"/>
      <c r="C228" s="72"/>
      <c r="D228" s="72"/>
      <c r="E228" s="72"/>
      <c r="F228" s="72"/>
      <c r="G228" s="72"/>
      <c r="H228" s="72"/>
      <c r="I228" s="72"/>
    </row>
    <row r="229" spans="1:9">
      <c r="B229" t="s">
        <v>733</v>
      </c>
      <c r="G229" t="s">
        <v>737</v>
      </c>
    </row>
    <row r="230" spans="1:9">
      <c r="B230" t="s">
        <v>644</v>
      </c>
      <c r="G230" t="s">
        <v>644</v>
      </c>
    </row>
    <row r="231" spans="1:9">
      <c r="B231" t="s">
        <v>645</v>
      </c>
      <c r="G231" t="s">
        <v>645</v>
      </c>
    </row>
    <row r="232" spans="1:9">
      <c r="B232" t="s">
        <v>646</v>
      </c>
      <c r="G232" t="s">
        <v>646</v>
      </c>
    </row>
    <row r="233" spans="1:9">
      <c r="B233" t="s">
        <v>667</v>
      </c>
      <c r="G233" t="s">
        <v>648</v>
      </c>
    </row>
    <row r="234" spans="1:9">
      <c r="B234" t="s">
        <v>648</v>
      </c>
      <c r="G234" t="s">
        <v>647</v>
      </c>
    </row>
    <row r="235" spans="1:9">
      <c r="B235" t="s">
        <v>649</v>
      </c>
      <c r="G235" t="s">
        <v>649</v>
      </c>
    </row>
    <row r="236" spans="1:9">
      <c r="B236" t="s">
        <v>105</v>
      </c>
      <c r="G236" t="s">
        <v>105</v>
      </c>
    </row>
    <row r="237" spans="1:9">
      <c r="B237" t="s">
        <v>663</v>
      </c>
      <c r="G237" t="s">
        <v>663</v>
      </c>
    </row>
    <row r="238" spans="1:9">
      <c r="B238" t="s">
        <v>658</v>
      </c>
      <c r="G238" t="s">
        <v>658</v>
      </c>
    </row>
    <row r="239" spans="1:9">
      <c r="B239" t="s">
        <v>659</v>
      </c>
      <c r="G239" t="s">
        <v>659</v>
      </c>
    </row>
    <row r="240" spans="1:9">
      <c r="B240" t="s">
        <v>653</v>
      </c>
      <c r="G240" t="s">
        <v>653</v>
      </c>
    </row>
    <row r="241" spans="1:9">
      <c r="B241" t="s">
        <v>664</v>
      </c>
      <c r="G241" t="s">
        <v>664</v>
      </c>
    </row>
    <row r="242" spans="1:9">
      <c r="B242" t="s">
        <v>654</v>
      </c>
      <c r="G242" t="s">
        <v>654</v>
      </c>
    </row>
    <row r="243" spans="1:9">
      <c r="A243" s="72"/>
      <c r="B243" s="72"/>
      <c r="C243" s="72"/>
      <c r="D243" s="72"/>
      <c r="E243" s="72"/>
      <c r="F243" s="72"/>
      <c r="G243" s="72"/>
      <c r="H243" s="72"/>
      <c r="I243" s="72"/>
    </row>
    <row r="244" spans="1:9">
      <c r="B244" t="s">
        <v>739</v>
      </c>
    </row>
    <row r="245" spans="1:9">
      <c r="B245" t="s">
        <v>644</v>
      </c>
    </row>
    <row r="246" spans="1:9">
      <c r="B246" t="s">
        <v>645</v>
      </c>
    </row>
    <row r="247" spans="1:9">
      <c r="B247" t="s">
        <v>646</v>
      </c>
    </row>
    <row r="248" spans="1:9">
      <c r="B248" t="s">
        <v>648</v>
      </c>
    </row>
    <row r="249" spans="1:9">
      <c r="B249" t="s">
        <v>740</v>
      </c>
    </row>
    <row r="250" spans="1:9">
      <c r="B250" t="s">
        <v>649</v>
      </c>
    </row>
    <row r="251" spans="1:9">
      <c r="B251" t="s">
        <v>105</v>
      </c>
    </row>
    <row r="252" spans="1:9">
      <c r="B252" t="s">
        <v>663</v>
      </c>
    </row>
    <row r="253" spans="1:9">
      <c r="B253" t="s">
        <v>658</v>
      </c>
    </row>
    <row r="254" spans="1:9">
      <c r="B254" t="s">
        <v>659</v>
      </c>
    </row>
    <row r="255" spans="1:9">
      <c r="B255" t="s">
        <v>653</v>
      </c>
    </row>
    <row r="256" spans="1:9">
      <c r="B256" t="s">
        <v>664</v>
      </c>
    </row>
    <row r="257" spans="1:9">
      <c r="B257" t="s">
        <v>654</v>
      </c>
    </row>
    <row r="258" spans="1:9">
      <c r="A258" s="72"/>
      <c r="B258" s="72"/>
      <c r="C258" s="72"/>
      <c r="D258" s="72"/>
      <c r="E258" s="72"/>
      <c r="F258" s="72"/>
      <c r="G258" s="72"/>
      <c r="H258" s="72"/>
      <c r="I258" s="72"/>
    </row>
    <row r="259" spans="1:9">
      <c r="B259" t="s">
        <v>742</v>
      </c>
    </row>
    <row r="260" spans="1:9">
      <c r="B260" t="s">
        <v>644</v>
      </c>
    </row>
    <row r="261" spans="1:9">
      <c r="B261" t="s">
        <v>645</v>
      </c>
    </row>
    <row r="262" spans="1:9">
      <c r="B262" t="s">
        <v>646</v>
      </c>
    </row>
    <row r="263" spans="1:9">
      <c r="B263" t="s">
        <v>648</v>
      </c>
    </row>
    <row r="264" spans="1:9">
      <c r="B264" t="s">
        <v>667</v>
      </c>
    </row>
    <row r="265" spans="1:9">
      <c r="B265" t="s">
        <v>649</v>
      </c>
    </row>
    <row r="266" spans="1:9">
      <c r="B266" t="s">
        <v>105</v>
      </c>
    </row>
    <row r="267" spans="1:9">
      <c r="B267" t="s">
        <v>663</v>
      </c>
    </row>
    <row r="268" spans="1:9">
      <c r="B268" t="s">
        <v>658</v>
      </c>
    </row>
    <row r="269" spans="1:9">
      <c r="B269" t="s">
        <v>659</v>
      </c>
    </row>
    <row r="270" spans="1:9">
      <c r="B270" t="s">
        <v>653</v>
      </c>
    </row>
    <row r="271" spans="1:9">
      <c r="B271" t="s">
        <v>664</v>
      </c>
    </row>
    <row r="272" spans="1:9">
      <c r="B272" t="s">
        <v>654</v>
      </c>
    </row>
    <row r="273" spans="1:21">
      <c r="A273" s="72"/>
      <c r="B273" s="72"/>
      <c r="C273" s="72"/>
      <c r="D273" s="72"/>
      <c r="E273" s="72"/>
      <c r="F273" s="72"/>
      <c r="G273" s="72"/>
      <c r="H273" s="72"/>
      <c r="I273" s="72"/>
    </row>
    <row r="274" spans="1:21">
      <c r="A274" t="s">
        <v>745</v>
      </c>
      <c r="B274" t="s">
        <v>750</v>
      </c>
      <c r="G274" t="s">
        <v>748</v>
      </c>
    </row>
    <row r="275" spans="1:21" s="72" customFormat="1">
      <c r="A275" t="s">
        <v>644</v>
      </c>
      <c r="B275" t="s">
        <v>644</v>
      </c>
      <c r="C275"/>
      <c r="D275"/>
      <c r="E275"/>
      <c r="F275"/>
      <c r="G275" t="s">
        <v>644</v>
      </c>
      <c r="H275"/>
      <c r="I275"/>
      <c r="K275"/>
      <c r="L275"/>
      <c r="M275"/>
      <c r="N275"/>
      <c r="O275"/>
      <c r="P275"/>
      <c r="Q275"/>
      <c r="R275"/>
      <c r="S275"/>
      <c r="T275"/>
      <c r="U275" s="79"/>
    </row>
    <row r="276" spans="1:21">
      <c r="A276" t="s">
        <v>645</v>
      </c>
      <c r="B276" t="s">
        <v>645</v>
      </c>
      <c r="G276" t="s">
        <v>645</v>
      </c>
    </row>
    <row r="277" spans="1:21">
      <c r="A277" t="s">
        <v>646</v>
      </c>
      <c r="B277" t="s">
        <v>646</v>
      </c>
      <c r="G277" t="s">
        <v>647</v>
      </c>
    </row>
    <row r="278" spans="1:21">
      <c r="A278" t="s">
        <v>743</v>
      </c>
      <c r="B278" t="s">
        <v>743</v>
      </c>
      <c r="G278" t="s">
        <v>646</v>
      </c>
    </row>
    <row r="279" spans="1:21">
      <c r="A279" t="s">
        <v>744</v>
      </c>
      <c r="B279" t="s">
        <v>744</v>
      </c>
      <c r="G279" t="s">
        <v>743</v>
      </c>
    </row>
    <row r="280" spans="1:21">
      <c r="A280" t="s">
        <v>700</v>
      </c>
      <c r="B280" t="s">
        <v>648</v>
      </c>
      <c r="G280" t="s">
        <v>744</v>
      </c>
    </row>
    <row r="281" spans="1:21">
      <c r="A281" t="s">
        <v>701</v>
      </c>
      <c r="B281" t="s">
        <v>662</v>
      </c>
      <c r="G281" t="s">
        <v>648</v>
      </c>
    </row>
    <row r="282" spans="1:21">
      <c r="A282" t="s">
        <v>702</v>
      </c>
      <c r="B282" t="s">
        <v>649</v>
      </c>
      <c r="G282" t="s">
        <v>662</v>
      </c>
    </row>
    <row r="283" spans="1:21">
      <c r="A283" t="s">
        <v>703</v>
      </c>
      <c r="B283" t="s">
        <v>105</v>
      </c>
      <c r="G283" t="s">
        <v>649</v>
      </c>
    </row>
    <row r="284" spans="1:21">
      <c r="A284" t="s">
        <v>658</v>
      </c>
      <c r="B284" t="s">
        <v>663</v>
      </c>
      <c r="G284" t="s">
        <v>105</v>
      </c>
    </row>
    <row r="285" spans="1:21">
      <c r="A285" t="s">
        <v>659</v>
      </c>
      <c r="B285" t="s">
        <v>658</v>
      </c>
      <c r="G285" t="s">
        <v>663</v>
      </c>
    </row>
    <row r="286" spans="1:21">
      <c r="A286" t="s">
        <v>653</v>
      </c>
      <c r="B286" t="s">
        <v>659</v>
      </c>
      <c r="G286" t="s">
        <v>658</v>
      </c>
    </row>
    <row r="287" spans="1:21">
      <c r="A287" t="s">
        <v>664</v>
      </c>
      <c r="B287" t="s">
        <v>653</v>
      </c>
      <c r="G287" t="s">
        <v>659</v>
      </c>
    </row>
    <row r="288" spans="1:21">
      <c r="A288" t="s">
        <v>654</v>
      </c>
      <c r="B288" t="s">
        <v>664</v>
      </c>
      <c r="G288" t="s">
        <v>653</v>
      </c>
    </row>
    <row r="289" spans="1:9">
      <c r="B289" t="s">
        <v>654</v>
      </c>
      <c r="G289" t="s">
        <v>664</v>
      </c>
    </row>
    <row r="290" spans="1:9">
      <c r="G290" t="s">
        <v>654</v>
      </c>
    </row>
    <row r="291" spans="1:9">
      <c r="A291" s="72"/>
      <c r="B291" s="72"/>
      <c r="C291" s="72"/>
      <c r="D291" s="72"/>
      <c r="E291" s="72"/>
      <c r="F291" s="72"/>
      <c r="G291" s="72"/>
      <c r="H291" s="72"/>
      <c r="I291" s="72"/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AE76B-0272-404C-B9A5-195D18D47888}">
  <sheetPr codeName="Hoja15"/>
  <dimension ref="A1:G21"/>
  <sheetViews>
    <sheetView showGridLines="0" workbookViewId="0">
      <selection sqref="A1:G21"/>
    </sheetView>
  </sheetViews>
  <sheetFormatPr baseColWidth="10" defaultRowHeight="15"/>
  <cols>
    <col min="1" max="1" width="20.42578125" bestFit="1" customWidth="1"/>
    <col min="2" max="2" width="11.5703125" bestFit="1" customWidth="1"/>
    <col min="3" max="3" width="12" bestFit="1" customWidth="1"/>
    <col min="4" max="4" width="15.28515625" bestFit="1" customWidth="1"/>
    <col min="5" max="5" width="7.140625" bestFit="1" customWidth="1"/>
    <col min="6" max="6" width="9.140625" bestFit="1" customWidth="1"/>
    <col min="7" max="7" width="12.140625" bestFit="1" customWidth="1"/>
  </cols>
  <sheetData>
    <row r="1" spans="1:7">
      <c r="A1" t="s">
        <v>516</v>
      </c>
      <c r="B1" t="s">
        <v>661</v>
      </c>
      <c r="C1" t="s">
        <v>68</v>
      </c>
      <c r="D1" t="s">
        <v>66</v>
      </c>
      <c r="E1" t="s">
        <v>69</v>
      </c>
      <c r="F1" t="s">
        <v>779</v>
      </c>
      <c r="G1" t="s">
        <v>672</v>
      </c>
    </row>
    <row r="2" spans="1:7">
      <c r="A2" t="s">
        <v>4</v>
      </c>
      <c r="B2" t="s">
        <v>820</v>
      </c>
      <c r="C2" t="s">
        <v>821</v>
      </c>
      <c r="D2" t="s">
        <v>676</v>
      </c>
      <c r="E2">
        <v>1</v>
      </c>
    </row>
    <row r="3" spans="1:7">
      <c r="A3" t="s">
        <v>656</v>
      </c>
      <c r="G3">
        <v>0.58333333333333337</v>
      </c>
    </row>
    <row r="4" spans="1:7">
      <c r="A4" t="s">
        <v>696</v>
      </c>
      <c r="B4" t="s">
        <v>822</v>
      </c>
    </row>
    <row r="5" spans="1:7">
      <c r="A5" t="s">
        <v>114</v>
      </c>
      <c r="B5" t="s">
        <v>822</v>
      </c>
      <c r="C5" t="s">
        <v>751</v>
      </c>
      <c r="D5" t="s">
        <v>823</v>
      </c>
    </row>
    <row r="6" spans="1:7">
      <c r="A6" t="s">
        <v>118</v>
      </c>
      <c r="B6" t="s">
        <v>824</v>
      </c>
      <c r="C6" t="s">
        <v>825</v>
      </c>
      <c r="D6" t="s">
        <v>826</v>
      </c>
    </row>
    <row r="7" spans="1:7">
      <c r="A7" t="s">
        <v>346</v>
      </c>
      <c r="C7" t="s">
        <v>825</v>
      </c>
    </row>
    <row r="8" spans="1:7">
      <c r="A8" t="s">
        <v>455</v>
      </c>
      <c r="B8" t="s">
        <v>827</v>
      </c>
    </row>
    <row r="9" spans="1:7">
      <c r="A9" t="s">
        <v>116</v>
      </c>
      <c r="B9" t="s">
        <v>828</v>
      </c>
      <c r="C9" t="s">
        <v>829</v>
      </c>
      <c r="D9" t="s">
        <v>830</v>
      </c>
    </row>
    <row r="10" spans="1:7">
      <c r="A10" t="s">
        <v>488</v>
      </c>
      <c r="B10" t="s">
        <v>827</v>
      </c>
      <c r="C10" t="s">
        <v>831</v>
      </c>
      <c r="D10" t="s">
        <v>821</v>
      </c>
    </row>
    <row r="11" spans="1:7">
      <c r="A11" t="s">
        <v>111</v>
      </c>
      <c r="B11" t="s">
        <v>734</v>
      </c>
      <c r="C11" t="s">
        <v>735</v>
      </c>
      <c r="D11" t="s">
        <v>736</v>
      </c>
    </row>
    <row r="12" spans="1:7">
      <c r="A12" t="s">
        <v>448</v>
      </c>
      <c r="B12" t="s">
        <v>826</v>
      </c>
    </row>
    <row r="13" spans="1:7">
      <c r="A13" t="s">
        <v>460</v>
      </c>
      <c r="B13" t="s">
        <v>832</v>
      </c>
    </row>
    <row r="14" spans="1:7">
      <c r="A14" t="s">
        <v>119</v>
      </c>
      <c r="B14" t="s">
        <v>783</v>
      </c>
      <c r="C14" t="s">
        <v>820</v>
      </c>
      <c r="D14" t="s">
        <v>782</v>
      </c>
    </row>
    <row r="15" spans="1:7">
      <c r="A15" t="s">
        <v>115</v>
      </c>
      <c r="G15">
        <v>0.7</v>
      </c>
    </row>
    <row r="16" spans="1:7">
      <c r="A16" t="s">
        <v>109</v>
      </c>
      <c r="G16">
        <v>0.16250000000000001</v>
      </c>
    </row>
    <row r="17" spans="1:6">
      <c r="A17" t="s">
        <v>833</v>
      </c>
      <c r="F17">
        <v>0.6</v>
      </c>
    </row>
    <row r="18" spans="1:6">
      <c r="A18" t="s">
        <v>834</v>
      </c>
      <c r="B18" t="s">
        <v>826</v>
      </c>
    </row>
    <row r="19" spans="1:6">
      <c r="A19" t="s">
        <v>345</v>
      </c>
      <c r="B19" t="s">
        <v>820</v>
      </c>
      <c r="C19" t="s">
        <v>835</v>
      </c>
      <c r="D19" t="s">
        <v>832</v>
      </c>
    </row>
    <row r="20" spans="1:6">
      <c r="A20" t="s">
        <v>13</v>
      </c>
      <c r="D20" t="s">
        <v>831</v>
      </c>
    </row>
    <row r="21" spans="1:6">
      <c r="A21" t="s">
        <v>348</v>
      </c>
      <c r="C21" t="s">
        <v>808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DCD66-D82B-458F-AD93-919189388FC7}">
  <sheetPr codeName="Hoja11"/>
  <dimension ref="A1:AG69"/>
  <sheetViews>
    <sheetView showGridLines="0" zoomScale="62" zoomScaleNormal="80" workbookViewId="0">
      <pane xSplit="1" ySplit="5" topLeftCell="B9" activePane="bottomRight" state="frozen"/>
      <selection pane="topRight" activeCell="B1" sqref="B1"/>
      <selection pane="bottomLeft" activeCell="A6" sqref="A6"/>
      <selection pane="bottomRight" activeCell="E54" sqref="E54"/>
    </sheetView>
  </sheetViews>
  <sheetFormatPr baseColWidth="10" defaultRowHeight="15"/>
  <cols>
    <col min="1" max="1" width="14.28515625" customWidth="1"/>
    <col min="2" max="2" width="33.5703125" style="6" bestFit="1" customWidth="1"/>
    <col min="3" max="3" width="24.140625" style="12" bestFit="1" customWidth="1"/>
    <col min="4" max="4" width="20" style="12" bestFit="1" customWidth="1"/>
    <col min="5" max="5" width="20.140625" bestFit="1" customWidth="1"/>
    <col min="6" max="6" width="20.7109375" customWidth="1"/>
    <col min="7" max="7" width="13.85546875" bestFit="1" customWidth="1"/>
    <col min="8" max="8" width="15.85546875" bestFit="1" customWidth="1"/>
    <col min="9" max="9" width="16.5703125" bestFit="1" customWidth="1"/>
    <col min="10" max="10" width="15.7109375" bestFit="1" customWidth="1"/>
    <col min="11" max="11" width="14.85546875" bestFit="1" customWidth="1"/>
    <col min="12" max="12" width="13.42578125" bestFit="1" customWidth="1"/>
    <col min="13" max="13" width="18" bestFit="1" customWidth="1"/>
    <col min="14" max="14" width="16.42578125" bestFit="1" customWidth="1"/>
    <col min="15" max="15" width="23.5703125" customWidth="1"/>
    <col min="16" max="16" width="70.42578125" customWidth="1"/>
    <col min="17" max="17" width="22.42578125" bestFit="1" customWidth="1"/>
    <col min="18" max="18" width="20.5703125" bestFit="1" customWidth="1"/>
    <col min="19" max="20" width="21.5703125" customWidth="1"/>
    <col min="21" max="21" width="16.42578125" customWidth="1"/>
    <col min="22" max="22" width="18.140625" customWidth="1"/>
    <col min="23" max="23" width="29.140625" customWidth="1"/>
    <col min="24" max="24" width="19.5703125" customWidth="1"/>
    <col min="25" max="25" width="13.42578125" bestFit="1" customWidth="1"/>
    <col min="26" max="26" width="12" bestFit="1" customWidth="1"/>
    <col min="27" max="27" width="15.42578125" bestFit="1" customWidth="1"/>
    <col min="28" max="28" width="16" bestFit="1" customWidth="1"/>
    <col min="33" max="33" width="11.7109375" style="12" bestFit="1" customWidth="1"/>
    <col min="34" max="34" width="14.85546875" bestFit="1" customWidth="1"/>
  </cols>
  <sheetData>
    <row r="1" spans="1:33">
      <c r="A1" s="15"/>
    </row>
    <row r="2" spans="1:33" ht="30.75">
      <c r="A2" s="51" t="s">
        <v>432</v>
      </c>
      <c r="B2" s="32" t="s">
        <v>433</v>
      </c>
      <c r="F2" s="36" t="s">
        <v>131</v>
      </c>
      <c r="Q2" s="16"/>
      <c r="R2" s="6"/>
      <c r="S2" s="6"/>
      <c r="T2" s="6"/>
      <c r="U2" s="6"/>
      <c r="AB2" t="s">
        <v>131</v>
      </c>
    </row>
    <row r="3" spans="1:33">
      <c r="E3" s="6"/>
    </row>
    <row r="4" spans="1:33">
      <c r="B4" s="6" t="s">
        <v>627</v>
      </c>
      <c r="P4" s="6"/>
      <c r="Q4" s="12"/>
      <c r="R4" s="12"/>
      <c r="S4" s="12"/>
    </row>
    <row r="5" spans="1:33" ht="30">
      <c r="B5" s="4" t="s">
        <v>17</v>
      </c>
      <c r="C5" s="4" t="s">
        <v>18</v>
      </c>
      <c r="D5" s="4" t="s">
        <v>43</v>
      </c>
      <c r="E5" s="4" t="s">
        <v>436</v>
      </c>
      <c r="F5" s="4" t="s">
        <v>437</v>
      </c>
      <c r="G5" s="4" t="s">
        <v>426</v>
      </c>
      <c r="H5" s="4" t="s">
        <v>19</v>
      </c>
      <c r="I5" s="4" t="s">
        <v>20</v>
      </c>
      <c r="J5" s="4" t="s">
        <v>193</v>
      </c>
      <c r="K5" s="4" t="s">
        <v>173</v>
      </c>
      <c r="L5" s="4" t="s">
        <v>174</v>
      </c>
      <c r="M5" s="4" t="s">
        <v>192</v>
      </c>
      <c r="N5" s="4" t="s">
        <v>194</v>
      </c>
      <c r="S5" s="12"/>
      <c r="AG5"/>
    </row>
    <row r="6" spans="1:33">
      <c r="B6" s="7" t="s">
        <v>175</v>
      </c>
      <c r="C6" s="5" t="s">
        <v>520</v>
      </c>
      <c r="D6" s="5"/>
      <c r="E6" s="45">
        <v>100</v>
      </c>
      <c r="F6" s="48"/>
      <c r="G6" s="10" t="s">
        <v>427</v>
      </c>
      <c r="H6" s="10" t="s">
        <v>39</v>
      </c>
      <c r="I6" s="10"/>
      <c r="J6" s="2"/>
      <c r="K6" s="3"/>
      <c r="L6" s="3"/>
      <c r="M6" s="10"/>
      <c r="N6" s="3"/>
      <c r="S6" s="12"/>
      <c r="AG6"/>
    </row>
    <row r="7" spans="1:33">
      <c r="B7" s="7" t="s">
        <v>176</v>
      </c>
      <c r="C7" s="5" t="s">
        <v>377</v>
      </c>
      <c r="D7" s="5"/>
      <c r="E7" s="45">
        <v>4000</v>
      </c>
      <c r="F7" s="48"/>
      <c r="G7" s="10" t="s">
        <v>427</v>
      </c>
      <c r="H7" s="10" t="s">
        <v>36</v>
      </c>
      <c r="I7" s="10"/>
      <c r="J7" s="2"/>
      <c r="K7" s="3"/>
      <c r="L7" s="3"/>
      <c r="M7" s="10"/>
      <c r="N7" s="3"/>
      <c r="S7" s="12"/>
      <c r="AG7"/>
    </row>
    <row r="8" spans="1:33">
      <c r="B8" s="7" t="s">
        <v>177</v>
      </c>
      <c r="C8" t="s">
        <v>93</v>
      </c>
      <c r="D8" s="5"/>
      <c r="E8" s="46">
        <v>1500</v>
      </c>
      <c r="F8" s="49"/>
      <c r="G8" s="10" t="s">
        <v>427</v>
      </c>
      <c r="H8" s="2"/>
      <c r="I8" s="2"/>
      <c r="J8" s="2"/>
      <c r="K8" s="3"/>
      <c r="L8" s="3"/>
      <c r="M8" s="10"/>
      <c r="N8" s="3"/>
      <c r="S8" s="12"/>
      <c r="AG8"/>
    </row>
    <row r="9" spans="1:33">
      <c r="B9" s="7" t="s">
        <v>178</v>
      </c>
      <c r="C9" t="s">
        <v>379</v>
      </c>
      <c r="D9" s="5"/>
      <c r="E9" s="46">
        <v>1800</v>
      </c>
      <c r="F9" s="49"/>
      <c r="G9" s="10" t="s">
        <v>427</v>
      </c>
      <c r="H9" s="2"/>
      <c r="I9" s="2"/>
      <c r="J9" s="2"/>
      <c r="K9" s="3"/>
      <c r="L9" s="3"/>
      <c r="M9" s="10"/>
      <c r="N9" s="3"/>
      <c r="S9" s="12"/>
      <c r="AG9"/>
    </row>
    <row r="10" spans="1:33">
      <c r="B10" s="7" t="s">
        <v>179</v>
      </c>
      <c r="C10" s="5" t="s">
        <v>380</v>
      </c>
      <c r="D10" s="5"/>
      <c r="E10" s="45">
        <v>1300</v>
      </c>
      <c r="F10" s="48"/>
      <c r="G10" s="10" t="s">
        <v>427</v>
      </c>
      <c r="H10" s="10" t="s">
        <v>35</v>
      </c>
      <c r="I10" s="10"/>
      <c r="J10" s="2"/>
      <c r="K10" s="3"/>
      <c r="L10" s="3"/>
      <c r="M10" s="10"/>
      <c r="N10" s="3"/>
      <c r="R10" s="8"/>
      <c r="S10" s="1"/>
      <c r="T10" s="8"/>
      <c r="U10" s="8"/>
      <c r="AG10"/>
    </row>
    <row r="11" spans="1:33">
      <c r="B11" s="7" t="s">
        <v>180</v>
      </c>
      <c r="C11" t="s">
        <v>378</v>
      </c>
      <c r="D11" s="5"/>
      <c r="E11" s="46">
        <v>6000</v>
      </c>
      <c r="F11" s="49"/>
      <c r="G11" s="10" t="s">
        <v>427</v>
      </c>
      <c r="H11" s="2"/>
      <c r="I11" s="2"/>
      <c r="J11" s="2"/>
      <c r="K11" s="3"/>
      <c r="L11" s="3"/>
      <c r="M11" s="10"/>
      <c r="N11" s="3"/>
      <c r="S11" s="12"/>
      <c r="AG11"/>
    </row>
    <row r="12" spans="1:33">
      <c r="B12" s="7" t="s">
        <v>181</v>
      </c>
      <c r="C12" s="5" t="s">
        <v>40</v>
      </c>
      <c r="D12" s="5"/>
      <c r="E12" s="45">
        <v>1400</v>
      </c>
      <c r="F12" s="48"/>
      <c r="G12" s="10" t="s">
        <v>427</v>
      </c>
      <c r="H12" s="10" t="s">
        <v>41</v>
      </c>
      <c r="I12" s="10"/>
      <c r="J12" s="2"/>
      <c r="K12" s="3"/>
      <c r="L12" s="3"/>
      <c r="M12" s="10"/>
      <c r="N12" s="3"/>
      <c r="S12" s="12"/>
      <c r="AG12"/>
    </row>
    <row r="13" spans="1:33">
      <c r="B13" s="7" t="s">
        <v>182</v>
      </c>
      <c r="C13" s="5" t="s">
        <v>37</v>
      </c>
      <c r="D13" s="5"/>
      <c r="E13" s="45">
        <v>250</v>
      </c>
      <c r="F13" s="48"/>
      <c r="G13" s="10" t="s">
        <v>427</v>
      </c>
      <c r="H13" s="10" t="s">
        <v>38</v>
      </c>
      <c r="I13" s="10"/>
      <c r="J13" s="2"/>
      <c r="K13" s="3"/>
      <c r="L13" s="3"/>
      <c r="M13" s="10"/>
      <c r="N13" s="3"/>
      <c r="S13" s="12"/>
      <c r="AG13"/>
    </row>
    <row r="14" spans="1:33">
      <c r="B14" s="7" t="s">
        <v>183</v>
      </c>
      <c r="C14" s="5" t="s">
        <v>32</v>
      </c>
      <c r="D14" s="5"/>
      <c r="E14" s="45">
        <v>250</v>
      </c>
      <c r="F14" s="48"/>
      <c r="G14" s="10" t="s">
        <v>427</v>
      </c>
      <c r="H14" s="10" t="s">
        <v>33</v>
      </c>
      <c r="I14" s="10"/>
      <c r="J14" s="2"/>
      <c r="K14" s="3"/>
      <c r="L14" s="3"/>
      <c r="M14" s="10"/>
      <c r="N14" s="3"/>
      <c r="S14" s="12"/>
      <c r="AG14"/>
    </row>
    <row r="15" spans="1:33">
      <c r="B15" s="7" t="s">
        <v>184</v>
      </c>
      <c r="C15" s="5" t="s">
        <v>521</v>
      </c>
      <c r="D15" s="5"/>
      <c r="E15" s="45">
        <v>120</v>
      </c>
      <c r="F15" s="48"/>
      <c r="G15" s="10" t="s">
        <v>427</v>
      </c>
      <c r="H15" s="10" t="s">
        <v>41</v>
      </c>
      <c r="I15" s="10"/>
      <c r="J15" s="2"/>
      <c r="K15" s="3"/>
      <c r="L15" s="3"/>
      <c r="M15" s="10"/>
      <c r="N15" s="3"/>
      <c r="S15" s="12"/>
      <c r="AG15"/>
    </row>
    <row r="16" spans="1:33" ht="30">
      <c r="B16" s="7" t="s">
        <v>185</v>
      </c>
      <c r="C16" s="5" t="s">
        <v>381</v>
      </c>
      <c r="D16" s="5"/>
      <c r="E16" s="45">
        <v>4.4000000000000004</v>
      </c>
      <c r="F16" s="48"/>
      <c r="G16" s="10" t="s">
        <v>428</v>
      </c>
      <c r="H16" s="10" t="s">
        <v>382</v>
      </c>
      <c r="I16" s="10"/>
      <c r="J16" s="2"/>
      <c r="K16" s="3"/>
      <c r="L16" s="3"/>
      <c r="M16" s="10"/>
      <c r="N16" s="3"/>
      <c r="S16" s="12"/>
      <c r="AG16"/>
    </row>
    <row r="17" spans="2:33">
      <c r="B17" s="7" t="s">
        <v>186</v>
      </c>
      <c r="C17" t="s">
        <v>318</v>
      </c>
      <c r="D17" s="5"/>
      <c r="E17" s="46">
        <v>3.9</v>
      </c>
      <c r="F17" s="49"/>
      <c r="G17" s="10" t="s">
        <v>428</v>
      </c>
      <c r="H17" s="2" t="s">
        <v>383</v>
      </c>
      <c r="I17" s="2"/>
      <c r="J17" s="2"/>
      <c r="K17" s="3"/>
      <c r="L17" s="3"/>
      <c r="M17" s="10"/>
      <c r="N17" s="3"/>
      <c r="S17" s="12"/>
      <c r="AG17"/>
    </row>
    <row r="18" spans="2:33">
      <c r="B18" s="7" t="s">
        <v>187</v>
      </c>
      <c r="C18" t="s">
        <v>315</v>
      </c>
      <c r="D18" s="5"/>
      <c r="E18" s="46">
        <v>2.2999999999999998</v>
      </c>
      <c r="F18" s="49">
        <v>1.8</v>
      </c>
      <c r="G18" s="10" t="s">
        <v>428</v>
      </c>
      <c r="H18" s="2" t="s">
        <v>383</v>
      </c>
      <c r="I18" s="2"/>
      <c r="J18" s="2"/>
      <c r="K18" s="3"/>
      <c r="L18" s="3"/>
      <c r="M18" s="10"/>
      <c r="N18" s="3"/>
      <c r="S18" s="12"/>
      <c r="AG18"/>
    </row>
    <row r="19" spans="2:33">
      <c r="B19" s="7" t="s">
        <v>188</v>
      </c>
      <c r="C19" t="s">
        <v>317</v>
      </c>
      <c r="D19" s="5"/>
      <c r="E19" s="46"/>
      <c r="F19" s="49"/>
      <c r="G19" s="10" t="s">
        <v>428</v>
      </c>
      <c r="H19" s="2"/>
      <c r="I19" s="2"/>
      <c r="J19" s="2"/>
      <c r="K19" s="3"/>
      <c r="L19" s="3"/>
      <c r="M19" s="10"/>
      <c r="N19" s="3"/>
      <c r="S19" s="12"/>
      <c r="AG19"/>
    </row>
    <row r="20" spans="2:33">
      <c r="B20" s="7" t="s">
        <v>189</v>
      </c>
      <c r="C20" t="s">
        <v>313</v>
      </c>
      <c r="D20" s="5"/>
      <c r="E20" s="46">
        <v>2.5</v>
      </c>
      <c r="F20" s="49">
        <v>1.95</v>
      </c>
      <c r="G20" s="10" t="s">
        <v>428</v>
      </c>
      <c r="H20" s="2"/>
      <c r="I20" s="2"/>
      <c r="J20" s="2"/>
      <c r="K20" s="3"/>
      <c r="L20" s="3"/>
      <c r="M20" s="10"/>
      <c r="N20" s="3"/>
      <c r="S20" s="12"/>
      <c r="AG20"/>
    </row>
    <row r="21" spans="2:33">
      <c r="B21" s="7" t="s">
        <v>190</v>
      </c>
      <c r="C21" t="s">
        <v>384</v>
      </c>
      <c r="D21" s="5"/>
      <c r="E21" s="46">
        <v>3.7</v>
      </c>
      <c r="F21" s="49"/>
      <c r="G21" s="10" t="s">
        <v>428</v>
      </c>
      <c r="H21" s="2"/>
      <c r="I21" s="2"/>
      <c r="J21" s="2"/>
      <c r="K21" s="3"/>
      <c r="L21" s="3"/>
      <c r="M21" s="10"/>
      <c r="N21" s="3"/>
      <c r="S21" s="12"/>
      <c r="AG21"/>
    </row>
    <row r="22" spans="2:33">
      <c r="B22" s="7" t="s">
        <v>191</v>
      </c>
      <c r="C22" t="s">
        <v>406</v>
      </c>
      <c r="D22" s="5"/>
      <c r="E22" s="46">
        <v>1.5</v>
      </c>
      <c r="F22" s="48"/>
      <c r="G22" s="10" t="s">
        <v>428</v>
      </c>
      <c r="H22" s="2"/>
      <c r="I22" s="2"/>
      <c r="J22" s="2"/>
      <c r="K22" s="3"/>
      <c r="L22" s="3"/>
      <c r="M22" s="10"/>
      <c r="N22" s="3"/>
      <c r="S22" s="12"/>
      <c r="AG22"/>
    </row>
    <row r="23" spans="2:33">
      <c r="B23" s="7" t="s">
        <v>323</v>
      </c>
      <c r="C23" t="s">
        <v>320</v>
      </c>
      <c r="D23" s="5"/>
      <c r="E23" s="46">
        <v>3.5</v>
      </c>
      <c r="F23" s="49"/>
      <c r="G23" s="10" t="s">
        <v>428</v>
      </c>
      <c r="H23" s="2"/>
      <c r="I23" s="2"/>
      <c r="J23" s="2"/>
      <c r="K23" s="3"/>
      <c r="L23" s="3"/>
      <c r="M23" s="10"/>
      <c r="N23" s="3"/>
      <c r="S23" s="12"/>
      <c r="AG23"/>
    </row>
    <row r="24" spans="2:33" ht="30">
      <c r="B24" s="7" t="s">
        <v>324</v>
      </c>
      <c r="C24" t="s">
        <v>321</v>
      </c>
      <c r="D24" s="5"/>
      <c r="E24" s="46">
        <v>4</v>
      </c>
      <c r="F24" s="49"/>
      <c r="G24" s="10" t="s">
        <v>428</v>
      </c>
      <c r="H24" s="2" t="s">
        <v>385</v>
      </c>
      <c r="I24" s="2"/>
      <c r="J24" s="2"/>
      <c r="K24" s="3"/>
      <c r="L24" s="3"/>
      <c r="M24" s="10"/>
      <c r="N24" s="3"/>
      <c r="S24" s="12"/>
      <c r="AG24"/>
    </row>
    <row r="25" spans="2:33">
      <c r="B25" s="7" t="s">
        <v>325</v>
      </c>
      <c r="C25" s="5" t="s">
        <v>387</v>
      </c>
      <c r="D25" s="5"/>
      <c r="E25" s="46">
        <v>5.95</v>
      </c>
      <c r="F25" s="48"/>
      <c r="G25" s="10" t="s">
        <v>428</v>
      </c>
      <c r="H25" s="2"/>
      <c r="I25" s="2"/>
      <c r="J25" s="2"/>
      <c r="K25" s="3"/>
      <c r="L25" s="3"/>
      <c r="M25" s="10"/>
      <c r="N25" s="3"/>
      <c r="S25" s="12"/>
      <c r="AG25"/>
    </row>
    <row r="26" spans="2:33">
      <c r="B26" s="7" t="s">
        <v>326</v>
      </c>
      <c r="C26" s="5" t="s">
        <v>388</v>
      </c>
      <c r="D26" s="5"/>
      <c r="E26" s="45">
        <v>3.8</v>
      </c>
      <c r="F26" s="48"/>
      <c r="G26" s="10" t="s">
        <v>428</v>
      </c>
      <c r="H26" s="10"/>
      <c r="I26" s="10"/>
      <c r="J26" s="2"/>
      <c r="K26" s="3"/>
      <c r="L26" s="3"/>
      <c r="M26" s="10"/>
      <c r="N26" s="3"/>
      <c r="S26" s="12"/>
      <c r="AG26"/>
    </row>
    <row r="27" spans="2:33">
      <c r="B27" s="7" t="s">
        <v>327</v>
      </c>
      <c r="C27" s="5" t="s">
        <v>386</v>
      </c>
      <c r="D27" s="5"/>
      <c r="E27" s="45">
        <v>2.5</v>
      </c>
      <c r="F27" s="48"/>
      <c r="G27" s="10" t="s">
        <v>428</v>
      </c>
      <c r="H27" s="10" t="s">
        <v>24</v>
      </c>
      <c r="I27" s="10"/>
      <c r="J27" s="2"/>
      <c r="K27" s="3"/>
      <c r="L27" s="3"/>
      <c r="M27" s="10"/>
      <c r="N27" s="3"/>
      <c r="S27" s="12"/>
      <c r="AG27"/>
    </row>
    <row r="28" spans="2:33">
      <c r="B28" s="7" t="s">
        <v>328</v>
      </c>
      <c r="C28" s="5" t="s">
        <v>389</v>
      </c>
      <c r="D28" s="5"/>
      <c r="E28" s="45">
        <v>5.8</v>
      </c>
      <c r="F28" s="48"/>
      <c r="G28" s="10" t="s">
        <v>428</v>
      </c>
      <c r="H28" s="10"/>
      <c r="I28" s="10"/>
      <c r="J28" s="2"/>
      <c r="K28" s="3"/>
      <c r="L28" s="3"/>
      <c r="M28" s="10"/>
      <c r="N28" s="3"/>
      <c r="S28" s="12"/>
      <c r="AG28"/>
    </row>
    <row r="29" spans="2:33">
      <c r="B29" s="7" t="s">
        <v>329</v>
      </c>
      <c r="C29" t="s">
        <v>403</v>
      </c>
      <c r="D29" s="5"/>
      <c r="E29" s="46">
        <v>1.5</v>
      </c>
      <c r="F29" s="49"/>
      <c r="G29" s="10" t="s">
        <v>428</v>
      </c>
      <c r="H29" s="2"/>
      <c r="I29" s="2"/>
      <c r="J29" s="2"/>
      <c r="K29" s="3"/>
      <c r="L29" s="3"/>
      <c r="M29" s="10"/>
      <c r="N29" s="3"/>
      <c r="S29" s="12"/>
      <c r="AG29"/>
    </row>
    <row r="30" spans="2:33">
      <c r="B30" s="7" t="s">
        <v>330</v>
      </c>
      <c r="C30" s="5" t="s">
        <v>423</v>
      </c>
      <c r="D30" s="5"/>
      <c r="E30" s="45">
        <v>2</v>
      </c>
      <c r="F30" s="48"/>
      <c r="G30" s="10" t="s">
        <v>428</v>
      </c>
      <c r="H30" s="10"/>
      <c r="I30" s="10"/>
      <c r="J30" s="2"/>
      <c r="K30" s="3"/>
      <c r="L30" s="3"/>
      <c r="M30" s="10"/>
      <c r="N30" s="3"/>
      <c r="S30" s="12"/>
      <c r="AG30"/>
    </row>
    <row r="31" spans="2:33">
      <c r="B31" s="7" t="s">
        <v>331</v>
      </c>
      <c r="C31" s="5" t="s">
        <v>30</v>
      </c>
      <c r="D31" s="5"/>
      <c r="E31" s="45">
        <v>1.5</v>
      </c>
      <c r="F31" s="48"/>
      <c r="G31" s="10" t="s">
        <v>428</v>
      </c>
      <c r="H31" s="10" t="s">
        <v>31</v>
      </c>
      <c r="I31" s="10"/>
      <c r="J31" s="2"/>
      <c r="K31" s="3"/>
      <c r="L31" s="3"/>
      <c r="M31" s="10"/>
      <c r="N31" s="3"/>
      <c r="S31" s="12"/>
      <c r="AG31"/>
    </row>
    <row r="32" spans="2:33">
      <c r="B32" s="7" t="s">
        <v>332</v>
      </c>
      <c r="C32" t="s">
        <v>314</v>
      </c>
      <c r="D32" s="5"/>
      <c r="E32" s="46"/>
      <c r="F32" s="49"/>
      <c r="G32" s="10" t="s">
        <v>428</v>
      </c>
      <c r="H32" s="2"/>
      <c r="I32" s="2"/>
      <c r="J32" s="2"/>
      <c r="K32" s="3"/>
      <c r="L32" s="3"/>
      <c r="M32" s="10"/>
      <c r="N32" s="3"/>
      <c r="S32" s="12"/>
      <c r="AG32"/>
    </row>
    <row r="33" spans="2:33">
      <c r="B33" s="7" t="s">
        <v>333</v>
      </c>
      <c r="C33" t="s">
        <v>397</v>
      </c>
      <c r="D33" s="5"/>
      <c r="E33" s="46">
        <v>2.5</v>
      </c>
      <c r="F33" s="48"/>
      <c r="G33" s="10" t="s">
        <v>428</v>
      </c>
      <c r="H33" s="2"/>
      <c r="I33" s="2"/>
      <c r="J33" s="2"/>
      <c r="K33" s="3"/>
      <c r="L33" s="3"/>
      <c r="M33" s="10"/>
      <c r="N33" s="3"/>
      <c r="S33" s="12"/>
      <c r="AG33"/>
    </row>
    <row r="34" spans="2:33">
      <c r="B34" s="7" t="s">
        <v>334</v>
      </c>
      <c r="C34" t="s">
        <v>390</v>
      </c>
      <c r="D34" s="5"/>
      <c r="E34" s="46">
        <v>1.95</v>
      </c>
      <c r="F34" s="49"/>
      <c r="G34" s="10" t="s">
        <v>428</v>
      </c>
      <c r="H34" s="2"/>
      <c r="I34" s="2"/>
      <c r="J34" s="2"/>
      <c r="K34" s="3"/>
      <c r="L34" s="3"/>
      <c r="M34" s="10"/>
      <c r="N34" s="3"/>
      <c r="S34" s="12"/>
      <c r="AG34"/>
    </row>
    <row r="35" spans="2:33">
      <c r="B35" s="7" t="s">
        <v>335</v>
      </c>
      <c r="C35" s="5" t="s">
        <v>27</v>
      </c>
      <c r="D35" s="5"/>
      <c r="E35" s="45">
        <v>3.9</v>
      </c>
      <c r="F35" s="48"/>
      <c r="G35" s="10" t="s">
        <v>428</v>
      </c>
      <c r="H35" s="10" t="s">
        <v>28</v>
      </c>
      <c r="I35" s="10"/>
      <c r="J35" s="2"/>
      <c r="K35" s="3"/>
      <c r="L35" s="3"/>
      <c r="M35" s="10"/>
      <c r="N35" s="3"/>
      <c r="S35" s="12"/>
      <c r="AG35"/>
    </row>
    <row r="36" spans="2:33">
      <c r="B36" s="7" t="s">
        <v>336</v>
      </c>
      <c r="C36" s="5" t="s">
        <v>394</v>
      </c>
      <c r="D36" s="5"/>
      <c r="E36" s="45">
        <v>4.9000000000000004</v>
      </c>
      <c r="F36" s="48"/>
      <c r="G36" s="10" t="s">
        <v>428</v>
      </c>
      <c r="H36" s="10"/>
      <c r="I36" s="10"/>
      <c r="J36" s="2"/>
      <c r="K36" s="3"/>
      <c r="L36" s="3"/>
      <c r="M36" s="10"/>
      <c r="N36" s="3"/>
      <c r="S36" s="12"/>
      <c r="AG36"/>
    </row>
    <row r="37" spans="2:33">
      <c r="B37" s="7" t="s">
        <v>337</v>
      </c>
      <c r="C37" s="5" t="s">
        <v>21</v>
      </c>
      <c r="D37" s="5"/>
      <c r="E37" s="45">
        <v>2.2999999999999998</v>
      </c>
      <c r="F37" s="48">
        <v>1.2</v>
      </c>
      <c r="G37" s="10" t="s">
        <v>428</v>
      </c>
      <c r="H37" s="10" t="s">
        <v>23</v>
      </c>
      <c r="I37" s="10"/>
      <c r="J37" s="2"/>
      <c r="K37" s="3"/>
      <c r="L37" s="3"/>
      <c r="M37" s="10"/>
      <c r="N37" s="3"/>
      <c r="S37" s="12"/>
      <c r="AG37"/>
    </row>
    <row r="38" spans="2:33">
      <c r="B38" s="7" t="s">
        <v>338</v>
      </c>
      <c r="C38" t="s">
        <v>405</v>
      </c>
      <c r="D38" s="5"/>
      <c r="E38" s="46">
        <v>7.5</v>
      </c>
      <c r="F38" s="48"/>
      <c r="G38" s="10" t="s">
        <v>428</v>
      </c>
      <c r="H38" s="2"/>
      <c r="I38" s="2"/>
      <c r="J38" s="2"/>
      <c r="K38" s="3"/>
      <c r="L38" s="3"/>
      <c r="M38" s="10"/>
      <c r="N38" s="3"/>
      <c r="S38" s="12"/>
      <c r="AG38"/>
    </row>
    <row r="39" spans="2:33">
      <c r="B39" s="7" t="s">
        <v>339</v>
      </c>
      <c r="C39" t="s">
        <v>319</v>
      </c>
      <c r="D39" s="5"/>
      <c r="E39" s="46">
        <v>5.5</v>
      </c>
      <c r="F39" s="49">
        <v>4</v>
      </c>
      <c r="G39" s="10" t="s">
        <v>428</v>
      </c>
      <c r="H39" s="2"/>
      <c r="I39" s="2"/>
      <c r="J39" s="2"/>
      <c r="K39" s="3"/>
      <c r="L39" s="3"/>
      <c r="M39" s="10"/>
      <c r="N39" s="3"/>
      <c r="S39" s="12"/>
      <c r="AG39"/>
    </row>
    <row r="40" spans="2:33">
      <c r="B40" s="7" t="s">
        <v>340</v>
      </c>
      <c r="C40" t="s">
        <v>316</v>
      </c>
      <c r="D40" s="5"/>
      <c r="E40" s="46">
        <v>4</v>
      </c>
      <c r="F40" s="49"/>
      <c r="G40" s="10" t="s">
        <v>428</v>
      </c>
      <c r="H40" s="2"/>
      <c r="I40" s="2"/>
      <c r="J40" s="2"/>
      <c r="K40" s="3"/>
      <c r="L40" s="3"/>
      <c r="M40" s="10"/>
      <c r="N40" s="3"/>
      <c r="S40" s="12"/>
      <c r="AG40"/>
    </row>
    <row r="41" spans="2:33">
      <c r="B41" s="7" t="s">
        <v>341</v>
      </c>
      <c r="C41" t="s">
        <v>322</v>
      </c>
      <c r="D41" s="5"/>
      <c r="E41" s="46">
        <v>2.95</v>
      </c>
      <c r="F41" s="49"/>
      <c r="G41" s="10" t="s">
        <v>428</v>
      </c>
      <c r="H41" s="2"/>
      <c r="I41" s="2"/>
      <c r="J41" s="2"/>
      <c r="K41" s="3"/>
      <c r="L41" s="3"/>
      <c r="M41" s="10"/>
      <c r="N41" s="3"/>
      <c r="S41" s="12"/>
      <c r="AG41"/>
    </row>
    <row r="42" spans="2:33">
      <c r="B42" s="7" t="s">
        <v>342</v>
      </c>
      <c r="C42" t="s">
        <v>404</v>
      </c>
      <c r="D42" s="5"/>
      <c r="E42" s="46">
        <v>3.5</v>
      </c>
      <c r="F42" s="48"/>
      <c r="G42" s="10" t="s">
        <v>428</v>
      </c>
      <c r="H42" s="2"/>
      <c r="I42" s="2"/>
      <c r="J42" s="2"/>
      <c r="K42" s="3"/>
      <c r="L42" s="3"/>
      <c r="M42" s="10"/>
      <c r="N42" s="3"/>
      <c r="S42" s="12"/>
      <c r="AG42"/>
    </row>
    <row r="43" spans="2:33">
      <c r="B43" s="7" t="s">
        <v>343</v>
      </c>
      <c r="C43" t="s">
        <v>407</v>
      </c>
      <c r="D43" s="5"/>
      <c r="E43" s="46">
        <v>2.5</v>
      </c>
      <c r="F43" s="48"/>
      <c r="G43" s="10" t="s">
        <v>428</v>
      </c>
      <c r="H43" s="2"/>
      <c r="I43" s="2"/>
      <c r="J43" s="2"/>
      <c r="K43" s="3"/>
      <c r="L43" s="3"/>
      <c r="M43" s="10"/>
      <c r="N43" s="3"/>
      <c r="S43" s="12"/>
      <c r="AG43"/>
    </row>
    <row r="44" spans="2:33">
      <c r="B44" s="7" t="s">
        <v>396</v>
      </c>
      <c r="C44" t="s">
        <v>424</v>
      </c>
      <c r="D44" s="5"/>
      <c r="E44" s="46"/>
      <c r="F44" s="49">
        <v>1.2</v>
      </c>
      <c r="G44" s="10" t="s">
        <v>428</v>
      </c>
      <c r="H44" s="2"/>
      <c r="I44" s="2"/>
      <c r="J44" s="2"/>
      <c r="K44" s="3"/>
      <c r="L44" s="3"/>
      <c r="M44" s="10"/>
      <c r="N44" s="3"/>
      <c r="S44" s="12"/>
      <c r="AG44"/>
    </row>
    <row r="45" spans="2:33">
      <c r="B45" s="7" t="s">
        <v>398</v>
      </c>
      <c r="C45" s="5" t="s">
        <v>395</v>
      </c>
      <c r="D45" s="5"/>
      <c r="E45" s="45">
        <v>3</v>
      </c>
      <c r="F45" s="48"/>
      <c r="G45" s="10" t="s">
        <v>428</v>
      </c>
      <c r="H45" s="10"/>
      <c r="I45" s="10"/>
      <c r="J45" s="2"/>
      <c r="K45" s="3"/>
      <c r="L45" s="3"/>
      <c r="M45" s="10"/>
      <c r="N45" s="3"/>
      <c r="S45" s="12"/>
      <c r="AG45"/>
    </row>
    <row r="46" spans="2:33">
      <c r="B46" s="7" t="s">
        <v>399</v>
      </c>
      <c r="C46" t="s">
        <v>391</v>
      </c>
      <c r="D46" s="5"/>
      <c r="E46" s="45">
        <v>1.9</v>
      </c>
      <c r="F46" s="48"/>
      <c r="G46" s="10" t="s">
        <v>428</v>
      </c>
      <c r="H46" s="10" t="s">
        <v>23</v>
      </c>
      <c r="I46" s="10"/>
      <c r="J46" s="2"/>
      <c r="K46" s="3"/>
      <c r="L46" s="3"/>
      <c r="M46" s="10"/>
      <c r="N46" s="3"/>
      <c r="S46" s="12"/>
      <c r="AG46"/>
    </row>
    <row r="47" spans="2:33">
      <c r="B47" s="7" t="s">
        <v>400</v>
      </c>
      <c r="C47" s="5" t="s">
        <v>392</v>
      </c>
      <c r="D47" s="5"/>
      <c r="E47" s="45">
        <v>3</v>
      </c>
      <c r="F47" s="48"/>
      <c r="G47" s="10" t="s">
        <v>428</v>
      </c>
      <c r="H47" s="10" t="s">
        <v>29</v>
      </c>
      <c r="I47" s="10"/>
      <c r="J47" s="2"/>
      <c r="K47" s="3"/>
      <c r="L47" s="3"/>
      <c r="M47" s="10"/>
      <c r="N47" s="3"/>
      <c r="S47" s="12"/>
      <c r="AG47"/>
    </row>
    <row r="48" spans="2:33">
      <c r="B48" s="7" t="s">
        <v>401</v>
      </c>
      <c r="C48" s="5" t="s">
        <v>393</v>
      </c>
      <c r="D48" s="5"/>
      <c r="E48" s="45">
        <v>1.95</v>
      </c>
      <c r="F48" s="48"/>
      <c r="G48" s="10" t="s">
        <v>428</v>
      </c>
      <c r="H48" s="10"/>
      <c r="I48" s="10"/>
      <c r="J48" s="2"/>
      <c r="K48" s="3"/>
      <c r="L48" s="3"/>
      <c r="M48" s="10"/>
      <c r="N48" s="3"/>
      <c r="S48" s="12"/>
      <c r="AG48"/>
    </row>
    <row r="49" spans="2:33">
      <c r="B49" s="7" t="s">
        <v>402</v>
      </c>
      <c r="C49" s="5" t="s">
        <v>25</v>
      </c>
      <c r="D49" s="5"/>
      <c r="E49" s="45">
        <v>3.5</v>
      </c>
      <c r="F49" s="48"/>
      <c r="G49" s="10" t="s">
        <v>428</v>
      </c>
      <c r="H49" s="10" t="s">
        <v>26</v>
      </c>
      <c r="I49" s="10"/>
      <c r="J49" s="2"/>
      <c r="K49" s="3"/>
      <c r="L49" s="3"/>
      <c r="M49" s="10"/>
      <c r="N49" s="3"/>
      <c r="S49" s="12"/>
      <c r="AG49"/>
    </row>
    <row r="50" spans="2:33">
      <c r="B50" s="7" t="s">
        <v>408</v>
      </c>
      <c r="C50" t="s">
        <v>417</v>
      </c>
      <c r="D50" s="5"/>
      <c r="E50" s="46">
        <v>11</v>
      </c>
      <c r="F50" s="48"/>
      <c r="G50" s="10" t="s">
        <v>428</v>
      </c>
      <c r="H50" s="2"/>
      <c r="I50" s="2"/>
      <c r="J50" s="2"/>
      <c r="K50" s="3"/>
      <c r="L50" s="3"/>
      <c r="M50" s="10"/>
      <c r="N50" s="3"/>
      <c r="S50" s="12"/>
      <c r="AG50"/>
    </row>
    <row r="51" spans="2:33">
      <c r="B51" s="7" t="s">
        <v>619</v>
      </c>
      <c r="C51" t="s">
        <v>416</v>
      </c>
      <c r="D51" s="5"/>
      <c r="E51" s="46">
        <v>11</v>
      </c>
      <c r="F51" s="48"/>
      <c r="G51" s="10" t="s">
        <v>428</v>
      </c>
      <c r="H51" s="2"/>
      <c r="I51" s="2"/>
      <c r="J51" s="2"/>
      <c r="K51" s="3"/>
      <c r="L51" s="3"/>
      <c r="M51" s="10"/>
      <c r="N51" s="3"/>
      <c r="S51" s="12"/>
      <c r="AG51"/>
    </row>
    <row r="52" spans="2:33">
      <c r="B52" s="7" t="s">
        <v>410</v>
      </c>
      <c r="C52" t="s">
        <v>418</v>
      </c>
      <c r="D52" s="5"/>
      <c r="E52" s="46">
        <v>11.5</v>
      </c>
      <c r="F52" s="48"/>
      <c r="G52" s="10" t="s">
        <v>428</v>
      </c>
      <c r="H52" s="2"/>
      <c r="I52" s="2"/>
      <c r="J52" s="2"/>
      <c r="K52" s="3"/>
      <c r="L52" s="3"/>
      <c r="M52" s="10"/>
      <c r="N52" s="3"/>
      <c r="S52" s="12"/>
      <c r="AG52"/>
    </row>
    <row r="53" spans="2:33">
      <c r="B53" s="7" t="s">
        <v>411</v>
      </c>
      <c r="C53" t="s">
        <v>422</v>
      </c>
      <c r="D53" s="5"/>
      <c r="E53" s="46">
        <v>9.5</v>
      </c>
      <c r="F53" s="48"/>
      <c r="G53" s="10" t="s">
        <v>428</v>
      </c>
      <c r="H53" s="2"/>
      <c r="I53" s="2"/>
      <c r="J53" s="2"/>
      <c r="K53" s="3"/>
      <c r="L53" s="3"/>
      <c r="M53" s="10"/>
      <c r="N53" s="3"/>
      <c r="S53" s="12" t="s">
        <v>375</v>
      </c>
      <c r="AG53"/>
    </row>
    <row r="54" spans="2:33">
      <c r="B54" s="7" t="s">
        <v>412</v>
      </c>
      <c r="C54" t="s">
        <v>419</v>
      </c>
      <c r="D54" s="5"/>
      <c r="E54" s="46">
        <v>17.5</v>
      </c>
      <c r="F54" s="48"/>
      <c r="G54" s="10" t="s">
        <v>428</v>
      </c>
      <c r="H54" s="2"/>
      <c r="I54" s="2"/>
      <c r="J54" s="2"/>
      <c r="K54" s="3"/>
      <c r="L54" s="3"/>
      <c r="M54" s="10"/>
      <c r="N54" s="3"/>
      <c r="S54" s="12">
        <v>5000</v>
      </c>
      <c r="T54" t="s">
        <v>376</v>
      </c>
      <c r="AG54"/>
    </row>
    <row r="55" spans="2:33">
      <c r="B55" s="7" t="s">
        <v>413</v>
      </c>
      <c r="C55" t="s">
        <v>420</v>
      </c>
      <c r="D55" s="5"/>
      <c r="E55" s="46">
        <v>10.5</v>
      </c>
      <c r="F55" s="48"/>
      <c r="G55" s="10" t="s">
        <v>428</v>
      </c>
      <c r="H55" s="2"/>
      <c r="I55" s="2"/>
      <c r="J55" s="2"/>
      <c r="K55" s="3"/>
      <c r="L55" s="3"/>
      <c r="M55" s="10"/>
      <c r="N55" s="3"/>
      <c r="S55" s="12"/>
      <c r="AG55"/>
    </row>
    <row r="56" spans="2:33">
      <c r="B56" s="7" t="s">
        <v>414</v>
      </c>
      <c r="C56" t="s">
        <v>421</v>
      </c>
      <c r="D56" s="5"/>
      <c r="E56" s="46">
        <v>15</v>
      </c>
      <c r="F56" s="48"/>
      <c r="G56" s="10" t="s">
        <v>428</v>
      </c>
      <c r="H56" s="2"/>
      <c r="I56" s="2"/>
      <c r="J56" s="2"/>
      <c r="K56" s="3"/>
      <c r="L56" s="3"/>
      <c r="M56" s="10"/>
      <c r="N56" s="3"/>
      <c r="S56" s="12"/>
      <c r="AG56"/>
    </row>
    <row r="57" spans="2:33">
      <c r="B57" s="7" t="s">
        <v>642</v>
      </c>
      <c r="C57" t="s">
        <v>641</v>
      </c>
      <c r="D57" s="5"/>
      <c r="E57" s="46">
        <v>3500</v>
      </c>
      <c r="F57" s="48"/>
      <c r="G57" s="10" t="s">
        <v>427</v>
      </c>
      <c r="H57" s="2"/>
      <c r="I57" s="2"/>
      <c r="J57" s="2"/>
      <c r="K57" s="3"/>
      <c r="L57" s="3"/>
      <c r="M57" s="10"/>
      <c r="N57" s="3"/>
      <c r="S57" s="12"/>
      <c r="AG57"/>
    </row>
    <row r="66" spans="16:16">
      <c r="P66" s="4"/>
    </row>
    <row r="67" spans="16:16">
      <c r="P67" s="3"/>
    </row>
    <row r="68" spans="16:16">
      <c r="P68" s="3"/>
    </row>
    <row r="69" spans="16:16">
      <c r="P69" s="3"/>
    </row>
  </sheetData>
  <phoneticPr fontId="3" type="noConversion"/>
  <hyperlinks>
    <hyperlink ref="F2" location="Inicio!A1" display="INICIO" xr:uid="{51385580-0917-453B-90E1-47AF20D34C8B}"/>
  </hyperlinks>
  <pageMargins left="0.7" right="0.7" top="0.75" bottom="0.75" header="0.3" footer="0.3"/>
  <legacy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ADC0E-9627-4D4B-9F4E-6F85700C3314}">
  <sheetPr codeName="Hoja4"/>
  <dimension ref="A1:Q67"/>
  <sheetViews>
    <sheetView showGridLines="0" topLeftCell="E1" zoomScale="85" zoomScaleNormal="85" workbookViewId="0">
      <selection activeCell="Q66" sqref="Q66"/>
    </sheetView>
  </sheetViews>
  <sheetFormatPr baseColWidth="10" defaultRowHeight="15"/>
  <cols>
    <col min="1" max="1" width="10.42578125" customWidth="1"/>
    <col min="2" max="2" width="10.42578125" style="33" bestFit="1" customWidth="1"/>
    <col min="3" max="3" width="33.140625" bestFit="1" customWidth="1"/>
    <col min="4" max="4" width="15.140625" bestFit="1" customWidth="1"/>
    <col min="5" max="5" width="49.28515625" bestFit="1" customWidth="1"/>
    <col min="6" max="7" width="11.42578125" style="39"/>
    <col min="9" max="9" width="25.7109375" bestFit="1" customWidth="1"/>
    <col min="14" max="14" width="33.140625" bestFit="1" customWidth="1"/>
    <col min="16" max="16" width="12.5703125" style="39" bestFit="1" customWidth="1"/>
  </cols>
  <sheetData>
    <row r="1" spans="1:17">
      <c r="A1" s="42" t="s">
        <v>151</v>
      </c>
      <c r="F1" s="43"/>
      <c r="G1" s="43"/>
      <c r="P1" s="43"/>
    </row>
    <row r="2" spans="1:17">
      <c r="A2" s="44" t="s">
        <v>152</v>
      </c>
      <c r="F2" s="43"/>
      <c r="G2" s="43"/>
      <c r="P2" s="43"/>
    </row>
    <row r="3" spans="1:17">
      <c r="M3" t="s">
        <v>344</v>
      </c>
    </row>
    <row r="4" spans="1:17">
      <c r="A4" t="s">
        <v>219</v>
      </c>
      <c r="B4" s="33" t="s">
        <v>220</v>
      </c>
      <c r="C4" t="s">
        <v>221</v>
      </c>
      <c r="D4" t="s">
        <v>222</v>
      </c>
      <c r="E4" t="s">
        <v>223</v>
      </c>
      <c r="F4" s="39" t="s">
        <v>224</v>
      </c>
      <c r="G4" s="39" t="s">
        <v>225</v>
      </c>
      <c r="H4" t="s">
        <v>226</v>
      </c>
      <c r="I4" s="9" t="s">
        <v>234</v>
      </c>
      <c r="M4" s="33" t="s">
        <v>49</v>
      </c>
      <c r="N4" t="s">
        <v>266</v>
      </c>
      <c r="O4" t="s">
        <v>236</v>
      </c>
      <c r="P4" s="39" t="s">
        <v>235</v>
      </c>
      <c r="Q4" t="s">
        <v>237</v>
      </c>
    </row>
    <row r="5" spans="1:17">
      <c r="A5">
        <v>10</v>
      </c>
      <c r="B5" s="33">
        <v>45721</v>
      </c>
      <c r="C5" t="s">
        <v>227</v>
      </c>
      <c r="D5" t="s">
        <v>228</v>
      </c>
      <c r="E5" t="s">
        <v>229</v>
      </c>
      <c r="F5" s="39">
        <v>220</v>
      </c>
      <c r="G5" s="39">
        <f>SUMIFS(Abonos[Abono],Abonos[Coomanda],Hechos_Ingresos[[#This Row],[Comanda]],Abonos[[ Cliente]],Hechos_Ingresos[[#This Row],[CLIENTE ]])</f>
        <v>195</v>
      </c>
      <c r="H5">
        <f>Hechos_Ingresos[[#This Row],[TOTAL ]]-Hechos_Ingresos[[#This Row],[ABONO ]]</f>
        <v>25</v>
      </c>
      <c r="M5" s="33">
        <v>45796</v>
      </c>
      <c r="N5" t="s">
        <v>78</v>
      </c>
      <c r="O5">
        <v>45</v>
      </c>
      <c r="P5" s="39">
        <v>160</v>
      </c>
      <c r="Q5" t="s">
        <v>312</v>
      </c>
    </row>
    <row r="6" spans="1:17">
      <c r="A6">
        <v>11</v>
      </c>
      <c r="B6" s="33">
        <v>45735</v>
      </c>
      <c r="C6" t="s">
        <v>238</v>
      </c>
      <c r="D6" t="s">
        <v>267</v>
      </c>
      <c r="E6" t="s">
        <v>268</v>
      </c>
      <c r="F6" s="39">
        <v>120</v>
      </c>
      <c r="G6" s="39">
        <f>SUMIFS(Abonos[Abono],Abonos[Coomanda],Hechos_Ingresos[[#This Row],[Comanda]],Abonos[[ Cliente]],Hechos_Ingresos[[#This Row],[CLIENTE ]])</f>
        <v>120</v>
      </c>
      <c r="H6">
        <f>Hechos_Ingresos[[#This Row],[TOTAL ]]-Hechos_Ingresos[[#This Row],[ABONO ]]</f>
        <v>0</v>
      </c>
      <c r="M6" s="33">
        <v>45721</v>
      </c>
      <c r="N6" t="s">
        <v>227</v>
      </c>
      <c r="O6">
        <v>10</v>
      </c>
      <c r="P6" s="39">
        <v>85</v>
      </c>
    </row>
    <row r="7" spans="1:17">
      <c r="A7">
        <v>12</v>
      </c>
      <c r="B7" s="33">
        <v>45735</v>
      </c>
      <c r="C7" t="s">
        <v>230</v>
      </c>
      <c r="D7" t="s">
        <v>231</v>
      </c>
      <c r="E7" t="s">
        <v>232</v>
      </c>
      <c r="F7" s="39">
        <v>198</v>
      </c>
      <c r="G7" s="39">
        <f>SUMIFS(Abonos[Abono],Abonos[Coomanda],Hechos_Ingresos[[#This Row],[Comanda]],Abonos[[ Cliente]],Hechos_Ingresos[[#This Row],[CLIENTE ]])</f>
        <v>218</v>
      </c>
      <c r="H7">
        <f>Hechos_Ingresos[[#This Row],[TOTAL ]]-Hechos_Ingresos[[#This Row],[ABONO ]]</f>
        <v>-20</v>
      </c>
      <c r="I7" t="s">
        <v>233</v>
      </c>
      <c r="M7" s="33">
        <v>45721</v>
      </c>
      <c r="N7" t="s">
        <v>227</v>
      </c>
      <c r="O7">
        <v>10</v>
      </c>
      <c r="P7" s="39">
        <v>50</v>
      </c>
    </row>
    <row r="8" spans="1:17">
      <c r="A8">
        <v>14</v>
      </c>
      <c r="B8" s="33">
        <v>45747</v>
      </c>
      <c r="C8" t="s">
        <v>239</v>
      </c>
      <c r="D8" t="s">
        <v>269</v>
      </c>
      <c r="E8" t="s">
        <v>270</v>
      </c>
      <c r="F8" s="39">
        <v>9470</v>
      </c>
      <c r="G8" s="39">
        <f>SUMIFS(Abonos[Abono],Abonos[Coomanda],Hechos_Ingresos[[#This Row],[Comanda]],Abonos[[ Cliente]],Hechos_Ingresos[[#This Row],[CLIENTE ]])</f>
        <v>9470</v>
      </c>
      <c r="H8">
        <f>Hechos_Ingresos[[#This Row],[TOTAL ]]-Hechos_Ingresos[[#This Row],[ABONO ]]</f>
        <v>0</v>
      </c>
      <c r="M8" s="33">
        <v>45721</v>
      </c>
      <c r="N8" t="s">
        <v>227</v>
      </c>
      <c r="O8">
        <v>10</v>
      </c>
      <c r="P8" s="39">
        <v>60</v>
      </c>
    </row>
    <row r="9" spans="1:17">
      <c r="A9">
        <v>15</v>
      </c>
      <c r="B9" s="33">
        <v>45748</v>
      </c>
      <c r="C9" t="s">
        <v>240</v>
      </c>
      <c r="E9" t="s">
        <v>271</v>
      </c>
      <c r="F9" s="39">
        <v>112</v>
      </c>
      <c r="G9" s="39">
        <f>SUMIFS(Abonos[Abono],Abonos[Coomanda],Hechos_Ingresos[[#This Row],[Comanda]],Abonos[[ Cliente]],Hechos_Ingresos[[#This Row],[CLIENTE ]])</f>
        <v>112</v>
      </c>
      <c r="H9">
        <f>Hechos_Ingresos[[#This Row],[TOTAL ]]-Hechos_Ingresos[[#This Row],[ABONO ]]</f>
        <v>0</v>
      </c>
      <c r="M9" s="33">
        <v>45735</v>
      </c>
      <c r="N9" t="s">
        <v>230</v>
      </c>
      <c r="O9">
        <v>12</v>
      </c>
      <c r="P9" s="39">
        <v>120</v>
      </c>
    </row>
    <row r="10" spans="1:17">
      <c r="A10">
        <v>15</v>
      </c>
      <c r="B10" s="33">
        <v>45748</v>
      </c>
      <c r="C10" t="s">
        <v>241</v>
      </c>
      <c r="E10" t="s">
        <v>272</v>
      </c>
      <c r="F10" s="39">
        <v>421</v>
      </c>
      <c r="G10" s="39">
        <f>SUMIFS(Abonos[Abono],Abonos[Coomanda],Hechos_Ingresos[[#This Row],[Comanda]],Abonos[[ Cliente]],Hechos_Ingresos[[#This Row],[CLIENTE ]])</f>
        <v>421</v>
      </c>
      <c r="H10">
        <f>Hechos_Ingresos[[#This Row],[TOTAL ]]-Hechos_Ingresos[[#This Row],[ABONO ]]</f>
        <v>0</v>
      </c>
      <c r="M10" s="33">
        <v>45735</v>
      </c>
      <c r="N10" t="s">
        <v>230</v>
      </c>
      <c r="O10">
        <v>12</v>
      </c>
      <c r="P10" s="39">
        <v>98</v>
      </c>
    </row>
    <row r="11" spans="1:17">
      <c r="A11">
        <v>16</v>
      </c>
      <c r="B11" s="33">
        <v>45748</v>
      </c>
      <c r="C11" t="s">
        <v>242</v>
      </c>
      <c r="D11" t="s">
        <v>273</v>
      </c>
      <c r="E11" t="s">
        <v>274</v>
      </c>
      <c r="F11" s="39">
        <v>69</v>
      </c>
      <c r="G11" s="39">
        <f>SUMIFS(Abonos[Abono],Abonos[Coomanda],Hechos_Ingresos[[#This Row],[Comanda]],Abonos[[ Cliente]],Hechos_Ingresos[[#This Row],[CLIENTE ]])</f>
        <v>69</v>
      </c>
      <c r="H11">
        <f>Hechos_Ingresos[[#This Row],[TOTAL ]]-Hechos_Ingresos[[#This Row],[ABONO ]]</f>
        <v>0</v>
      </c>
      <c r="M11" s="33">
        <v>45735</v>
      </c>
      <c r="N11" t="s">
        <v>238</v>
      </c>
      <c r="O11">
        <v>11</v>
      </c>
      <c r="P11" s="39">
        <v>20</v>
      </c>
    </row>
    <row r="12" spans="1:17">
      <c r="A12">
        <v>17</v>
      </c>
      <c r="B12" s="33">
        <v>45749</v>
      </c>
      <c r="C12" t="s">
        <v>243</v>
      </c>
      <c r="D12" t="s">
        <v>275</v>
      </c>
      <c r="E12" t="s">
        <v>276</v>
      </c>
      <c r="F12" s="39">
        <v>134</v>
      </c>
      <c r="G12" s="39">
        <f>SUMIFS(Abonos[Abono],Abonos[Coomanda],Hechos_Ingresos[[#This Row],[Comanda]],Abonos[[ Cliente]],Hechos_Ingresos[[#This Row],[CLIENTE ]])</f>
        <v>134</v>
      </c>
      <c r="H12">
        <f>Hechos_Ingresos[[#This Row],[TOTAL ]]-Hechos_Ingresos[[#This Row],[ABONO ]]</f>
        <v>0</v>
      </c>
      <c r="M12" s="33">
        <v>45735</v>
      </c>
      <c r="N12" t="s">
        <v>238</v>
      </c>
      <c r="O12">
        <v>11</v>
      </c>
      <c r="P12" s="39">
        <v>20</v>
      </c>
    </row>
    <row r="13" spans="1:17">
      <c r="A13">
        <v>20</v>
      </c>
      <c r="B13" s="33">
        <v>45754</v>
      </c>
      <c r="C13" t="s">
        <v>244</v>
      </c>
      <c r="E13" t="s">
        <v>277</v>
      </c>
      <c r="F13" s="39">
        <v>30</v>
      </c>
      <c r="G13" s="39">
        <f>SUMIFS(Abonos[Abono],Abonos[Coomanda],Hechos_Ingresos[[#This Row],[Comanda]],Abonos[[ Cliente]],Hechos_Ingresos[[#This Row],[CLIENTE ]])</f>
        <v>30</v>
      </c>
      <c r="H13">
        <f>Hechos_Ingresos[[#This Row],[TOTAL ]]-Hechos_Ingresos[[#This Row],[ABONO ]]</f>
        <v>0</v>
      </c>
      <c r="M13" s="33">
        <v>45735</v>
      </c>
      <c r="N13" t="s">
        <v>238</v>
      </c>
      <c r="O13">
        <v>11</v>
      </c>
      <c r="P13" s="39">
        <v>60</v>
      </c>
    </row>
    <row r="14" spans="1:17">
      <c r="A14">
        <v>21</v>
      </c>
      <c r="B14" s="33">
        <v>45765</v>
      </c>
      <c r="C14" t="s">
        <v>245</v>
      </c>
      <c r="D14" t="s">
        <v>278</v>
      </c>
      <c r="E14" t="s">
        <v>272</v>
      </c>
      <c r="F14" s="39">
        <v>30</v>
      </c>
      <c r="G14" s="39">
        <f>SUMIFS(Abonos[Abono],Abonos[Coomanda],Hechos_Ingresos[[#This Row],[Comanda]],Abonos[[ Cliente]],Hechos_Ingresos[[#This Row],[CLIENTE ]])</f>
        <v>30</v>
      </c>
      <c r="H14">
        <f>Hechos_Ingresos[[#This Row],[TOTAL ]]-Hechos_Ingresos[[#This Row],[ABONO ]]</f>
        <v>0</v>
      </c>
      <c r="M14" s="33">
        <v>45735</v>
      </c>
      <c r="N14" t="s">
        <v>238</v>
      </c>
      <c r="O14">
        <v>11</v>
      </c>
      <c r="P14" s="39">
        <v>20</v>
      </c>
    </row>
    <row r="15" spans="1:17">
      <c r="A15">
        <v>22</v>
      </c>
      <c r="B15" s="33">
        <v>45761</v>
      </c>
      <c r="C15" t="s">
        <v>246</v>
      </c>
      <c r="D15" t="s">
        <v>279</v>
      </c>
      <c r="E15" t="s">
        <v>271</v>
      </c>
      <c r="F15" s="39">
        <v>140</v>
      </c>
      <c r="G15" s="39">
        <f>SUMIFS(Abonos[Abono],Abonos[Coomanda],Hechos_Ingresos[[#This Row],[Comanda]],Abonos[[ Cliente]],Hechos_Ingresos[[#This Row],[CLIENTE ]])</f>
        <v>135</v>
      </c>
      <c r="H15">
        <f>Hechos_Ingresos[[#This Row],[TOTAL ]]-Hechos_Ingresos[[#This Row],[ABONO ]]</f>
        <v>5</v>
      </c>
      <c r="M15" s="33">
        <v>45747</v>
      </c>
      <c r="N15" t="s">
        <v>239</v>
      </c>
      <c r="O15">
        <v>14</v>
      </c>
      <c r="P15" s="39">
        <v>6000</v>
      </c>
      <c r="Q15" t="s">
        <v>425</v>
      </c>
    </row>
    <row r="16" spans="1:17">
      <c r="A16">
        <v>23</v>
      </c>
      <c r="B16" s="33">
        <v>45768</v>
      </c>
      <c r="C16" t="s">
        <v>247</v>
      </c>
      <c r="E16" t="s">
        <v>280</v>
      </c>
      <c r="F16" s="39">
        <v>6</v>
      </c>
      <c r="G16" s="39">
        <f>SUMIFS(Abonos[Abono],Abonos[Coomanda],Hechos_Ingresos[[#This Row],[Comanda]],Abonos[[ Cliente]],Hechos_Ingresos[[#This Row],[CLIENTE ]])</f>
        <v>6</v>
      </c>
      <c r="H16">
        <f>Hechos_Ingresos[[#This Row],[TOTAL ]]-Hechos_Ingresos[[#This Row],[ABONO ]]</f>
        <v>0</v>
      </c>
      <c r="M16" s="33">
        <v>45747</v>
      </c>
      <c r="N16" t="s">
        <v>239</v>
      </c>
      <c r="O16">
        <v>14</v>
      </c>
      <c r="P16" s="39">
        <v>3470</v>
      </c>
      <c r="Q16" t="s">
        <v>425</v>
      </c>
    </row>
    <row r="17" spans="1:16">
      <c r="A17">
        <v>24</v>
      </c>
      <c r="B17" s="33">
        <v>45768</v>
      </c>
      <c r="C17" t="s">
        <v>248</v>
      </c>
      <c r="E17" t="s">
        <v>281</v>
      </c>
      <c r="F17" s="39">
        <v>20</v>
      </c>
      <c r="G17" s="39">
        <f>SUMIFS(Abonos[Abono],Abonos[Coomanda],Hechos_Ingresos[[#This Row],[Comanda]],Abonos[[ Cliente]],Hechos_Ingresos[[#This Row],[CLIENTE ]])</f>
        <v>20</v>
      </c>
      <c r="H17">
        <f>Hechos_Ingresos[[#This Row],[TOTAL ]]-Hechos_Ingresos[[#This Row],[ABONO ]]</f>
        <v>0</v>
      </c>
      <c r="M17" s="33">
        <v>45748</v>
      </c>
      <c r="N17" t="s">
        <v>240</v>
      </c>
      <c r="O17">
        <v>15</v>
      </c>
      <c r="P17" s="39">
        <v>70</v>
      </c>
    </row>
    <row r="18" spans="1:16">
      <c r="A18">
        <v>25</v>
      </c>
      <c r="B18" s="33">
        <v>45768</v>
      </c>
      <c r="C18" t="s">
        <v>249</v>
      </c>
      <c r="E18" t="s">
        <v>282</v>
      </c>
      <c r="F18" s="39">
        <v>50000</v>
      </c>
      <c r="G18" s="39">
        <f>SUMIFS(Abonos[Abono],Abonos[Coomanda],Hechos_Ingresos[[#This Row],[Comanda]],Abonos[[ Cliente]],Hechos_Ingresos[[#This Row],[CLIENTE ]])</f>
        <v>50000</v>
      </c>
      <c r="H18">
        <f>Hechos_Ingresos[[#This Row],[TOTAL ]]-Hechos_Ingresos[[#This Row],[ABONO ]]</f>
        <v>0</v>
      </c>
      <c r="M18" s="33">
        <v>45748</v>
      </c>
      <c r="N18" t="s">
        <v>240</v>
      </c>
      <c r="O18">
        <v>15</v>
      </c>
      <c r="P18" s="39">
        <v>42</v>
      </c>
    </row>
    <row r="19" spans="1:16">
      <c r="A19">
        <v>26</v>
      </c>
      <c r="B19" s="33">
        <v>45771</v>
      </c>
      <c r="C19" t="s">
        <v>250</v>
      </c>
      <c r="D19" t="s">
        <v>283</v>
      </c>
      <c r="E19" t="s">
        <v>284</v>
      </c>
      <c r="F19" s="39">
        <v>10</v>
      </c>
      <c r="G19" s="39">
        <f>SUMIFS(Abonos[Abono],Abonos[Coomanda],Hechos_Ingresos[[#This Row],[Comanda]],Abonos[[ Cliente]],Hechos_Ingresos[[#This Row],[CLIENTE ]])</f>
        <v>10</v>
      </c>
      <c r="H19">
        <f>Hechos_Ingresos[[#This Row],[TOTAL ]]-Hechos_Ingresos[[#This Row],[ABONO ]]</f>
        <v>0</v>
      </c>
      <c r="M19" s="33">
        <v>45748</v>
      </c>
      <c r="N19" t="s">
        <v>241</v>
      </c>
      <c r="O19">
        <v>15</v>
      </c>
      <c r="P19" s="39">
        <v>253</v>
      </c>
    </row>
    <row r="20" spans="1:16">
      <c r="A20">
        <v>27</v>
      </c>
      <c r="B20" s="33">
        <v>45770</v>
      </c>
      <c r="C20" t="s">
        <v>251</v>
      </c>
      <c r="E20" t="s">
        <v>285</v>
      </c>
      <c r="F20" s="39">
        <v>50</v>
      </c>
      <c r="G20" s="39">
        <f>SUMIFS(Abonos[Abono],Abonos[Coomanda],Hechos_Ingresos[[#This Row],[Comanda]],Abonos[[ Cliente]],Hechos_Ingresos[[#This Row],[CLIENTE ]])</f>
        <v>50</v>
      </c>
      <c r="H20">
        <f>Hechos_Ingresos[[#This Row],[TOTAL ]]-Hechos_Ingresos[[#This Row],[ABONO ]]</f>
        <v>0</v>
      </c>
      <c r="M20" s="33">
        <v>45748</v>
      </c>
      <c r="N20" t="s">
        <v>241</v>
      </c>
      <c r="O20">
        <v>15</v>
      </c>
      <c r="P20" s="39">
        <v>90</v>
      </c>
    </row>
    <row r="21" spans="1:16">
      <c r="A21">
        <v>28</v>
      </c>
      <c r="B21" s="33">
        <v>45772</v>
      </c>
      <c r="C21" t="s">
        <v>252</v>
      </c>
      <c r="D21" t="s">
        <v>286</v>
      </c>
      <c r="E21" t="s">
        <v>287</v>
      </c>
      <c r="F21" s="39">
        <v>108</v>
      </c>
      <c r="G21" s="39">
        <f>SUMIFS(Abonos[Abono],Abonos[Coomanda],Hechos_Ingresos[[#This Row],[Comanda]],Abonos[[ Cliente]],Hechos_Ingresos[[#This Row],[CLIENTE ]])</f>
        <v>108</v>
      </c>
      <c r="H21">
        <f>Hechos_Ingresos[[#This Row],[TOTAL ]]-Hechos_Ingresos[[#This Row],[ABONO ]]</f>
        <v>0</v>
      </c>
      <c r="M21" s="33">
        <v>45748</v>
      </c>
      <c r="N21" t="s">
        <v>241</v>
      </c>
      <c r="O21">
        <v>15</v>
      </c>
      <c r="P21" s="39">
        <v>78</v>
      </c>
    </row>
    <row r="22" spans="1:16">
      <c r="A22">
        <v>28</v>
      </c>
      <c r="B22" s="33">
        <v>45791</v>
      </c>
      <c r="C22" t="s">
        <v>262</v>
      </c>
      <c r="D22" t="s">
        <v>303</v>
      </c>
      <c r="E22" t="s">
        <v>304</v>
      </c>
      <c r="F22" s="39">
        <v>12</v>
      </c>
      <c r="G22" s="39">
        <f>SUMIFS(Abonos[Abono],Abonos[Coomanda],Hechos_Ingresos[[#This Row],[Comanda]],Abonos[[ Cliente]],Hechos_Ingresos[[#This Row],[CLIENTE ]])</f>
        <v>7</v>
      </c>
      <c r="H22">
        <f>Hechos_Ingresos[[#This Row],[TOTAL ]]-Hechos_Ingresos[[#This Row],[ABONO ]]</f>
        <v>5</v>
      </c>
      <c r="M22" s="33">
        <v>45748</v>
      </c>
      <c r="N22" t="s">
        <v>242</v>
      </c>
      <c r="O22">
        <v>16</v>
      </c>
      <c r="P22" s="39">
        <v>44</v>
      </c>
    </row>
    <row r="23" spans="1:16">
      <c r="A23">
        <v>31</v>
      </c>
      <c r="B23" s="33">
        <v>45775</v>
      </c>
      <c r="C23" t="s">
        <v>253</v>
      </c>
      <c r="E23" t="s">
        <v>288</v>
      </c>
      <c r="F23" s="39">
        <v>150</v>
      </c>
      <c r="G23" s="39">
        <f>SUMIFS(Abonos[Abono],Abonos[Coomanda],Hechos_Ingresos[[#This Row],[Comanda]],Abonos[[ Cliente]],Hechos_Ingresos[[#This Row],[CLIENTE ]])</f>
        <v>150</v>
      </c>
      <c r="H23">
        <f>Hechos_Ingresos[[#This Row],[TOTAL ]]-Hechos_Ingresos[[#This Row],[ABONO ]]</f>
        <v>0</v>
      </c>
      <c r="M23" s="33">
        <v>45748</v>
      </c>
      <c r="N23" t="s">
        <v>242</v>
      </c>
      <c r="O23">
        <v>16</v>
      </c>
      <c r="P23" s="39">
        <v>25</v>
      </c>
    </row>
    <row r="24" spans="1:16">
      <c r="A24">
        <v>32</v>
      </c>
      <c r="B24" s="33">
        <v>45776</v>
      </c>
      <c r="C24" t="s">
        <v>254</v>
      </c>
      <c r="E24" t="s">
        <v>289</v>
      </c>
      <c r="F24" s="39">
        <v>102</v>
      </c>
      <c r="G24" s="39">
        <f>SUMIFS(Abonos[Abono],Abonos[Coomanda],Hechos_Ingresos[[#This Row],[Comanda]],Abonos[[ Cliente]],Hechos_Ingresos[[#This Row],[CLIENTE ]])</f>
        <v>102</v>
      </c>
      <c r="H24">
        <f>Hechos_Ingresos[[#This Row],[TOTAL ]]-Hechos_Ingresos[[#This Row],[ABONO ]]</f>
        <v>0</v>
      </c>
      <c r="M24" s="33">
        <v>45749</v>
      </c>
      <c r="N24" t="s">
        <v>243</v>
      </c>
      <c r="O24">
        <v>17</v>
      </c>
      <c r="P24" s="39">
        <v>80</v>
      </c>
    </row>
    <row r="25" spans="1:16">
      <c r="A25">
        <v>33</v>
      </c>
      <c r="B25" s="33">
        <v>45783</v>
      </c>
      <c r="C25" t="s">
        <v>255</v>
      </c>
      <c r="D25" t="s">
        <v>290</v>
      </c>
      <c r="E25" t="s">
        <v>291</v>
      </c>
      <c r="F25" s="39">
        <v>48</v>
      </c>
      <c r="G25" s="39">
        <f>SUMIFS(Abonos[Abono],Abonos[Coomanda],Hechos_Ingresos[[#This Row],[Comanda]],Abonos[[ Cliente]],Hechos_Ingresos[[#This Row],[CLIENTE ]])</f>
        <v>48</v>
      </c>
      <c r="H25">
        <f>Hechos_Ingresos[[#This Row],[TOTAL ]]-Hechos_Ingresos[[#This Row],[ABONO ]]</f>
        <v>0</v>
      </c>
      <c r="M25" s="33">
        <v>45749</v>
      </c>
      <c r="N25" t="s">
        <v>243</v>
      </c>
      <c r="O25">
        <v>17</v>
      </c>
      <c r="P25" s="39">
        <v>54</v>
      </c>
    </row>
    <row r="26" spans="1:16">
      <c r="A26">
        <v>34</v>
      </c>
      <c r="B26" s="33">
        <v>45789</v>
      </c>
      <c r="C26" t="s">
        <v>257</v>
      </c>
      <c r="D26" t="s">
        <v>292</v>
      </c>
      <c r="E26" t="s">
        <v>293</v>
      </c>
      <c r="F26" s="39">
        <v>620</v>
      </c>
      <c r="G26" s="39">
        <f>SUMIFS(Abonos[Abono],Abonos[Coomanda],Hechos_Ingresos[[#This Row],[Comanda]],Abonos[[ Cliente]],Hechos_Ingresos[[#This Row],[CLIENTE ]])</f>
        <v>620</v>
      </c>
      <c r="H26">
        <f>Hechos_Ingresos[[#This Row],[TOTAL ]]-Hechos_Ingresos[[#This Row],[ABONO ]]</f>
        <v>0</v>
      </c>
      <c r="M26" s="33">
        <v>45754</v>
      </c>
      <c r="N26" t="s">
        <v>244</v>
      </c>
      <c r="O26">
        <v>20</v>
      </c>
      <c r="P26" s="39">
        <v>25</v>
      </c>
    </row>
    <row r="27" spans="1:16">
      <c r="A27">
        <v>35</v>
      </c>
      <c r="B27" s="33">
        <v>45789</v>
      </c>
      <c r="C27" t="s">
        <v>294</v>
      </c>
      <c r="D27" t="s">
        <v>295</v>
      </c>
      <c r="E27" t="s">
        <v>296</v>
      </c>
      <c r="G27" s="39">
        <f>SUMIFS(Abonos[Abono],Abonos[Coomanda],Hechos_Ingresos[[#This Row],[Comanda]],Abonos[[ Cliente]],Hechos_Ingresos[[#This Row],[CLIENTE ]])</f>
        <v>0</v>
      </c>
      <c r="H27">
        <f>Hechos_Ingresos[[#This Row],[TOTAL ]]-Hechos_Ingresos[[#This Row],[ABONO ]]</f>
        <v>0</v>
      </c>
      <c r="M27" s="33">
        <v>45754</v>
      </c>
      <c r="N27" t="s">
        <v>244</v>
      </c>
      <c r="O27">
        <v>20</v>
      </c>
      <c r="P27" s="39">
        <v>5</v>
      </c>
    </row>
    <row r="28" spans="1:16">
      <c r="A28">
        <v>36</v>
      </c>
      <c r="B28" s="33">
        <v>45790</v>
      </c>
      <c r="C28" t="s">
        <v>258</v>
      </c>
      <c r="E28" t="s">
        <v>284</v>
      </c>
      <c r="F28" s="39">
        <v>12</v>
      </c>
      <c r="G28" s="39">
        <f>SUMIFS(Abonos[Abono],Abonos[Coomanda],Hechos_Ingresos[[#This Row],[Comanda]],Abonos[[ Cliente]],Hechos_Ingresos[[#This Row],[CLIENTE ]])</f>
        <v>0</v>
      </c>
      <c r="H28">
        <f>Hechos_Ingresos[[#This Row],[TOTAL ]]-Hechos_Ingresos[[#This Row],[ABONO ]]</f>
        <v>12</v>
      </c>
      <c r="M28" s="33">
        <v>45761</v>
      </c>
      <c r="N28" t="s">
        <v>246</v>
      </c>
      <c r="O28">
        <v>22</v>
      </c>
      <c r="P28" s="39">
        <v>135</v>
      </c>
    </row>
    <row r="29" spans="1:16">
      <c r="A29">
        <v>37</v>
      </c>
      <c r="B29" s="33">
        <v>45790</v>
      </c>
      <c r="C29" t="s">
        <v>259</v>
      </c>
      <c r="E29" t="s">
        <v>297</v>
      </c>
      <c r="F29" s="39">
        <v>660000</v>
      </c>
      <c r="G29" s="39">
        <f>SUMIFS(Abonos[Abono],Abonos[Coomanda],Hechos_Ingresos[[#This Row],[Comanda]],Abonos[[ Cliente]],Hechos_Ingresos[[#This Row],[CLIENTE ]])</f>
        <v>660000</v>
      </c>
      <c r="H29">
        <f>Hechos_Ingresos[[#This Row],[TOTAL ]]-Hechos_Ingresos[[#This Row],[ABONO ]]</f>
        <v>0</v>
      </c>
      <c r="M29" s="33">
        <v>45765</v>
      </c>
      <c r="N29" t="s">
        <v>245</v>
      </c>
      <c r="O29">
        <v>21</v>
      </c>
      <c r="P29" s="39">
        <v>30</v>
      </c>
    </row>
    <row r="30" spans="1:16">
      <c r="A30">
        <v>38</v>
      </c>
      <c r="B30" s="33">
        <v>45793</v>
      </c>
      <c r="C30" t="s">
        <v>260</v>
      </c>
      <c r="D30" t="s">
        <v>298</v>
      </c>
      <c r="E30" t="s">
        <v>299</v>
      </c>
      <c r="F30" s="39">
        <v>150</v>
      </c>
      <c r="G30" s="39">
        <f>SUMIFS(Abonos[Abono],Abonos[Coomanda],Hechos_Ingresos[[#This Row],[Comanda]],Abonos[[ Cliente]],Hechos_Ingresos[[#This Row],[CLIENTE ]])</f>
        <v>90</v>
      </c>
      <c r="H30">
        <f>Hechos_Ingresos[[#This Row],[TOTAL ]]-Hechos_Ingresos[[#This Row],[ABONO ]]</f>
        <v>60</v>
      </c>
      <c r="M30" s="33">
        <v>45768</v>
      </c>
      <c r="N30" t="s">
        <v>247</v>
      </c>
      <c r="O30">
        <v>23</v>
      </c>
      <c r="P30" s="39">
        <v>0</v>
      </c>
    </row>
    <row r="31" spans="1:16">
      <c r="A31">
        <v>39</v>
      </c>
      <c r="B31" s="33">
        <v>45793</v>
      </c>
      <c r="C31" t="s">
        <v>257</v>
      </c>
      <c r="D31" t="s">
        <v>292</v>
      </c>
      <c r="E31" t="s">
        <v>300</v>
      </c>
      <c r="F31" s="39">
        <v>55.3</v>
      </c>
      <c r="G31" s="39">
        <f>SUMIFS(Abonos[Abono],Abonos[Coomanda],Hechos_Ingresos[[#This Row],[Comanda]],Abonos[[ Cliente]],Hechos_Ingresos[[#This Row],[CLIENTE ]])</f>
        <v>55.3</v>
      </c>
      <c r="H31">
        <f>Hechos_Ingresos[[#This Row],[TOTAL ]]-Hechos_Ingresos[[#This Row],[ABONO ]]</f>
        <v>0</v>
      </c>
      <c r="M31" s="33">
        <v>45768</v>
      </c>
      <c r="N31" t="s">
        <v>247</v>
      </c>
      <c r="O31">
        <v>23</v>
      </c>
      <c r="P31" s="39">
        <v>6</v>
      </c>
    </row>
    <row r="32" spans="1:16">
      <c r="A32">
        <v>40</v>
      </c>
      <c r="B32" s="33">
        <v>45796</v>
      </c>
      <c r="C32" t="s">
        <v>261</v>
      </c>
      <c r="D32" t="s">
        <v>301</v>
      </c>
      <c r="E32" t="s">
        <v>302</v>
      </c>
      <c r="F32" s="39">
        <v>20</v>
      </c>
      <c r="G32" s="39">
        <f>SUMIFS(Abonos[Abono],Abonos[Coomanda],Hechos_Ingresos[[#This Row],[Comanda]],Abonos[[ Cliente]],Hechos_Ingresos[[#This Row],[CLIENTE ]])</f>
        <v>20</v>
      </c>
      <c r="H32">
        <f>Hechos_Ingresos[[#This Row],[TOTAL ]]-Hechos_Ingresos[[#This Row],[ABONO ]]</f>
        <v>0</v>
      </c>
      <c r="M32" s="33">
        <v>45768</v>
      </c>
      <c r="N32" t="s">
        <v>248</v>
      </c>
      <c r="O32">
        <v>24</v>
      </c>
      <c r="P32" s="39">
        <v>15</v>
      </c>
    </row>
    <row r="33" spans="1:16">
      <c r="A33">
        <v>41</v>
      </c>
      <c r="B33" s="33">
        <v>45790</v>
      </c>
      <c r="C33" t="s">
        <v>239</v>
      </c>
      <c r="D33" t="s">
        <v>269</v>
      </c>
      <c r="E33" t="s">
        <v>305</v>
      </c>
      <c r="F33" s="39">
        <v>285</v>
      </c>
      <c r="G33" s="39">
        <f>SUMIFS(Abonos[Abono],Abonos[Coomanda],Hechos_Ingresos[[#This Row],[Comanda]],Abonos[[ Cliente]],Hechos_Ingresos[[#This Row],[CLIENTE ]])</f>
        <v>171</v>
      </c>
      <c r="H33">
        <f>Hechos_Ingresos[[#This Row],[TOTAL ]]-Hechos_Ingresos[[#This Row],[ABONO ]]</f>
        <v>114</v>
      </c>
      <c r="M33" s="33">
        <v>45768</v>
      </c>
      <c r="N33" t="s">
        <v>248</v>
      </c>
      <c r="O33">
        <v>24</v>
      </c>
      <c r="P33" s="39">
        <v>5</v>
      </c>
    </row>
    <row r="34" spans="1:16">
      <c r="A34">
        <v>42</v>
      </c>
      <c r="B34" s="33">
        <v>45796</v>
      </c>
      <c r="C34" t="s">
        <v>263</v>
      </c>
      <c r="D34" t="s">
        <v>306</v>
      </c>
      <c r="E34" t="s">
        <v>307</v>
      </c>
      <c r="F34" s="39">
        <v>480</v>
      </c>
      <c r="G34" s="39">
        <f>SUMIFS(Abonos[Abono],Abonos[Coomanda],Hechos_Ingresos[[#This Row],[Comanda]],Abonos[[ Cliente]],Hechos_Ingresos[[#This Row],[CLIENTE ]])</f>
        <v>1480</v>
      </c>
      <c r="H34">
        <f>Hechos_Ingresos[[#This Row],[TOTAL ]]-Hechos_Ingresos[[#This Row],[ABONO ]]</f>
        <v>-1000</v>
      </c>
      <c r="M34" s="33">
        <v>45768</v>
      </c>
      <c r="N34" t="s">
        <v>249</v>
      </c>
      <c r="O34">
        <v>25</v>
      </c>
      <c r="P34" s="39">
        <v>50000</v>
      </c>
    </row>
    <row r="35" spans="1:16">
      <c r="B35" s="33">
        <v>45784</v>
      </c>
      <c r="C35" t="s">
        <v>256</v>
      </c>
      <c r="E35" t="s">
        <v>284</v>
      </c>
      <c r="F35" s="39">
        <v>20</v>
      </c>
      <c r="G35" s="39">
        <f>SUMIFS(Abonos[Abono],Abonos[Coomanda],Hechos_Ingresos[[#This Row],[Comanda]],Abonos[[ Cliente]],Hechos_Ingresos[[#This Row],[CLIENTE ]])</f>
        <v>0</v>
      </c>
      <c r="H35">
        <f>Hechos_Ingresos[[#This Row],[TOTAL ]]-Hechos_Ingresos[[#This Row],[ABONO ]]</f>
        <v>20</v>
      </c>
      <c r="M35" s="33">
        <v>45768</v>
      </c>
      <c r="N35" t="s">
        <v>249</v>
      </c>
      <c r="O35">
        <v>25</v>
      </c>
      <c r="P35" s="39">
        <v>0</v>
      </c>
    </row>
    <row r="36" spans="1:16">
      <c r="B36" s="33">
        <v>45804</v>
      </c>
      <c r="C36" t="s">
        <v>264</v>
      </c>
      <c r="D36" t="s">
        <v>308</v>
      </c>
      <c r="E36" t="s">
        <v>309</v>
      </c>
      <c r="F36" s="39">
        <v>96</v>
      </c>
      <c r="G36" s="39">
        <f>SUMIFS(Abonos[Abono],Abonos[Coomanda],Hechos_Ingresos[[#This Row],[Comanda]],Abonos[[ Cliente]],Hechos_Ingresos[[#This Row],[CLIENTE ]])</f>
        <v>0</v>
      </c>
      <c r="H36">
        <f>Hechos_Ingresos[[#This Row],[TOTAL ]]-Hechos_Ingresos[[#This Row],[ABONO ]]</f>
        <v>96</v>
      </c>
      <c r="M36" s="33">
        <v>45770</v>
      </c>
      <c r="N36" t="s">
        <v>251</v>
      </c>
      <c r="O36">
        <v>27</v>
      </c>
      <c r="P36" s="39">
        <v>5</v>
      </c>
    </row>
    <row r="37" spans="1:16">
      <c r="B37" s="33">
        <v>45805</v>
      </c>
      <c r="C37" t="s">
        <v>265</v>
      </c>
      <c r="D37" t="s">
        <v>310</v>
      </c>
      <c r="E37" t="s">
        <v>311</v>
      </c>
      <c r="F37" s="39">
        <v>26</v>
      </c>
      <c r="G37" s="39">
        <f>SUMIFS(Abonos[Abono],Abonos[Coomanda],Hechos_Ingresos[[#This Row],[Comanda]],Abonos[[ Cliente]],Hechos_Ingresos[[#This Row],[CLIENTE ]])</f>
        <v>0</v>
      </c>
      <c r="H37">
        <f>Hechos_Ingresos[[#This Row],[TOTAL ]]-Hechos_Ingresos[[#This Row],[ABONO ]]</f>
        <v>26</v>
      </c>
      <c r="M37" s="33">
        <v>45770</v>
      </c>
      <c r="N37" t="s">
        <v>251</v>
      </c>
      <c r="O37">
        <v>27</v>
      </c>
      <c r="P37" s="39">
        <v>45</v>
      </c>
    </row>
    <row r="38" spans="1:16">
      <c r="M38" s="33">
        <v>45771</v>
      </c>
      <c r="N38" t="s">
        <v>250</v>
      </c>
      <c r="O38">
        <v>26</v>
      </c>
      <c r="P38" s="39">
        <v>10</v>
      </c>
    </row>
    <row r="39" spans="1:16">
      <c r="M39" s="33">
        <v>45772</v>
      </c>
      <c r="N39" t="s">
        <v>252</v>
      </c>
      <c r="O39">
        <v>28</v>
      </c>
      <c r="P39" s="39">
        <v>80</v>
      </c>
    </row>
    <row r="40" spans="1:16">
      <c r="M40" s="33">
        <v>45772</v>
      </c>
      <c r="N40" t="s">
        <v>252</v>
      </c>
      <c r="O40">
        <v>28</v>
      </c>
      <c r="P40" s="39">
        <v>28</v>
      </c>
    </row>
    <row r="41" spans="1:16">
      <c r="M41" s="33">
        <v>45775</v>
      </c>
      <c r="N41" t="s">
        <v>253</v>
      </c>
      <c r="O41">
        <v>31</v>
      </c>
      <c r="P41" s="39">
        <v>100</v>
      </c>
    </row>
    <row r="42" spans="1:16">
      <c r="M42" s="33">
        <v>45775</v>
      </c>
      <c r="N42" t="s">
        <v>253</v>
      </c>
      <c r="O42">
        <v>31</v>
      </c>
      <c r="P42" s="39">
        <v>50</v>
      </c>
    </row>
    <row r="43" spans="1:16">
      <c r="M43" s="33">
        <v>45776</v>
      </c>
      <c r="N43" t="s">
        <v>254</v>
      </c>
      <c r="O43">
        <v>32</v>
      </c>
      <c r="P43" s="39">
        <v>0</v>
      </c>
    </row>
    <row r="44" spans="1:16">
      <c r="M44" s="33">
        <v>45776</v>
      </c>
      <c r="N44" t="s">
        <v>254</v>
      </c>
      <c r="O44">
        <v>32</v>
      </c>
      <c r="P44" s="39">
        <v>102</v>
      </c>
    </row>
    <row r="45" spans="1:16">
      <c r="M45" s="33">
        <v>45783</v>
      </c>
      <c r="N45" t="s">
        <v>255</v>
      </c>
      <c r="O45">
        <v>33</v>
      </c>
      <c r="P45" s="39">
        <v>15</v>
      </c>
    </row>
    <row r="46" spans="1:16">
      <c r="M46" s="33">
        <v>45783</v>
      </c>
      <c r="N46" t="s">
        <v>255</v>
      </c>
      <c r="O46">
        <v>33</v>
      </c>
      <c r="P46" s="39">
        <v>33</v>
      </c>
    </row>
    <row r="47" spans="1:16">
      <c r="M47" s="33">
        <v>45784</v>
      </c>
      <c r="N47" t="s">
        <v>256</v>
      </c>
      <c r="P47" s="39">
        <v>10</v>
      </c>
    </row>
    <row r="48" spans="1:16">
      <c r="M48" s="33">
        <v>45784</v>
      </c>
      <c r="N48" t="s">
        <v>256</v>
      </c>
      <c r="P48" s="39">
        <v>10</v>
      </c>
    </row>
    <row r="49" spans="13:16">
      <c r="M49" s="33">
        <v>45789</v>
      </c>
      <c r="N49" t="s">
        <v>257</v>
      </c>
      <c r="O49">
        <v>34</v>
      </c>
      <c r="P49" s="39">
        <v>620</v>
      </c>
    </row>
    <row r="50" spans="13:16">
      <c r="M50" s="33">
        <v>45790</v>
      </c>
      <c r="N50" t="s">
        <v>258</v>
      </c>
      <c r="O50">
        <v>36</v>
      </c>
      <c r="P50" s="39">
        <v>0</v>
      </c>
    </row>
    <row r="51" spans="13:16">
      <c r="M51" s="33">
        <v>45790</v>
      </c>
      <c r="N51" t="s">
        <v>259</v>
      </c>
      <c r="O51">
        <v>37</v>
      </c>
      <c r="P51" s="39">
        <v>50000</v>
      </c>
    </row>
    <row r="52" spans="13:16">
      <c r="M52" s="33">
        <v>45790</v>
      </c>
      <c r="N52" t="s">
        <v>259</v>
      </c>
      <c r="O52">
        <v>37</v>
      </c>
      <c r="P52" s="39">
        <v>20000</v>
      </c>
    </row>
    <row r="53" spans="13:16">
      <c r="M53" s="33">
        <v>45790</v>
      </c>
      <c r="N53" t="s">
        <v>259</v>
      </c>
      <c r="O53">
        <v>37</v>
      </c>
      <c r="P53" s="39">
        <v>590000</v>
      </c>
    </row>
    <row r="54" spans="13:16">
      <c r="M54" s="33">
        <v>45790</v>
      </c>
      <c r="N54" t="s">
        <v>239</v>
      </c>
      <c r="O54">
        <v>41</v>
      </c>
      <c r="P54" s="39">
        <v>171</v>
      </c>
    </row>
    <row r="55" spans="13:16">
      <c r="M55" s="33">
        <v>45791</v>
      </c>
      <c r="N55" t="s">
        <v>262</v>
      </c>
      <c r="O55">
        <v>28</v>
      </c>
      <c r="P55" s="39">
        <v>7</v>
      </c>
    </row>
    <row r="56" spans="13:16">
      <c r="M56" s="33">
        <v>45793</v>
      </c>
      <c r="N56" t="s">
        <v>260</v>
      </c>
      <c r="O56">
        <v>38</v>
      </c>
      <c r="P56" s="39">
        <v>20</v>
      </c>
    </row>
    <row r="57" spans="13:16">
      <c r="M57" s="33">
        <v>45793</v>
      </c>
      <c r="N57" t="s">
        <v>260</v>
      </c>
      <c r="O57">
        <v>38</v>
      </c>
      <c r="P57" s="39">
        <v>70</v>
      </c>
    </row>
    <row r="58" spans="13:16">
      <c r="M58" s="33">
        <v>45793</v>
      </c>
      <c r="N58" t="s">
        <v>257</v>
      </c>
      <c r="O58">
        <v>39</v>
      </c>
      <c r="P58" s="39">
        <v>55.3</v>
      </c>
    </row>
    <row r="59" spans="13:16">
      <c r="M59" s="33">
        <v>45796</v>
      </c>
      <c r="N59" t="s">
        <v>261</v>
      </c>
      <c r="O59">
        <v>40</v>
      </c>
      <c r="P59" s="39">
        <v>20</v>
      </c>
    </row>
    <row r="60" spans="13:16">
      <c r="M60" s="33">
        <v>45796</v>
      </c>
      <c r="N60" t="s">
        <v>263</v>
      </c>
      <c r="O60">
        <v>42</v>
      </c>
      <c r="P60" s="39">
        <v>130</v>
      </c>
    </row>
    <row r="61" spans="13:16">
      <c r="M61" s="33">
        <v>45796</v>
      </c>
      <c r="N61" t="s">
        <v>263</v>
      </c>
      <c r="O61">
        <v>42</v>
      </c>
      <c r="P61" s="39">
        <v>350</v>
      </c>
    </row>
    <row r="62" spans="13:16">
      <c r="M62" s="33">
        <v>45804</v>
      </c>
      <c r="N62" t="s">
        <v>264</v>
      </c>
      <c r="P62" s="39">
        <v>155</v>
      </c>
    </row>
    <row r="63" spans="13:16">
      <c r="M63" s="33">
        <v>45805</v>
      </c>
      <c r="N63" t="s">
        <v>265</v>
      </c>
      <c r="P63" s="39">
        <v>0</v>
      </c>
    </row>
    <row r="64" spans="13:16">
      <c r="M64" s="33">
        <v>45805</v>
      </c>
      <c r="N64" t="s">
        <v>265</v>
      </c>
      <c r="P64" s="39">
        <v>26</v>
      </c>
    </row>
    <row r="65" spans="13:17">
      <c r="M65" s="33">
        <v>45836</v>
      </c>
      <c r="N65" t="s">
        <v>263</v>
      </c>
      <c r="O65">
        <v>42</v>
      </c>
      <c r="P65" s="39">
        <v>500</v>
      </c>
      <c r="Q65" t="s">
        <v>639</v>
      </c>
    </row>
    <row r="66" spans="13:17">
      <c r="M66" s="33">
        <v>45836</v>
      </c>
      <c r="N66" t="s">
        <v>263</v>
      </c>
      <c r="O66">
        <v>42</v>
      </c>
      <c r="P66" s="39">
        <v>500</v>
      </c>
      <c r="Q66" t="s">
        <v>639</v>
      </c>
    </row>
    <row r="67" spans="13:17">
      <c r="N67" s="39"/>
      <c r="O67" s="39"/>
    </row>
  </sheetData>
  <conditionalFormatting sqref="H5:H37">
    <cfRule type="cellIs" dxfId="47" priority="1" operator="greaterThan">
      <formula>0</formula>
    </cfRule>
    <cfRule type="cellIs" dxfId="46" priority="2" operator="lessThan">
      <formula>0</formula>
    </cfRule>
  </conditionalFormatting>
  <pageMargins left="0.7" right="0.7" top="0.75" bottom="0.75" header="0.3" footer="0.3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555DA-345D-474E-B2F6-81BA1228C0B1}">
  <sheetPr codeName="Hoja5"/>
  <dimension ref="A1:A2"/>
  <sheetViews>
    <sheetView showGridLines="0" workbookViewId="0">
      <selection activeCell="E29" sqref="E29"/>
    </sheetView>
  </sheetViews>
  <sheetFormatPr baseColWidth="10" defaultRowHeight="15"/>
  <cols>
    <col min="1" max="1" width="68.85546875" customWidth="1"/>
  </cols>
  <sheetData>
    <row r="1" spans="1:1">
      <c r="A1" s="15" t="s">
        <v>148</v>
      </c>
    </row>
    <row r="2" spans="1:1">
      <c r="A2" s="3" t="s">
        <v>149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5A079-AE84-4910-BF68-261051EC7767}">
  <sheetPr codeName="Hoja6"/>
  <dimension ref="A1:A2"/>
  <sheetViews>
    <sheetView showGridLines="0" workbookViewId="0">
      <selection activeCell="A12" sqref="A12"/>
    </sheetView>
  </sheetViews>
  <sheetFormatPr baseColWidth="10" defaultRowHeight="15"/>
  <cols>
    <col min="1" max="1" width="61.5703125" customWidth="1"/>
    <col min="2" max="2" width="13.5703125" customWidth="1"/>
  </cols>
  <sheetData>
    <row r="1" spans="1:1">
      <c r="A1" s="15" t="s">
        <v>146</v>
      </c>
    </row>
    <row r="2" spans="1:1">
      <c r="A2" s="3" t="s">
        <v>147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C150A-8FA5-4125-B4B9-85944DB3B535}">
  <sheetPr codeName="Hoja7"/>
  <dimension ref="A1:S6"/>
  <sheetViews>
    <sheetView showGridLines="0" workbookViewId="0">
      <selection activeCell="O6" sqref="O6"/>
    </sheetView>
  </sheetViews>
  <sheetFormatPr baseColWidth="10" defaultRowHeight="15"/>
  <cols>
    <col min="1" max="1" width="56.85546875" customWidth="1"/>
    <col min="18" max="18" width="15.140625" customWidth="1"/>
  </cols>
  <sheetData>
    <row r="1" spans="1:19">
      <c r="A1" s="15" t="s">
        <v>144</v>
      </c>
    </row>
    <row r="2" spans="1:19">
      <c r="A2" s="3" t="s">
        <v>145</v>
      </c>
    </row>
    <row r="3" spans="1:19">
      <c r="Q3" t="s">
        <v>87</v>
      </c>
    </row>
    <row r="4" spans="1:19">
      <c r="P4" s="4"/>
      <c r="Q4" s="4" t="s">
        <v>56</v>
      </c>
      <c r="R4" s="4" t="s">
        <v>58</v>
      </c>
      <c r="S4" s="4" t="s">
        <v>57</v>
      </c>
    </row>
    <row r="5" spans="1:19">
      <c r="Q5" s="3"/>
      <c r="R5" s="3" t="s">
        <v>59</v>
      </c>
      <c r="S5" s="3" t="s">
        <v>54</v>
      </c>
    </row>
    <row r="6" spans="1:19">
      <c r="Q6" s="3"/>
      <c r="R6" s="3" t="s">
        <v>60</v>
      </c>
      <c r="S6" s="3" t="s">
        <v>55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9E6B4-CE55-4580-9E14-CF208E425BF9}">
  <sheetPr codeName="Hoja9"/>
  <dimension ref="A1:BB91"/>
  <sheetViews>
    <sheetView showGridLines="0" topLeftCell="AL1" zoomScale="115" zoomScaleNormal="115" workbookViewId="0">
      <selection activeCell="P6" sqref="P6:BA6"/>
    </sheetView>
  </sheetViews>
  <sheetFormatPr baseColWidth="10" defaultColWidth="0" defaultRowHeight="15.75" customHeight="1"/>
  <cols>
    <col min="1" max="5" width="28.85546875" customWidth="1"/>
    <col min="6" max="6" width="14" customWidth="1"/>
    <col min="7" max="7" width="3.7109375" style="68" customWidth="1"/>
    <col min="8" max="8" width="18.85546875" bestFit="1" customWidth="1"/>
    <col min="9" max="9" width="16" customWidth="1"/>
    <col min="10" max="10" width="16.42578125" style="8" bestFit="1" customWidth="1"/>
    <col min="11" max="11" width="24.42578125" style="8" customWidth="1"/>
    <col min="12" max="12" width="18.28515625" style="8" bestFit="1" customWidth="1"/>
    <col min="13" max="13" width="18.42578125" bestFit="1" customWidth="1"/>
    <col min="14" max="14" width="16.7109375" bestFit="1" customWidth="1"/>
    <col min="15" max="15" width="16.7109375" customWidth="1"/>
    <col min="16" max="16" width="3.7109375" style="68" customWidth="1"/>
    <col min="17" max="17" width="14" customWidth="1"/>
    <col min="18" max="18" width="15.85546875" customWidth="1"/>
    <col min="19" max="19" width="22" bestFit="1" customWidth="1"/>
    <col min="20" max="20" width="16.28515625" bestFit="1" customWidth="1"/>
    <col min="21" max="21" width="14" customWidth="1"/>
    <col min="22" max="22" width="3.7109375" style="68" customWidth="1"/>
    <col min="23" max="23" width="14" customWidth="1"/>
    <col min="24" max="28" width="28.85546875" customWidth="1"/>
    <col min="29" max="29" width="14" customWidth="1"/>
    <col min="30" max="30" width="3.7109375" style="68" customWidth="1"/>
    <col min="31" max="31" width="14" customWidth="1"/>
    <col min="32" max="37" width="28.85546875" customWidth="1"/>
    <col min="38" max="38" width="14" customWidth="1"/>
    <col min="39" max="39" width="3.7109375" style="68" customWidth="1"/>
    <col min="40" max="40" width="27.28515625" bestFit="1" customWidth="1"/>
    <col min="41" max="41" width="21.28515625" bestFit="1" customWidth="1"/>
    <col min="42" max="42" width="13.140625" customWidth="1"/>
    <col min="43" max="43" width="22.140625" style="179" customWidth="1"/>
    <col min="44" max="44" width="28.85546875" style="14" customWidth="1"/>
    <col min="45" max="48" width="8.7109375" customWidth="1"/>
    <col min="49" max="51" width="28.85546875" customWidth="1"/>
    <col min="52" max="54" width="0" hidden="1" customWidth="1"/>
    <col min="55" max="16384" width="28.85546875" hidden="1"/>
  </cols>
  <sheetData>
    <row r="1" spans="1:50" ht="15.75" customHeight="1">
      <c r="A1" s="15" t="s">
        <v>140</v>
      </c>
    </row>
    <row r="2" spans="1:50" ht="15.75" customHeight="1">
      <c r="A2" s="13" t="s">
        <v>141</v>
      </c>
    </row>
    <row r="4" spans="1:50" ht="15.75" customHeight="1">
      <c r="A4" t="s">
        <v>88</v>
      </c>
      <c r="H4" s="166" t="s">
        <v>156</v>
      </c>
      <c r="I4" t="s">
        <v>465</v>
      </c>
      <c r="R4" s="11" t="s">
        <v>216</v>
      </c>
      <c r="X4" t="s">
        <v>527</v>
      </c>
      <c r="AF4" t="s">
        <v>108</v>
      </c>
      <c r="AN4" s="8" t="s">
        <v>1036</v>
      </c>
      <c r="AO4" t="s">
        <v>523</v>
      </c>
      <c r="AW4" s="8" t="s">
        <v>524</v>
      </c>
    </row>
    <row r="5" spans="1:50" ht="15.75" customHeight="1">
      <c r="A5" s="4" t="s">
        <v>50</v>
      </c>
      <c r="B5" s="4" t="s">
        <v>52</v>
      </c>
      <c r="C5" s="4" t="s">
        <v>51</v>
      </c>
      <c r="D5" s="4" t="s">
        <v>42</v>
      </c>
      <c r="E5" s="4" t="s">
        <v>434</v>
      </c>
      <c r="H5" s="8" t="str">
        <f>_xlfn.XLOOKUP(H4,Dim_Producto[Codigo_Producto],Dim_Producto[Nombre])</f>
        <v>Buzos</v>
      </c>
      <c r="I5" s="4" t="s">
        <v>70</v>
      </c>
      <c r="J5" s="4" t="s">
        <v>61</v>
      </c>
      <c r="K5" s="4" t="s">
        <v>172</v>
      </c>
      <c r="L5" s="4" t="s">
        <v>71</v>
      </c>
      <c r="M5" s="4" t="s">
        <v>72</v>
      </c>
      <c r="N5" s="4" t="s">
        <v>525</v>
      </c>
      <c r="O5" s="4"/>
      <c r="R5" s="4" t="s">
        <v>204</v>
      </c>
      <c r="S5" s="4" t="s">
        <v>64</v>
      </c>
      <c r="T5" s="4" t="s">
        <v>65</v>
      </c>
      <c r="X5" s="4" t="s">
        <v>467</v>
      </c>
      <c r="Y5" s="4" t="s">
        <v>204</v>
      </c>
      <c r="Z5" s="4" t="s">
        <v>468</v>
      </c>
      <c r="AA5" s="4" t="s">
        <v>850</v>
      </c>
      <c r="AB5" s="4" t="s">
        <v>851</v>
      </c>
      <c r="AF5" s="4" t="s">
        <v>99</v>
      </c>
      <c r="AG5" s="4" t="s">
        <v>100</v>
      </c>
      <c r="AH5" s="4" t="s">
        <v>101</v>
      </c>
      <c r="AI5" s="3"/>
      <c r="AO5" s="56" t="s">
        <v>172</v>
      </c>
      <c r="AP5" s="56" t="s">
        <v>98</v>
      </c>
      <c r="AQ5" s="180" t="s">
        <v>489</v>
      </c>
      <c r="AR5" s="14" t="s">
        <v>522</v>
      </c>
      <c r="AW5" s="4" t="s">
        <v>71</v>
      </c>
      <c r="AX5" s="4" t="s">
        <v>77</v>
      </c>
    </row>
    <row r="6" spans="1:50" ht="15.75" customHeight="1">
      <c r="A6" t="s">
        <v>533</v>
      </c>
      <c r="B6" t="s">
        <v>532</v>
      </c>
      <c r="C6" s="3" t="s">
        <v>53</v>
      </c>
      <c r="I6" s="3" t="s">
        <v>567</v>
      </c>
      <c r="J6" s="2" t="s">
        <v>201</v>
      </c>
      <c r="K6" s="2" t="s">
        <v>155</v>
      </c>
      <c r="L6" s="2" t="s">
        <v>94</v>
      </c>
      <c r="M6" s="3">
        <v>1500</v>
      </c>
      <c r="N6" s="3" t="s">
        <v>427</v>
      </c>
      <c r="O6" s="3"/>
      <c r="R6" s="3" t="s">
        <v>205</v>
      </c>
      <c r="S6" s="3" t="s">
        <v>102</v>
      </c>
      <c r="T6" s="3"/>
      <c r="X6" s="3" t="s">
        <v>469</v>
      </c>
      <c r="Y6" s="3" t="s">
        <v>205</v>
      </c>
      <c r="Z6" s="3" t="s">
        <v>470</v>
      </c>
      <c r="AA6" s="3">
        <v>15</v>
      </c>
      <c r="AB6" s="3">
        <v>15</v>
      </c>
      <c r="AF6" s="3" t="s">
        <v>81</v>
      </c>
      <c r="AG6" s="3" t="s">
        <v>81</v>
      </c>
      <c r="AH6" s="3"/>
      <c r="AO6" s="3" t="s">
        <v>154</v>
      </c>
      <c r="AP6" s="3" t="s">
        <v>673</v>
      </c>
      <c r="AQ6" s="179">
        <v>0.16250000000000001</v>
      </c>
      <c r="AR6" s="57"/>
      <c r="AW6" s="2" t="str">
        <f>"VC"&amp;TEXT(ROW()-ROW(dim_Vol_pedido[[#Headers],[id_tipo_precio]]),"000")</f>
        <v>VC001</v>
      </c>
      <c r="AX6" s="3" t="s">
        <v>74</v>
      </c>
    </row>
    <row r="7" spans="1:50" ht="15.75" customHeight="1">
      <c r="A7" s="70" t="s">
        <v>195</v>
      </c>
      <c r="B7" s="3" t="s">
        <v>45</v>
      </c>
      <c r="C7" s="3" t="s">
        <v>53</v>
      </c>
      <c r="D7" s="3" t="s">
        <v>34</v>
      </c>
      <c r="I7" s="3" t="s">
        <v>568</v>
      </c>
      <c r="J7" s="2" t="s">
        <v>201</v>
      </c>
      <c r="K7" s="2" t="s">
        <v>155</v>
      </c>
      <c r="L7" s="2" t="s">
        <v>95</v>
      </c>
      <c r="M7" s="3">
        <v>1300</v>
      </c>
      <c r="N7" s="3" t="s">
        <v>427</v>
      </c>
      <c r="O7" s="3"/>
      <c r="R7" s="3" t="s">
        <v>206</v>
      </c>
      <c r="S7" s="3" t="s">
        <v>504</v>
      </c>
      <c r="T7" s="3"/>
      <c r="X7" s="3" t="s">
        <v>471</v>
      </c>
      <c r="Y7" s="3" t="s">
        <v>205</v>
      </c>
      <c r="Z7" s="3" t="s">
        <v>480</v>
      </c>
      <c r="AA7" s="3">
        <v>21.59</v>
      </c>
      <c r="AB7" s="3">
        <v>27.94</v>
      </c>
      <c r="AF7" s="3" t="s">
        <v>81</v>
      </c>
      <c r="AG7" s="3" t="s">
        <v>370</v>
      </c>
      <c r="AH7" s="3"/>
      <c r="AO7" s="3" t="s">
        <v>155</v>
      </c>
      <c r="AP7" t="s">
        <v>673</v>
      </c>
      <c r="AQ7" s="181"/>
      <c r="AR7" s="57"/>
      <c r="AW7" s="2" t="str">
        <f>"VC"&amp;TEXT(ROW()-ROW(dim_Vol_pedido[[#Headers],[id_tipo_precio]]),"000")</f>
        <v>VC002</v>
      </c>
      <c r="AX7" s="3" t="s">
        <v>76</v>
      </c>
    </row>
    <row r="8" spans="1:50" ht="15.75" customHeight="1">
      <c r="A8" t="s">
        <v>196</v>
      </c>
      <c r="B8" t="s">
        <v>534</v>
      </c>
      <c r="C8" s="3" t="s">
        <v>53</v>
      </c>
      <c r="I8" s="3" t="s">
        <v>569</v>
      </c>
      <c r="J8" s="2" t="s">
        <v>201</v>
      </c>
      <c r="K8" s="2" t="s">
        <v>155</v>
      </c>
      <c r="L8" s="2" t="s">
        <v>96</v>
      </c>
      <c r="M8" s="3">
        <v>1100</v>
      </c>
      <c r="N8" s="3" t="s">
        <v>427</v>
      </c>
      <c r="O8" s="3"/>
      <c r="R8" s="3" t="s">
        <v>207</v>
      </c>
      <c r="S8" s="3" t="s">
        <v>210</v>
      </c>
      <c r="T8" s="3"/>
      <c r="X8" s="3" t="s">
        <v>473</v>
      </c>
      <c r="Y8" s="3" t="s">
        <v>205</v>
      </c>
      <c r="Z8" s="3" t="s">
        <v>481</v>
      </c>
      <c r="AA8" s="3">
        <v>21.59</v>
      </c>
      <c r="AB8" s="3">
        <v>33.020000000000003</v>
      </c>
      <c r="AF8" s="3" t="s">
        <v>210</v>
      </c>
      <c r="AG8" s="3" t="s">
        <v>210</v>
      </c>
      <c r="AH8" s="3"/>
      <c r="AO8" s="3" t="s">
        <v>156</v>
      </c>
      <c r="AP8" t="s">
        <v>211</v>
      </c>
      <c r="AQ8" s="181">
        <v>0.7</v>
      </c>
      <c r="AR8" s="57"/>
      <c r="AW8" s="2" t="str">
        <f>"VC"&amp;TEXT(ROW()-ROW(dim_Vol_pedido[[#Headers],[id_tipo_precio]]),"000")</f>
        <v>VC003</v>
      </c>
      <c r="AX8" s="3" t="s">
        <v>75</v>
      </c>
    </row>
    <row r="9" spans="1:50" ht="15.75" customHeight="1">
      <c r="A9" t="s">
        <v>197</v>
      </c>
      <c r="B9" t="s">
        <v>535</v>
      </c>
      <c r="C9" s="3" t="s">
        <v>53</v>
      </c>
      <c r="I9" s="3" t="s">
        <v>570</v>
      </c>
      <c r="J9" s="2" t="s">
        <v>201</v>
      </c>
      <c r="K9" s="2" t="s">
        <v>156</v>
      </c>
      <c r="L9" s="2" t="s">
        <v>94</v>
      </c>
      <c r="M9" s="3">
        <v>3500</v>
      </c>
      <c r="N9" s="3" t="s">
        <v>427</v>
      </c>
      <c r="O9" s="3"/>
      <c r="R9" s="3" t="s">
        <v>208</v>
      </c>
      <c r="S9" s="3" t="s">
        <v>620</v>
      </c>
      <c r="T9" s="3"/>
      <c r="X9" s="3" t="s">
        <v>475</v>
      </c>
      <c r="Y9" s="3" t="s">
        <v>205</v>
      </c>
      <c r="Z9" s="3" t="s">
        <v>472</v>
      </c>
      <c r="AA9" s="3">
        <v>20</v>
      </c>
      <c r="AB9" s="3">
        <v>20</v>
      </c>
      <c r="AF9" s="3" t="s">
        <v>210</v>
      </c>
      <c r="AG9" s="3" t="s">
        <v>364</v>
      </c>
      <c r="AH9" s="3"/>
      <c r="AI9" s="3"/>
      <c r="AJ9" s="3"/>
      <c r="AK9" s="3"/>
      <c r="AO9" s="3" t="s">
        <v>156</v>
      </c>
      <c r="AP9" t="s">
        <v>212</v>
      </c>
      <c r="AQ9" s="181">
        <v>0.9</v>
      </c>
      <c r="AR9" s="57"/>
    </row>
    <row r="10" spans="1:50" ht="15.75" customHeight="1">
      <c r="A10" s="3" t="s">
        <v>528</v>
      </c>
      <c r="B10" s="3" t="s">
        <v>47</v>
      </c>
      <c r="C10" s="3" t="s">
        <v>53</v>
      </c>
      <c r="D10" s="3" t="s">
        <v>34</v>
      </c>
      <c r="I10" s="3" t="s">
        <v>571</v>
      </c>
      <c r="J10" s="2" t="s">
        <v>201</v>
      </c>
      <c r="K10" s="2" t="s">
        <v>156</v>
      </c>
      <c r="L10" s="2" t="s">
        <v>95</v>
      </c>
      <c r="M10" s="3">
        <v>2500</v>
      </c>
      <c r="N10" s="3" t="s">
        <v>427</v>
      </c>
      <c r="O10" s="3"/>
      <c r="R10" s="3" t="s">
        <v>209</v>
      </c>
      <c r="S10" s="3" t="s">
        <v>81</v>
      </c>
      <c r="T10" s="3"/>
      <c r="X10" s="3" t="s">
        <v>477</v>
      </c>
      <c r="Y10" s="3" t="s">
        <v>205</v>
      </c>
      <c r="Z10" s="3" t="s">
        <v>482</v>
      </c>
      <c r="AA10" s="3">
        <v>25</v>
      </c>
      <c r="AB10" s="3">
        <v>30</v>
      </c>
      <c r="AF10" s="3" t="s">
        <v>210</v>
      </c>
      <c r="AG10" s="3" t="s">
        <v>540</v>
      </c>
      <c r="AH10" s="3"/>
      <c r="AI10" s="3"/>
      <c r="AJ10" s="3"/>
      <c r="AK10" s="3"/>
      <c r="AO10" s="3" t="s">
        <v>156</v>
      </c>
      <c r="AP10" s="3" t="s">
        <v>213</v>
      </c>
      <c r="AQ10" s="181">
        <v>2</v>
      </c>
      <c r="AR10" s="57"/>
      <c r="AW10" s="8"/>
    </row>
    <row r="11" spans="1:50" ht="15.75" customHeight="1">
      <c r="A11" s="3" t="s">
        <v>198</v>
      </c>
      <c r="B11" s="3" t="s">
        <v>46</v>
      </c>
      <c r="C11" s="3" t="s">
        <v>53</v>
      </c>
      <c r="D11" s="3" t="s">
        <v>34</v>
      </c>
      <c r="E11" s="3"/>
      <c r="I11" s="3" t="s">
        <v>572</v>
      </c>
      <c r="J11" s="2" t="s">
        <v>201</v>
      </c>
      <c r="K11" s="2" t="s">
        <v>158</v>
      </c>
      <c r="L11" s="2" t="s">
        <v>94</v>
      </c>
      <c r="M11" s="3">
        <v>4000</v>
      </c>
      <c r="N11" s="3" t="s">
        <v>427</v>
      </c>
      <c r="O11" s="3"/>
      <c r="R11" s="3"/>
      <c r="S11" s="3"/>
      <c r="T11" s="3"/>
      <c r="X11" s="3" t="s">
        <v>478</v>
      </c>
      <c r="Y11" s="3" t="s">
        <v>206</v>
      </c>
      <c r="Z11" s="3" t="s">
        <v>474</v>
      </c>
      <c r="AA11" s="3">
        <v>21.59</v>
      </c>
      <c r="AB11" s="3">
        <v>27.94</v>
      </c>
      <c r="AF11" s="3" t="s">
        <v>504</v>
      </c>
      <c r="AG11" s="3" t="s">
        <v>44</v>
      </c>
      <c r="AH11" s="3" t="s">
        <v>103</v>
      </c>
      <c r="AI11" s="3"/>
      <c r="AJ11" s="3"/>
      <c r="AK11" s="3"/>
      <c r="AO11" s="3" t="s">
        <v>157</v>
      </c>
      <c r="AP11" t="s">
        <v>211</v>
      </c>
      <c r="AQ11" s="181"/>
      <c r="AR11" s="57"/>
    </row>
    <row r="12" spans="1:50" ht="15.75" customHeight="1">
      <c r="A12" t="s">
        <v>199</v>
      </c>
      <c r="B12" t="s">
        <v>536</v>
      </c>
      <c r="C12" s="3" t="s">
        <v>53</v>
      </c>
      <c r="I12" s="3" t="s">
        <v>573</v>
      </c>
      <c r="J12" s="2" t="s">
        <v>201</v>
      </c>
      <c r="K12" s="2" t="s">
        <v>158</v>
      </c>
      <c r="L12" s="2" t="s">
        <v>95</v>
      </c>
      <c r="M12" s="3">
        <v>3500</v>
      </c>
      <c r="N12" s="3" t="s">
        <v>427</v>
      </c>
      <c r="O12" s="3"/>
      <c r="X12" s="3" t="s">
        <v>483</v>
      </c>
      <c r="Y12" s="3" t="s">
        <v>206</v>
      </c>
      <c r="Z12" s="3" t="s">
        <v>476</v>
      </c>
      <c r="AA12" s="3">
        <v>21.59</v>
      </c>
      <c r="AB12" s="3">
        <v>33.020000000000003</v>
      </c>
      <c r="AF12" s="3" t="s">
        <v>504</v>
      </c>
      <c r="AG12" s="3" t="s">
        <v>535</v>
      </c>
      <c r="AH12" s="3" t="s">
        <v>103</v>
      </c>
      <c r="AI12" s="3"/>
      <c r="AJ12" s="3"/>
      <c r="AK12" s="3"/>
      <c r="AO12" s="3" t="s">
        <v>157</v>
      </c>
      <c r="AP12" t="s">
        <v>212</v>
      </c>
      <c r="AQ12" s="181"/>
      <c r="AR12" s="57"/>
    </row>
    <row r="13" spans="1:50" ht="15.75" customHeight="1">
      <c r="A13" s="70" t="s">
        <v>200</v>
      </c>
      <c r="B13" s="3" t="s">
        <v>537</v>
      </c>
      <c r="C13" s="3" t="s">
        <v>53</v>
      </c>
      <c r="D13" s="3" t="s">
        <v>34</v>
      </c>
      <c r="E13" s="3"/>
      <c r="I13" s="3" t="s">
        <v>574</v>
      </c>
      <c r="J13" s="2" t="s">
        <v>201</v>
      </c>
      <c r="K13" s="2" t="s">
        <v>158</v>
      </c>
      <c r="L13" s="2" t="s">
        <v>96</v>
      </c>
      <c r="M13" s="3">
        <v>3000</v>
      </c>
      <c r="N13" s="3" t="s">
        <v>427</v>
      </c>
      <c r="O13" s="3"/>
      <c r="X13" s="3" t="s">
        <v>484</v>
      </c>
      <c r="Y13" s="3" t="s">
        <v>206</v>
      </c>
      <c r="Z13" s="3" t="s">
        <v>518</v>
      </c>
      <c r="AA13" s="3"/>
      <c r="AB13" s="3"/>
      <c r="AF13" s="3" t="s">
        <v>504</v>
      </c>
      <c r="AG13" s="3" t="s">
        <v>37</v>
      </c>
      <c r="AH13" s="3" t="s">
        <v>103</v>
      </c>
      <c r="AI13" s="3"/>
      <c r="AJ13" s="3"/>
      <c r="AK13" s="3"/>
      <c r="AO13" s="3" t="s">
        <v>157</v>
      </c>
      <c r="AP13" s="3" t="s">
        <v>213</v>
      </c>
      <c r="AQ13" s="181">
        <v>1.6</v>
      </c>
      <c r="AR13" s="57"/>
    </row>
    <row r="14" spans="1:50" ht="15.75" customHeight="1">
      <c r="A14" s="70" t="s">
        <v>201</v>
      </c>
      <c r="B14" s="3" t="s">
        <v>466</v>
      </c>
      <c r="C14" s="3" t="s">
        <v>53</v>
      </c>
      <c r="D14" s="3" t="s">
        <v>34</v>
      </c>
      <c r="E14" s="3"/>
      <c r="I14" s="3" t="s">
        <v>575</v>
      </c>
      <c r="J14" s="2" t="s">
        <v>201</v>
      </c>
      <c r="K14" s="2" t="s">
        <v>159</v>
      </c>
      <c r="L14" s="2" t="s">
        <v>94</v>
      </c>
      <c r="M14" s="3">
        <v>6000</v>
      </c>
      <c r="N14" s="3" t="s">
        <v>427</v>
      </c>
      <c r="O14" s="3"/>
      <c r="X14" s="3" t="s">
        <v>485</v>
      </c>
      <c r="Y14" s="3" t="s">
        <v>206</v>
      </c>
      <c r="Z14" s="3" t="s">
        <v>479</v>
      </c>
      <c r="AA14" s="3"/>
      <c r="AB14" s="3"/>
      <c r="AF14" s="3" t="s">
        <v>504</v>
      </c>
      <c r="AG14" s="3" t="s">
        <v>540</v>
      </c>
      <c r="AH14" s="3" t="s">
        <v>103</v>
      </c>
      <c r="AI14" s="3"/>
      <c r="AJ14" s="3"/>
      <c r="AK14" s="3"/>
      <c r="AO14" s="3" t="s">
        <v>158</v>
      </c>
      <c r="AP14" t="s">
        <v>211</v>
      </c>
      <c r="AQ14" s="181"/>
      <c r="AR14" s="57"/>
    </row>
    <row r="15" spans="1:50" ht="15.75" customHeight="1">
      <c r="A15" s="3" t="s">
        <v>202</v>
      </c>
      <c r="B15" s="3" t="s">
        <v>44</v>
      </c>
      <c r="C15" s="3" t="s">
        <v>53</v>
      </c>
      <c r="D15" s="3" t="s">
        <v>22</v>
      </c>
      <c r="E15" s="3"/>
      <c r="I15" s="3" t="s">
        <v>576</v>
      </c>
      <c r="J15" s="2" t="s">
        <v>201</v>
      </c>
      <c r="K15" s="2" t="s">
        <v>159</v>
      </c>
      <c r="L15" s="2" t="s">
        <v>95</v>
      </c>
      <c r="M15" s="3">
        <v>5500</v>
      </c>
      <c r="N15" s="3" t="s">
        <v>427</v>
      </c>
      <c r="O15" s="3"/>
      <c r="AF15" s="3" t="s">
        <v>102</v>
      </c>
      <c r="AG15" s="3" t="s">
        <v>62</v>
      </c>
      <c r="AH15" s="3" t="s">
        <v>104</v>
      </c>
      <c r="AI15" s="3"/>
      <c r="AJ15" s="3"/>
      <c r="AK15" s="3"/>
      <c r="AO15" s="3" t="s">
        <v>158</v>
      </c>
      <c r="AP15" t="s">
        <v>212</v>
      </c>
      <c r="AQ15" s="181"/>
      <c r="AR15" s="57"/>
    </row>
    <row r="16" spans="1:50" ht="15.75" customHeight="1">
      <c r="A16" s="3" t="s">
        <v>203</v>
      </c>
      <c r="B16" s="3" t="s">
        <v>62</v>
      </c>
      <c r="C16" s="3" t="s">
        <v>53</v>
      </c>
      <c r="D16" s="3" t="s">
        <v>22</v>
      </c>
      <c r="E16" s="3"/>
      <c r="I16" s="3" t="s">
        <v>577</v>
      </c>
      <c r="J16" s="2" t="s">
        <v>201</v>
      </c>
      <c r="K16" s="2" t="s">
        <v>159</v>
      </c>
      <c r="L16" s="2" t="s">
        <v>96</v>
      </c>
      <c r="M16" s="3">
        <v>5000</v>
      </c>
      <c r="N16" s="3" t="s">
        <v>427</v>
      </c>
      <c r="O16" s="3"/>
      <c r="AF16" s="3" t="s">
        <v>102</v>
      </c>
      <c r="AG16" s="3" t="s">
        <v>532</v>
      </c>
      <c r="AH16" s="3" t="s">
        <v>103</v>
      </c>
      <c r="AI16" s="3"/>
      <c r="AJ16" s="3"/>
      <c r="AK16" s="3"/>
      <c r="AO16" s="3" t="s">
        <v>158</v>
      </c>
      <c r="AP16" s="3" t="s">
        <v>213</v>
      </c>
      <c r="AQ16" s="181"/>
      <c r="AR16" s="57"/>
    </row>
    <row r="17" spans="1:44" ht="15.75" customHeight="1">
      <c r="A17" s="3" t="s">
        <v>1004</v>
      </c>
      <c r="B17" s="3" t="s">
        <v>48</v>
      </c>
      <c r="C17" s="3" t="s">
        <v>53</v>
      </c>
      <c r="D17" s="3" t="s">
        <v>34</v>
      </c>
      <c r="E17" s="3"/>
      <c r="I17" s="3" t="s">
        <v>578</v>
      </c>
      <c r="J17" s="2" t="s">
        <v>201</v>
      </c>
      <c r="K17" s="2" t="s">
        <v>160</v>
      </c>
      <c r="L17" s="2" t="s">
        <v>94</v>
      </c>
      <c r="M17" s="3">
        <v>5000</v>
      </c>
      <c r="N17" s="3" t="s">
        <v>427</v>
      </c>
      <c r="O17" s="3"/>
      <c r="AF17" s="3" t="s">
        <v>102</v>
      </c>
      <c r="AG17" s="3" t="s">
        <v>534</v>
      </c>
      <c r="AH17" s="3" t="s">
        <v>103</v>
      </c>
      <c r="AI17" s="3"/>
      <c r="AK17" s="3"/>
      <c r="AO17" s="3" t="s">
        <v>159</v>
      </c>
      <c r="AP17" t="s">
        <v>211</v>
      </c>
      <c r="AQ17" s="181"/>
      <c r="AR17" s="57"/>
    </row>
    <row r="18" spans="1:44" ht="15.75" customHeight="1">
      <c r="A18" s="3" t="s">
        <v>541</v>
      </c>
      <c r="B18" s="3" t="s">
        <v>542</v>
      </c>
      <c r="C18" s="3" t="s">
        <v>53</v>
      </c>
      <c r="D18" s="3" t="s">
        <v>34</v>
      </c>
      <c r="E18" s="3"/>
      <c r="I18" s="3" t="s">
        <v>579</v>
      </c>
      <c r="J18" s="2" t="s">
        <v>201</v>
      </c>
      <c r="K18" s="2" t="s">
        <v>160</v>
      </c>
      <c r="L18" s="2" t="s">
        <v>95</v>
      </c>
      <c r="M18" s="3">
        <v>4000</v>
      </c>
      <c r="N18" s="3" t="s">
        <v>427</v>
      </c>
      <c r="O18" s="3"/>
      <c r="AF18" s="3" t="s">
        <v>102</v>
      </c>
      <c r="AG18" s="3" t="s">
        <v>37</v>
      </c>
      <c r="AH18" s="3" t="s">
        <v>103</v>
      </c>
      <c r="AI18" s="3"/>
      <c r="AK18" s="3"/>
      <c r="AO18" s="3" t="s">
        <v>159</v>
      </c>
      <c r="AP18" t="s">
        <v>212</v>
      </c>
      <c r="AQ18" s="181"/>
      <c r="AR18" s="57"/>
    </row>
    <row r="19" spans="1:44" ht="15.75" customHeight="1">
      <c r="A19" s="3" t="s">
        <v>526</v>
      </c>
      <c r="B19" s="3" t="s">
        <v>538</v>
      </c>
      <c r="C19" s="3" t="s">
        <v>53</v>
      </c>
      <c r="D19" s="3" t="s">
        <v>34</v>
      </c>
      <c r="E19" s="3"/>
      <c r="I19" s="3" t="s">
        <v>580</v>
      </c>
      <c r="J19" s="2" t="s">
        <v>201</v>
      </c>
      <c r="K19" s="2" t="s">
        <v>160</v>
      </c>
      <c r="L19" s="2" t="s">
        <v>96</v>
      </c>
      <c r="M19" s="3">
        <v>2500</v>
      </c>
      <c r="N19" s="3" t="s">
        <v>427</v>
      </c>
      <c r="O19" s="3"/>
      <c r="AF19" s="3" t="s">
        <v>102</v>
      </c>
      <c r="AG19" s="3" t="s">
        <v>540</v>
      </c>
      <c r="AH19" s="3" t="s">
        <v>103</v>
      </c>
      <c r="AI19" s="3"/>
      <c r="AJ19" s="3"/>
      <c r="AK19" s="3"/>
      <c r="AO19" s="3" t="s">
        <v>159</v>
      </c>
      <c r="AP19" s="3" t="s">
        <v>213</v>
      </c>
      <c r="AQ19" s="179">
        <v>2</v>
      </c>
      <c r="AR19" s="57"/>
    </row>
    <row r="20" spans="1:44" ht="15.75" customHeight="1">
      <c r="A20" s="3" t="s">
        <v>539</v>
      </c>
      <c r="B20" s="3" t="s">
        <v>540</v>
      </c>
      <c r="C20" s="3" t="s">
        <v>53</v>
      </c>
      <c r="D20" s="3" t="s">
        <v>34</v>
      </c>
      <c r="E20" s="3"/>
      <c r="I20" s="3" t="s">
        <v>809</v>
      </c>
      <c r="J20" s="2" t="s">
        <v>201</v>
      </c>
      <c r="K20" s="2" t="s">
        <v>161</v>
      </c>
      <c r="L20" s="2" t="s">
        <v>94</v>
      </c>
      <c r="M20" s="3">
        <v>6000</v>
      </c>
      <c r="N20" s="3" t="s">
        <v>427</v>
      </c>
      <c r="O20" s="3"/>
      <c r="AF20" s="3" t="s">
        <v>102</v>
      </c>
      <c r="AG20" t="s">
        <v>535</v>
      </c>
      <c r="AH20" s="3"/>
      <c r="AI20" s="3"/>
      <c r="AJ20" s="3"/>
      <c r="AK20" s="3"/>
      <c r="AO20" s="3" t="s">
        <v>160</v>
      </c>
      <c r="AP20" s="3" t="s">
        <v>211</v>
      </c>
      <c r="AQ20" s="179">
        <v>0.6</v>
      </c>
      <c r="AR20" s="57"/>
    </row>
    <row r="21" spans="1:44" ht="15.75" customHeight="1">
      <c r="A21" t="s">
        <v>530</v>
      </c>
      <c r="B21" t="s">
        <v>531</v>
      </c>
      <c r="C21" s="3" t="s">
        <v>53</v>
      </c>
      <c r="D21" s="3" t="s">
        <v>34</v>
      </c>
      <c r="I21" s="3" t="s">
        <v>581</v>
      </c>
      <c r="J21" s="2" t="s">
        <v>201</v>
      </c>
      <c r="K21" s="2" t="s">
        <v>163</v>
      </c>
      <c r="L21" s="2" t="s">
        <v>94</v>
      </c>
      <c r="M21" s="3">
        <v>3000</v>
      </c>
      <c r="N21" s="3" t="s">
        <v>427</v>
      </c>
      <c r="O21" s="3"/>
      <c r="AF21" s="3" t="s">
        <v>620</v>
      </c>
      <c r="AG21" s="3" t="s">
        <v>44</v>
      </c>
      <c r="AH21" s="3" t="s">
        <v>107</v>
      </c>
      <c r="AI21" s="3"/>
      <c r="AJ21" s="3"/>
      <c r="AK21" s="3"/>
      <c r="AO21" s="3" t="s">
        <v>160</v>
      </c>
      <c r="AP21" s="3" t="s">
        <v>212</v>
      </c>
      <c r="AQ21" s="179">
        <v>0.8</v>
      </c>
      <c r="AR21" s="57"/>
    </row>
    <row r="22" spans="1:44" ht="15.75" customHeight="1">
      <c r="A22" s="3" t="s">
        <v>632</v>
      </c>
      <c r="B22" t="s">
        <v>631</v>
      </c>
      <c r="C22" s="3" t="s">
        <v>53</v>
      </c>
      <c r="D22" s="3" t="s">
        <v>22</v>
      </c>
      <c r="I22" s="3" t="s">
        <v>582</v>
      </c>
      <c r="J22" s="2" t="s">
        <v>201</v>
      </c>
      <c r="K22" s="2" t="s">
        <v>163</v>
      </c>
      <c r="L22" s="2" t="s">
        <v>95</v>
      </c>
      <c r="M22" s="3">
        <v>2000</v>
      </c>
      <c r="N22" s="3" t="s">
        <v>427</v>
      </c>
      <c r="O22" s="3"/>
      <c r="AF22" s="3" t="s">
        <v>620</v>
      </c>
      <c r="AG22" s="3" t="s">
        <v>62</v>
      </c>
      <c r="AH22" s="3" t="s">
        <v>107</v>
      </c>
      <c r="AI22" s="3"/>
      <c r="AJ22" s="3"/>
      <c r="AK22" s="3"/>
      <c r="AO22" s="3" t="s">
        <v>160</v>
      </c>
      <c r="AP22" s="3" t="s">
        <v>213</v>
      </c>
      <c r="AQ22" s="179">
        <v>1</v>
      </c>
      <c r="AR22" s="57"/>
    </row>
    <row r="23" spans="1:44" ht="15.75" customHeight="1">
      <c r="A23" s="69" t="s">
        <v>529</v>
      </c>
      <c r="B23" t="s">
        <v>210</v>
      </c>
      <c r="C23" s="3" t="s">
        <v>53</v>
      </c>
      <c r="D23" s="3" t="s">
        <v>22</v>
      </c>
      <c r="I23" s="3" t="s">
        <v>583</v>
      </c>
      <c r="J23" s="2" t="s">
        <v>201</v>
      </c>
      <c r="K23" s="2" t="s">
        <v>163</v>
      </c>
      <c r="L23" s="2" t="s">
        <v>96</v>
      </c>
      <c r="M23" s="3">
        <v>1600</v>
      </c>
      <c r="N23" s="3" t="s">
        <v>427</v>
      </c>
      <c r="O23" s="3"/>
      <c r="AF23" s="3" t="s">
        <v>620</v>
      </c>
      <c r="AG23" s="3" t="s">
        <v>532</v>
      </c>
      <c r="AH23" s="3"/>
      <c r="AI23" s="3"/>
      <c r="AJ23" s="3"/>
      <c r="AK23" s="3"/>
      <c r="AO23" s="3" t="s">
        <v>161</v>
      </c>
      <c r="AP23" s="3" t="s">
        <v>211</v>
      </c>
      <c r="AQ23" s="179">
        <v>1.4</v>
      </c>
      <c r="AR23" s="57"/>
    </row>
    <row r="24" spans="1:44" ht="15.75" customHeight="1">
      <c r="A24" s="69"/>
      <c r="I24" s="3" t="s">
        <v>555</v>
      </c>
      <c r="J24" s="2" t="s">
        <v>533</v>
      </c>
      <c r="K24" s="2" t="s">
        <v>165</v>
      </c>
      <c r="L24" s="2" t="s">
        <v>94</v>
      </c>
      <c r="M24" s="3">
        <v>200</v>
      </c>
      <c r="N24" s="3" t="s">
        <v>427</v>
      </c>
      <c r="O24" s="3"/>
      <c r="AF24" s="3" t="s">
        <v>620</v>
      </c>
      <c r="AG24" s="3" t="s">
        <v>534</v>
      </c>
      <c r="AH24" s="3"/>
      <c r="AI24" s="3"/>
      <c r="AJ24" s="3"/>
      <c r="AK24" s="3"/>
      <c r="AO24" s="3" t="s">
        <v>161</v>
      </c>
      <c r="AP24" s="3" t="s">
        <v>212</v>
      </c>
      <c r="AQ24" s="179">
        <v>1.8</v>
      </c>
      <c r="AR24" s="57"/>
    </row>
    <row r="25" spans="1:44" ht="15.75" customHeight="1">
      <c r="A25" s="69"/>
      <c r="I25" s="3" t="s">
        <v>556</v>
      </c>
      <c r="J25" s="2" t="s">
        <v>533</v>
      </c>
      <c r="K25" s="2" t="s">
        <v>165</v>
      </c>
      <c r="L25" s="2" t="s">
        <v>95</v>
      </c>
      <c r="M25" s="3">
        <v>200</v>
      </c>
      <c r="N25" s="3" t="s">
        <v>427</v>
      </c>
      <c r="O25" s="3"/>
      <c r="AF25" s="3" t="s">
        <v>620</v>
      </c>
      <c r="AG25" s="3" t="s">
        <v>364</v>
      </c>
      <c r="AH25" s="3" t="s">
        <v>103</v>
      </c>
      <c r="AI25" s="3"/>
      <c r="AK25" s="3"/>
      <c r="AO25" s="3" t="s">
        <v>161</v>
      </c>
      <c r="AP25" s="3" t="s">
        <v>213</v>
      </c>
      <c r="AQ25" s="181">
        <v>2.2000000000000002</v>
      </c>
      <c r="AR25" s="57"/>
    </row>
    <row r="26" spans="1:44" ht="15.75" customHeight="1">
      <c r="A26" s="69"/>
      <c r="I26" s="3" t="s">
        <v>557</v>
      </c>
      <c r="J26" s="2" t="s">
        <v>533</v>
      </c>
      <c r="K26" s="2" t="s">
        <v>165</v>
      </c>
      <c r="L26" s="2" t="s">
        <v>96</v>
      </c>
      <c r="M26" s="3">
        <v>200</v>
      </c>
      <c r="N26" s="3" t="s">
        <v>427</v>
      </c>
      <c r="O26" s="3"/>
      <c r="AF26" s="3" t="s">
        <v>620</v>
      </c>
      <c r="AG26" s="3" t="s">
        <v>37</v>
      </c>
      <c r="AH26" s="3" t="s">
        <v>103</v>
      </c>
      <c r="AO26" s="3" t="s">
        <v>162</v>
      </c>
      <c r="AP26" s="3" t="s">
        <v>673</v>
      </c>
      <c r="AQ26" s="179">
        <v>0.7</v>
      </c>
      <c r="AR26" s="57"/>
    </row>
    <row r="27" spans="1:44" ht="15.75" customHeight="1">
      <c r="A27" s="69"/>
      <c r="I27" s="3" t="s">
        <v>558</v>
      </c>
      <c r="J27" s="2" t="s">
        <v>196</v>
      </c>
      <c r="K27" s="2" t="s">
        <v>165</v>
      </c>
      <c r="L27" s="2" t="s">
        <v>94</v>
      </c>
      <c r="M27" s="3">
        <v>500</v>
      </c>
      <c r="N27" s="3" t="s">
        <v>427</v>
      </c>
      <c r="O27" s="3"/>
      <c r="AF27" s="3" t="s">
        <v>620</v>
      </c>
      <c r="AG27" s="3" t="s">
        <v>540</v>
      </c>
      <c r="AH27" s="3"/>
      <c r="AO27" s="3" t="s">
        <v>163</v>
      </c>
      <c r="AP27" t="s">
        <v>211</v>
      </c>
      <c r="AQ27" s="181">
        <v>0.6</v>
      </c>
      <c r="AR27" s="57"/>
    </row>
    <row r="28" spans="1:44" ht="15.75" customHeight="1">
      <c r="A28" s="69"/>
      <c r="I28" s="3" t="s">
        <v>559</v>
      </c>
      <c r="J28" s="2" t="s">
        <v>196</v>
      </c>
      <c r="K28" s="2" t="s">
        <v>165</v>
      </c>
      <c r="L28" s="2" t="s">
        <v>95</v>
      </c>
      <c r="M28" s="3">
        <v>400</v>
      </c>
      <c r="N28" s="3" t="s">
        <v>427</v>
      </c>
      <c r="O28" s="3"/>
      <c r="AF28" s="3" t="s">
        <v>620</v>
      </c>
      <c r="AG28" s="3" t="s">
        <v>540</v>
      </c>
      <c r="AH28" s="3"/>
      <c r="AO28" s="3" t="s">
        <v>163</v>
      </c>
      <c r="AP28" t="s">
        <v>212</v>
      </c>
      <c r="AQ28" s="181">
        <v>0.8</v>
      </c>
      <c r="AR28" s="57"/>
    </row>
    <row r="29" spans="1:44" ht="15.75" customHeight="1">
      <c r="A29" s="69"/>
      <c r="I29" s="3" t="s">
        <v>560</v>
      </c>
      <c r="J29" s="2" t="s">
        <v>196</v>
      </c>
      <c r="K29" s="2" t="s">
        <v>165</v>
      </c>
      <c r="L29" s="2" t="s">
        <v>96</v>
      </c>
      <c r="M29" s="3">
        <v>200</v>
      </c>
      <c r="N29" s="3" t="s">
        <v>427</v>
      </c>
      <c r="O29" s="3"/>
      <c r="AO29" s="3" t="s">
        <v>163</v>
      </c>
      <c r="AP29" s="3" t="s">
        <v>213</v>
      </c>
      <c r="AQ29" s="181">
        <v>1.1000000000000001</v>
      </c>
      <c r="AR29" s="57"/>
    </row>
    <row r="30" spans="1:44" ht="15.75" customHeight="1">
      <c r="A30" s="69"/>
      <c r="I30" s="3" t="s">
        <v>552</v>
      </c>
      <c r="J30" s="2" t="s">
        <v>197</v>
      </c>
      <c r="K30" s="2" t="s">
        <v>165</v>
      </c>
      <c r="L30" s="2" t="s">
        <v>94</v>
      </c>
      <c r="M30" s="3">
        <v>3000</v>
      </c>
      <c r="N30" s="3" t="s">
        <v>427</v>
      </c>
      <c r="O30" s="3"/>
      <c r="AO30" s="3" t="s">
        <v>163</v>
      </c>
      <c r="AP30" s="3" t="s">
        <v>214</v>
      </c>
      <c r="AQ30" s="179">
        <v>1.2</v>
      </c>
      <c r="AR30" s="57"/>
    </row>
    <row r="31" spans="1:44" ht="15.75" customHeight="1">
      <c r="I31" s="3" t="s">
        <v>553</v>
      </c>
      <c r="J31" s="2" t="s">
        <v>197</v>
      </c>
      <c r="K31" s="2" t="s">
        <v>165</v>
      </c>
      <c r="L31" s="2" t="s">
        <v>95</v>
      </c>
      <c r="M31" s="3">
        <v>2000</v>
      </c>
      <c r="N31" s="3" t="s">
        <v>427</v>
      </c>
      <c r="O31" s="3"/>
      <c r="AO31" s="3" t="s">
        <v>164</v>
      </c>
      <c r="AP31" t="s">
        <v>211</v>
      </c>
      <c r="AQ31" s="181">
        <f>0.5/3*2</f>
        <v>0.33333333333333331</v>
      </c>
      <c r="AR31" s="57"/>
    </row>
    <row r="32" spans="1:44" ht="15.75" customHeight="1">
      <c r="I32" s="3" t="s">
        <v>554</v>
      </c>
      <c r="J32" s="2" t="s">
        <v>197</v>
      </c>
      <c r="K32" s="2" t="s">
        <v>165</v>
      </c>
      <c r="L32" s="2" t="s">
        <v>96</v>
      </c>
      <c r="M32" s="3">
        <v>1500</v>
      </c>
      <c r="N32" s="3" t="s">
        <v>427</v>
      </c>
      <c r="O32" s="3"/>
      <c r="AO32" s="3" t="s">
        <v>164</v>
      </c>
      <c r="AP32" t="s">
        <v>212</v>
      </c>
      <c r="AQ32" s="181">
        <f>0.7/3*2</f>
        <v>0.46666666666666662</v>
      </c>
      <c r="AR32" s="57"/>
    </row>
    <row r="33" spans="2:44" ht="15.75" customHeight="1">
      <c r="I33" s="3" t="s">
        <v>543</v>
      </c>
      <c r="J33" s="2" t="s">
        <v>200</v>
      </c>
      <c r="K33" s="2" t="s">
        <v>165</v>
      </c>
      <c r="L33" s="2" t="s">
        <v>94</v>
      </c>
      <c r="M33" s="3">
        <v>700</v>
      </c>
      <c r="N33" s="3" t="s">
        <v>427</v>
      </c>
      <c r="O33" s="3"/>
      <c r="AF33" s="8"/>
      <c r="AO33" s="3" t="s">
        <v>164</v>
      </c>
      <c r="AP33" s="3" t="s">
        <v>213</v>
      </c>
      <c r="AQ33" s="179">
        <f>0.8/3*2</f>
        <v>0.53333333333333333</v>
      </c>
      <c r="AR33" s="57"/>
    </row>
    <row r="34" spans="2:44" ht="15.75" customHeight="1">
      <c r="I34" s="3" t="s">
        <v>544</v>
      </c>
      <c r="J34" s="2" t="s">
        <v>200</v>
      </c>
      <c r="K34" s="2" t="s">
        <v>165</v>
      </c>
      <c r="L34" s="2" t="s">
        <v>95</v>
      </c>
      <c r="M34" s="3">
        <v>500</v>
      </c>
      <c r="N34" s="3" t="s">
        <v>427</v>
      </c>
      <c r="O34" s="3"/>
      <c r="AF34" t="s">
        <v>349</v>
      </c>
      <c r="AJ34" t="s">
        <v>361</v>
      </c>
      <c r="AO34" s="3" t="s">
        <v>167</v>
      </c>
      <c r="AP34" s="3" t="s">
        <v>211</v>
      </c>
      <c r="AQ34" s="179">
        <v>1.5</v>
      </c>
      <c r="AR34" s="57"/>
    </row>
    <row r="35" spans="2:44" ht="15.75" customHeight="1">
      <c r="I35" s="3" t="s">
        <v>545</v>
      </c>
      <c r="J35" s="2" t="s">
        <v>200</v>
      </c>
      <c r="K35" s="2" t="s">
        <v>165</v>
      </c>
      <c r="L35" s="2" t="s">
        <v>96</v>
      </c>
      <c r="M35" s="3">
        <v>350</v>
      </c>
      <c r="N35" s="3" t="s">
        <v>427</v>
      </c>
      <c r="O35" s="3"/>
      <c r="AF35" t="s">
        <v>350</v>
      </c>
      <c r="AG35" t="s">
        <v>356</v>
      </c>
      <c r="AJ35" t="s">
        <v>362</v>
      </c>
      <c r="AO35" s="3" t="s">
        <v>167</v>
      </c>
      <c r="AP35" s="3" t="s">
        <v>212</v>
      </c>
      <c r="AQ35" s="179">
        <v>1.7</v>
      </c>
      <c r="AR35" s="57"/>
    </row>
    <row r="36" spans="2:44" ht="15.75" customHeight="1">
      <c r="I36" s="3" t="s">
        <v>584</v>
      </c>
      <c r="J36" s="2" t="s">
        <v>201</v>
      </c>
      <c r="K36" s="2" t="s">
        <v>165</v>
      </c>
      <c r="L36" s="2" t="s">
        <v>94</v>
      </c>
      <c r="M36" s="3">
        <v>1000</v>
      </c>
      <c r="N36" s="3" t="s">
        <v>427</v>
      </c>
      <c r="O36" s="3"/>
      <c r="AF36" t="s">
        <v>351</v>
      </c>
      <c r="AG36">
        <v>9.5</v>
      </c>
      <c r="AJ36" t="s">
        <v>363</v>
      </c>
      <c r="AO36" s="3" t="s">
        <v>167</v>
      </c>
      <c r="AP36" s="3" t="s">
        <v>213</v>
      </c>
      <c r="AQ36" s="179">
        <v>2</v>
      </c>
      <c r="AR36" s="57"/>
    </row>
    <row r="37" spans="2:44" ht="15.75" customHeight="1">
      <c r="B37" s="3"/>
      <c r="I37" s="3" t="s">
        <v>585</v>
      </c>
      <c r="J37" s="2" t="s">
        <v>201</v>
      </c>
      <c r="K37" s="2" t="s">
        <v>165</v>
      </c>
      <c r="L37" s="2" t="s">
        <v>95</v>
      </c>
      <c r="M37" s="3">
        <v>900</v>
      </c>
      <c r="N37" s="3" t="s">
        <v>427</v>
      </c>
      <c r="O37" s="3"/>
      <c r="AF37" t="s">
        <v>352</v>
      </c>
      <c r="AG37">
        <v>11</v>
      </c>
      <c r="AO37" s="3" t="s">
        <v>168</v>
      </c>
      <c r="AP37" t="s">
        <v>211</v>
      </c>
      <c r="AQ37" s="181">
        <f>0.55/2</f>
        <v>0.27500000000000002</v>
      </c>
      <c r="AR37" s="57"/>
    </row>
    <row r="38" spans="2:44" ht="15.75" customHeight="1">
      <c r="B38" s="3"/>
      <c r="I38" s="3" t="s">
        <v>586</v>
      </c>
      <c r="J38" s="2" t="s">
        <v>201</v>
      </c>
      <c r="K38" s="2" t="s">
        <v>165</v>
      </c>
      <c r="L38" s="2" t="s">
        <v>96</v>
      </c>
      <c r="M38" s="3">
        <v>700</v>
      </c>
      <c r="N38" s="3" t="s">
        <v>427</v>
      </c>
      <c r="O38" s="3"/>
      <c r="AF38" t="s">
        <v>353</v>
      </c>
      <c r="AG38">
        <v>11</v>
      </c>
      <c r="AO38" s="3" t="s">
        <v>168</v>
      </c>
      <c r="AP38" t="s">
        <v>212</v>
      </c>
      <c r="AQ38" s="181">
        <f>0.6/2</f>
        <v>0.3</v>
      </c>
      <c r="AR38" s="57"/>
    </row>
    <row r="39" spans="2:44" ht="15.75" customHeight="1">
      <c r="B39" s="3"/>
      <c r="I39" s="3" t="s">
        <v>810</v>
      </c>
      <c r="J39" s="2" t="s">
        <v>202</v>
      </c>
      <c r="K39" s="2" t="s">
        <v>165</v>
      </c>
      <c r="L39" s="2" t="s">
        <v>94</v>
      </c>
      <c r="M39" s="3">
        <v>9500</v>
      </c>
      <c r="N39" s="3" t="s">
        <v>427</v>
      </c>
      <c r="O39" s="3"/>
      <c r="AF39" t="s">
        <v>354</v>
      </c>
      <c r="AG39">
        <v>11.5</v>
      </c>
      <c r="AO39" s="3" t="s">
        <v>168</v>
      </c>
      <c r="AP39" s="3" t="s">
        <v>213</v>
      </c>
      <c r="AQ39" s="179">
        <v>0.8</v>
      </c>
      <c r="AR39" s="57"/>
    </row>
    <row r="40" spans="2:44" ht="15.75" customHeight="1">
      <c r="B40" s="3"/>
      <c r="I40" s="3" t="s">
        <v>811</v>
      </c>
      <c r="J40" s="2" t="s">
        <v>202</v>
      </c>
      <c r="K40" s="2" t="s">
        <v>165</v>
      </c>
      <c r="L40" s="2" t="s">
        <v>95</v>
      </c>
      <c r="M40" s="3">
        <v>9500</v>
      </c>
      <c r="N40" s="3" t="s">
        <v>427</v>
      </c>
      <c r="O40" s="3"/>
      <c r="AF40" t="s">
        <v>357</v>
      </c>
      <c r="AG40">
        <v>17.5</v>
      </c>
      <c r="AO40" s="3" t="s">
        <v>170</v>
      </c>
      <c r="AP40" s="3" t="s">
        <v>211</v>
      </c>
      <c r="AQ40" s="179">
        <v>1.2</v>
      </c>
      <c r="AR40" s="57"/>
    </row>
    <row r="41" spans="2:44" ht="15.75" customHeight="1">
      <c r="B41" s="3"/>
      <c r="I41" s="3" t="s">
        <v>812</v>
      </c>
      <c r="J41" s="2" t="s">
        <v>202</v>
      </c>
      <c r="K41" s="2" t="s">
        <v>165</v>
      </c>
      <c r="L41" s="2" t="s">
        <v>96</v>
      </c>
      <c r="M41" s="3">
        <v>9500</v>
      </c>
      <c r="N41" s="3" t="s">
        <v>427</v>
      </c>
      <c r="O41" s="3"/>
      <c r="AF41" t="s">
        <v>358</v>
      </c>
      <c r="AG41">
        <v>10.5</v>
      </c>
      <c r="AH41" t="s">
        <v>360</v>
      </c>
      <c r="AO41" s="3" t="s">
        <v>170</v>
      </c>
      <c r="AP41" t="s">
        <v>212</v>
      </c>
      <c r="AQ41" s="181"/>
      <c r="AR41" s="57"/>
    </row>
    <row r="42" spans="2:44" ht="15.75" customHeight="1">
      <c r="B42" s="3"/>
      <c r="I42" s="3" t="s">
        <v>561</v>
      </c>
      <c r="J42" s="2" t="s">
        <v>1004</v>
      </c>
      <c r="K42" s="2" t="s">
        <v>165</v>
      </c>
      <c r="L42" s="2" t="s">
        <v>94</v>
      </c>
      <c r="M42" s="3">
        <v>5000</v>
      </c>
      <c r="N42" s="3" t="s">
        <v>427</v>
      </c>
      <c r="O42" s="3"/>
      <c r="AF42" t="s">
        <v>359</v>
      </c>
      <c r="AG42">
        <v>15</v>
      </c>
      <c r="AH42" t="s">
        <v>360</v>
      </c>
      <c r="AO42" s="3" t="s">
        <v>170</v>
      </c>
      <c r="AP42" s="3" t="s">
        <v>213</v>
      </c>
      <c r="AQ42" s="181"/>
      <c r="AR42" s="57"/>
    </row>
    <row r="43" spans="2:44" ht="15.75" customHeight="1">
      <c r="B43" s="3"/>
      <c r="I43" s="3" t="s">
        <v>562</v>
      </c>
      <c r="J43" s="2" t="s">
        <v>1004</v>
      </c>
      <c r="K43" s="2" t="s">
        <v>165</v>
      </c>
      <c r="L43" s="2" t="s">
        <v>95</v>
      </c>
      <c r="M43" s="3">
        <v>5000</v>
      </c>
      <c r="N43" s="3" t="s">
        <v>427</v>
      </c>
      <c r="O43" s="3"/>
      <c r="AF43" t="s">
        <v>355</v>
      </c>
      <c r="AO43" s="3" t="s">
        <v>486</v>
      </c>
      <c r="AP43" t="s">
        <v>673</v>
      </c>
      <c r="AQ43" s="181">
        <f>7/12</f>
        <v>0.58333333333333337</v>
      </c>
      <c r="AR43" s="57"/>
    </row>
    <row r="44" spans="2:44" ht="15.75" customHeight="1">
      <c r="B44" s="3"/>
      <c r="I44" s="3" t="s">
        <v>563</v>
      </c>
      <c r="J44" s="2" t="s">
        <v>1004</v>
      </c>
      <c r="K44" s="2" t="s">
        <v>165</v>
      </c>
      <c r="L44" s="2" t="s">
        <v>96</v>
      </c>
      <c r="M44" s="3">
        <v>5000</v>
      </c>
      <c r="N44" s="3" t="s">
        <v>427</v>
      </c>
      <c r="O44" s="3"/>
      <c r="AO44" s="3" t="s">
        <v>442</v>
      </c>
      <c r="AP44" s="3" t="s">
        <v>212</v>
      </c>
      <c r="AQ44" s="179">
        <v>1.5</v>
      </c>
      <c r="AR44" s="57"/>
    </row>
    <row r="45" spans="2:44" ht="15.75" customHeight="1">
      <c r="B45" s="3"/>
      <c r="I45" s="3" t="s">
        <v>564</v>
      </c>
      <c r="J45" s="2" t="s">
        <v>541</v>
      </c>
      <c r="K45" s="2" t="s">
        <v>165</v>
      </c>
      <c r="L45" s="2" t="s">
        <v>94</v>
      </c>
      <c r="M45" s="3">
        <v>100</v>
      </c>
      <c r="N45" s="3" t="s">
        <v>427</v>
      </c>
      <c r="O45" s="3"/>
      <c r="AO45" s="3" t="s">
        <v>447</v>
      </c>
      <c r="AP45" t="s">
        <v>211</v>
      </c>
      <c r="AQ45" s="181">
        <v>0.6</v>
      </c>
      <c r="AR45" s="57"/>
    </row>
    <row r="46" spans="2:44" ht="15.75" customHeight="1">
      <c r="B46" s="3"/>
      <c r="I46" s="3" t="s">
        <v>565</v>
      </c>
      <c r="J46" s="2" t="s">
        <v>541</v>
      </c>
      <c r="K46" s="2" t="s">
        <v>165</v>
      </c>
      <c r="L46" s="2" t="s">
        <v>95</v>
      </c>
      <c r="M46" s="3">
        <v>100</v>
      </c>
      <c r="N46" s="3" t="s">
        <v>427</v>
      </c>
      <c r="O46" s="3"/>
      <c r="AO46" s="3" t="s">
        <v>447</v>
      </c>
      <c r="AP46" s="3" t="s">
        <v>212</v>
      </c>
      <c r="AQ46" s="179">
        <v>1.1000000000000001</v>
      </c>
      <c r="AR46" s="57"/>
    </row>
    <row r="47" spans="2:44" ht="15.75" customHeight="1">
      <c r="B47" s="3"/>
      <c r="I47" s="3" t="s">
        <v>566</v>
      </c>
      <c r="J47" s="2" t="s">
        <v>541</v>
      </c>
      <c r="K47" s="2" t="s">
        <v>165</v>
      </c>
      <c r="L47" s="2" t="s">
        <v>96</v>
      </c>
      <c r="M47" s="3">
        <v>100</v>
      </c>
      <c r="N47" s="3" t="s">
        <v>427</v>
      </c>
      <c r="O47" s="3"/>
      <c r="AO47" s="3" t="s">
        <v>447</v>
      </c>
      <c r="AP47" s="3" t="s">
        <v>213</v>
      </c>
      <c r="AQ47" s="181">
        <v>1.25</v>
      </c>
      <c r="AR47" s="57"/>
    </row>
    <row r="48" spans="2:44" ht="15.75" customHeight="1">
      <c r="B48" s="3"/>
      <c r="I48" s="3" t="s">
        <v>549</v>
      </c>
      <c r="J48" s="2" t="s">
        <v>526</v>
      </c>
      <c r="K48" s="2" t="s">
        <v>165</v>
      </c>
      <c r="L48" s="2" t="s">
        <v>94</v>
      </c>
      <c r="M48" s="3">
        <v>700</v>
      </c>
      <c r="N48" s="3" t="s">
        <v>427</v>
      </c>
      <c r="O48" s="3"/>
      <c r="AE48" s="41" t="s">
        <v>63</v>
      </c>
      <c r="AO48" s="3" t="s">
        <v>452</v>
      </c>
      <c r="AP48" s="3" t="s">
        <v>211</v>
      </c>
      <c r="AQ48" s="179">
        <v>0.9</v>
      </c>
      <c r="AR48" s="57"/>
    </row>
    <row r="49" spans="1:44" ht="15.75" customHeight="1">
      <c r="B49" s="3"/>
      <c r="I49" s="3" t="s">
        <v>550</v>
      </c>
      <c r="J49" s="2" t="s">
        <v>526</v>
      </c>
      <c r="K49" s="2" t="s">
        <v>165</v>
      </c>
      <c r="L49" s="2" t="s">
        <v>95</v>
      </c>
      <c r="M49" s="3">
        <v>500</v>
      </c>
      <c r="N49" s="3" t="s">
        <v>427</v>
      </c>
      <c r="O49" s="3"/>
      <c r="AF49" s="8"/>
      <c r="AO49" s="3" t="s">
        <v>452</v>
      </c>
      <c r="AP49" s="3" t="s">
        <v>212</v>
      </c>
      <c r="AQ49" s="179">
        <v>1.1000000000000001</v>
      </c>
      <c r="AR49" s="57"/>
    </row>
    <row r="50" spans="1:44" ht="15.75" customHeight="1">
      <c r="B50" s="3"/>
      <c r="I50" s="3" t="s">
        <v>551</v>
      </c>
      <c r="J50" s="2" t="s">
        <v>526</v>
      </c>
      <c r="K50" s="2" t="s">
        <v>165</v>
      </c>
      <c r="L50" s="2" t="s">
        <v>96</v>
      </c>
      <c r="M50" s="3">
        <v>350</v>
      </c>
      <c r="N50" s="3" t="s">
        <v>427</v>
      </c>
      <c r="O50" s="3"/>
      <c r="AO50" s="3" t="s">
        <v>452</v>
      </c>
      <c r="AP50" s="3" t="s">
        <v>213</v>
      </c>
      <c r="AQ50" s="179">
        <v>1.2</v>
      </c>
      <c r="AR50" s="57"/>
    </row>
    <row r="51" spans="1:44" ht="15.75" customHeight="1">
      <c r="B51" s="3"/>
      <c r="I51" s="3" t="s">
        <v>546</v>
      </c>
      <c r="J51" s="2" t="s">
        <v>539</v>
      </c>
      <c r="K51" s="2" t="s">
        <v>165</v>
      </c>
      <c r="L51" s="2" t="s">
        <v>94</v>
      </c>
      <c r="M51" s="3">
        <v>800</v>
      </c>
      <c r="N51" s="3" t="s">
        <v>427</v>
      </c>
      <c r="O51" s="3"/>
      <c r="AF51" t="s">
        <v>364</v>
      </c>
      <c r="AO51" s="3" t="s">
        <v>454</v>
      </c>
      <c r="AP51" s="3" t="s">
        <v>212</v>
      </c>
      <c r="AQ51" s="179">
        <v>0.6</v>
      </c>
      <c r="AR51" s="57"/>
    </row>
    <row r="52" spans="1:44" ht="15.75" customHeight="1">
      <c r="B52" s="3"/>
      <c r="I52" s="3" t="s">
        <v>547</v>
      </c>
      <c r="J52" s="2" t="s">
        <v>539</v>
      </c>
      <c r="K52" s="2" t="s">
        <v>165</v>
      </c>
      <c r="L52" s="2" t="s">
        <v>95</v>
      </c>
      <c r="M52" s="3">
        <v>600</v>
      </c>
      <c r="N52" s="3" t="s">
        <v>427</v>
      </c>
      <c r="O52" s="3"/>
      <c r="AF52" t="s">
        <v>365</v>
      </c>
      <c r="AG52" s="47" t="s">
        <v>415</v>
      </c>
      <c r="AO52" s="3" t="s">
        <v>847</v>
      </c>
      <c r="AP52" s="3" t="s">
        <v>212</v>
      </c>
      <c r="AQ52" s="179">
        <v>1.8</v>
      </c>
      <c r="AR52" s="57"/>
    </row>
    <row r="53" spans="1:44" ht="15.75" customHeight="1">
      <c r="B53" s="3"/>
      <c r="I53" s="3" t="s">
        <v>548</v>
      </c>
      <c r="J53" s="2" t="s">
        <v>539</v>
      </c>
      <c r="K53" s="2" t="s">
        <v>165</v>
      </c>
      <c r="L53" s="2" t="s">
        <v>96</v>
      </c>
      <c r="M53" s="3">
        <v>400</v>
      </c>
      <c r="N53" s="3" t="s">
        <v>427</v>
      </c>
      <c r="O53" s="3"/>
      <c r="AF53" t="s">
        <v>367</v>
      </c>
      <c r="AG53">
        <v>100</v>
      </c>
      <c r="AH53">
        <v>100</v>
      </c>
      <c r="AO53" s="3" t="s">
        <v>848</v>
      </c>
      <c r="AP53" s="3" t="s">
        <v>215</v>
      </c>
      <c r="AQ53" s="179">
        <v>0.6</v>
      </c>
      <c r="AR53" s="57"/>
    </row>
    <row r="54" spans="1:44" ht="15.75" customHeight="1">
      <c r="B54" s="3"/>
      <c r="I54" s="3" t="s">
        <v>587</v>
      </c>
      <c r="J54" s="2" t="s">
        <v>201</v>
      </c>
      <c r="K54" s="2" t="s">
        <v>167</v>
      </c>
      <c r="L54" s="2" t="s">
        <v>94</v>
      </c>
      <c r="M54" s="3">
        <v>4000</v>
      </c>
      <c r="N54" s="3" t="s">
        <v>427</v>
      </c>
      <c r="O54" s="3"/>
      <c r="AF54" t="s">
        <v>366</v>
      </c>
      <c r="AG54">
        <v>700</v>
      </c>
      <c r="AH54">
        <v>350</v>
      </c>
      <c r="AO54" s="3" t="s">
        <v>1033</v>
      </c>
      <c r="AP54" s="3" t="s">
        <v>673</v>
      </c>
      <c r="AQ54" s="179">
        <v>0.58333333333333337</v>
      </c>
      <c r="AR54" s="57"/>
    </row>
    <row r="55" spans="1:44" ht="15.75" customHeight="1">
      <c r="A55" s="3"/>
      <c r="B55" s="3"/>
      <c r="I55" s="3" t="s">
        <v>588</v>
      </c>
      <c r="J55" s="2" t="s">
        <v>201</v>
      </c>
      <c r="K55" s="2" t="s">
        <v>167</v>
      </c>
      <c r="L55" s="2" t="s">
        <v>95</v>
      </c>
      <c r="M55" s="3">
        <v>3000</v>
      </c>
      <c r="N55" s="3" t="s">
        <v>427</v>
      </c>
      <c r="O55" s="3"/>
      <c r="AF55" t="s">
        <v>368</v>
      </c>
    </row>
    <row r="56" spans="1:44" ht="15.75" customHeight="1">
      <c r="A56" s="3"/>
      <c r="B56" s="3"/>
      <c r="I56" s="3" t="s">
        <v>589</v>
      </c>
      <c r="J56" s="2" t="s">
        <v>201</v>
      </c>
      <c r="K56" s="2" t="s">
        <v>167</v>
      </c>
      <c r="L56" s="2" t="s">
        <v>96</v>
      </c>
      <c r="M56" s="3">
        <v>2000</v>
      </c>
      <c r="N56" s="3" t="s">
        <v>427</v>
      </c>
      <c r="O56" s="3"/>
      <c r="AF56" t="s">
        <v>369</v>
      </c>
    </row>
    <row r="57" spans="1:44" ht="15.75" customHeight="1">
      <c r="A57" s="3"/>
      <c r="B57" s="3"/>
      <c r="I57" s="3" t="s">
        <v>590</v>
      </c>
      <c r="J57" s="2" t="s">
        <v>201</v>
      </c>
      <c r="K57" s="2" t="s">
        <v>168</v>
      </c>
      <c r="L57" s="2" t="s">
        <v>94</v>
      </c>
      <c r="M57" s="3">
        <v>3000</v>
      </c>
      <c r="N57" s="3" t="s">
        <v>427</v>
      </c>
      <c r="O57" s="3"/>
    </row>
    <row r="58" spans="1:44" ht="15.75" customHeight="1">
      <c r="I58" s="3" t="s">
        <v>591</v>
      </c>
      <c r="J58" s="2" t="s">
        <v>201</v>
      </c>
      <c r="K58" s="2" t="s">
        <v>168</v>
      </c>
      <c r="L58" s="2" t="s">
        <v>95</v>
      </c>
      <c r="M58" s="3">
        <v>2500</v>
      </c>
      <c r="N58" s="3" t="s">
        <v>427</v>
      </c>
      <c r="O58" s="3"/>
    </row>
    <row r="59" spans="1:44" ht="15.75" customHeight="1">
      <c r="I59" s="3" t="s">
        <v>592</v>
      </c>
      <c r="J59" s="2" t="s">
        <v>201</v>
      </c>
      <c r="K59" s="2" t="s">
        <v>168</v>
      </c>
      <c r="L59" s="2" t="s">
        <v>96</v>
      </c>
      <c r="M59" s="3">
        <v>2000</v>
      </c>
      <c r="N59" s="3" t="s">
        <v>427</v>
      </c>
      <c r="O59" s="3"/>
      <c r="AE59" t="s">
        <v>210</v>
      </c>
      <c r="AF59" t="s">
        <v>364</v>
      </c>
      <c r="AG59">
        <v>1500</v>
      </c>
      <c r="AI59" t="s">
        <v>374</v>
      </c>
    </row>
    <row r="60" spans="1:44" ht="15.75" customHeight="1">
      <c r="I60" s="3" t="s">
        <v>593</v>
      </c>
      <c r="J60" s="2" t="s">
        <v>201</v>
      </c>
      <c r="K60" s="2" t="s">
        <v>168</v>
      </c>
      <c r="L60" s="2" t="s">
        <v>94</v>
      </c>
      <c r="M60" s="3">
        <v>2500</v>
      </c>
      <c r="N60" s="3" t="s">
        <v>427</v>
      </c>
      <c r="O60" s="3"/>
      <c r="AF60" t="s">
        <v>365</v>
      </c>
      <c r="AG60" t="s">
        <v>371</v>
      </c>
    </row>
    <row r="61" spans="1:44" ht="15.75" customHeight="1">
      <c r="I61" s="3" t="s">
        <v>594</v>
      </c>
      <c r="J61" s="2" t="s">
        <v>201</v>
      </c>
      <c r="K61" s="2" t="s">
        <v>168</v>
      </c>
      <c r="L61" s="2" t="s">
        <v>95</v>
      </c>
      <c r="M61" s="3">
        <v>1800</v>
      </c>
      <c r="N61" s="3" t="s">
        <v>427</v>
      </c>
      <c r="O61" s="3"/>
      <c r="AF61" t="s">
        <v>368</v>
      </c>
      <c r="AG61" t="s">
        <v>372</v>
      </c>
      <c r="AH61" t="s">
        <v>373</v>
      </c>
    </row>
    <row r="62" spans="1:44" ht="15.75" customHeight="1">
      <c r="I62" s="3" t="s">
        <v>595</v>
      </c>
      <c r="J62" s="2" t="s">
        <v>201</v>
      </c>
      <c r="K62" s="2" t="s">
        <v>168</v>
      </c>
      <c r="L62" s="2" t="s">
        <v>96</v>
      </c>
      <c r="M62" s="3">
        <v>1200</v>
      </c>
      <c r="N62" s="3" t="s">
        <v>427</v>
      </c>
      <c r="O62" s="3"/>
    </row>
    <row r="63" spans="1:44" ht="15.75" customHeight="1">
      <c r="I63" s="3" t="s">
        <v>596</v>
      </c>
      <c r="J63" s="2" t="s">
        <v>201</v>
      </c>
      <c r="K63" s="2" t="s">
        <v>441</v>
      </c>
      <c r="L63" s="2" t="s">
        <v>94</v>
      </c>
      <c r="M63" s="3">
        <v>8000</v>
      </c>
      <c r="N63" s="3" t="s">
        <v>427</v>
      </c>
      <c r="O63" s="3"/>
    </row>
    <row r="64" spans="1:44" ht="15.75" customHeight="1">
      <c r="I64" s="3" t="s">
        <v>597</v>
      </c>
      <c r="J64" s="2" t="s">
        <v>201</v>
      </c>
      <c r="K64" s="2" t="s">
        <v>441</v>
      </c>
      <c r="L64" s="2" t="s">
        <v>95</v>
      </c>
      <c r="M64" s="3">
        <v>7000</v>
      </c>
      <c r="N64" s="3" t="s">
        <v>427</v>
      </c>
      <c r="O64" s="3"/>
    </row>
    <row r="65" spans="9:32" ht="15.75" customHeight="1">
      <c r="I65" s="3" t="s">
        <v>598</v>
      </c>
      <c r="J65" s="2" t="s">
        <v>201</v>
      </c>
      <c r="K65" s="2" t="s">
        <v>441</v>
      </c>
      <c r="L65" s="2" t="s">
        <v>96</v>
      </c>
      <c r="M65" s="3">
        <v>6000</v>
      </c>
      <c r="N65" s="3" t="s">
        <v>427</v>
      </c>
      <c r="O65" s="3"/>
    </row>
    <row r="66" spans="9:32" ht="15.75" customHeight="1">
      <c r="I66" s="3" t="s">
        <v>599</v>
      </c>
      <c r="J66" s="2" t="s">
        <v>201</v>
      </c>
      <c r="K66" s="2" t="s">
        <v>486</v>
      </c>
      <c r="L66" s="2" t="s">
        <v>94</v>
      </c>
      <c r="M66" s="3">
        <v>2000</v>
      </c>
      <c r="N66" s="3" t="s">
        <v>427</v>
      </c>
      <c r="O66" s="3"/>
    </row>
    <row r="67" spans="9:32" ht="15.75" customHeight="1">
      <c r="I67" s="3" t="s">
        <v>600</v>
      </c>
      <c r="J67" s="2" t="s">
        <v>201</v>
      </c>
      <c r="K67" s="2" t="s">
        <v>486</v>
      </c>
      <c r="L67" s="2" t="s">
        <v>95</v>
      </c>
      <c r="M67" s="3">
        <v>1800</v>
      </c>
      <c r="N67" s="3" t="s">
        <v>427</v>
      </c>
      <c r="O67" s="3"/>
      <c r="AF67" s="8"/>
    </row>
    <row r="68" spans="9:32" ht="15.75" customHeight="1">
      <c r="I68" s="3" t="s">
        <v>601</v>
      </c>
      <c r="J68" s="2" t="s">
        <v>201</v>
      </c>
      <c r="K68" s="2" t="s">
        <v>486</v>
      </c>
      <c r="L68" s="2" t="s">
        <v>96</v>
      </c>
      <c r="M68" s="3">
        <v>1500</v>
      </c>
      <c r="N68" s="3" t="s">
        <v>427</v>
      </c>
      <c r="O68" s="3"/>
      <c r="AF68" s="8"/>
    </row>
    <row r="69" spans="9:32" ht="15.75" customHeight="1">
      <c r="I69" s="3" t="s">
        <v>602</v>
      </c>
      <c r="J69" s="2" t="s">
        <v>201</v>
      </c>
      <c r="K69" s="2" t="s">
        <v>442</v>
      </c>
      <c r="L69" s="2" t="s">
        <v>94</v>
      </c>
      <c r="M69" s="3">
        <v>4000</v>
      </c>
      <c r="N69" s="3" t="s">
        <v>427</v>
      </c>
      <c r="O69" s="3"/>
      <c r="AF69" s="8"/>
    </row>
    <row r="70" spans="9:32" ht="15.75" customHeight="1">
      <c r="I70" s="3" t="s">
        <v>603</v>
      </c>
      <c r="J70" s="2" t="s">
        <v>201</v>
      </c>
      <c r="K70" s="2" t="s">
        <v>442</v>
      </c>
      <c r="L70" s="2" t="s">
        <v>95</v>
      </c>
      <c r="M70" s="3">
        <v>3500</v>
      </c>
      <c r="N70" s="3" t="s">
        <v>427</v>
      </c>
      <c r="O70" s="3"/>
      <c r="AF70" s="8"/>
    </row>
    <row r="71" spans="9:32" ht="15.75" customHeight="1">
      <c r="I71" s="3" t="s">
        <v>604</v>
      </c>
      <c r="J71" s="2" t="s">
        <v>201</v>
      </c>
      <c r="K71" s="2" t="s">
        <v>442</v>
      </c>
      <c r="L71" s="2" t="s">
        <v>96</v>
      </c>
      <c r="M71" s="3">
        <v>3000</v>
      </c>
      <c r="N71" s="3" t="s">
        <v>427</v>
      </c>
      <c r="O71" s="3"/>
      <c r="AF71" s="8"/>
    </row>
    <row r="72" spans="9:32" ht="15.75" customHeight="1">
      <c r="I72" s="3" t="s">
        <v>605</v>
      </c>
      <c r="J72" s="2" t="s">
        <v>201</v>
      </c>
      <c r="K72" s="2" t="s">
        <v>443</v>
      </c>
      <c r="L72" s="2" t="s">
        <v>94</v>
      </c>
      <c r="M72" s="3">
        <v>1500</v>
      </c>
      <c r="N72" s="3" t="s">
        <v>427</v>
      </c>
      <c r="O72" s="3"/>
      <c r="AF72" s="8"/>
    </row>
    <row r="73" spans="9:32" ht="15.75" customHeight="1">
      <c r="I73" s="3" t="s">
        <v>606</v>
      </c>
      <c r="J73" s="2" t="s">
        <v>201</v>
      </c>
      <c r="K73" s="2" t="s">
        <v>443</v>
      </c>
      <c r="L73" s="2" t="s">
        <v>95</v>
      </c>
      <c r="M73" s="3">
        <v>1200</v>
      </c>
      <c r="N73" s="3" t="s">
        <v>427</v>
      </c>
      <c r="O73" s="3"/>
    </row>
    <row r="74" spans="9:32" ht="15.75" customHeight="1">
      <c r="I74" s="3" t="s">
        <v>607</v>
      </c>
      <c r="J74" s="2" t="s">
        <v>201</v>
      </c>
      <c r="K74" s="2" t="s">
        <v>443</v>
      </c>
      <c r="L74" s="2" t="s">
        <v>96</v>
      </c>
      <c r="M74" s="3">
        <v>900</v>
      </c>
      <c r="N74" s="3" t="s">
        <v>427</v>
      </c>
      <c r="O74" s="3"/>
    </row>
    <row r="75" spans="9:32" ht="15.75" customHeight="1">
      <c r="I75" s="3" t="s">
        <v>608</v>
      </c>
      <c r="J75" s="2" t="s">
        <v>201</v>
      </c>
      <c r="K75" s="2" t="s">
        <v>445</v>
      </c>
      <c r="L75" s="2" t="s">
        <v>94</v>
      </c>
      <c r="M75" s="3">
        <v>4000</v>
      </c>
      <c r="N75" s="3" t="s">
        <v>427</v>
      </c>
      <c r="O75" s="3"/>
    </row>
    <row r="76" spans="9:32" ht="15.75" customHeight="1">
      <c r="I76" s="3" t="s">
        <v>609</v>
      </c>
      <c r="J76" s="2" t="s">
        <v>201</v>
      </c>
      <c r="K76" s="2" t="s">
        <v>445</v>
      </c>
      <c r="L76" s="2" t="s">
        <v>95</v>
      </c>
      <c r="M76" s="3">
        <v>3200</v>
      </c>
      <c r="N76" s="3" t="s">
        <v>427</v>
      </c>
      <c r="O76" s="3"/>
    </row>
    <row r="77" spans="9:32" ht="15.75" customHeight="1">
      <c r="I77" s="3" t="s">
        <v>610</v>
      </c>
      <c r="J77" s="2" t="s">
        <v>201</v>
      </c>
      <c r="K77" s="2" t="s">
        <v>445</v>
      </c>
      <c r="L77" s="2" t="s">
        <v>96</v>
      </c>
      <c r="M77" s="3">
        <v>2800</v>
      </c>
      <c r="N77" s="3" t="s">
        <v>427</v>
      </c>
      <c r="O77" s="3"/>
    </row>
    <row r="78" spans="9:32" ht="15.75" customHeight="1">
      <c r="I78" s="3" t="s">
        <v>611</v>
      </c>
      <c r="J78" s="2" t="s">
        <v>201</v>
      </c>
      <c r="K78" s="2" t="s">
        <v>447</v>
      </c>
      <c r="L78" s="2" t="s">
        <v>94</v>
      </c>
      <c r="M78" s="3">
        <v>5000</v>
      </c>
      <c r="N78" s="3" t="s">
        <v>427</v>
      </c>
      <c r="O78" s="3"/>
    </row>
    <row r="79" spans="9:32" ht="15.75" customHeight="1">
      <c r="I79" s="3" t="s">
        <v>612</v>
      </c>
      <c r="J79" s="2" t="s">
        <v>201</v>
      </c>
      <c r="K79" s="2" t="s">
        <v>447</v>
      </c>
      <c r="L79" s="2" t="s">
        <v>95</v>
      </c>
      <c r="M79" s="3">
        <v>4000</v>
      </c>
      <c r="N79" s="3" t="s">
        <v>427</v>
      </c>
      <c r="O79" s="3"/>
    </row>
    <row r="80" spans="9:32" ht="15.75" customHeight="1">
      <c r="I80" s="3" t="s">
        <v>613</v>
      </c>
      <c r="J80" s="2" t="s">
        <v>201</v>
      </c>
      <c r="K80" s="2" t="s">
        <v>447</v>
      </c>
      <c r="L80" s="2" t="s">
        <v>96</v>
      </c>
      <c r="M80" s="3">
        <v>2500</v>
      </c>
      <c r="N80" s="3" t="s">
        <v>427</v>
      </c>
      <c r="O80" s="3"/>
    </row>
    <row r="81" spans="9:15" ht="15.75" customHeight="1">
      <c r="I81" s="3" t="s">
        <v>614</v>
      </c>
      <c r="J81" s="2" t="s">
        <v>201</v>
      </c>
      <c r="K81" s="2" t="s">
        <v>456</v>
      </c>
      <c r="L81" s="2" t="s">
        <v>94</v>
      </c>
      <c r="M81" s="3">
        <v>3000</v>
      </c>
      <c r="N81" s="3" t="s">
        <v>427</v>
      </c>
      <c r="O81" s="3"/>
    </row>
    <row r="82" spans="9:15" ht="15.75" customHeight="1">
      <c r="I82" s="3" t="s">
        <v>615</v>
      </c>
      <c r="J82" s="2" t="s">
        <v>201</v>
      </c>
      <c r="K82" s="2" t="s">
        <v>456</v>
      </c>
      <c r="L82" s="2" t="s">
        <v>95</v>
      </c>
      <c r="M82" s="3">
        <v>2200</v>
      </c>
      <c r="N82" s="3" t="s">
        <v>427</v>
      </c>
      <c r="O82" s="3"/>
    </row>
    <row r="83" spans="9:15" ht="15.75" customHeight="1">
      <c r="I83" s="3" t="s">
        <v>616</v>
      </c>
      <c r="J83" s="2" t="s">
        <v>201</v>
      </c>
      <c r="K83" s="2" t="s">
        <v>456</v>
      </c>
      <c r="L83" s="2" t="s">
        <v>96</v>
      </c>
      <c r="M83" s="3">
        <v>2000</v>
      </c>
      <c r="N83" s="3" t="s">
        <v>427</v>
      </c>
      <c r="O83" s="3"/>
    </row>
    <row r="84" spans="9:15" ht="15.75" customHeight="1">
      <c r="I84" s="3" t="s">
        <v>617</v>
      </c>
      <c r="J84" s="2" t="s">
        <v>201</v>
      </c>
      <c r="K84" s="2" t="s">
        <v>458</v>
      </c>
      <c r="L84" s="2" t="s">
        <v>94</v>
      </c>
      <c r="M84" s="3">
        <v>4500</v>
      </c>
      <c r="N84" s="3" t="s">
        <v>427</v>
      </c>
      <c r="O84" s="3"/>
    </row>
    <row r="85" spans="9:15" ht="15.75" customHeight="1">
      <c r="I85" s="3" t="s">
        <v>618</v>
      </c>
      <c r="J85" s="2" t="s">
        <v>201</v>
      </c>
      <c r="K85" s="2" t="s">
        <v>458</v>
      </c>
      <c r="L85" s="2" t="s">
        <v>95</v>
      </c>
      <c r="M85" s="3">
        <v>4000</v>
      </c>
      <c r="N85" s="3" t="s">
        <v>427</v>
      </c>
      <c r="O85" s="3"/>
    </row>
    <row r="86" spans="9:15" ht="15.75" customHeight="1">
      <c r="I86" s="3" t="s">
        <v>622</v>
      </c>
      <c r="J86" s="2" t="s">
        <v>201</v>
      </c>
      <c r="K86" s="2" t="s">
        <v>458</v>
      </c>
      <c r="L86" s="2" t="s">
        <v>96</v>
      </c>
      <c r="M86" s="3">
        <v>4000</v>
      </c>
      <c r="N86" s="3" t="s">
        <v>427</v>
      </c>
      <c r="O86" s="3"/>
    </row>
    <row r="87" spans="9:15" ht="15.75" customHeight="1">
      <c r="I87" s="3" t="s">
        <v>623</v>
      </c>
      <c r="J87" s="2" t="s">
        <v>201</v>
      </c>
      <c r="K87" s="2" t="s">
        <v>463</v>
      </c>
      <c r="L87" s="2" t="s">
        <v>94</v>
      </c>
      <c r="M87" s="3">
        <v>5000</v>
      </c>
      <c r="N87" s="3" t="s">
        <v>427</v>
      </c>
      <c r="O87" s="3"/>
    </row>
    <row r="88" spans="9:15" ht="15.75" customHeight="1">
      <c r="I88" s="3" t="s">
        <v>624</v>
      </c>
      <c r="J88" s="2" t="s">
        <v>201</v>
      </c>
      <c r="K88" s="2" t="s">
        <v>463</v>
      </c>
      <c r="L88" s="2" t="s">
        <v>95</v>
      </c>
      <c r="M88" s="3">
        <v>4000</v>
      </c>
      <c r="N88" s="3" t="s">
        <v>427</v>
      </c>
    </row>
    <row r="89" spans="9:15" ht="15.75" customHeight="1">
      <c r="I89" s="3" t="s">
        <v>628</v>
      </c>
      <c r="J89" s="2" t="s">
        <v>201</v>
      </c>
      <c r="K89" s="2" t="s">
        <v>464</v>
      </c>
      <c r="L89" s="2" t="s">
        <v>94</v>
      </c>
      <c r="M89" s="3">
        <v>2500</v>
      </c>
      <c r="N89" s="3" t="s">
        <v>427</v>
      </c>
    </row>
    <row r="90" spans="9:15" ht="15.75" customHeight="1">
      <c r="I90" s="3" t="s">
        <v>629</v>
      </c>
      <c r="J90" s="2" t="s">
        <v>201</v>
      </c>
      <c r="K90" s="2" t="s">
        <v>464</v>
      </c>
      <c r="L90" s="2" t="s">
        <v>95</v>
      </c>
      <c r="M90" s="3">
        <v>1200</v>
      </c>
      <c r="N90" s="3" t="s">
        <v>427</v>
      </c>
    </row>
    <row r="91" spans="9:15" ht="15.75" customHeight="1">
      <c r="I91" s="3" t="s">
        <v>630</v>
      </c>
      <c r="J91" s="2" t="s">
        <v>201</v>
      </c>
      <c r="K91" s="2" t="s">
        <v>464</v>
      </c>
      <c r="L91" s="2" t="s">
        <v>96</v>
      </c>
      <c r="M91" s="3">
        <v>900</v>
      </c>
      <c r="N91" s="3" t="s">
        <v>427</v>
      </c>
    </row>
  </sheetData>
  <sortState xmlns:xlrd2="http://schemas.microsoft.com/office/spreadsheetml/2017/richdata2" ref="AJ17:AJ26">
    <sortCondition ref="AJ17:AJ26"/>
  </sortState>
  <phoneticPr fontId="3" type="noConversion"/>
  <conditionalFormatting sqref="AQ6:AQ54">
    <cfRule type="expression" dxfId="29" priority="1">
      <formula>_xlfn.ISFORMULA(AQ6)</formula>
    </cfRule>
  </conditionalFormatting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DE2EB44-2788-42A6-953B-A534D6F60250}">
          <x14:formula1>
            <xm:f>OFFSET(Auxiliares!$F$5, 0, 0, COUNTA(Auxiliares!$F:$F), 1)</xm:f>
          </x14:formula1>
          <xm:sqref>AN4</xm:sqref>
        </x14:dataValidation>
        <x14:dataValidation type="list" allowBlank="1" showInputMessage="1" showErrorMessage="1" xr:uid="{5DBF802D-3664-4D9F-90C0-FFEABB881A77}">
          <x14:formula1>
            <xm:f>OFFSET(Auxiliares!$H$5, 0, 0, COUNTA(Auxiliares!$H:$H), 1)</xm:f>
          </x14:formula1>
          <xm:sqref>AN5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A3693-E996-46D9-800A-95B15BF93527}">
  <sheetPr codeName="Hoja14"/>
  <dimension ref="B5:BD39"/>
  <sheetViews>
    <sheetView showGridLines="0" zoomScale="115" zoomScaleNormal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P6" sqref="P6"/>
    </sheetView>
  </sheetViews>
  <sheetFormatPr baseColWidth="10" defaultRowHeight="17.25" customHeight="1"/>
  <cols>
    <col min="8" max="8" width="17.42578125" bestFit="1" customWidth="1"/>
    <col min="53" max="53" width="96" customWidth="1"/>
    <col min="55" max="55" width="117.7109375" customWidth="1"/>
    <col min="56" max="56" width="68.7109375" customWidth="1"/>
  </cols>
  <sheetData>
    <row r="5" spans="2:55" ht="17.25" customHeight="1">
      <c r="B5" s="50" t="s">
        <v>503</v>
      </c>
      <c r="D5" s="50" t="s">
        <v>635</v>
      </c>
      <c r="F5" s="50" t="s">
        <v>1034</v>
      </c>
      <c r="H5" s="50" t="s">
        <v>1035</v>
      </c>
      <c r="J5" t="s">
        <v>838</v>
      </c>
    </row>
    <row r="6" spans="2:55" ht="17.25" customHeight="1">
      <c r="B6" t="str" cm="1">
        <f t="array" ref="B6:B12">_xlfn._xlws.FILTER(MID(HechosInventario[Nombre_Material],7,LEN(HechosInventario[Nombre_Material])),
         LEFT(HechosInventario[Nombre_Material],6)="Vinil ")</f>
        <v>escarchado</v>
      </c>
      <c r="D6" t="str" cm="1">
        <f t="array" ref="D6:D39">_xlfn._xlws.FILTER(MID(HechosInventario[Nombre_Material],6,LEN(HechosInventario[Nombre_Material])),
         LEFT(HechosInventario[Nombre_Material],5)="Tela ")</f>
        <v xml:space="preserve">Algodón </v>
      </c>
      <c r="F6" t="str" cm="1">
        <f t="array" ref="F6:F39">_xlfn.MAP(Dim_Producto[Codigo_Producto], Dim_Producto[Nombre], _xlfn.LAMBDA(_xlpm.cod,_xlpm.nom, _xlpm.cod &amp; " - " &amp; _xlpm.nom))</f>
        <v>P-01 - Bandanas</v>
      </c>
      <c r="H6" t="str" cm="1">
        <f t="array" ref="H6:H11">_xlfn.MAP(Dim_Talla[Id_talla], Dim_Talla[Talla], _xlfn.LAMBDA(_xlpm.cod,_xlpm.nom, _xlpm.cod &amp; " - " &amp; _xlpm.nom))</f>
        <v>Tall-01 - Niño</v>
      </c>
      <c r="J6" t="s">
        <v>839</v>
      </c>
      <c r="P6" t="e" cm="1">
        <f t="array" aca="1" ref="P6" ca="1">_xlfn.LET(
  _xlpm.filtro, _xlfn._xlws.FILTER(
    Consumo_Tela_Producto[Codigo_Producto],
    Consumo_Tela_Producto[Cantidad_Tela_m²] &gt; 0
  ),
  _xlpm.codigos, INDEX(_xlpm.filtro, , MATCH(Dim_Producto[Codigo_Producto], Consumo_Tela_Producto[#Headers], 0)),
  _xlpm.nombres, _xludf.XLOOKUP(_xlpm.codigos, Dim_Producto[Codigo_Producto], Dim_Producto[Nombre], "Sin nombre"),
  _xlfn.MAP(_xlpm.codigos, _xlpm.nombres, _xlfn.LAMBDA(_xlpm.cod,_xlpm.nom, _xlpm.cod &amp; " - " &amp; _xlpm.nom))
)</f>
        <v>#VALUE!</v>
      </c>
      <c r="BA6" s="164" t="s">
        <v>969</v>
      </c>
    </row>
    <row r="7" spans="2:55" ht="17.25" customHeight="1">
      <c r="B7" t="str">
        <v>metalizado</v>
      </c>
      <c r="D7" t="str">
        <v>Algodón egipcio</v>
      </c>
      <c r="F7" t="str">
        <v>P-02 - Bolsas Ecológicas</v>
      </c>
      <c r="H7" t="str">
        <v>Tall-02 - Dama</v>
      </c>
      <c r="BA7" s="163" t="s">
        <v>967</v>
      </c>
    </row>
    <row r="8" spans="2:55" ht="17.25" customHeight="1">
      <c r="B8" t="str">
        <v>olografico</v>
      </c>
      <c r="D8" t="str">
        <v>Atlética</v>
      </c>
      <c r="F8" t="str">
        <v>P-03 - Buzos</v>
      </c>
      <c r="H8" t="str">
        <v>Tall-03 - Caballero</v>
      </c>
      <c r="BC8" s="165"/>
    </row>
    <row r="9" spans="2:55" ht="17.25" customHeight="1">
      <c r="B9" t="str">
        <v>plano</v>
      </c>
      <c r="D9" t="str">
        <v>Columbia</v>
      </c>
      <c r="F9" t="str">
        <v>P-04 - Camisa</v>
      </c>
      <c r="H9" t="str">
        <v>Tall-04 - Plus</v>
      </c>
      <c r="BA9" s="164" t="s">
        <v>968</v>
      </c>
      <c r="BC9" s="165"/>
    </row>
    <row r="10" spans="2:55" ht="17.25" customHeight="1">
      <c r="B10" t="str">
        <v>Reflectivo</v>
      </c>
      <c r="D10" t="str">
        <v>Dri Fit</v>
      </c>
      <c r="F10" t="str">
        <v>P-05 - Chaleco</v>
      </c>
      <c r="H10" t="str">
        <v>Tall-05 - Unica</v>
      </c>
      <c r="BA10" s="3" t="s">
        <v>972</v>
      </c>
      <c r="BC10" s="165"/>
    </row>
    <row r="11" spans="2:55" ht="17.25" customHeight="1">
      <c r="B11" t="str">
        <v>Sublimable</v>
      </c>
      <c r="D11" t="str">
        <v>Drill sahara</v>
      </c>
      <c r="F11" t="str">
        <v>P-06 - Chaqueta</v>
      </c>
      <c r="H11" t="str">
        <v>Tall-06 - Accesorio</v>
      </c>
      <c r="BA11" s="165"/>
      <c r="BC11" s="165"/>
    </row>
    <row r="12" spans="2:55" ht="17.25" customHeight="1">
      <c r="B12" t="str">
        <v>tatami</v>
      </c>
      <c r="D12" t="str">
        <v>fashion mix spt</v>
      </c>
      <c r="F12" t="str">
        <v>P-07 - Chemis</v>
      </c>
      <c r="BA12" s="164" t="s">
        <v>970</v>
      </c>
      <c r="BC12" s="165"/>
    </row>
    <row r="13" spans="2:55" ht="17.25" customHeight="1">
      <c r="D13" t="str">
        <v>Gabardina</v>
      </c>
      <c r="F13" t="str">
        <v>P-08 - Cortavientos</v>
      </c>
      <c r="BA13" s="3" t="s">
        <v>971</v>
      </c>
      <c r="BC13" s="165"/>
    </row>
    <row r="14" spans="2:55" ht="17.25" customHeight="1">
      <c r="D14" t="str">
        <v>LaCoste</v>
      </c>
      <c r="F14" t="str">
        <v>P-09 - Delantales</v>
      </c>
      <c r="BA14" s="165"/>
      <c r="BC14" s="165"/>
    </row>
    <row r="15" spans="2:55" ht="17.25" customHeight="1">
      <c r="D15" t="str">
        <v>Licra careoca</v>
      </c>
      <c r="F15" t="str">
        <v>P-10 - Franelas</v>
      </c>
      <c r="BA15" s="165"/>
      <c r="BC15" s="165"/>
    </row>
    <row r="16" spans="2:55" ht="17.25" customHeight="1">
      <c r="D16" t="str">
        <v>Licra eternity</v>
      </c>
      <c r="F16" t="str">
        <v>P-11 - Franelillas</v>
      </c>
      <c r="BA16" s="164" t="s">
        <v>973</v>
      </c>
      <c r="BC16" s="164" t="s">
        <v>979</v>
      </c>
    </row>
    <row r="17" spans="4:56" ht="17.25" customHeight="1">
      <c r="D17" t="str">
        <v>Licra super leggyn</v>
      </c>
      <c r="F17" t="str">
        <v>P-12 - Genérico (todos)</v>
      </c>
      <c r="BA17" s="3" t="s">
        <v>974</v>
      </c>
      <c r="BC17" s="3" t="s">
        <v>980</v>
      </c>
      <c r="BD17" s="163" t="s">
        <v>985</v>
      </c>
    </row>
    <row r="18" spans="4:56" ht="17.25" customHeight="1">
      <c r="D18" t="str">
        <v>Licra super pacyfic</v>
      </c>
      <c r="F18" t="str">
        <v>P-13 - Gorras</v>
      </c>
      <c r="BA18" s="165"/>
      <c r="BC18" s="165"/>
    </row>
    <row r="19" spans="4:56" ht="17.25" customHeight="1">
      <c r="D19" t="str">
        <v>Malla forro</v>
      </c>
      <c r="F19" t="str">
        <v>P-14 - Hoodies</v>
      </c>
      <c r="BA19" s="164" t="s">
        <v>975</v>
      </c>
      <c r="BC19" s="164" t="s">
        <v>981</v>
      </c>
    </row>
    <row r="20" spans="4:56" ht="17.25" customHeight="1">
      <c r="D20" t="str">
        <v>malla maraton</v>
      </c>
      <c r="F20" t="str">
        <v>P-15 - Shorts</v>
      </c>
      <c r="BA20" s="3" t="s">
        <v>976</v>
      </c>
      <c r="BC20" s="3" t="s">
        <v>982</v>
      </c>
    </row>
    <row r="21" spans="4:56" ht="17.25" customHeight="1">
      <c r="D21" t="str">
        <v>Memory</v>
      </c>
      <c r="F21" t="str">
        <v>P-16 - Tazas</v>
      </c>
      <c r="BA21" s="165"/>
      <c r="BC21" s="165"/>
    </row>
    <row r="22" spans="4:56" ht="17.25" customHeight="1">
      <c r="D22" t="str">
        <v>Micro perforada</v>
      </c>
      <c r="F22" t="str">
        <v>P-17 - Uniformes</v>
      </c>
      <c r="BA22" s="164" t="s">
        <v>977</v>
      </c>
      <c r="BC22" s="164" t="s">
        <v>983</v>
      </c>
    </row>
    <row r="23" spans="4:56" ht="17.25" customHeight="1">
      <c r="D23" t="str">
        <v>Microdurasno</v>
      </c>
      <c r="F23" t="str">
        <v>P-18 - Viseras</v>
      </c>
      <c r="BA23" s="3" t="s">
        <v>978</v>
      </c>
      <c r="BC23" s="3" t="s">
        <v>984</v>
      </c>
    </row>
    <row r="24" spans="4:56" ht="17.25" customHeight="1">
      <c r="D24" t="str">
        <v>Microfibra mundial</v>
      </c>
      <c r="F24" t="str">
        <v>P-19 - Bolsa de arena</v>
      </c>
      <c r="BA24" s="165"/>
      <c r="BC24" s="165"/>
    </row>
    <row r="25" spans="4:56" ht="17.25" customHeight="1">
      <c r="D25" t="str">
        <v>Mono</v>
      </c>
      <c r="F25" t="str">
        <v>P-20 - Chemis con uniones telas</v>
      </c>
      <c r="BA25" s="165"/>
      <c r="BC25" s="175" t="s">
        <v>1005</v>
      </c>
      <c r="BD25" t="e" cm="1" vm="1">
        <f t="array" ref="BD25">_xlfn.LAMBDA(_xlpm.codigo,_xlpm.producto,_xlpm.talla,_xlpm.tamanoVinil,_xlpm.tamanoSublimado,_xlpm.tamanoDTF,_xlpm.materialTecnica,_xlpm.tasa_dolar,_xlpm.cantidad,_xlpm.tipo,
    _xlfn.LET(
        _xlpm.prefijo, LEFT(_xlpm.codigo, 3),
        _xlpm.costo,
        IF(_xlpm.codigo = "Act-11",
            obtenerCostoVinil(_xlpm.tamanoVinil, _xlpm.materialTecnica, _xlpm.tasa_dolar, _xlpm.cantidad),
        IF(_xlpm.codigo = "Act-10",
            obtenerCostoSublimado(_xlpm.producto, _xlpm.talla, _xlpm.tamanoSublimado, _xlpm.materialTecnica, _xlpm.tasa_dolar),
        IF(_xlpm.codigo = "Act-12",
            ObtenerCostoDTF(_xlpm.producto, _xlpm.talla, _xlpm.tamanoDTF, _xlpm.materialTecnica, _xlpm.tasa_dolar),
        IF(_xlpm.prefijo = "ACT",
            obtenerCostoActividad(_xlpm.codigo, _xlpm.producto, _xlpm.tipo),
        IF(_xlpm.prefijo = "MAT",
            obtenerCostoMaterial(_xlpm.codigo, _xlpm.tipo, _xlpm.tasa_dolar),
        0
        ))))),
        _xlpm.costo
    )
)</f>
        <v>#VALUE!</v>
      </c>
    </row>
    <row r="26" spans="4:56" ht="17.25" customHeight="1">
      <c r="D26" t="str">
        <v>Mono hollister</v>
      </c>
      <c r="F26" t="str">
        <v>P-21 - Cojines</v>
      </c>
      <c r="BA26" s="165"/>
      <c r="BC26" s="165"/>
    </row>
    <row r="27" spans="4:56" ht="17.25" customHeight="1">
      <c r="D27" t="str">
        <v>Muselina</v>
      </c>
      <c r="F27" t="str">
        <v>P-22 - Falda short</v>
      </c>
      <c r="BA27" s="165"/>
      <c r="BC27" s="165"/>
    </row>
    <row r="28" spans="4:56" ht="17.25" customHeight="1">
      <c r="D28" t="str">
        <v>neopreno</v>
      </c>
      <c r="F28" t="str">
        <v>P-23 - Funda porta canillera S/C</v>
      </c>
      <c r="BA28" s="165"/>
      <c r="BC28" s="165"/>
    </row>
    <row r="29" spans="4:56" ht="17.25" customHeight="1">
      <c r="D29" t="str">
        <v>North face</v>
      </c>
      <c r="F29" t="str">
        <v>P-24 - Licra</v>
      </c>
      <c r="BA29" s="165"/>
      <c r="BC29" s="165"/>
    </row>
    <row r="30" spans="4:56" ht="17.25" customHeight="1">
      <c r="D30" t="str">
        <v>Oxford</v>
      </c>
      <c r="F30" t="str">
        <v>P-25 - Mono</v>
      </c>
      <c r="BA30" s="165"/>
      <c r="BC30" s="165"/>
    </row>
    <row r="31" spans="4:56" ht="17.25" customHeight="1">
      <c r="D31" t="str">
        <v>Piqué armani</v>
      </c>
      <c r="F31" t="str">
        <v>P-26 - Porta canilleras c/ corte</v>
      </c>
      <c r="BA31" s="165"/>
      <c r="BC31" s="165"/>
    </row>
    <row r="32" spans="4:56" ht="17.25" customHeight="1">
      <c r="D32" t="str">
        <v>polar</v>
      </c>
      <c r="F32" t="str">
        <v>P-27 - Protectores arqueros</v>
      </c>
      <c r="BA32" s="165"/>
      <c r="BC32" s="165"/>
    </row>
    <row r="33" spans="4:55" ht="17.25" customHeight="1">
      <c r="D33" t="str">
        <v>polo wafy</v>
      </c>
      <c r="F33" t="str">
        <v>P-28 - Suéter</v>
      </c>
      <c r="BA33" s="165"/>
      <c r="BC33" s="165"/>
    </row>
    <row r="34" spans="4:55" ht="17.25" customHeight="1">
      <c r="D34" t="str">
        <v>qatar</v>
      </c>
      <c r="F34" t="str">
        <v>P-29 - Top dama</v>
      </c>
      <c r="BA34" s="165"/>
      <c r="BC34" s="165"/>
    </row>
    <row r="35" spans="4:55" ht="17.25" customHeight="1">
      <c r="D35" t="str">
        <v>Super Mono</v>
      </c>
      <c r="F35" t="str">
        <v>P-30 - Velas sencilla</v>
      </c>
    </row>
    <row r="36" spans="4:55" ht="17.25" customHeight="1">
      <c r="D36" t="str">
        <v>Tafeta iglú</v>
      </c>
      <c r="F36" t="str">
        <v>P-31 - Wall media</v>
      </c>
    </row>
    <row r="37" spans="4:55" ht="17.25" customHeight="1">
      <c r="D37" t="str">
        <v>Taslan olimpico</v>
      </c>
      <c r="F37" t="str">
        <v>P-32 - Enterizos de promotora</v>
      </c>
    </row>
    <row r="38" spans="4:55" ht="17.25" customHeight="1">
      <c r="D38" t="str">
        <v>Taslan permusa</v>
      </c>
      <c r="F38" t="str">
        <v>P-33 - Casacas</v>
      </c>
    </row>
    <row r="39" spans="4:55" ht="17.25" customHeight="1">
      <c r="D39" t="str">
        <v>Terry</v>
      </c>
      <c r="F39" t="str">
        <v>P-34 - Tula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5D8F6-65B6-4B46-B761-8DC6D67674AA}">
  <sheetPr codeName="Hoja8"/>
  <dimension ref="A1:N37"/>
  <sheetViews>
    <sheetView showGridLines="0" tabSelected="1" workbookViewId="0">
      <pane ySplit="5" topLeftCell="A21" activePane="bottomLeft" state="frozen"/>
      <selection pane="bottomLeft" activeCell="H47" sqref="H47"/>
    </sheetView>
  </sheetViews>
  <sheetFormatPr baseColWidth="10" defaultRowHeight="15"/>
  <cols>
    <col min="1" max="1" width="57" customWidth="1"/>
    <col min="2" max="2" width="14.85546875" bestFit="1" customWidth="1"/>
    <col min="3" max="3" width="21.28515625" bestFit="1" customWidth="1"/>
    <col min="4" max="4" width="9.85546875" bestFit="1" customWidth="1"/>
    <col min="5" max="5" width="13.140625" bestFit="1" customWidth="1"/>
    <col min="6" max="6" width="8.85546875" bestFit="1" customWidth="1"/>
    <col min="14" max="14" width="33.42578125" customWidth="1"/>
  </cols>
  <sheetData>
    <row r="1" spans="1:14">
      <c r="N1" s="15" t="s">
        <v>142</v>
      </c>
    </row>
    <row r="2" spans="1:14" ht="30">
      <c r="N2" s="3" t="s">
        <v>143</v>
      </c>
    </row>
    <row r="3" spans="1:14" ht="24">
      <c r="A3" s="16" t="s">
        <v>409</v>
      </c>
      <c r="D3" s="34" t="s">
        <v>122</v>
      </c>
      <c r="E3" s="34" t="s">
        <v>218</v>
      </c>
      <c r="F3" s="35" t="s">
        <v>153</v>
      </c>
    </row>
    <row r="4" spans="1:14">
      <c r="F4" s="12"/>
    </row>
    <row r="5" spans="1:14" ht="45">
      <c r="A5" s="17" t="s">
        <v>123</v>
      </c>
      <c r="B5" s="17" t="s">
        <v>97</v>
      </c>
      <c r="C5" s="17" t="s">
        <v>124</v>
      </c>
      <c r="D5" s="17" t="s">
        <v>217</v>
      </c>
      <c r="E5" s="17" t="s">
        <v>125</v>
      </c>
      <c r="F5" s="17" t="s">
        <v>126</v>
      </c>
    </row>
    <row r="6" spans="1:14">
      <c r="A6" s="18">
        <v>1</v>
      </c>
      <c r="B6" s="18"/>
      <c r="C6" s="18"/>
      <c r="D6" s="18"/>
      <c r="E6" s="18"/>
      <c r="F6" s="19"/>
    </row>
    <row r="7" spans="1:14">
      <c r="A7" s="18">
        <v>2</v>
      </c>
      <c r="B7" s="18"/>
      <c r="C7" s="18"/>
      <c r="D7" s="18"/>
      <c r="E7" s="18"/>
      <c r="F7" s="19"/>
    </row>
    <row r="8" spans="1:14">
      <c r="A8" s="18">
        <v>3</v>
      </c>
      <c r="B8" s="18"/>
      <c r="C8" s="18"/>
      <c r="D8" s="18"/>
      <c r="E8" s="18"/>
      <c r="F8" s="19"/>
    </row>
    <row r="9" spans="1:14">
      <c r="A9" s="18">
        <v>4</v>
      </c>
      <c r="B9" s="18"/>
      <c r="C9" s="18"/>
      <c r="D9" s="18"/>
      <c r="E9" s="18"/>
      <c r="F9" s="19"/>
    </row>
    <row r="10" spans="1:14">
      <c r="A10" s="18">
        <v>5</v>
      </c>
      <c r="B10" s="18"/>
      <c r="C10" s="18"/>
      <c r="D10" s="18"/>
      <c r="E10" s="18"/>
      <c r="F10" s="19"/>
    </row>
    <row r="11" spans="1:14">
      <c r="A11" s="18">
        <v>6</v>
      </c>
      <c r="B11" s="18"/>
      <c r="C11" s="18"/>
      <c r="D11" s="18"/>
      <c r="E11" s="18"/>
      <c r="F11" s="19"/>
    </row>
    <row r="12" spans="1:14">
      <c r="A12" s="18">
        <v>7</v>
      </c>
      <c r="B12" s="18"/>
      <c r="C12" s="18"/>
      <c r="D12" s="18"/>
      <c r="E12" s="18"/>
      <c r="F12" s="19"/>
    </row>
    <row r="13" spans="1:14">
      <c r="A13" s="18">
        <v>8</v>
      </c>
      <c r="B13" s="18"/>
      <c r="C13" s="18"/>
      <c r="D13" s="18"/>
      <c r="E13" s="18"/>
      <c r="F13" s="19"/>
    </row>
    <row r="14" spans="1:14">
      <c r="A14" s="18">
        <v>9</v>
      </c>
      <c r="B14" s="18"/>
      <c r="C14" s="18"/>
      <c r="D14" s="18"/>
      <c r="E14" s="18"/>
      <c r="F14" s="19"/>
    </row>
    <row r="15" spans="1:14">
      <c r="A15" s="18">
        <v>10</v>
      </c>
      <c r="B15" s="18"/>
      <c r="C15" s="18"/>
      <c r="D15" s="18"/>
      <c r="E15" s="18"/>
      <c r="F15" s="19"/>
    </row>
    <row r="23" spans="1:2">
      <c r="A23" t="s">
        <v>945</v>
      </c>
      <c r="B23" t="s">
        <v>1009</v>
      </c>
    </row>
    <row r="24" spans="1:2">
      <c r="A24" t="s">
        <v>946</v>
      </c>
      <c r="B24" t="s">
        <v>1010</v>
      </c>
    </row>
    <row r="25" spans="1:2">
      <c r="A25" t="s">
        <v>957</v>
      </c>
      <c r="B25" t="s">
        <v>1011</v>
      </c>
    </row>
    <row r="26" spans="1:2">
      <c r="A26" t="s">
        <v>958</v>
      </c>
      <c r="B26" t="s">
        <v>1012</v>
      </c>
    </row>
    <row r="27" spans="1:2">
      <c r="A27" t="s">
        <v>959</v>
      </c>
      <c r="B27" t="s">
        <v>1013</v>
      </c>
    </row>
    <row r="28" spans="1:2">
      <c r="A28" t="s">
        <v>968</v>
      </c>
      <c r="B28" t="s">
        <v>1014</v>
      </c>
    </row>
    <row r="29" spans="1:2">
      <c r="A29" t="s">
        <v>960</v>
      </c>
      <c r="B29" t="s">
        <v>1015</v>
      </c>
    </row>
    <row r="30" spans="1:2">
      <c r="A30" t="s">
        <v>1002</v>
      </c>
      <c r="B30" t="s">
        <v>1016</v>
      </c>
    </row>
    <row r="31" spans="1:2">
      <c r="A31" t="s">
        <v>961</v>
      </c>
      <c r="B31" t="s">
        <v>1017</v>
      </c>
    </row>
    <row r="32" spans="1:2">
      <c r="A32" t="s">
        <v>1008</v>
      </c>
      <c r="B32" t="s">
        <v>1018</v>
      </c>
    </row>
    <row r="33" spans="1:2">
      <c r="A33" t="s">
        <v>1003</v>
      </c>
      <c r="B33" t="s">
        <v>1019</v>
      </c>
    </row>
    <row r="34" spans="1:2">
      <c r="A34" t="s">
        <v>962</v>
      </c>
      <c r="B34" t="s">
        <v>1020</v>
      </c>
    </row>
    <row r="35" spans="1:2">
      <c r="A35" t="s">
        <v>963</v>
      </c>
      <c r="B35" t="s">
        <v>1021</v>
      </c>
    </row>
    <row r="36" spans="1:2">
      <c r="A36" t="s">
        <v>964</v>
      </c>
      <c r="B36" t="s">
        <v>1022</v>
      </c>
    </row>
    <row r="37" spans="1:2">
      <c r="A37" t="s">
        <v>965</v>
      </c>
      <c r="B37" t="s">
        <v>1023</v>
      </c>
    </row>
  </sheetData>
  <hyperlinks>
    <hyperlink ref="D3" location="Inicio!A1" display="Inicio" xr:uid="{FDD640F9-596A-40D0-92F4-BDD2F38A6756}"/>
    <hyperlink ref="E3" location="Producción!A1" display="Produccion" xr:uid="{925BB8FA-A0BD-487D-AB34-DD488905E92B}"/>
    <hyperlink ref="F3" location="Inventario!A1" display="Inventario" xr:uid="{FACE7436-7BF3-4CFF-8FEF-7C379A8BACD5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8A8E9-D6E9-4601-B6A1-3658F0B6355E}">
  <sheetPr codeName="Hoja10"/>
  <dimension ref="A1:F13"/>
  <sheetViews>
    <sheetView showGridLines="0" workbookViewId="0">
      <pane ySplit="4" topLeftCell="A5" activePane="bottomLeft" state="frozen"/>
      <selection pane="bottomLeft" activeCell="B5" sqref="B5:B9"/>
    </sheetView>
  </sheetViews>
  <sheetFormatPr baseColWidth="10" defaultRowHeight="15"/>
  <cols>
    <col min="1" max="1" width="8.140625" customWidth="1"/>
    <col min="2" max="2" width="18.7109375" bestFit="1" customWidth="1"/>
    <col min="3" max="3" width="11.5703125" bestFit="1" customWidth="1"/>
    <col min="4" max="4" width="7.5703125" bestFit="1" customWidth="1"/>
    <col min="5" max="5" width="8.85546875" bestFit="1" customWidth="1"/>
    <col min="6" max="6" width="6.7109375" bestFit="1" customWidth="1"/>
  </cols>
  <sheetData>
    <row r="1" spans="1:6">
      <c r="B1" s="6"/>
      <c r="C1" s="6"/>
      <c r="D1" s="6"/>
      <c r="E1" s="6"/>
    </row>
    <row r="2" spans="1:6" ht="24">
      <c r="A2" s="16" t="s">
        <v>130</v>
      </c>
      <c r="B2" s="6"/>
      <c r="C2" s="6"/>
      <c r="D2" s="6"/>
      <c r="F2" t="s">
        <v>131</v>
      </c>
    </row>
    <row r="3" spans="1:6">
      <c r="B3" s="6"/>
      <c r="C3" s="6"/>
      <c r="D3" s="6"/>
      <c r="E3" s="6"/>
    </row>
    <row r="4" spans="1:6" ht="45">
      <c r="A4" s="17" t="s">
        <v>123</v>
      </c>
      <c r="B4" s="17" t="s">
        <v>97</v>
      </c>
      <c r="C4" s="17" t="s">
        <v>124</v>
      </c>
      <c r="D4" s="17" t="s">
        <v>125</v>
      </c>
      <c r="E4" s="17" t="s">
        <v>126</v>
      </c>
    </row>
    <row r="5" spans="1:6">
      <c r="A5" t="s">
        <v>127</v>
      </c>
      <c r="B5" s="18"/>
      <c r="C5" s="18" t="s">
        <v>124</v>
      </c>
      <c r="D5" s="18" t="s">
        <v>42</v>
      </c>
      <c r="E5" s="19">
        <v>0.3</v>
      </c>
    </row>
    <row r="6" spans="1:6">
      <c r="A6" t="s">
        <v>128</v>
      </c>
      <c r="B6" s="18"/>
      <c r="C6" s="18" t="s">
        <v>124</v>
      </c>
      <c r="D6" s="18" t="s">
        <v>42</v>
      </c>
      <c r="E6" s="19">
        <v>0.3</v>
      </c>
    </row>
    <row r="7" spans="1:6">
      <c r="A7" t="s">
        <v>129</v>
      </c>
      <c r="B7" s="18"/>
      <c r="C7" s="18" t="s">
        <v>124</v>
      </c>
      <c r="D7" s="18" t="s">
        <v>42</v>
      </c>
      <c r="E7" s="19">
        <v>0.3</v>
      </c>
    </row>
    <row r="8" spans="1:6">
      <c r="B8" s="6"/>
      <c r="C8" s="6"/>
      <c r="D8" s="6"/>
      <c r="E8" s="6"/>
    </row>
    <row r="9" spans="1:6">
      <c r="B9" s="6"/>
      <c r="C9" s="6"/>
      <c r="D9" s="6"/>
      <c r="E9" s="6"/>
    </row>
    <row r="10" spans="1:6">
      <c r="B10" s="6"/>
      <c r="C10" s="6"/>
      <c r="D10" s="6"/>
      <c r="E10" s="6"/>
    </row>
    <row r="11" spans="1:6">
      <c r="B11" s="6"/>
      <c r="C11" s="6"/>
      <c r="D11" s="6"/>
      <c r="E11" s="6"/>
    </row>
    <row r="12" spans="1:6">
      <c r="B12" s="6"/>
      <c r="C12" s="6"/>
      <c r="D12" s="6"/>
      <c r="E12" s="6"/>
    </row>
    <row r="13" spans="1:6">
      <c r="B13" s="6"/>
      <c r="C13" s="6"/>
      <c r="D13" s="6"/>
      <c r="E13" s="6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Props1.xml><?xml version="1.0" encoding="utf-8"?>
<ds:datastoreItem xmlns:ds="http://schemas.openxmlformats.org/officeDocument/2006/customXml" ds:itemID="{513DC35A-26C4-4D26-9FC6-351130FEC604}">
  <ds:schemaRefs/>
</ds:datastoreItem>
</file>

<file path=customXml/itemProps2.xml><?xml version="1.0" encoding="utf-8"?>
<ds:datastoreItem xmlns:ds="http://schemas.openxmlformats.org/officeDocument/2006/customXml" ds:itemID="{878E4165-9497-4F8A-979E-E3F6F6C1757A}">
  <ds:schemaRefs/>
</ds:datastoreItem>
</file>

<file path=customXml/itemProps3.xml><?xml version="1.0" encoding="utf-8"?>
<ds:datastoreItem xmlns:ds="http://schemas.openxmlformats.org/officeDocument/2006/customXml" ds:itemID="{6685353B-29B9-4695-B39C-BA1CBAFD5470}">
  <ds:schemaRefs/>
</ds:datastoreItem>
</file>

<file path=customXml/itemProps4.xml><?xml version="1.0" encoding="utf-8"?>
<ds:datastoreItem xmlns:ds="http://schemas.openxmlformats.org/officeDocument/2006/customXml" ds:itemID="{CA9FBCAA-AFDB-4A2E-96FA-EA698C4B8E56}">
  <ds:schemaRefs/>
</ds:datastoreItem>
</file>

<file path=customXml/itemProps5.xml><?xml version="1.0" encoding="utf-8"?>
<ds:datastoreItem xmlns:ds="http://schemas.openxmlformats.org/officeDocument/2006/customXml" ds:itemID="{B9E11B38-9BC8-4B7D-A251-4C25AF8CA22E}">
  <ds:schemaRefs/>
</ds:datastoreItem>
</file>

<file path=customXml/itemProps6.xml><?xml version="1.0" encoding="utf-8"?>
<ds:datastoreItem xmlns:ds="http://schemas.openxmlformats.org/officeDocument/2006/customXml" ds:itemID="{F6FED760-B31E-4B7F-8784-1BADBE0D927E}">
  <ds:schemaRefs/>
</ds:datastoreItem>
</file>

<file path=customXml/itemProps7.xml><?xml version="1.0" encoding="utf-8"?>
<ds:datastoreItem xmlns:ds="http://schemas.openxmlformats.org/officeDocument/2006/customXml" ds:itemID="{F6BFD77B-BC57-4A9A-BB78-952589CACA82}">
  <ds:schemaRefs/>
</ds:datastoreItem>
</file>

<file path=customXml/itemProps8.xml><?xml version="1.0" encoding="utf-8"?>
<ds:datastoreItem xmlns:ds="http://schemas.openxmlformats.org/officeDocument/2006/customXml" ds:itemID="{B988333A-8708-4391-B7ED-C011F4683B24}">
  <ds:schemaRefs/>
</ds:datastoreItem>
</file>

<file path=customXml/itemProps9.xml><?xml version="1.0" encoding="utf-8"?>
<ds:datastoreItem xmlns:ds="http://schemas.openxmlformats.org/officeDocument/2006/customXml" ds:itemID="{15A46419-8AEB-4D85-9E18-965770BFBEA3}">
  <ds:schemaRefs/>
</ds:datastoreItem>
</file>

<file path=customXml/itemProps10.xml><?xml version="1.0" encoding="utf-8"?>
<ds:datastoreItem xmlns:ds="http://schemas.openxmlformats.org/officeDocument/2006/customXml" ds:itemID="{186DF95A-69B4-42DA-81F4-2FE3EED847FB}">
  <ds:schemaRefs/>
</ds:datastoreItem>
</file>

<file path=customXml/itemProps11.xml><?xml version="1.0" encoding="utf-8"?>
<ds:datastoreItem xmlns:ds="http://schemas.openxmlformats.org/officeDocument/2006/customXml" ds:itemID="{89DDBC42-9686-4300-9A7B-5F02A609FAA0}">
  <ds:schemaRefs/>
</ds:datastoreItem>
</file>

<file path=customXml/itemProps12.xml><?xml version="1.0" encoding="utf-8"?>
<ds:datastoreItem xmlns:ds="http://schemas.openxmlformats.org/officeDocument/2006/customXml" ds:itemID="{63737B0C-1DA1-4A1A-93BD-07D8B7BB79AC}">
  <ds:schemaRefs/>
</ds:datastoreItem>
</file>

<file path=customXml/itemProps13.xml><?xml version="1.0" encoding="utf-8"?>
<ds:datastoreItem xmlns:ds="http://schemas.openxmlformats.org/officeDocument/2006/customXml" ds:itemID="{A55B1B5A-3473-45A5-B586-AC3A6998890E}">
  <ds:schemaRefs/>
</ds:datastoreItem>
</file>

<file path=customXml/itemProps14.xml><?xml version="1.0" encoding="utf-8"?>
<ds:datastoreItem xmlns:ds="http://schemas.openxmlformats.org/officeDocument/2006/customXml" ds:itemID="{1F54B932-41DB-4943-856A-F460C24B6C29}">
  <ds:schemaRefs/>
</ds:datastoreItem>
</file>

<file path=customXml/itemProps15.xml><?xml version="1.0" encoding="utf-8"?>
<ds:datastoreItem xmlns:ds="http://schemas.openxmlformats.org/officeDocument/2006/customXml" ds:itemID="{FE4FC260-B80F-4A15-86AF-63545C3CB5A1}">
  <ds:schemaRefs/>
</ds:datastoreItem>
</file>

<file path=customXml/itemProps16.xml><?xml version="1.0" encoding="utf-8"?>
<ds:datastoreItem xmlns:ds="http://schemas.openxmlformats.org/officeDocument/2006/customXml" ds:itemID="{1EAB6940-1337-41C2-AAAA-477FDB0F05A2}">
  <ds:schemaRefs/>
</ds:datastoreItem>
</file>

<file path=customXml/itemProps17.xml><?xml version="1.0" encoding="utf-8"?>
<ds:datastoreItem xmlns:ds="http://schemas.openxmlformats.org/officeDocument/2006/customXml" ds:itemID="{8DA68C2D-7818-4273-BC53-B541A67BFF5D}">
  <ds:schemaRefs>
    <ds:schemaRef ds:uri="http://schemas.microsoft.com/DataMashup"/>
  </ds:schemaRefs>
</ds:datastoreItem>
</file>

<file path=customXml/itemProps18.xml><?xml version="1.0" encoding="utf-8"?>
<ds:datastoreItem xmlns:ds="http://schemas.openxmlformats.org/officeDocument/2006/customXml" ds:itemID="{A7E4E19A-366A-4D6E-B55C-403062194A92}">
  <ds:schemaRefs/>
</ds:datastoreItem>
</file>

<file path=customXml/itemProps19.xml><?xml version="1.0" encoding="utf-8"?>
<ds:datastoreItem xmlns:ds="http://schemas.openxmlformats.org/officeDocument/2006/customXml" ds:itemID="{41D4F9A9-EE32-4029-A5B1-376577E63DD5}">
  <ds:schemaRefs/>
</ds:datastoreItem>
</file>

<file path=customXml/itemProps20.xml><?xml version="1.0" encoding="utf-8"?>
<ds:datastoreItem xmlns:ds="http://schemas.openxmlformats.org/officeDocument/2006/customXml" ds:itemID="{92174A15-37BD-480E-92E2-579BEE89499F}">
  <ds:schemaRefs/>
</ds:datastoreItem>
</file>

<file path=customXml/itemProps21.xml><?xml version="1.0" encoding="utf-8"?>
<ds:datastoreItem xmlns:ds="http://schemas.openxmlformats.org/officeDocument/2006/customXml" ds:itemID="{C103C4CB-2C4B-442F-865C-37DFF74E2FF1}">
  <ds:schemaRefs/>
</ds:datastoreItem>
</file>

<file path=customXml/itemProps22.xml><?xml version="1.0" encoding="utf-8"?>
<ds:datastoreItem xmlns:ds="http://schemas.openxmlformats.org/officeDocument/2006/customXml" ds:itemID="{47B27FC3-A78A-41BA-9030-0C3F7077F19C}">
  <ds:schemaRefs/>
</ds:datastoreItem>
</file>

<file path=customXml/itemProps23.xml><?xml version="1.0" encoding="utf-8"?>
<ds:datastoreItem xmlns:ds="http://schemas.openxmlformats.org/officeDocument/2006/customXml" ds:itemID="{5E601800-E06D-4D21-BA26-F888CE56DA42}">
  <ds:schemaRefs/>
</ds:datastoreItem>
</file>

<file path=customXml/itemProps24.xml><?xml version="1.0" encoding="utf-8"?>
<ds:datastoreItem xmlns:ds="http://schemas.openxmlformats.org/officeDocument/2006/customXml" ds:itemID="{814C9117-F322-48CD-A89C-A1BF8AE85C7D}">
  <ds:schemaRefs/>
</ds:datastoreItem>
</file>

<file path=customXml/itemProps25.xml><?xml version="1.0" encoding="utf-8"?>
<ds:datastoreItem xmlns:ds="http://schemas.openxmlformats.org/officeDocument/2006/customXml" ds:itemID="{D31B1D6D-9F8E-4D15-A12B-36259DE0A0C1}">
  <ds:schemaRefs/>
</ds:datastoreItem>
</file>

<file path=customXml/itemProps26.xml><?xml version="1.0" encoding="utf-8"?>
<ds:datastoreItem xmlns:ds="http://schemas.openxmlformats.org/officeDocument/2006/customXml" ds:itemID="{FB421D4F-C4D2-45BD-AF3E-AFD2CB04B844}">
  <ds:schemaRefs/>
</ds:datastoreItem>
</file>

<file path=customXml/itemProps27.xml><?xml version="1.0" encoding="utf-8"?>
<ds:datastoreItem xmlns:ds="http://schemas.openxmlformats.org/officeDocument/2006/customXml" ds:itemID="{7C4F2DEC-CE53-4B25-AA9E-9534D0CC2CEA}">
  <ds:schemaRefs/>
</ds:datastoreItem>
</file>

<file path=customXml/itemProps28.xml><?xml version="1.0" encoding="utf-8"?>
<ds:datastoreItem xmlns:ds="http://schemas.openxmlformats.org/officeDocument/2006/customXml" ds:itemID="{6CD6D56B-656D-4034-886F-F5821E9BD5A9}">
  <ds:schemaRefs/>
</ds:datastoreItem>
</file>

<file path=customXml/itemProps29.xml><?xml version="1.0" encoding="utf-8"?>
<ds:datastoreItem xmlns:ds="http://schemas.openxmlformats.org/officeDocument/2006/customXml" ds:itemID="{6E99C1EE-777F-4C5A-81A9-EE1DCD7E6BDA}">
  <ds:schemaRefs/>
</ds:datastoreItem>
</file>

<file path=customXml/itemProps30.xml><?xml version="1.0" encoding="utf-8"?>
<ds:datastoreItem xmlns:ds="http://schemas.openxmlformats.org/officeDocument/2006/customXml" ds:itemID="{476713D5-24B6-48D6-97CB-08A9E78D758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1</vt:i4>
      </vt:variant>
    </vt:vector>
  </HeadingPairs>
  <TitlesOfParts>
    <vt:vector size="17" baseType="lpstr">
      <vt:lpstr>NombresDefinidos</vt:lpstr>
      <vt:lpstr>PresupuestoPlantilla</vt:lpstr>
      <vt:lpstr>Inicio</vt:lpstr>
      <vt:lpstr>Productos</vt:lpstr>
      <vt:lpstr>Tabla4 (3)</vt:lpstr>
      <vt:lpstr>extraccion manual</vt:lpstr>
      <vt:lpstr>Tabla4 (2)</vt:lpstr>
      <vt:lpstr>Materiales</vt:lpstr>
      <vt:lpstr>Finanzas</vt:lpstr>
      <vt:lpstr>Clientes _CRM</vt:lpstr>
      <vt:lpstr>Costos</vt:lpstr>
      <vt:lpstr>Ventas</vt:lpstr>
      <vt:lpstr>Producción</vt:lpstr>
      <vt:lpstr>Auxiliares</vt:lpstr>
      <vt:lpstr>Compras</vt:lpstr>
      <vt:lpstr>Costos Adicionales</vt:lpstr>
      <vt:lpstr>PresupuestoPlantilla!Área_de_impresión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Margelys Santos</dc:creator>
  <cp:lastModifiedBy>ms720096</cp:lastModifiedBy>
  <cp:lastPrinted>2025-06-28T17:26:47Z</cp:lastPrinted>
  <dcterms:created xsi:type="dcterms:W3CDTF">2025-06-04T03:03:07Z</dcterms:created>
  <dcterms:modified xsi:type="dcterms:W3CDTF">2026-08-17T02:37:15Z</dcterms:modified>
</cp:coreProperties>
</file>