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tus\Desktop\DS_stuff\TFM\"/>
    </mc:Choice>
  </mc:AlternateContent>
  <bookViews>
    <workbookView xWindow="0" yWindow="0" windowWidth="19200" windowHeight="7010"/>
  </bookViews>
  <sheets>
    <sheet name="mono" sheetId="1" r:id="rId1"/>
    <sheet name="poly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2" l="1"/>
  <c r="I56" i="2"/>
  <c r="I52" i="2"/>
  <c r="K52" i="1"/>
  <c r="K56" i="1"/>
  <c r="K48" i="1"/>
  <c r="N13" i="2"/>
  <c r="O15" i="2"/>
  <c r="N15" i="2"/>
  <c r="Q14" i="2"/>
  <c r="P14" i="2"/>
  <c r="Q13" i="2"/>
  <c r="Q16" i="2"/>
  <c r="O16" i="2"/>
  <c r="N16" i="2"/>
  <c r="Q15" i="2"/>
  <c r="O14" i="2"/>
  <c r="N14" i="2"/>
  <c r="P13" i="2"/>
  <c r="O13" i="2"/>
  <c r="P16" i="2"/>
  <c r="P15" i="2"/>
  <c r="L18" i="2"/>
  <c r="K18" i="2"/>
  <c r="J18" i="2"/>
  <c r="I18" i="2"/>
  <c r="G18" i="2"/>
  <c r="F18" i="2"/>
  <c r="E18" i="2"/>
  <c r="D18" i="2"/>
  <c r="N35" i="2"/>
  <c r="Q36" i="2"/>
  <c r="O36" i="2"/>
  <c r="N36" i="2"/>
  <c r="Q35" i="2"/>
  <c r="Q34" i="2"/>
  <c r="O34" i="2"/>
  <c r="N34" i="2"/>
  <c r="Q33" i="2"/>
  <c r="O33" i="2"/>
  <c r="N33" i="2"/>
  <c r="P34" i="2"/>
  <c r="O35" i="2"/>
  <c r="P33" i="2"/>
  <c r="P36" i="2"/>
  <c r="P35" i="2"/>
  <c r="Q27" i="2"/>
  <c r="O27" i="2"/>
  <c r="N27" i="2"/>
  <c r="N26" i="2"/>
  <c r="Q25" i="2"/>
  <c r="O25" i="2"/>
  <c r="N25" i="2"/>
  <c r="Q24" i="2"/>
  <c r="O24" i="2"/>
  <c r="N24" i="2"/>
  <c r="Q26" i="2"/>
  <c r="P24" i="2"/>
  <c r="P27" i="2"/>
  <c r="O26" i="2"/>
  <c r="P26" i="2"/>
  <c r="P25" i="2"/>
  <c r="L40" i="2"/>
  <c r="K40" i="2"/>
  <c r="J40" i="2"/>
  <c r="I40" i="2"/>
  <c r="G40" i="2"/>
  <c r="F40" i="2"/>
  <c r="E40" i="2"/>
  <c r="D40" i="2"/>
  <c r="L29" i="2"/>
  <c r="K29" i="2"/>
  <c r="J29" i="2"/>
  <c r="I29" i="2"/>
  <c r="G29" i="2"/>
  <c r="F29" i="2"/>
  <c r="E29" i="2"/>
  <c r="D29" i="2"/>
  <c r="T14" i="2" l="1"/>
  <c r="S14" i="2"/>
  <c r="T16" i="2"/>
  <c r="S16" i="2"/>
  <c r="T15" i="2"/>
  <c r="T13" i="2"/>
  <c r="U13" i="2"/>
  <c r="S15" i="2"/>
  <c r="U15" i="2"/>
  <c r="S13" i="2"/>
  <c r="S34" i="2"/>
  <c r="S36" i="2"/>
  <c r="T35" i="2"/>
  <c r="T33" i="2"/>
  <c r="T25" i="2"/>
  <c r="U26" i="2"/>
  <c r="S25" i="2"/>
  <c r="T34" i="2"/>
  <c r="T27" i="2"/>
  <c r="S27" i="2"/>
  <c r="T24" i="2"/>
  <c r="U33" i="2"/>
  <c r="U35" i="2"/>
  <c r="U24" i="2"/>
  <c r="S33" i="2"/>
  <c r="S26" i="2"/>
  <c r="T26" i="2"/>
  <c r="T36" i="2"/>
  <c r="S35" i="2"/>
  <c r="S24" i="2"/>
  <c r="S25" i="1"/>
  <c r="R25" i="1"/>
  <c r="Q25" i="1"/>
  <c r="P25" i="1"/>
  <c r="R24" i="1"/>
  <c r="Q24" i="1"/>
  <c r="P24" i="1"/>
  <c r="R23" i="1"/>
  <c r="Q23" i="1"/>
  <c r="P23" i="1"/>
  <c r="R22" i="1"/>
  <c r="Q22" i="1"/>
  <c r="P22" i="1"/>
  <c r="S23" i="1"/>
  <c r="S22" i="1"/>
  <c r="S24" i="1"/>
  <c r="Q35" i="1"/>
  <c r="S35" i="1"/>
  <c r="R34" i="1"/>
  <c r="Q37" i="1"/>
  <c r="P37" i="1"/>
  <c r="R37" i="1"/>
  <c r="Q36" i="1"/>
  <c r="S37" i="1"/>
  <c r="S36" i="1"/>
  <c r="R36" i="1"/>
  <c r="R35" i="1"/>
  <c r="P35" i="1"/>
  <c r="S34" i="1"/>
  <c r="Q34" i="1"/>
  <c r="P34" i="1"/>
  <c r="P36" i="1"/>
  <c r="S16" i="1"/>
  <c r="R16" i="1"/>
  <c r="Q16" i="1"/>
  <c r="P16" i="1"/>
  <c r="S15" i="1"/>
  <c r="R15" i="1"/>
  <c r="Q15" i="1"/>
  <c r="S14" i="1"/>
  <c r="R14" i="1"/>
  <c r="Q14" i="1"/>
  <c r="P14" i="1"/>
  <c r="S13" i="1"/>
  <c r="R13" i="1"/>
  <c r="Q13" i="1"/>
  <c r="P13" i="1"/>
  <c r="P15" i="1"/>
  <c r="H18" i="1"/>
  <c r="N18" i="1"/>
  <c r="M18" i="1"/>
  <c r="L18" i="1"/>
  <c r="K18" i="1"/>
  <c r="I18" i="1"/>
  <c r="G18" i="1"/>
  <c r="F18" i="1"/>
  <c r="N40" i="1"/>
  <c r="M40" i="1"/>
  <c r="L40" i="1"/>
  <c r="K40" i="1"/>
  <c r="I40" i="1"/>
  <c r="H40" i="1"/>
  <c r="G40" i="1"/>
  <c r="F40" i="1"/>
  <c r="G29" i="1"/>
  <c r="H29" i="1"/>
  <c r="I29" i="1"/>
  <c r="K29" i="1"/>
  <c r="L29" i="1"/>
  <c r="M29" i="1"/>
  <c r="N29" i="1"/>
  <c r="F29" i="1"/>
  <c r="V23" i="1" l="1"/>
  <c r="U22" i="1"/>
  <c r="U23" i="1"/>
  <c r="V25" i="1"/>
  <c r="U24" i="1"/>
  <c r="V34" i="1"/>
  <c r="V16" i="1"/>
  <c r="U16" i="1"/>
  <c r="V15" i="1"/>
  <c r="V14" i="1"/>
  <c r="U14" i="1"/>
  <c r="V13" i="1"/>
  <c r="U13" i="1"/>
  <c r="W13" i="1"/>
  <c r="U15" i="1"/>
  <c r="W15" i="1"/>
  <c r="U25" i="1"/>
  <c r="V24" i="1"/>
  <c r="W25" i="1"/>
  <c r="V22" i="1"/>
  <c r="W23" i="1"/>
  <c r="V37" i="1"/>
  <c r="U37" i="1"/>
  <c r="V36" i="1"/>
  <c r="U36" i="1"/>
  <c r="V35" i="1"/>
  <c r="W37" i="1"/>
  <c r="U34" i="1"/>
  <c r="W35" i="1"/>
  <c r="U35" i="1"/>
</calcChain>
</file>

<file path=xl/sharedStrings.xml><?xml version="1.0" encoding="utf-8"?>
<sst xmlns="http://schemas.openxmlformats.org/spreadsheetml/2006/main" count="141" uniqueCount="32">
  <si>
    <t>Precision ponderada</t>
  </si>
  <si>
    <t>Recall</t>
  </si>
  <si>
    <t>ponderada</t>
  </si>
  <si>
    <t>f1-score</t>
  </si>
  <si>
    <t>Accuracy</t>
  </si>
  <si>
    <t>overfitting</t>
  </si>
  <si>
    <r>
      <t xml:space="preserve">F1-score </t>
    </r>
    <r>
      <rPr>
        <sz val="11"/>
        <color theme="1"/>
        <rFont val="Arial"/>
        <family val="2"/>
      </rPr>
      <t>per cada classe</t>
    </r>
  </si>
  <si>
    <t>Sí</t>
  </si>
  <si>
    <t>No</t>
  </si>
  <si>
    <t>Transfer Learning</t>
  </si>
  <si>
    <t>Folds</t>
  </si>
  <si>
    <t>pred</t>
  </si>
  <si>
    <t>real</t>
  </si>
  <si>
    <t>Mitjana</t>
  </si>
  <si>
    <t>4-capes convolucionals</t>
  </si>
  <si>
    <t>3-capes convolucionals</t>
  </si>
  <si>
    <t>0.0</t>
  </si>
  <si>
    <t>0.3</t>
  </si>
  <si>
    <t>0.6</t>
  </si>
  <si>
    <t>1.0</t>
  </si>
  <si>
    <t>Sí (poc)</t>
  </si>
  <si>
    <t>per 1 classe</t>
  </si>
  <si>
    <t xml:space="preserve"> funcionalitat/
defectuositat</t>
  </si>
  <si>
    <t>per les 2 classes</t>
  </si>
  <si>
    <t>3-capes convol.</t>
  </si>
  <si>
    <t>4-capes convol.</t>
  </si>
  <si>
    <t>Transfer Learning
L2=0.001</t>
  </si>
  <si>
    <t>Transfer Learning
L2=0.1</t>
  </si>
  <si>
    <t>Tf Learn
L2=0.001</t>
  </si>
  <si>
    <t>Tf Lear
L2=0.1</t>
  </si>
  <si>
    <t>3-capes Policristal·lí</t>
  </si>
  <si>
    <t>3-capes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</si>
</sst>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ck">
        <color rgb="FFFFFFFF"/>
      </left>
      <right style="medium">
        <color indexed="64"/>
      </right>
      <top style="thick">
        <color rgb="FFFFFFFF"/>
      </top>
      <bottom/>
      <diagonal/>
    </border>
    <border>
      <left style="thick">
        <color rgb="FFFFFFFF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2" borderId="0" xfId="2"/>
    <xf numFmtId="2" fontId="0" fillId="0" borderId="0" xfId="0" applyNumberFormat="1"/>
    <xf numFmtId="0" fontId="4" fillId="0" borderId="14" xfId="0" applyFont="1" applyBorder="1" applyAlignment="1">
      <alignment horizontal="left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2" fontId="4" fillId="6" borderId="21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2" fontId="6" fillId="0" borderId="16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9" xfId="0" applyNumberFormat="1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0" borderId="4" xfId="1" applyFont="1" applyBorder="1"/>
    <xf numFmtId="164" fontId="0" fillId="0" borderId="28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3" fillId="5" borderId="15" xfId="0" applyFont="1" applyFill="1" applyBorder="1" applyAlignment="1">
      <alignment horizontal="center" vertical="center" textRotation="90" wrapText="1"/>
    </xf>
    <xf numFmtId="0" fontId="3" fillId="5" borderId="18" xfId="0" applyFont="1" applyFill="1" applyBorder="1" applyAlignment="1">
      <alignment horizontal="center" vertical="center" textRotation="90" wrapText="1"/>
    </xf>
    <xf numFmtId="0" fontId="3" fillId="5" borderId="20" xfId="0" applyFont="1" applyFill="1" applyBorder="1" applyAlignment="1">
      <alignment horizontal="center" vertical="center" textRotation="90" wrapText="1"/>
    </xf>
    <xf numFmtId="0" fontId="3" fillId="5" borderId="22" xfId="0" applyFont="1" applyFill="1" applyBorder="1" applyAlignment="1">
      <alignment horizontal="center" vertical="center" textRotation="90" wrapText="1"/>
    </xf>
    <xf numFmtId="0" fontId="3" fillId="5" borderId="23" xfId="0" applyFont="1" applyFill="1" applyBorder="1" applyAlignment="1">
      <alignment horizontal="center" vertical="center" textRotation="90" wrapText="1"/>
    </xf>
    <xf numFmtId="0" fontId="3" fillId="5" borderId="24" xfId="0" applyFont="1" applyFill="1" applyBorder="1" applyAlignment="1">
      <alignment horizontal="center" vertical="center" textRotation="90" wrapText="1"/>
    </xf>
    <xf numFmtId="0" fontId="3" fillId="5" borderId="11" xfId="0" applyFont="1" applyFill="1" applyBorder="1" applyAlignment="1">
      <alignment horizontal="center" vertical="center" textRotation="90" wrapText="1"/>
    </xf>
    <xf numFmtId="0" fontId="3" fillId="5" borderId="12" xfId="0" applyFont="1" applyFill="1" applyBorder="1" applyAlignment="1">
      <alignment horizontal="center" vertical="center" textRotation="90" wrapText="1"/>
    </xf>
    <xf numFmtId="0" fontId="3" fillId="5" borderId="25" xfId="0" applyFont="1" applyFill="1" applyBorder="1" applyAlignment="1">
      <alignment horizontal="center" vertical="center" textRotation="90" wrapText="1"/>
    </xf>
    <xf numFmtId="164" fontId="0" fillId="0" borderId="29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64" fontId="0" fillId="0" borderId="31" xfId="1" applyNumberFormat="1" applyFont="1" applyBorder="1" applyAlignment="1">
      <alignment horizontal="center" vertical="center"/>
    </xf>
  </cellXfs>
  <cellStyles count="3">
    <cellStyle name="Buena" xfId="2" builtinId="2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W60"/>
  <sheetViews>
    <sheetView tabSelected="1" topLeftCell="A9" zoomScale="40" zoomScaleNormal="40" workbookViewId="0">
      <selection activeCell="K48" sqref="K48:K59"/>
    </sheetView>
  </sheetViews>
  <sheetFormatPr baseColWidth="10" defaultRowHeight="14.5" x14ac:dyDescent="0.35"/>
  <cols>
    <col min="6" max="6" width="16.36328125" customWidth="1"/>
    <col min="7" max="7" width="12.54296875" customWidth="1"/>
    <col min="8" max="8" width="13.26953125" customWidth="1"/>
    <col min="9" max="9" width="14.6328125" customWidth="1"/>
    <col min="10" max="10" width="15.36328125" customWidth="1"/>
    <col min="15" max="15" width="6" customWidth="1"/>
    <col min="16" max="16" width="4.1796875" bestFit="1" customWidth="1"/>
    <col min="17" max="17" width="3.08984375" bestFit="1" customWidth="1"/>
    <col min="18" max="19" width="4.1796875" bestFit="1" customWidth="1"/>
    <col min="20" max="20" width="4.26953125" customWidth="1"/>
    <col min="21" max="21" width="11.36328125" bestFit="1" customWidth="1"/>
    <col min="22" max="22" width="11.453125" bestFit="1" customWidth="1"/>
    <col min="23" max="23" width="13.26953125" customWidth="1"/>
  </cols>
  <sheetData>
    <row r="5" spans="4:23" ht="15" thickBot="1" x14ac:dyDescent="0.4"/>
    <row r="6" spans="4:23" ht="23" customHeight="1" thickTop="1" x14ac:dyDescent="0.35">
      <c r="D6" s="32"/>
      <c r="E6" s="34" t="s">
        <v>10</v>
      </c>
      <c r="F6" s="34" t="s">
        <v>0</v>
      </c>
      <c r="G6" s="1" t="s">
        <v>1</v>
      </c>
      <c r="H6" s="1" t="s">
        <v>3</v>
      </c>
      <c r="I6" s="1" t="s">
        <v>4</v>
      </c>
      <c r="J6" s="34" t="s">
        <v>5</v>
      </c>
      <c r="K6" s="29" t="s">
        <v>6</v>
      </c>
      <c r="L6" s="30"/>
      <c r="M6" s="30"/>
      <c r="N6" s="31"/>
    </row>
    <row r="7" spans="4:23" ht="18" customHeight="1" thickBot="1" x14ac:dyDescent="0.4">
      <c r="D7" s="33"/>
      <c r="E7" s="35"/>
      <c r="F7" s="35"/>
      <c r="G7" s="3" t="s">
        <v>2</v>
      </c>
      <c r="H7" s="3" t="s">
        <v>2</v>
      </c>
      <c r="I7" s="3" t="s">
        <v>2</v>
      </c>
      <c r="J7" s="35"/>
      <c r="K7" s="16" t="s">
        <v>16</v>
      </c>
      <c r="L7" s="17" t="s">
        <v>17</v>
      </c>
      <c r="M7" s="17" t="s">
        <v>18</v>
      </c>
      <c r="N7" s="3" t="s">
        <v>19</v>
      </c>
    </row>
    <row r="8" spans="4:23" ht="14.5" customHeight="1" thickTop="1" x14ac:dyDescent="0.35">
      <c r="D8" s="37" t="s">
        <v>15</v>
      </c>
      <c r="E8" s="9">
        <v>1</v>
      </c>
      <c r="F8" s="10">
        <v>0.7</v>
      </c>
      <c r="G8" s="10">
        <v>0.64</v>
      </c>
      <c r="H8" s="10">
        <v>0.66</v>
      </c>
      <c r="I8" s="10">
        <v>0.64</v>
      </c>
      <c r="J8" s="11" t="s">
        <v>20</v>
      </c>
      <c r="K8" s="11">
        <v>0.74</v>
      </c>
      <c r="L8" s="11">
        <v>0.34</v>
      </c>
      <c r="M8" s="11">
        <v>0.35</v>
      </c>
      <c r="N8" s="12">
        <v>0.67</v>
      </c>
    </row>
    <row r="9" spans="4:23" x14ac:dyDescent="0.35">
      <c r="D9" s="38"/>
      <c r="E9" s="13">
        <v>2</v>
      </c>
      <c r="F9" s="14">
        <v>0.71</v>
      </c>
      <c r="G9" s="14">
        <v>0.69</v>
      </c>
      <c r="H9" s="14">
        <v>0.69</v>
      </c>
      <c r="I9" s="14">
        <v>0.69</v>
      </c>
      <c r="J9" s="14" t="s">
        <v>8</v>
      </c>
      <c r="K9" s="14">
        <v>0.76</v>
      </c>
      <c r="L9" s="14">
        <v>0.56000000000000005</v>
      </c>
      <c r="M9" s="14">
        <v>0.44</v>
      </c>
      <c r="N9" s="15">
        <v>0.68</v>
      </c>
    </row>
    <row r="10" spans="4:23" x14ac:dyDescent="0.35">
      <c r="D10" s="38"/>
      <c r="E10" s="13">
        <v>3</v>
      </c>
      <c r="F10" s="14">
        <v>0.75</v>
      </c>
      <c r="G10" s="14">
        <v>0.74</v>
      </c>
      <c r="H10" s="14">
        <v>0.74</v>
      </c>
      <c r="I10" s="14">
        <v>0.74</v>
      </c>
      <c r="J10" s="14" t="s">
        <v>20</v>
      </c>
      <c r="K10" s="14">
        <v>0.83</v>
      </c>
      <c r="L10" s="14">
        <v>0.61</v>
      </c>
      <c r="M10" s="14">
        <v>0.33</v>
      </c>
      <c r="N10" s="15">
        <v>0.71</v>
      </c>
    </row>
    <row r="11" spans="4:23" x14ac:dyDescent="0.35">
      <c r="D11" s="38"/>
      <c r="E11" s="13">
        <v>4</v>
      </c>
      <c r="F11" s="14">
        <v>0.68</v>
      </c>
      <c r="G11" s="14">
        <v>0.65</v>
      </c>
      <c r="H11" s="14">
        <v>0.65</v>
      </c>
      <c r="I11" s="14">
        <v>0.65</v>
      </c>
      <c r="J11" s="14" t="s">
        <v>20</v>
      </c>
      <c r="K11" s="14">
        <v>0.7</v>
      </c>
      <c r="L11" s="14">
        <v>0.53</v>
      </c>
      <c r="M11" s="14">
        <v>0.15</v>
      </c>
      <c r="N11" s="15">
        <v>0.72</v>
      </c>
      <c r="Q11" t="s">
        <v>11</v>
      </c>
    </row>
    <row r="12" spans="4:23" ht="31.5" customHeight="1" x14ac:dyDescent="0.35">
      <c r="D12" s="38"/>
      <c r="E12" s="13">
        <v>5</v>
      </c>
      <c r="F12" s="14">
        <v>0.74</v>
      </c>
      <c r="G12" s="14">
        <v>0.73</v>
      </c>
      <c r="H12" s="14">
        <v>0.73</v>
      </c>
      <c r="I12" s="14">
        <v>0.73</v>
      </c>
      <c r="J12" s="14" t="s">
        <v>20</v>
      </c>
      <c r="K12" s="14">
        <v>0.82</v>
      </c>
      <c r="L12" s="14">
        <v>0.44</v>
      </c>
      <c r="M12" s="14">
        <v>0</v>
      </c>
      <c r="N12" s="15">
        <v>0.79</v>
      </c>
      <c r="U12" t="s">
        <v>21</v>
      </c>
      <c r="V12" t="s">
        <v>23</v>
      </c>
      <c r="W12" s="19" t="s">
        <v>22</v>
      </c>
    </row>
    <row r="13" spans="4:23" x14ac:dyDescent="0.35">
      <c r="D13" s="38"/>
      <c r="E13" s="13">
        <v>6</v>
      </c>
      <c r="F13" s="14">
        <v>0.76</v>
      </c>
      <c r="G13" s="14">
        <v>0.68</v>
      </c>
      <c r="H13" s="14">
        <v>0.7</v>
      </c>
      <c r="I13" s="14">
        <v>0.68</v>
      </c>
      <c r="J13" s="14" t="s">
        <v>20</v>
      </c>
      <c r="K13" s="14">
        <v>0.75</v>
      </c>
      <c r="L13" s="14">
        <v>0.55000000000000004</v>
      </c>
      <c r="M13" s="14">
        <v>0.33</v>
      </c>
      <c r="N13" s="15">
        <v>0.74</v>
      </c>
      <c r="P13" s="4">
        <f>43+42+47+37+49+38+38+40+53+25</f>
        <v>412</v>
      </c>
      <c r="Q13" s="4">
        <f>9+4+2+10+7+6+6+3+1+7</f>
        <v>55</v>
      </c>
      <c r="R13">
        <f>4+4+1+2+5+5+5+3+5</f>
        <v>34</v>
      </c>
      <c r="S13">
        <f>3+8+8+10+3+10+10+11+2+22</f>
        <v>87</v>
      </c>
      <c r="U13" s="18">
        <f>SUM(P13)/SUM(P13:S13)</f>
        <v>0.70068027210884354</v>
      </c>
      <c r="V13" s="18">
        <f>SUM(P13:Q13)/SUM(P13:S13)</f>
        <v>0.79421768707482998</v>
      </c>
      <c r="W13" s="36">
        <f>SUM(P13:Q14)/SUM(P13:S14)</f>
        <v>0.79432624113475181</v>
      </c>
    </row>
    <row r="14" spans="4:23" x14ac:dyDescent="0.35">
      <c r="D14" s="38"/>
      <c r="E14" s="13">
        <v>7</v>
      </c>
      <c r="F14" s="14">
        <v>0.76</v>
      </c>
      <c r="G14" s="14">
        <v>0.68</v>
      </c>
      <c r="H14" s="14">
        <v>0.7</v>
      </c>
      <c r="I14" s="14">
        <v>0.68</v>
      </c>
      <c r="J14" s="14" t="s">
        <v>20</v>
      </c>
      <c r="K14" s="14">
        <v>0.75</v>
      </c>
      <c r="L14" s="14">
        <v>0.55000000000000004</v>
      </c>
      <c r="M14" s="14">
        <v>0.33</v>
      </c>
      <c r="N14" s="15">
        <v>0.74</v>
      </c>
      <c r="O14" t="s">
        <v>12</v>
      </c>
      <c r="P14" s="4">
        <f>3+3+1+3+5+2+2+4+5+2</f>
        <v>30</v>
      </c>
      <c r="Q14" s="4">
        <f>5+7+7+8+7+8+8+5+4+4</f>
        <v>63</v>
      </c>
      <c r="R14">
        <f>2+2+2+2+2+1+1+2</f>
        <v>14</v>
      </c>
      <c r="S14">
        <f>1+2+1+2+1+3</f>
        <v>10</v>
      </c>
      <c r="U14" s="18">
        <f>SUM(Q14)/SUM(P14:S14)</f>
        <v>0.53846153846153844</v>
      </c>
      <c r="V14" s="18">
        <f>SUM(P14:Q14)/SUM(P14:S14)</f>
        <v>0.79487179487179482</v>
      </c>
      <c r="W14" s="36"/>
    </row>
    <row r="15" spans="4:23" x14ac:dyDescent="0.35">
      <c r="D15" s="38"/>
      <c r="E15" s="13">
        <v>8</v>
      </c>
      <c r="F15" s="14">
        <v>0.75</v>
      </c>
      <c r="G15" s="14">
        <v>0.72</v>
      </c>
      <c r="H15" s="14">
        <v>0.72</v>
      </c>
      <c r="I15" s="14">
        <v>0.72</v>
      </c>
      <c r="J15" s="14" t="s">
        <v>20</v>
      </c>
      <c r="K15" s="14">
        <v>0.76</v>
      </c>
      <c r="L15" s="14">
        <v>0.5</v>
      </c>
      <c r="M15" s="14">
        <v>0.31</v>
      </c>
      <c r="N15" s="15">
        <v>0.79</v>
      </c>
      <c r="P15">
        <f>1+1+2+4+2+1+4</f>
        <v>15</v>
      </c>
      <c r="Q15">
        <f>2+3+2+2+1</f>
        <v>10</v>
      </c>
      <c r="R15" s="4">
        <f>3+4+2+1+3+3+2+3</f>
        <v>21</v>
      </c>
      <c r="S15" s="4">
        <f>0+1+2+1+2+2+2</f>
        <v>10</v>
      </c>
      <c r="U15" s="18">
        <f>SUM(R15)/SUM(P15:S15)</f>
        <v>0.375</v>
      </c>
      <c r="V15" s="18">
        <f>SUM(R15:S15)/SUM(P15:S15)</f>
        <v>0.5535714285714286</v>
      </c>
      <c r="W15" s="36">
        <f>SUM(R15:S16)/SUM(P15:S16)</f>
        <v>0.78319783197831983</v>
      </c>
    </row>
    <row r="16" spans="4:23" x14ac:dyDescent="0.35">
      <c r="D16" s="38"/>
      <c r="E16" s="13">
        <v>9</v>
      </c>
      <c r="F16" s="14">
        <v>0.76</v>
      </c>
      <c r="G16" s="14">
        <v>0.77</v>
      </c>
      <c r="H16" s="14">
        <v>0.75</v>
      </c>
      <c r="I16" s="14">
        <v>0.77</v>
      </c>
      <c r="J16" s="14" t="s">
        <v>20</v>
      </c>
      <c r="K16" s="14">
        <v>0.84</v>
      </c>
      <c r="L16" s="14">
        <v>0.5</v>
      </c>
      <c r="M16" s="14">
        <v>0</v>
      </c>
      <c r="N16" s="15">
        <v>0.82</v>
      </c>
      <c r="P16">
        <f>10+7+5+3+5+3+3+1+5+1</f>
        <v>43</v>
      </c>
      <c r="Q16">
        <f>2+2+2+3+1+1+1</f>
        <v>12</v>
      </c>
      <c r="R16" s="4">
        <f>2+2+1+4+1+3+3+1+2</f>
        <v>19</v>
      </c>
      <c r="S16" s="4">
        <f>18+21+24+24+22+24+24+30+25+27</f>
        <v>239</v>
      </c>
      <c r="U16" s="18">
        <f>SUM(S16)/SUM(P16:S16)</f>
        <v>0.76357827476038342</v>
      </c>
      <c r="V16" s="18">
        <f>SUM(R16:S16)/SUM(P16:S16)</f>
        <v>0.82428115015974446</v>
      </c>
      <c r="W16" s="36"/>
    </row>
    <row r="17" spans="4:23" x14ac:dyDescent="0.35">
      <c r="D17" s="38"/>
      <c r="E17" s="13">
        <v>10</v>
      </c>
      <c r="F17" s="14">
        <v>0.68</v>
      </c>
      <c r="G17" s="14">
        <v>0.55000000000000004</v>
      </c>
      <c r="H17" s="14">
        <v>0.55000000000000004</v>
      </c>
      <c r="I17" s="14">
        <v>0.55000000000000004</v>
      </c>
      <c r="J17" s="14" t="s">
        <v>8</v>
      </c>
      <c r="K17" s="14">
        <v>0.56999999999999995</v>
      </c>
      <c r="L17" s="14">
        <v>0.33</v>
      </c>
      <c r="M17" s="14">
        <v>0.33</v>
      </c>
      <c r="N17" s="15">
        <v>0.64</v>
      </c>
    </row>
    <row r="18" spans="4:23" ht="15" thickBot="1" x14ac:dyDescent="0.4">
      <c r="D18" s="39"/>
      <c r="E18" s="6" t="s">
        <v>13</v>
      </c>
      <c r="F18" s="7">
        <f>AVERAGE(F8:F17)</f>
        <v>0.72899999999999987</v>
      </c>
      <c r="G18" s="7">
        <f>AVERAGE(G8:G17)</f>
        <v>0.68499999999999983</v>
      </c>
      <c r="H18" s="7">
        <f>AVERAGE(H8:H17)</f>
        <v>0.68899999999999995</v>
      </c>
      <c r="I18" s="7">
        <f>AVERAGE(I8:I17)</f>
        <v>0.68499999999999983</v>
      </c>
      <c r="J18" s="7" t="s">
        <v>20</v>
      </c>
      <c r="K18" s="7">
        <f>AVERAGE(K8:K17)</f>
        <v>0.752</v>
      </c>
      <c r="L18" s="7">
        <f>AVERAGE(L8:L17)</f>
        <v>0.49099999999999999</v>
      </c>
      <c r="M18" s="7">
        <f>AVERAGE(M8:M17)</f>
        <v>0.25700000000000001</v>
      </c>
      <c r="N18" s="8">
        <f>AVERAGE(N8:N17)</f>
        <v>0.73000000000000009</v>
      </c>
    </row>
    <row r="19" spans="4:23" ht="14.5" customHeight="1" thickTop="1" x14ac:dyDescent="0.35">
      <c r="D19" s="37" t="s">
        <v>9</v>
      </c>
      <c r="E19" s="9">
        <v>1</v>
      </c>
      <c r="F19" s="10">
        <v>0.74</v>
      </c>
      <c r="G19" s="10">
        <v>0.74</v>
      </c>
      <c r="H19" s="10">
        <v>0.74</v>
      </c>
      <c r="I19" s="10">
        <v>0.74</v>
      </c>
      <c r="J19" s="10" t="s">
        <v>8</v>
      </c>
      <c r="K19" s="11">
        <v>0.81</v>
      </c>
      <c r="L19" s="11">
        <v>0.43</v>
      </c>
      <c r="M19" s="11">
        <v>0.44</v>
      </c>
      <c r="N19" s="11">
        <v>0.76</v>
      </c>
    </row>
    <row r="20" spans="4:23" x14ac:dyDescent="0.35">
      <c r="D20" s="38"/>
      <c r="E20" s="13">
        <v>2</v>
      </c>
      <c r="F20" s="14">
        <v>0.75</v>
      </c>
      <c r="G20" s="14">
        <v>0.74</v>
      </c>
      <c r="H20" s="14">
        <v>0.74</v>
      </c>
      <c r="I20" s="14">
        <v>0.74</v>
      </c>
      <c r="J20" s="14" t="s">
        <v>8</v>
      </c>
      <c r="K20" s="14">
        <v>0.79</v>
      </c>
      <c r="L20" s="14">
        <v>0.69</v>
      </c>
      <c r="M20" s="14">
        <v>0.5</v>
      </c>
      <c r="N20" s="15">
        <v>0.7</v>
      </c>
      <c r="Q20" t="s">
        <v>11</v>
      </c>
    </row>
    <row r="21" spans="4:23" x14ac:dyDescent="0.35">
      <c r="D21" s="38"/>
      <c r="E21" s="13">
        <v>3</v>
      </c>
      <c r="F21" s="14">
        <v>0.81</v>
      </c>
      <c r="G21" s="14">
        <v>0.81</v>
      </c>
      <c r="H21" s="14">
        <v>0.8</v>
      </c>
      <c r="I21" s="14">
        <v>0.81</v>
      </c>
      <c r="J21" s="14" t="s">
        <v>8</v>
      </c>
      <c r="K21" s="14">
        <v>0.88</v>
      </c>
      <c r="L21" s="14">
        <v>0.55000000000000004</v>
      </c>
      <c r="M21" s="14">
        <v>0.31</v>
      </c>
      <c r="N21" s="15">
        <v>0.87</v>
      </c>
    </row>
    <row r="22" spans="4:23" x14ac:dyDescent="0.35">
      <c r="D22" s="38"/>
      <c r="E22" s="13">
        <v>4</v>
      </c>
      <c r="F22" s="14">
        <v>0.69</v>
      </c>
      <c r="G22" s="14">
        <v>0.67</v>
      </c>
      <c r="H22" s="14">
        <v>0.67</v>
      </c>
      <c r="I22" s="14">
        <v>0.67</v>
      </c>
      <c r="J22" s="14" t="s">
        <v>8</v>
      </c>
      <c r="K22" s="14">
        <v>0.73</v>
      </c>
      <c r="L22" s="14">
        <v>0.43</v>
      </c>
      <c r="M22" s="14">
        <v>0.13</v>
      </c>
      <c r="N22" s="15">
        <v>0.76</v>
      </c>
      <c r="P22" s="4">
        <f>49+48+53+40+55+52+45+51+51+52</f>
        <v>496</v>
      </c>
      <c r="Q22" s="4">
        <f>4+3+2+6+4+1+6+1+3+2</f>
        <v>32</v>
      </c>
      <c r="R22">
        <f>1+2+1+4+3+5+1+3+5</f>
        <v>25</v>
      </c>
      <c r="S22">
        <f>5+5+2+9+3+3+6+2</f>
        <v>35</v>
      </c>
      <c r="U22" s="5">
        <f>SUM(P22)/SUM(P22:S22)</f>
        <v>0.84353741496598644</v>
      </c>
      <c r="V22" s="5">
        <f>SUM(P22:Q22)/SUM(P22:S22)</f>
        <v>0.89795918367346939</v>
      </c>
      <c r="W22" s="5"/>
    </row>
    <row r="23" spans="4:23" x14ac:dyDescent="0.35">
      <c r="D23" s="38"/>
      <c r="E23" s="13">
        <v>5</v>
      </c>
      <c r="F23" s="14">
        <v>0.81</v>
      </c>
      <c r="G23" s="14">
        <v>0.78</v>
      </c>
      <c r="H23" s="14">
        <v>0.77</v>
      </c>
      <c r="I23" s="14">
        <v>0.78</v>
      </c>
      <c r="J23" s="14" t="s">
        <v>8</v>
      </c>
      <c r="K23" s="14">
        <v>0.83</v>
      </c>
      <c r="L23" s="14">
        <v>0.56000000000000005</v>
      </c>
      <c r="M23" s="14">
        <v>0.33</v>
      </c>
      <c r="N23" s="15">
        <v>0.78</v>
      </c>
      <c r="O23" t="s">
        <v>12</v>
      </c>
      <c r="P23" s="4">
        <f>5+2+4+4+5+5+5+5+6+2</f>
        <v>43</v>
      </c>
      <c r="Q23" s="4">
        <f>5+9+6+5+7+6+5+6+4+3</f>
        <v>56</v>
      </c>
      <c r="R23">
        <f>0+1+2+1+1+2+1+6</f>
        <v>14</v>
      </c>
      <c r="S23">
        <f>0+0+1+2+1</f>
        <v>4</v>
      </c>
      <c r="U23" s="5">
        <f>SUM(Q23)/SUM(P23:S23)</f>
        <v>0.47863247863247865</v>
      </c>
      <c r="V23" s="5">
        <f>SUM(P23:Q23)/SUM(P23:S23)</f>
        <v>0.84615384615384615</v>
      </c>
      <c r="W23" s="5">
        <f>SUM(P22:Q23)/SUM(P22:S23)</f>
        <v>0.88936170212765953</v>
      </c>
    </row>
    <row r="24" spans="4:23" x14ac:dyDescent="0.35">
      <c r="D24" s="38"/>
      <c r="E24" s="13">
        <v>6</v>
      </c>
      <c r="F24" s="14">
        <v>0.8</v>
      </c>
      <c r="G24" s="14">
        <v>0.79</v>
      </c>
      <c r="H24" s="14">
        <v>0.79</v>
      </c>
      <c r="I24" s="14">
        <v>0.79</v>
      </c>
      <c r="J24" s="14" t="s">
        <v>8</v>
      </c>
      <c r="K24" s="14">
        <v>0.86</v>
      </c>
      <c r="L24" s="14">
        <v>0.55000000000000004</v>
      </c>
      <c r="M24" s="14">
        <v>0.43</v>
      </c>
      <c r="N24" s="15">
        <v>0.81</v>
      </c>
      <c r="P24">
        <f>1+3+3+5+3+4+3+4+1</f>
        <v>27</v>
      </c>
      <c r="Q24">
        <f>2+1+1+2+1+1+1+1</f>
        <v>10</v>
      </c>
      <c r="R24" s="4">
        <f>2+3+2+1+1+3+1+1+4</f>
        <v>18</v>
      </c>
      <c r="S24" s="4">
        <f>1</f>
        <v>1</v>
      </c>
      <c r="U24" s="5">
        <f>SUM(R24)/SUM(P24:S24)</f>
        <v>0.32142857142857145</v>
      </c>
      <c r="V24" s="5">
        <f>SUM(R24:S24)/SUM(P24:S24)</f>
        <v>0.3392857142857143</v>
      </c>
      <c r="W24" s="5"/>
    </row>
    <row r="25" spans="4:23" x14ac:dyDescent="0.35">
      <c r="D25" s="38"/>
      <c r="E25" s="13">
        <v>7</v>
      </c>
      <c r="F25" s="14">
        <v>0.7</v>
      </c>
      <c r="G25" s="14">
        <v>0.63</v>
      </c>
      <c r="H25" s="14">
        <v>0.65</v>
      </c>
      <c r="I25" s="14">
        <v>0.63</v>
      </c>
      <c r="J25" s="14" t="s">
        <v>8</v>
      </c>
      <c r="K25" s="14">
        <v>0.75</v>
      </c>
      <c r="L25" s="14">
        <v>0.42</v>
      </c>
      <c r="M25" s="14">
        <v>0</v>
      </c>
      <c r="N25" s="15">
        <v>0.67</v>
      </c>
      <c r="P25">
        <f>7+10+3+2+10+5+7+5+6+4</f>
        <v>59</v>
      </c>
      <c r="Q25">
        <f>1+2+1+1+1+1+1</f>
        <v>8</v>
      </c>
      <c r="R25" s="4">
        <f>0+2+3+2+7+3+2</f>
        <v>19</v>
      </c>
      <c r="S25" s="4">
        <f>24+20+26+26+20+23+17+26+21+24</f>
        <v>227</v>
      </c>
      <c r="U25" s="5">
        <f>SUM(S25)/SUM(P25:S25)</f>
        <v>0.72523961661341851</v>
      </c>
      <c r="V25" s="5">
        <f>SUM(R25:S25)/SUM(P25:S25)</f>
        <v>0.78594249201277955</v>
      </c>
      <c r="W25" s="5">
        <f>SUM(R24:S25)/SUM(P24:S25)</f>
        <v>0.71815718157181574</v>
      </c>
    </row>
    <row r="26" spans="4:23" x14ac:dyDescent="0.35">
      <c r="D26" s="38"/>
      <c r="E26" s="13">
        <v>8</v>
      </c>
      <c r="F26" s="14">
        <v>0.77</v>
      </c>
      <c r="G26" s="14">
        <v>0.79</v>
      </c>
      <c r="H26" s="14">
        <v>0.78</v>
      </c>
      <c r="I26" s="14">
        <v>0.79</v>
      </c>
      <c r="J26" s="14" t="s">
        <v>8</v>
      </c>
      <c r="K26" s="14">
        <v>0.83</v>
      </c>
      <c r="L26" s="14">
        <v>0.6</v>
      </c>
      <c r="M26" s="14">
        <v>0.25</v>
      </c>
      <c r="N26" s="15">
        <v>0.83</v>
      </c>
      <c r="U26" s="5"/>
      <c r="V26" s="5"/>
      <c r="W26" s="5"/>
    </row>
    <row r="27" spans="4:23" x14ac:dyDescent="0.35">
      <c r="D27" s="38"/>
      <c r="E27" s="13">
        <v>9</v>
      </c>
      <c r="F27" s="14">
        <v>0.73</v>
      </c>
      <c r="G27" s="14">
        <v>0.72</v>
      </c>
      <c r="H27" s="14">
        <v>0.72</v>
      </c>
      <c r="I27" s="14">
        <v>0.72</v>
      </c>
      <c r="J27" s="14" t="s">
        <v>8</v>
      </c>
      <c r="K27" s="14">
        <v>0.81</v>
      </c>
      <c r="L27" s="14">
        <v>0.4</v>
      </c>
      <c r="M27" s="14">
        <v>0.15</v>
      </c>
      <c r="N27" s="15">
        <v>0.76</v>
      </c>
      <c r="U27" s="5"/>
      <c r="V27" s="5"/>
      <c r="W27" s="5"/>
    </row>
    <row r="28" spans="4:23" x14ac:dyDescent="0.35">
      <c r="D28" s="38"/>
      <c r="E28" s="13">
        <v>10</v>
      </c>
      <c r="F28" s="14">
        <v>0.83</v>
      </c>
      <c r="G28" s="14">
        <v>0.78</v>
      </c>
      <c r="H28" s="14">
        <v>0.79</v>
      </c>
      <c r="I28" s="14">
        <v>0.78</v>
      </c>
      <c r="J28" s="14" t="s">
        <v>8</v>
      </c>
      <c r="K28" s="14">
        <v>0.88</v>
      </c>
      <c r="L28" s="14">
        <v>0.33</v>
      </c>
      <c r="M28" s="14">
        <v>0.35</v>
      </c>
      <c r="N28" s="15">
        <v>0.87</v>
      </c>
      <c r="U28" s="5"/>
      <c r="V28" s="5"/>
      <c r="W28" s="5"/>
    </row>
    <row r="29" spans="4:23" ht="15" thickBot="1" x14ac:dyDescent="0.4">
      <c r="D29" s="39"/>
      <c r="E29" s="6" t="s">
        <v>13</v>
      </c>
      <c r="F29" s="7">
        <f>AVERAGE(F19:F28)</f>
        <v>0.76300000000000012</v>
      </c>
      <c r="G29" s="7">
        <f t="shared" ref="G29:N29" si="0">AVERAGE(G19:G28)</f>
        <v>0.745</v>
      </c>
      <c r="H29" s="7">
        <f t="shared" si="0"/>
        <v>0.745</v>
      </c>
      <c r="I29" s="7">
        <f t="shared" si="0"/>
        <v>0.745</v>
      </c>
      <c r="J29" s="7" t="s">
        <v>8</v>
      </c>
      <c r="K29" s="7">
        <f t="shared" si="0"/>
        <v>0.81700000000000017</v>
      </c>
      <c r="L29" s="7">
        <f t="shared" si="0"/>
        <v>0.496</v>
      </c>
      <c r="M29" s="7">
        <f t="shared" si="0"/>
        <v>0.28900000000000003</v>
      </c>
      <c r="N29" s="8">
        <f t="shared" si="0"/>
        <v>0.78099999999999992</v>
      </c>
      <c r="U29" s="5"/>
      <c r="V29" s="5"/>
      <c r="W29" s="5"/>
    </row>
    <row r="30" spans="4:23" ht="15" customHeight="1" thickTop="1" x14ac:dyDescent="0.35">
      <c r="D30" s="40" t="s">
        <v>14</v>
      </c>
      <c r="E30" s="9">
        <v>1</v>
      </c>
      <c r="F30" s="10">
        <v>0.67</v>
      </c>
      <c r="G30" s="10">
        <v>0.56000000000000005</v>
      </c>
      <c r="H30" s="10">
        <v>0.59</v>
      </c>
      <c r="I30" s="10">
        <v>0.56000000000000005</v>
      </c>
      <c r="J30" s="11" t="s">
        <v>20</v>
      </c>
      <c r="K30" s="11">
        <v>0.62</v>
      </c>
      <c r="L30" s="11">
        <v>0.33</v>
      </c>
      <c r="M30" s="11">
        <v>0.26</v>
      </c>
      <c r="N30" s="12">
        <v>0.7</v>
      </c>
      <c r="U30" s="5"/>
      <c r="V30" s="5"/>
      <c r="W30" s="5"/>
    </row>
    <row r="31" spans="4:23" x14ac:dyDescent="0.35">
      <c r="D31" s="41"/>
      <c r="E31" s="13">
        <v>2</v>
      </c>
      <c r="F31" s="14">
        <v>0.68</v>
      </c>
      <c r="G31" s="14">
        <v>0.61</v>
      </c>
      <c r="H31" s="14">
        <v>0.63</v>
      </c>
      <c r="I31" s="14">
        <v>0.61</v>
      </c>
      <c r="J31" s="14" t="s">
        <v>8</v>
      </c>
      <c r="K31" s="14">
        <v>0.66</v>
      </c>
      <c r="L31" s="14">
        <v>0.45</v>
      </c>
      <c r="M31" s="14">
        <v>0.38</v>
      </c>
      <c r="N31" s="15">
        <v>0.69</v>
      </c>
      <c r="U31" s="5"/>
      <c r="V31" s="5"/>
      <c r="W31" s="5"/>
    </row>
    <row r="32" spans="4:23" x14ac:dyDescent="0.35">
      <c r="D32" s="41"/>
      <c r="E32" s="13">
        <v>3</v>
      </c>
      <c r="F32" s="14">
        <v>0.73</v>
      </c>
      <c r="G32" s="14">
        <v>0.78</v>
      </c>
      <c r="H32" s="14">
        <v>0.69</v>
      </c>
      <c r="I32" s="14">
        <v>0.68</v>
      </c>
      <c r="J32" s="14" t="s">
        <v>7</v>
      </c>
      <c r="K32" s="14">
        <v>0.75</v>
      </c>
      <c r="L32" s="14">
        <v>0.44</v>
      </c>
      <c r="M32" s="14">
        <v>0.4</v>
      </c>
      <c r="N32" s="15">
        <v>0.74</v>
      </c>
      <c r="Q32" t="s">
        <v>11</v>
      </c>
      <c r="U32" s="5"/>
      <c r="V32" s="5"/>
      <c r="W32" s="5"/>
    </row>
    <row r="33" spans="4:23" x14ac:dyDescent="0.35">
      <c r="D33" s="41"/>
      <c r="E33" s="13">
        <v>4</v>
      </c>
      <c r="F33" s="14">
        <v>0.69</v>
      </c>
      <c r="G33" s="14">
        <v>0.66</v>
      </c>
      <c r="H33" s="14">
        <v>0.67</v>
      </c>
      <c r="I33" s="14">
        <v>0.66</v>
      </c>
      <c r="J33" s="14" t="s">
        <v>8</v>
      </c>
      <c r="K33" s="14">
        <v>0.71</v>
      </c>
      <c r="L33" s="14">
        <v>0.46</v>
      </c>
      <c r="M33" s="14">
        <v>0.12</v>
      </c>
      <c r="N33" s="15">
        <v>0.78</v>
      </c>
      <c r="U33" s="5"/>
      <c r="V33" s="5"/>
      <c r="W33" s="5"/>
    </row>
    <row r="34" spans="4:23" x14ac:dyDescent="0.35">
      <c r="D34" s="41"/>
      <c r="E34" s="13">
        <v>5</v>
      </c>
      <c r="F34" s="14">
        <v>0.72</v>
      </c>
      <c r="G34" s="14">
        <v>0.71</v>
      </c>
      <c r="H34" s="14">
        <v>0.71</v>
      </c>
      <c r="I34" s="14">
        <v>0.71</v>
      </c>
      <c r="J34" s="14" t="s">
        <v>20</v>
      </c>
      <c r="K34" s="14">
        <v>0.78</v>
      </c>
      <c r="L34" s="14">
        <v>0.46</v>
      </c>
      <c r="M34" s="14">
        <v>0</v>
      </c>
      <c r="N34" s="15">
        <v>0.79</v>
      </c>
      <c r="P34" s="4">
        <f>30+34+39+39+47+35+24+30+48+33</f>
        <v>359</v>
      </c>
      <c r="Q34" s="4">
        <f>11+9+10+8+6+12+6+11+7+2</f>
        <v>82</v>
      </c>
      <c r="R34">
        <f>9+8+2+5+4+6+19+6+2+16</f>
        <v>77</v>
      </c>
      <c r="S34">
        <f>9+7+7+7+4+6+10+12+2+8</f>
        <v>72</v>
      </c>
      <c r="U34" s="5">
        <f>SUM(P34)/SUM(P34:S34)</f>
        <v>0.6084745762711864</v>
      </c>
      <c r="V34" s="5">
        <f>SUM(P34:Q34)/SUM(P34:S34)</f>
        <v>0.74745762711864405</v>
      </c>
      <c r="W34" s="5"/>
    </row>
    <row r="35" spans="4:23" x14ac:dyDescent="0.35">
      <c r="D35" s="41"/>
      <c r="E35" s="13">
        <v>6</v>
      </c>
      <c r="F35" s="14">
        <v>0.75</v>
      </c>
      <c r="G35" s="14">
        <v>0.65</v>
      </c>
      <c r="H35" s="14">
        <v>0.68</v>
      </c>
      <c r="I35" s="14">
        <v>0.65</v>
      </c>
      <c r="J35" s="14" t="s">
        <v>20</v>
      </c>
      <c r="K35" s="14">
        <v>0.7</v>
      </c>
      <c r="L35" s="14">
        <v>0.49</v>
      </c>
      <c r="M35" s="14">
        <v>0.25</v>
      </c>
      <c r="N35" s="15">
        <v>0.79</v>
      </c>
      <c r="O35" t="s">
        <v>12</v>
      </c>
      <c r="P35" s="4">
        <f>2+3+1+5+2+4+2+5+4</f>
        <v>28</v>
      </c>
      <c r="Q35" s="4">
        <f>5+7+7+9+9+3+7+5+3</f>
        <v>55</v>
      </c>
      <c r="R35">
        <f>3+2+2+1+1+3+2+3</f>
        <v>17</v>
      </c>
      <c r="S35">
        <f>1+2+2+1+1+1+2</f>
        <v>10</v>
      </c>
      <c r="U35" s="5">
        <f>SUM(Q35)/SUM(P35:S35)</f>
        <v>0.5</v>
      </c>
      <c r="V35" s="5">
        <f>SUM(P35:Q35)/SUM(P35:S35)</f>
        <v>0.75454545454545452</v>
      </c>
      <c r="W35" s="5">
        <f>SUM(P34:Q35)/SUM(P34:S35)</f>
        <v>0.74857142857142855</v>
      </c>
    </row>
    <row r="36" spans="4:23" x14ac:dyDescent="0.35">
      <c r="D36" s="41"/>
      <c r="E36" s="13">
        <v>7</v>
      </c>
      <c r="F36" s="14">
        <v>0.55000000000000004</v>
      </c>
      <c r="G36" s="14">
        <v>0.43</v>
      </c>
      <c r="H36" s="14">
        <v>0.47</v>
      </c>
      <c r="I36" s="14">
        <v>0.43</v>
      </c>
      <c r="J36" s="14" t="s">
        <v>8</v>
      </c>
      <c r="K36" s="14">
        <v>0.5</v>
      </c>
      <c r="L36" s="14">
        <v>0.25</v>
      </c>
      <c r="M36" s="14">
        <v>0</v>
      </c>
      <c r="N36" s="15">
        <v>0.57999999999999996</v>
      </c>
      <c r="P36">
        <f>1+1+2+4+3+1+1+3</f>
        <v>16</v>
      </c>
      <c r="Q36">
        <f>1+1+2+3+1+1+1+1+2</f>
        <v>13</v>
      </c>
      <c r="R36" s="4">
        <f>3+4+3+1+2+2+1+2</f>
        <v>18</v>
      </c>
      <c r="S36" s="4">
        <f>1+1+1+3+1+1+3</f>
        <v>11</v>
      </c>
      <c r="U36" s="5">
        <f>SUM(R36)/SUM(P36:S36)</f>
        <v>0.31034482758620691</v>
      </c>
      <c r="V36" s="5">
        <f>SUM(R36:S36)/SUM(P36:S36)</f>
        <v>0.5</v>
      </c>
      <c r="W36" s="5"/>
    </row>
    <row r="37" spans="4:23" x14ac:dyDescent="0.35">
      <c r="D37" s="41"/>
      <c r="E37" s="13">
        <v>8</v>
      </c>
      <c r="F37" s="14">
        <v>0.69</v>
      </c>
      <c r="G37" s="14">
        <v>0.59</v>
      </c>
      <c r="H37" s="14">
        <v>0.61</v>
      </c>
      <c r="I37" s="14">
        <v>0.59</v>
      </c>
      <c r="J37" s="14" t="s">
        <v>20</v>
      </c>
      <c r="K37" s="14">
        <v>0.63</v>
      </c>
      <c r="L37" s="14">
        <v>0.42</v>
      </c>
      <c r="M37" s="14">
        <v>0.24</v>
      </c>
      <c r="N37" s="15">
        <v>0.7</v>
      </c>
      <c r="P37">
        <f>5+7+4+3+5+4+8+3+7+1</f>
        <v>47</v>
      </c>
      <c r="Q37">
        <f>2+3+2+1+2+2+1+1+2</f>
        <v>16</v>
      </c>
      <c r="R37" s="4">
        <f>2+1+2+3+2+2+2+2+2+2</f>
        <v>20</v>
      </c>
      <c r="S37" s="4">
        <f>23+21+24+25+23+24+19+24+23+27</f>
        <v>233</v>
      </c>
      <c r="U37" s="5">
        <f>SUM(S37)/SUM(P37:S37)</f>
        <v>0.73734177215189878</v>
      </c>
      <c r="V37" s="5">
        <f>SUM(R37:S37)/SUM(P37:S37)</f>
        <v>0.80063291139240511</v>
      </c>
      <c r="W37" s="5">
        <f>SUM(R36:S37)/SUM(P36:S37)</f>
        <v>0.75401069518716579</v>
      </c>
    </row>
    <row r="38" spans="4:23" x14ac:dyDescent="0.35">
      <c r="D38" s="41"/>
      <c r="E38" s="13">
        <v>9</v>
      </c>
      <c r="F38" s="14">
        <v>0.72</v>
      </c>
      <c r="G38" s="14">
        <v>0.72</v>
      </c>
      <c r="H38" s="14">
        <v>0.72</v>
      </c>
      <c r="I38" s="14">
        <v>0.72</v>
      </c>
      <c r="J38" s="14" t="s">
        <v>7</v>
      </c>
      <c r="K38" s="14">
        <v>0.79</v>
      </c>
      <c r="L38" s="14">
        <v>0.4</v>
      </c>
      <c r="M38" s="14">
        <v>0.22</v>
      </c>
      <c r="N38" s="15">
        <v>0.79</v>
      </c>
    </row>
    <row r="39" spans="4:23" x14ac:dyDescent="0.35">
      <c r="D39" s="41"/>
      <c r="E39" s="13">
        <v>10</v>
      </c>
      <c r="F39" s="14">
        <v>0.73</v>
      </c>
      <c r="G39" s="14">
        <v>0.61</v>
      </c>
      <c r="H39" s="14">
        <v>0.64</v>
      </c>
      <c r="I39" s="14">
        <v>0.61</v>
      </c>
      <c r="J39" s="14" t="s">
        <v>8</v>
      </c>
      <c r="K39" s="14">
        <v>0.68</v>
      </c>
      <c r="L39" s="14">
        <v>0.33</v>
      </c>
      <c r="M39" s="14">
        <v>0.14000000000000001</v>
      </c>
      <c r="N39" s="15">
        <v>0.77</v>
      </c>
    </row>
    <row r="40" spans="4:23" ht="15" thickBot="1" x14ac:dyDescent="0.4">
      <c r="D40" s="42"/>
      <c r="E40" s="6" t="s">
        <v>13</v>
      </c>
      <c r="F40" s="7">
        <f>AVERAGE(F30:F39)</f>
        <v>0.69299999999999995</v>
      </c>
      <c r="G40" s="7">
        <f>AVERAGE(G30:G39)</f>
        <v>0.6319999999999999</v>
      </c>
      <c r="H40" s="7">
        <f>AVERAGE(H30:H39)</f>
        <v>0.64100000000000001</v>
      </c>
      <c r="I40" s="7">
        <f>AVERAGE(I30:I39)</f>
        <v>0.622</v>
      </c>
      <c r="J40" s="7" t="s">
        <v>20</v>
      </c>
      <c r="K40" s="7">
        <f>AVERAGE(K30:K39)</f>
        <v>0.68200000000000005</v>
      </c>
      <c r="L40" s="7">
        <f>AVERAGE(L30:L39)</f>
        <v>0.40299999999999991</v>
      </c>
      <c r="M40" s="7">
        <f>AVERAGE(M30:M39)</f>
        <v>0.20100000000000001</v>
      </c>
      <c r="N40" s="8">
        <f>AVERAGE(N30:N39)</f>
        <v>0.73299999999999998</v>
      </c>
    </row>
    <row r="41" spans="4:23" ht="15" thickTop="1" x14ac:dyDescent="0.35"/>
    <row r="46" spans="4:23" ht="12" customHeight="1" thickBot="1" x14ac:dyDescent="0.4"/>
    <row r="47" spans="4:23" ht="38" customHeight="1" thickBot="1" x14ac:dyDescent="0.4">
      <c r="G47" s="20" t="s">
        <v>4</v>
      </c>
      <c r="H47" s="20" t="s">
        <v>21</v>
      </c>
      <c r="I47" s="20" t="s">
        <v>23</v>
      </c>
      <c r="J47" s="20" t="s">
        <v>22</v>
      </c>
    </row>
    <row r="48" spans="4:23" ht="14.5" customHeight="1" x14ac:dyDescent="0.35">
      <c r="G48" s="43" t="s">
        <v>24</v>
      </c>
      <c r="H48" s="23">
        <v>0.70068027210884354</v>
      </c>
      <c r="I48" s="23">
        <v>0.79421768707482998</v>
      </c>
      <c r="J48" s="46">
        <v>0.79432624113475181</v>
      </c>
      <c r="K48" s="27">
        <f>AVERAGE(J48:J51)</f>
        <v>0.78876203655653576</v>
      </c>
    </row>
    <row r="49" spans="6:11" x14ac:dyDescent="0.35">
      <c r="G49" s="44"/>
      <c r="H49" s="24">
        <v>0.53846153846153844</v>
      </c>
      <c r="I49" s="24">
        <v>0.79487179487179482</v>
      </c>
      <c r="J49" s="47"/>
      <c r="K49" s="28"/>
    </row>
    <row r="50" spans="6:11" x14ac:dyDescent="0.35">
      <c r="F50" s="21"/>
      <c r="G50" s="44"/>
      <c r="H50" s="24">
        <v>0.375</v>
      </c>
      <c r="I50" s="24">
        <v>0.5535714285714286</v>
      </c>
      <c r="J50" s="47">
        <v>0.78319783197831983</v>
      </c>
      <c r="K50" s="28"/>
    </row>
    <row r="51" spans="6:11" ht="15" thickBot="1" x14ac:dyDescent="0.4">
      <c r="G51" s="45"/>
      <c r="H51" s="25">
        <v>0.76357827476038342</v>
      </c>
      <c r="I51" s="25">
        <v>0.82428115015974446</v>
      </c>
      <c r="J51" s="48"/>
      <c r="K51" s="28"/>
    </row>
    <row r="52" spans="6:11" ht="14.5" customHeight="1" x14ac:dyDescent="0.35">
      <c r="G52" s="43" t="s">
        <v>9</v>
      </c>
      <c r="H52" s="23">
        <v>0.84353741496598644</v>
      </c>
      <c r="I52" s="23">
        <v>0.89795918367346939</v>
      </c>
      <c r="J52" s="46">
        <v>0.88936170212765953</v>
      </c>
      <c r="K52" s="27">
        <f>AVERAGE(J52:J55)</f>
        <v>0.80375944184973758</v>
      </c>
    </row>
    <row r="53" spans="6:11" x14ac:dyDescent="0.35">
      <c r="G53" s="44"/>
      <c r="H53" s="24">
        <v>0.47863247863247865</v>
      </c>
      <c r="I53" s="24">
        <v>0.84615384615384615</v>
      </c>
      <c r="J53" s="47"/>
      <c r="K53" s="28"/>
    </row>
    <row r="54" spans="6:11" x14ac:dyDescent="0.35">
      <c r="G54" s="44"/>
      <c r="H54" s="24">
        <v>0.32142857142857145</v>
      </c>
      <c r="I54" s="24">
        <v>0.3392857142857143</v>
      </c>
      <c r="J54" s="47">
        <v>0.71815718157181574</v>
      </c>
      <c r="K54" s="28"/>
    </row>
    <row r="55" spans="6:11" ht="15" thickBot="1" x14ac:dyDescent="0.4">
      <c r="G55" s="45"/>
      <c r="H55" s="25">
        <v>0.72523961661341851</v>
      </c>
      <c r="I55" s="25">
        <v>0.78594249201277955</v>
      </c>
      <c r="J55" s="48"/>
      <c r="K55" s="28"/>
    </row>
    <row r="56" spans="6:11" ht="14.5" customHeight="1" x14ac:dyDescent="0.35">
      <c r="G56" s="43" t="s">
        <v>25</v>
      </c>
      <c r="H56" s="23">
        <v>0.6084745762711864</v>
      </c>
      <c r="I56" s="23">
        <v>0.74745762711864405</v>
      </c>
      <c r="J56" s="46">
        <v>0.74857142857142855</v>
      </c>
      <c r="K56" s="27">
        <f>AVERAGE(J56:J59)</f>
        <v>0.75129106187929717</v>
      </c>
    </row>
    <row r="57" spans="6:11" x14ac:dyDescent="0.35">
      <c r="G57" s="44"/>
      <c r="H57" s="24">
        <v>0.5</v>
      </c>
      <c r="I57" s="24">
        <v>0.75454545454545452</v>
      </c>
      <c r="J57" s="47"/>
      <c r="K57" s="28"/>
    </row>
    <row r="58" spans="6:11" x14ac:dyDescent="0.35">
      <c r="G58" s="44"/>
      <c r="H58" s="24">
        <v>0.31034482758620691</v>
      </c>
      <c r="I58" s="24">
        <v>0.5</v>
      </c>
      <c r="J58" s="47">
        <v>0.75401069518716579</v>
      </c>
      <c r="K58" s="28"/>
    </row>
    <row r="59" spans="6:11" ht="15" thickBot="1" x14ac:dyDescent="0.4">
      <c r="G59" s="45"/>
      <c r="H59" s="25">
        <v>0.73734177215189878</v>
      </c>
      <c r="I59" s="25">
        <v>0.80063291139240511</v>
      </c>
      <c r="J59" s="48"/>
      <c r="K59" s="28"/>
    </row>
    <row r="60" spans="6:11" x14ac:dyDescent="0.35">
      <c r="H60" s="18"/>
      <c r="I60" s="22"/>
      <c r="J60" s="22"/>
    </row>
  </sheetData>
  <mergeCells count="22">
    <mergeCell ref="J50:J51"/>
    <mergeCell ref="W13:W14"/>
    <mergeCell ref="W15:W16"/>
    <mergeCell ref="D19:D29"/>
    <mergeCell ref="D30:D40"/>
    <mergeCell ref="D8:D18"/>
    <mergeCell ref="K56:K59"/>
    <mergeCell ref="K52:K55"/>
    <mergeCell ref="K48:K51"/>
    <mergeCell ref="K6:N6"/>
    <mergeCell ref="D6:D7"/>
    <mergeCell ref="E6:E7"/>
    <mergeCell ref="F6:F7"/>
    <mergeCell ref="J6:J7"/>
    <mergeCell ref="G48:G51"/>
    <mergeCell ref="G52:G55"/>
    <mergeCell ref="G56:G59"/>
    <mergeCell ref="J48:J49"/>
    <mergeCell ref="J58:J59"/>
    <mergeCell ref="J56:J57"/>
    <mergeCell ref="J54:J55"/>
    <mergeCell ref="J52:J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59"/>
  <sheetViews>
    <sheetView topLeftCell="A40" zoomScale="70" zoomScaleNormal="70" workbookViewId="0">
      <selection activeCell="O47" sqref="O47"/>
    </sheetView>
  </sheetViews>
  <sheetFormatPr baseColWidth="10" defaultRowHeight="14.5" x14ac:dyDescent="0.35"/>
  <cols>
    <col min="1" max="1" width="4.90625" customWidth="1"/>
    <col min="2" max="2" width="9.453125" customWidth="1"/>
    <col min="3" max="3" width="8.08984375" bestFit="1" customWidth="1"/>
    <col min="4" max="4" width="12" customWidth="1"/>
    <col min="5" max="5" width="9.81640625" customWidth="1"/>
    <col min="6" max="6" width="10.453125" customWidth="1"/>
    <col min="7" max="7" width="12.26953125" customWidth="1"/>
    <col min="8" max="8" width="11.6328125" customWidth="1"/>
    <col min="9" max="12" width="9.36328125" customWidth="1"/>
    <col min="13" max="13" width="6" customWidth="1"/>
    <col min="14" max="14" width="4.1796875" bestFit="1" customWidth="1"/>
    <col min="15" max="15" width="3.81640625" bestFit="1" customWidth="1"/>
    <col min="16" max="17" width="4.1796875" bestFit="1" customWidth="1"/>
    <col min="18" max="18" width="4.26953125" customWidth="1"/>
    <col min="19" max="19" width="11.36328125" bestFit="1" customWidth="1"/>
    <col min="20" max="20" width="11.453125" bestFit="1" customWidth="1"/>
    <col min="21" max="21" width="13.26953125" customWidth="1"/>
  </cols>
  <sheetData>
    <row r="5" spans="2:22" ht="15" thickBot="1" x14ac:dyDescent="0.4"/>
    <row r="6" spans="2:22" ht="23" customHeight="1" thickTop="1" x14ac:dyDescent="0.35">
      <c r="B6" s="32"/>
      <c r="C6" s="34" t="s">
        <v>10</v>
      </c>
      <c r="D6" s="34" t="s">
        <v>0</v>
      </c>
      <c r="E6" s="2" t="s">
        <v>1</v>
      </c>
      <c r="F6" s="2" t="s">
        <v>3</v>
      </c>
      <c r="G6" s="2" t="s">
        <v>4</v>
      </c>
      <c r="H6" s="34" t="s">
        <v>5</v>
      </c>
      <c r="I6" s="29" t="s">
        <v>6</v>
      </c>
      <c r="J6" s="30"/>
      <c r="K6" s="30"/>
      <c r="L6" s="31"/>
    </row>
    <row r="7" spans="2:22" ht="18" customHeight="1" thickBot="1" x14ac:dyDescent="0.4">
      <c r="B7" s="33"/>
      <c r="C7" s="35"/>
      <c r="D7" s="35"/>
      <c r="E7" s="3" t="s">
        <v>2</v>
      </c>
      <c r="F7" s="3" t="s">
        <v>2</v>
      </c>
      <c r="G7" s="3" t="s">
        <v>2</v>
      </c>
      <c r="H7" s="35"/>
      <c r="I7" s="16" t="s">
        <v>16</v>
      </c>
      <c r="J7" s="17" t="s">
        <v>17</v>
      </c>
      <c r="K7" s="17" t="s">
        <v>18</v>
      </c>
      <c r="L7" s="3" t="s">
        <v>19</v>
      </c>
    </row>
    <row r="8" spans="2:22" ht="14.5" customHeight="1" thickTop="1" x14ac:dyDescent="0.35">
      <c r="B8" s="37" t="s">
        <v>30</v>
      </c>
      <c r="C8" s="9">
        <v>1</v>
      </c>
      <c r="D8" s="10">
        <v>0.56999999999999995</v>
      </c>
      <c r="E8" s="10">
        <v>0.46</v>
      </c>
      <c r="F8" s="10">
        <v>0.48</v>
      </c>
      <c r="G8" s="10">
        <v>0.46</v>
      </c>
      <c r="H8" s="11" t="s">
        <v>7</v>
      </c>
      <c r="I8" s="11">
        <v>0.57999999999999996</v>
      </c>
      <c r="J8" s="11">
        <v>0.28999999999999998</v>
      </c>
      <c r="K8" s="11">
        <v>0</v>
      </c>
      <c r="L8" s="12">
        <v>0.39</v>
      </c>
    </row>
    <row r="9" spans="2:22" x14ac:dyDescent="0.35">
      <c r="B9" s="38"/>
      <c r="C9" s="13">
        <v>2</v>
      </c>
      <c r="D9" s="14">
        <v>0.66</v>
      </c>
      <c r="E9" s="14">
        <v>0.68</v>
      </c>
      <c r="F9" s="14">
        <v>0.62</v>
      </c>
      <c r="G9" s="14">
        <v>0.68</v>
      </c>
      <c r="H9" s="14" t="s">
        <v>7</v>
      </c>
      <c r="I9" s="14">
        <v>0.79</v>
      </c>
      <c r="J9" s="14">
        <v>0.11</v>
      </c>
      <c r="K9" s="14">
        <v>0</v>
      </c>
      <c r="L9" s="15">
        <v>0.55000000000000004</v>
      </c>
    </row>
    <row r="10" spans="2:22" x14ac:dyDescent="0.35">
      <c r="B10" s="38"/>
      <c r="C10" s="13">
        <v>3</v>
      </c>
      <c r="D10" s="14">
        <v>0.66</v>
      </c>
      <c r="E10" s="14">
        <v>0.7</v>
      </c>
      <c r="F10" s="14">
        <v>0.66</v>
      </c>
      <c r="G10" s="14">
        <v>0.7</v>
      </c>
      <c r="H10" s="14" t="s">
        <v>7</v>
      </c>
      <c r="I10" s="14">
        <v>0.8</v>
      </c>
      <c r="J10" s="14">
        <v>0.3</v>
      </c>
      <c r="K10" s="14">
        <v>0</v>
      </c>
      <c r="L10" s="15">
        <v>0.61</v>
      </c>
    </row>
    <row r="11" spans="2:22" x14ac:dyDescent="0.35">
      <c r="B11" s="38"/>
      <c r="C11" s="13">
        <v>4</v>
      </c>
      <c r="D11" s="14">
        <v>0.61</v>
      </c>
      <c r="E11" s="14">
        <v>0.6</v>
      </c>
      <c r="F11" s="14">
        <v>0.46</v>
      </c>
      <c r="G11" s="14">
        <v>0.6</v>
      </c>
      <c r="H11" s="14" t="s">
        <v>7</v>
      </c>
      <c r="I11" s="14">
        <v>0.75</v>
      </c>
      <c r="J11" s="14">
        <v>0</v>
      </c>
      <c r="K11" s="14">
        <v>0</v>
      </c>
      <c r="L11" s="15">
        <v>0.05</v>
      </c>
      <c r="O11" t="s">
        <v>11</v>
      </c>
    </row>
    <row r="12" spans="2:22" ht="14.5" customHeight="1" x14ac:dyDescent="0.35">
      <c r="B12" s="38"/>
      <c r="C12" s="13">
        <v>5</v>
      </c>
      <c r="D12" s="14">
        <v>0.61</v>
      </c>
      <c r="E12" s="14">
        <v>0.51</v>
      </c>
      <c r="F12" s="14">
        <v>0.54</v>
      </c>
      <c r="G12" s="14">
        <v>0.51</v>
      </c>
      <c r="H12" s="14" t="s">
        <v>7</v>
      </c>
      <c r="I12" s="14">
        <v>0.6</v>
      </c>
      <c r="J12" s="14">
        <v>0.26</v>
      </c>
      <c r="K12" s="14">
        <v>0.28999999999999998</v>
      </c>
      <c r="L12" s="15">
        <v>0.55000000000000004</v>
      </c>
      <c r="S12" t="s">
        <v>21</v>
      </c>
      <c r="T12" t="s">
        <v>23</v>
      </c>
      <c r="U12" s="19" t="s">
        <v>22</v>
      </c>
    </row>
    <row r="13" spans="2:22" x14ac:dyDescent="0.35">
      <c r="B13" s="38"/>
      <c r="C13" s="13">
        <v>6</v>
      </c>
      <c r="D13" s="14">
        <v>0.67</v>
      </c>
      <c r="E13" s="14">
        <v>0.7</v>
      </c>
      <c r="F13" s="14">
        <v>0.69</v>
      </c>
      <c r="G13" s="14">
        <v>0.7</v>
      </c>
      <c r="H13" s="14" t="s">
        <v>7</v>
      </c>
      <c r="I13" s="14">
        <v>0.8</v>
      </c>
      <c r="J13" s="14">
        <v>0.56000000000000005</v>
      </c>
      <c r="K13" s="14">
        <v>0</v>
      </c>
      <c r="L13" s="15">
        <v>0.57999999999999996</v>
      </c>
      <c r="N13" s="4">
        <f>50+88+82+92+51+77+72+50+82+77</f>
        <v>721</v>
      </c>
      <c r="O13" s="4">
        <f>37+1+2+36+4+2+27+1+2</f>
        <v>112</v>
      </c>
      <c r="P13">
        <f>0+1+2</f>
        <v>3</v>
      </c>
      <c r="Q13">
        <f>5+3+8+15+11+17+10+7+13</f>
        <v>89</v>
      </c>
      <c r="S13" s="26">
        <f>SUM(N13)/SUM(N13:Q13)</f>
        <v>0.77945945945945949</v>
      </c>
      <c r="T13" s="26">
        <f>SUM(N13:O13)/SUM(N13:Q13)</f>
        <v>0.90054054054054056</v>
      </c>
      <c r="U13" s="49">
        <f>SUM(N13:O14)/SUM(N13:Q14)</f>
        <v>0.90072202166064985</v>
      </c>
      <c r="V13" s="50"/>
    </row>
    <row r="14" spans="2:22" x14ac:dyDescent="0.35">
      <c r="B14" s="38"/>
      <c r="C14" s="13">
        <v>7</v>
      </c>
      <c r="D14" s="14">
        <v>0.68</v>
      </c>
      <c r="E14" s="14">
        <v>0.69</v>
      </c>
      <c r="F14" s="14">
        <v>0.68</v>
      </c>
      <c r="G14" s="14">
        <v>0.69</v>
      </c>
      <c r="H14" s="14" t="s">
        <v>7</v>
      </c>
      <c r="I14" s="14">
        <v>0.77</v>
      </c>
      <c r="J14" s="14">
        <v>0.38</v>
      </c>
      <c r="K14" s="14">
        <v>0</v>
      </c>
      <c r="L14" s="15">
        <v>0.67</v>
      </c>
      <c r="M14" t="s">
        <v>12</v>
      </c>
      <c r="N14" s="4">
        <f>6+16+13+18+7+6+9+8+8+9</f>
        <v>100</v>
      </c>
      <c r="O14" s="4">
        <f>11+1+4+9+10+5+9+9+7</f>
        <v>65</v>
      </c>
      <c r="P14">
        <f>0+1+1+3</f>
        <v>5</v>
      </c>
      <c r="Q14">
        <f>0+1+2+2+3+1+2+2</f>
        <v>13</v>
      </c>
      <c r="S14" s="26">
        <f>SUM(O14)/SUM(N14:Q14)</f>
        <v>0.3551912568306011</v>
      </c>
      <c r="T14" s="26">
        <f>SUM(N14:O14)/SUM(N14:Q14)</f>
        <v>0.90163934426229508</v>
      </c>
      <c r="U14" s="49"/>
      <c r="V14" s="50"/>
    </row>
    <row r="15" spans="2:22" x14ac:dyDescent="0.35">
      <c r="B15" s="38"/>
      <c r="C15" s="13">
        <v>8</v>
      </c>
      <c r="D15" s="14">
        <v>0.56999999999999995</v>
      </c>
      <c r="E15" s="14">
        <v>0.54</v>
      </c>
      <c r="F15" s="14">
        <v>0.55000000000000004</v>
      </c>
      <c r="G15" s="14">
        <v>0.54</v>
      </c>
      <c r="H15" s="14" t="s">
        <v>7</v>
      </c>
      <c r="I15" s="14">
        <v>0.62</v>
      </c>
      <c r="J15" s="14">
        <v>0.32</v>
      </c>
      <c r="K15" s="14">
        <v>0</v>
      </c>
      <c r="L15" s="15">
        <v>0.55000000000000004</v>
      </c>
      <c r="N15">
        <f>3+4+3+5+2+6+5+2+4+4+4</f>
        <v>42</v>
      </c>
      <c r="O15">
        <f>2+1+2+10+1+5+3</f>
        <v>24</v>
      </c>
      <c r="P15" s="4">
        <f>0+1</f>
        <v>1</v>
      </c>
      <c r="Q15" s="4">
        <f>0+1+1+2+2+1+1</f>
        <v>8</v>
      </c>
      <c r="S15" s="26">
        <f>SUM(P15)/SUM(N15:Q15)</f>
        <v>1.3333333333333334E-2</v>
      </c>
      <c r="T15" s="26">
        <f>SUM(P15:Q15)/SUM(N15:Q15)</f>
        <v>0.12</v>
      </c>
      <c r="U15" s="49">
        <f>SUM(P15:Q16)/SUM(N15:Q16)</f>
        <v>0.41855203619909503</v>
      </c>
      <c r="V15" s="50"/>
    </row>
    <row r="16" spans="2:22" x14ac:dyDescent="0.35">
      <c r="B16" s="38"/>
      <c r="C16" s="13">
        <v>9</v>
      </c>
      <c r="D16" s="14">
        <v>0.75</v>
      </c>
      <c r="E16" s="14">
        <v>0.76</v>
      </c>
      <c r="F16" s="14">
        <v>0.75</v>
      </c>
      <c r="G16" s="14">
        <v>0.76</v>
      </c>
      <c r="H16" s="14" t="s">
        <v>7</v>
      </c>
      <c r="I16" s="14">
        <v>0.83</v>
      </c>
      <c r="J16" s="14">
        <v>0.62</v>
      </c>
      <c r="K16" s="14">
        <v>0</v>
      </c>
      <c r="L16" s="15">
        <v>0.72</v>
      </c>
      <c r="N16">
        <f>21+24+16+39+18+3+8+19+12+12</f>
        <v>172</v>
      </c>
      <c r="O16">
        <f>9+2+3+1+1+1+1+1</f>
        <v>19</v>
      </c>
      <c r="P16" s="4">
        <f>0+1+1</f>
        <v>2</v>
      </c>
      <c r="Q16" s="4">
        <f>11+17+22+1+18+1+30+20+27+27</f>
        <v>174</v>
      </c>
      <c r="S16" s="26">
        <f>SUM(Q16)/SUM(N16:Q16)</f>
        <v>0.47411444141689374</v>
      </c>
      <c r="T16" s="26">
        <f>SUM(P16:Q16)/SUM(N16:Q16)</f>
        <v>0.47956403269754766</v>
      </c>
      <c r="U16" s="49"/>
      <c r="V16" s="50"/>
    </row>
    <row r="17" spans="2:21" x14ac:dyDescent="0.35">
      <c r="B17" s="38"/>
      <c r="C17" s="13">
        <v>10</v>
      </c>
      <c r="D17" s="14">
        <v>0.69</v>
      </c>
      <c r="E17" s="14">
        <v>0.72</v>
      </c>
      <c r="F17" s="14">
        <v>0.7</v>
      </c>
      <c r="G17" s="14">
        <v>0.72</v>
      </c>
      <c r="H17" s="14" t="s">
        <v>7</v>
      </c>
      <c r="I17" s="14">
        <v>0.79</v>
      </c>
      <c r="J17" s="14">
        <v>0.5</v>
      </c>
      <c r="K17" s="14">
        <v>0</v>
      </c>
      <c r="L17" s="15">
        <v>0.65</v>
      </c>
    </row>
    <row r="18" spans="2:21" ht="15" thickBot="1" x14ac:dyDescent="0.4">
      <c r="B18" s="39"/>
      <c r="C18" s="6" t="s">
        <v>13</v>
      </c>
      <c r="D18" s="7">
        <f>AVERAGE(D8:D17)</f>
        <v>0.64700000000000002</v>
      </c>
      <c r="E18" s="7">
        <f>AVERAGE(E8:E17)</f>
        <v>0.6359999999999999</v>
      </c>
      <c r="F18" s="7">
        <f>AVERAGE(F8:F17)</f>
        <v>0.61299999999999999</v>
      </c>
      <c r="G18" s="7">
        <f>AVERAGE(G8:G17)</f>
        <v>0.6359999999999999</v>
      </c>
      <c r="H18" s="7" t="s">
        <v>7</v>
      </c>
      <c r="I18" s="7">
        <f>AVERAGE(I8:I17)</f>
        <v>0.73299999999999998</v>
      </c>
      <c r="J18" s="7">
        <f>AVERAGE(J8:J17)</f>
        <v>0.33399999999999996</v>
      </c>
      <c r="K18" s="7">
        <f>AVERAGE(K8:K17)</f>
        <v>2.8999999999999998E-2</v>
      </c>
      <c r="L18" s="8">
        <f>AVERAGE(L8:L17)</f>
        <v>0.53200000000000003</v>
      </c>
    </row>
    <row r="19" spans="2:21" ht="14.5" customHeight="1" thickTop="1" x14ac:dyDescent="0.35">
      <c r="B19" s="37" t="s">
        <v>26</v>
      </c>
      <c r="C19" s="9">
        <v>1</v>
      </c>
      <c r="D19" s="10">
        <v>0.75</v>
      </c>
      <c r="E19" s="10">
        <v>0.76</v>
      </c>
      <c r="F19" s="10">
        <v>0.75</v>
      </c>
      <c r="G19" s="10">
        <v>0.76</v>
      </c>
      <c r="H19" s="11" t="s">
        <v>7</v>
      </c>
      <c r="I19" s="11">
        <v>0.84</v>
      </c>
      <c r="J19" s="11">
        <v>0.43</v>
      </c>
      <c r="K19" s="11">
        <v>0.28999999999999998</v>
      </c>
      <c r="L19" s="12">
        <v>0.73</v>
      </c>
    </row>
    <row r="20" spans="2:21" x14ac:dyDescent="0.35">
      <c r="B20" s="38"/>
      <c r="C20" s="13">
        <v>2</v>
      </c>
      <c r="D20" s="14">
        <v>0.73</v>
      </c>
      <c r="E20" s="14">
        <v>0.75</v>
      </c>
      <c r="F20" s="14">
        <v>0.74</v>
      </c>
      <c r="G20" s="14">
        <v>0.75</v>
      </c>
      <c r="H20" s="14" t="s">
        <v>7</v>
      </c>
      <c r="I20" s="14">
        <v>0.82</v>
      </c>
      <c r="J20" s="14">
        <v>0.63</v>
      </c>
      <c r="K20" s="14">
        <v>0</v>
      </c>
      <c r="L20" s="15">
        <v>0.71</v>
      </c>
    </row>
    <row r="21" spans="2:21" x14ac:dyDescent="0.35">
      <c r="B21" s="38"/>
      <c r="C21" s="13">
        <v>3</v>
      </c>
      <c r="D21" s="14">
        <v>0.66</v>
      </c>
      <c r="E21" s="14">
        <v>0.69</v>
      </c>
      <c r="F21" s="14">
        <v>0.66</v>
      </c>
      <c r="G21" s="14">
        <v>0.69</v>
      </c>
      <c r="H21" s="14" t="s">
        <v>7</v>
      </c>
      <c r="I21" s="14">
        <v>0.78</v>
      </c>
      <c r="J21" s="14">
        <v>0.36</v>
      </c>
      <c r="K21" s="14">
        <v>0</v>
      </c>
      <c r="L21" s="15">
        <v>0.6</v>
      </c>
    </row>
    <row r="22" spans="2:21" x14ac:dyDescent="0.35">
      <c r="B22" s="38"/>
      <c r="C22" s="13">
        <v>4</v>
      </c>
      <c r="D22" s="14">
        <v>0.63</v>
      </c>
      <c r="E22" s="14">
        <v>0.66</v>
      </c>
      <c r="F22" s="14">
        <v>0.63</v>
      </c>
      <c r="G22" s="14">
        <v>0.66</v>
      </c>
      <c r="H22" s="14" t="s">
        <v>7</v>
      </c>
      <c r="I22" s="14">
        <v>0.77</v>
      </c>
      <c r="J22" s="14">
        <v>0.25</v>
      </c>
      <c r="K22" s="14">
        <v>0</v>
      </c>
      <c r="L22" s="15">
        <v>0.56000000000000005</v>
      </c>
      <c r="O22" t="s">
        <v>11</v>
      </c>
    </row>
    <row r="23" spans="2:21" ht="14.5" customHeight="1" x14ac:dyDescent="0.35">
      <c r="B23" s="38"/>
      <c r="C23" s="13">
        <v>5</v>
      </c>
      <c r="D23" s="14">
        <v>0.71</v>
      </c>
      <c r="E23" s="14">
        <v>0.74</v>
      </c>
      <c r="F23" s="14">
        <v>0.72</v>
      </c>
      <c r="G23" s="14">
        <v>0.74</v>
      </c>
      <c r="H23" s="14" t="s">
        <v>7</v>
      </c>
      <c r="I23" s="14">
        <v>0.81</v>
      </c>
      <c r="J23" s="14">
        <v>0.43</v>
      </c>
      <c r="K23" s="14">
        <v>0</v>
      </c>
      <c r="L23" s="15">
        <v>0.7</v>
      </c>
      <c r="S23" t="s">
        <v>21</v>
      </c>
      <c r="T23" t="s">
        <v>23</v>
      </c>
      <c r="U23" s="19" t="s">
        <v>22</v>
      </c>
    </row>
    <row r="24" spans="2:21" x14ac:dyDescent="0.35">
      <c r="B24" s="38"/>
      <c r="C24" s="13">
        <v>6</v>
      </c>
      <c r="D24" s="14">
        <v>0.76</v>
      </c>
      <c r="E24" s="14">
        <v>0.77</v>
      </c>
      <c r="F24" s="14">
        <v>0.76</v>
      </c>
      <c r="G24" s="14">
        <v>0.77</v>
      </c>
      <c r="H24" s="14" t="s">
        <v>7</v>
      </c>
      <c r="I24" s="14">
        <v>0.84</v>
      </c>
      <c r="J24" s="14">
        <v>0.67</v>
      </c>
      <c r="K24" s="14">
        <v>0</v>
      </c>
      <c r="L24" s="15">
        <v>0.71</v>
      </c>
      <c r="N24" s="4">
        <f>84+78+81+79+77+78+78+70+70+68</f>
        <v>763</v>
      </c>
      <c r="O24" s="4">
        <f>2+6+5+3+4+2+6+5+5+2</f>
        <v>40</v>
      </c>
      <c r="P24">
        <f>1+2+1+1</f>
        <v>5</v>
      </c>
      <c r="Q24">
        <f>5+8+6+10+11+10+8+16+16+22</f>
        <v>112</v>
      </c>
      <c r="S24" s="18">
        <f>SUM(N24)/SUM(N24:Q24)</f>
        <v>0.82934782608695656</v>
      </c>
      <c r="T24" s="18">
        <f>SUM(N24:O24)/SUM(N24:Q24)</f>
        <v>0.87282608695652175</v>
      </c>
      <c r="U24" s="36">
        <f>SUM(N24:O25)/SUM(N24:Q25)</f>
        <v>0.87340619307832423</v>
      </c>
    </row>
    <row r="25" spans="2:21" x14ac:dyDescent="0.35">
      <c r="B25" s="38"/>
      <c r="C25" s="13">
        <v>7</v>
      </c>
      <c r="D25" s="14">
        <v>0.69</v>
      </c>
      <c r="E25" s="14">
        <v>0.72</v>
      </c>
      <c r="F25" s="14">
        <v>0.7</v>
      </c>
      <c r="G25" s="14">
        <v>0.72</v>
      </c>
      <c r="H25" s="14" t="s">
        <v>7</v>
      </c>
      <c r="I25" s="14">
        <v>0.8</v>
      </c>
      <c r="J25" s="14">
        <v>0.38</v>
      </c>
      <c r="K25" s="14">
        <v>0</v>
      </c>
      <c r="L25" s="15">
        <v>0.71</v>
      </c>
      <c r="M25" t="s">
        <v>12</v>
      </c>
      <c r="N25" s="4">
        <f>10+5+12+14+7+5+11+8+8+9</f>
        <v>89</v>
      </c>
      <c r="O25" s="4">
        <f>6+11+5+3+6+10+6+7+7+6</f>
        <v>67</v>
      </c>
      <c r="P25">
        <f>0</f>
        <v>0</v>
      </c>
      <c r="Q25">
        <f>1+1+1+1+5+3+1+3+3+3</f>
        <v>22</v>
      </c>
      <c r="S25" s="18">
        <f>SUM(O25)/SUM(N25:Q25)</f>
        <v>0.37640449438202245</v>
      </c>
      <c r="T25" s="18">
        <f>SUM(N25:O25)/SUM(N25:Q25)</f>
        <v>0.8764044943820225</v>
      </c>
      <c r="U25" s="36"/>
    </row>
    <row r="26" spans="2:21" x14ac:dyDescent="0.35">
      <c r="B26" s="38"/>
      <c r="C26" s="13">
        <v>8</v>
      </c>
      <c r="D26" s="14">
        <v>0.7</v>
      </c>
      <c r="E26" s="14">
        <v>0.71</v>
      </c>
      <c r="F26" s="14">
        <v>0.7</v>
      </c>
      <c r="G26" s="14">
        <v>0.71</v>
      </c>
      <c r="H26" s="14" t="s">
        <v>7</v>
      </c>
      <c r="I26" s="14">
        <v>0.78</v>
      </c>
      <c r="J26" s="14">
        <v>0.47</v>
      </c>
      <c r="K26" s="14">
        <v>0</v>
      </c>
      <c r="L26" s="15">
        <v>0.69</v>
      </c>
      <c r="N26">
        <f>3+3+3+2+4+2+4+2+2+5</f>
        <v>30</v>
      </c>
      <c r="O26">
        <f>1+1+1</f>
        <v>3</v>
      </c>
      <c r="P26" s="4">
        <f>1</f>
        <v>1</v>
      </c>
      <c r="Q26" s="4">
        <f>0+1+2+3+1+3+3+3</f>
        <v>16</v>
      </c>
      <c r="S26" s="18">
        <f>SUM(P26)/SUM(N26:Q26)</f>
        <v>0.02</v>
      </c>
      <c r="T26" s="18">
        <f>SUM(P26:Q26)/SUM(N26:Q26)</f>
        <v>0.34</v>
      </c>
      <c r="U26" s="36">
        <f>SUM(P26:Q27)/SUM(N26:Q27)</f>
        <v>0.66371681415929207</v>
      </c>
    </row>
    <row r="27" spans="2:21" x14ac:dyDescent="0.35">
      <c r="B27" s="38"/>
      <c r="C27" s="13">
        <v>9</v>
      </c>
      <c r="D27" s="14">
        <v>0.7</v>
      </c>
      <c r="E27" s="14">
        <v>0.71</v>
      </c>
      <c r="F27" s="14">
        <v>0.7</v>
      </c>
      <c r="G27" s="14">
        <v>0.71</v>
      </c>
      <c r="H27" s="14" t="s">
        <v>7</v>
      </c>
      <c r="I27" s="14">
        <v>0.78</v>
      </c>
      <c r="J27" s="14">
        <v>0.47</v>
      </c>
      <c r="K27" s="14">
        <v>0</v>
      </c>
      <c r="L27" s="15">
        <v>0.69</v>
      </c>
      <c r="N27">
        <f>12+13+19+18+9+9+11+7+7+10</f>
        <v>115</v>
      </c>
      <c r="O27">
        <f>2+1+1</f>
        <v>4</v>
      </c>
      <c r="P27" s="4">
        <f>0+1+1</f>
        <v>2</v>
      </c>
      <c r="Q27" s="4">
        <f>27+28+21+21+31+31+27+33+33+29</f>
        <v>281</v>
      </c>
      <c r="S27" s="18">
        <f>SUM(Q27)/SUM(N27:Q27)</f>
        <v>0.69900497512437809</v>
      </c>
      <c r="T27" s="18">
        <f>SUM(P27:Q27)/SUM(N27:Q27)</f>
        <v>0.70398009950248752</v>
      </c>
      <c r="U27" s="36"/>
    </row>
    <row r="28" spans="2:21" x14ac:dyDescent="0.35">
      <c r="B28" s="38"/>
      <c r="C28" s="13">
        <v>10</v>
      </c>
      <c r="D28" s="14">
        <v>0.65</v>
      </c>
      <c r="E28" s="14">
        <v>0.66</v>
      </c>
      <c r="F28" s="14">
        <v>0.65</v>
      </c>
      <c r="G28" s="14">
        <v>0.66</v>
      </c>
      <c r="H28" s="14" t="s">
        <v>7</v>
      </c>
      <c r="I28" s="14">
        <v>0.74</v>
      </c>
      <c r="J28" s="14">
        <v>0.44</v>
      </c>
      <c r="K28" s="14">
        <v>0</v>
      </c>
      <c r="L28" s="15">
        <v>0.62</v>
      </c>
    </row>
    <row r="29" spans="2:21" ht="15" thickBot="1" x14ac:dyDescent="0.4">
      <c r="B29" s="39"/>
      <c r="C29" s="6" t="s">
        <v>13</v>
      </c>
      <c r="D29" s="7">
        <f>AVERAGE(D19:D28)</f>
        <v>0.69800000000000006</v>
      </c>
      <c r="E29" s="7">
        <f>AVERAGE(E19:E28)</f>
        <v>0.71700000000000008</v>
      </c>
      <c r="F29" s="7">
        <f>AVERAGE(F19:F28)</f>
        <v>0.70100000000000007</v>
      </c>
      <c r="G29" s="7">
        <f>AVERAGE(G19:G28)</f>
        <v>0.71700000000000008</v>
      </c>
      <c r="H29" s="7" t="s">
        <v>7</v>
      </c>
      <c r="I29" s="7">
        <f>AVERAGE(I19:I28)</f>
        <v>0.79600000000000004</v>
      </c>
      <c r="J29" s="7">
        <f>AVERAGE(J19:J28)</f>
        <v>0.45300000000000001</v>
      </c>
      <c r="K29" s="7">
        <f>AVERAGE(K19:K28)</f>
        <v>2.8999999999999998E-2</v>
      </c>
      <c r="L29" s="8">
        <f>AVERAGE(L19:L28)</f>
        <v>0.67199999999999993</v>
      </c>
    </row>
    <row r="30" spans="2:21" ht="14.5" customHeight="1" thickTop="1" x14ac:dyDescent="0.35">
      <c r="B30" s="37" t="s">
        <v>27</v>
      </c>
      <c r="C30" s="9">
        <v>1</v>
      </c>
      <c r="D30" s="10">
        <v>0.73</v>
      </c>
      <c r="E30" s="10">
        <v>0.75</v>
      </c>
      <c r="F30" s="10">
        <v>0.72</v>
      </c>
      <c r="G30" s="10">
        <v>0.75</v>
      </c>
      <c r="H30" s="11" t="s">
        <v>7</v>
      </c>
      <c r="I30" s="11">
        <v>0.83</v>
      </c>
      <c r="J30" s="11">
        <v>0.44</v>
      </c>
      <c r="K30" s="11">
        <v>0</v>
      </c>
      <c r="L30" s="12">
        <v>0.67</v>
      </c>
    </row>
    <row r="31" spans="2:21" x14ac:dyDescent="0.35">
      <c r="B31" s="38"/>
      <c r="C31" s="13">
        <v>2</v>
      </c>
      <c r="D31" s="14">
        <v>0.75</v>
      </c>
      <c r="E31" s="14">
        <v>0.73</v>
      </c>
      <c r="F31" s="14">
        <v>0.73</v>
      </c>
      <c r="G31" s="14">
        <v>0.73</v>
      </c>
      <c r="H31" s="14" t="s">
        <v>7</v>
      </c>
      <c r="I31" s="14">
        <v>0.79</v>
      </c>
      <c r="J31" s="14">
        <v>0.62</v>
      </c>
      <c r="K31" s="14">
        <v>0.33</v>
      </c>
      <c r="L31" s="15">
        <v>0.68</v>
      </c>
      <c r="O31" t="s">
        <v>11</v>
      </c>
    </row>
    <row r="32" spans="2:21" x14ac:dyDescent="0.35">
      <c r="B32" s="38"/>
      <c r="C32" s="13">
        <v>3</v>
      </c>
      <c r="D32" s="14">
        <v>0.75</v>
      </c>
      <c r="E32" s="14">
        <v>0.73</v>
      </c>
      <c r="F32" s="14">
        <v>0.73</v>
      </c>
      <c r="G32" s="14">
        <v>0.73</v>
      </c>
      <c r="H32" s="14" t="s">
        <v>7</v>
      </c>
      <c r="I32" s="14">
        <v>0.79</v>
      </c>
      <c r="J32" s="14">
        <v>0.62</v>
      </c>
      <c r="K32" s="14">
        <v>0.33</v>
      </c>
      <c r="L32" s="15">
        <v>0.68</v>
      </c>
    </row>
    <row r="33" spans="2:21" x14ac:dyDescent="0.35">
      <c r="B33" s="38"/>
      <c r="C33" s="13">
        <v>4</v>
      </c>
      <c r="D33" s="14">
        <v>0.57999999999999996</v>
      </c>
      <c r="E33" s="14">
        <v>0.46</v>
      </c>
      <c r="F33" s="14">
        <v>0.46</v>
      </c>
      <c r="G33" s="14">
        <v>0.46</v>
      </c>
      <c r="H33" s="14" t="s">
        <v>7</v>
      </c>
      <c r="I33" s="14">
        <v>0.48</v>
      </c>
      <c r="J33" s="14">
        <v>0.22</v>
      </c>
      <c r="K33" s="14">
        <v>0</v>
      </c>
      <c r="L33" s="15">
        <v>0.56999999999999995</v>
      </c>
      <c r="N33" s="4">
        <f>88+70+70+32+79+74+75+70+85+66</f>
        <v>709</v>
      </c>
      <c r="O33" s="4">
        <f>1+4+4+28+8+5+5+12+1+1</f>
        <v>69</v>
      </c>
      <c r="P33">
        <f>0+2+1+1</f>
        <v>4</v>
      </c>
      <c r="Q33">
        <f>3+18+18+32+5+11+11+9+6+25</f>
        <v>138</v>
      </c>
      <c r="S33" s="18">
        <f>SUM(N33)/SUM(N33:Q33)</f>
        <v>0.77065217391304353</v>
      </c>
      <c r="T33" s="18">
        <f>SUM(N33:O33)/SUM(N33:Q33)</f>
        <v>0.84565217391304348</v>
      </c>
      <c r="U33" s="36">
        <f>SUM(N33:O34)/SUM(N33:Q34)</f>
        <v>0.83894449499545043</v>
      </c>
    </row>
    <row r="34" spans="2:21" x14ac:dyDescent="0.35">
      <c r="B34" s="38"/>
      <c r="C34" s="13">
        <v>5</v>
      </c>
      <c r="D34" s="14">
        <v>0.69</v>
      </c>
      <c r="E34" s="14">
        <v>0.72</v>
      </c>
      <c r="F34" s="14">
        <v>0.7</v>
      </c>
      <c r="G34" s="14">
        <v>0.72</v>
      </c>
      <c r="H34" s="14" t="s">
        <v>7</v>
      </c>
      <c r="I34" s="14">
        <v>0.81</v>
      </c>
      <c r="J34" s="14">
        <v>0.32</v>
      </c>
      <c r="K34" s="14">
        <v>0</v>
      </c>
      <c r="L34" s="15">
        <v>0.71</v>
      </c>
      <c r="M34" t="s">
        <v>12</v>
      </c>
      <c r="N34" s="4">
        <f>11+5+5+5+7+4+9+7+12+6</f>
        <v>71</v>
      </c>
      <c r="O34" s="4">
        <f>6+10+10+6+5+11+6+8+4+7</f>
        <v>73</v>
      </c>
      <c r="P34">
        <f>0+1+2+4</f>
        <v>7</v>
      </c>
      <c r="Q34">
        <f>0+2+2+7+5+3+1+3+5</f>
        <v>28</v>
      </c>
      <c r="S34" s="18">
        <f>SUM(O34)/SUM(N34:Q34)</f>
        <v>0.40782122905027934</v>
      </c>
      <c r="T34" s="18">
        <f>SUM(N34:O34)/SUM(N34:Q34)</f>
        <v>0.8044692737430168</v>
      </c>
      <c r="U34" s="36"/>
    </row>
    <row r="35" spans="2:21" x14ac:dyDescent="0.35">
      <c r="B35" s="38"/>
      <c r="C35" s="13">
        <v>6</v>
      </c>
      <c r="D35" s="14">
        <v>0.74</v>
      </c>
      <c r="E35" s="14">
        <v>0.75</v>
      </c>
      <c r="F35" s="14">
        <v>0.74</v>
      </c>
      <c r="G35" s="14">
        <v>0.75</v>
      </c>
      <c r="H35" s="14" t="s">
        <v>7</v>
      </c>
      <c r="I35" s="14">
        <v>0.82</v>
      </c>
      <c r="J35" s="14">
        <v>0.65</v>
      </c>
      <c r="K35" s="14">
        <v>0</v>
      </c>
      <c r="L35" s="15">
        <v>0.7</v>
      </c>
      <c r="N35">
        <f>3+2+2+1+2+2+4+2+3+1</f>
        <v>22</v>
      </c>
      <c r="O35">
        <f>2+1+1+1+1</f>
        <v>6</v>
      </c>
      <c r="P35" s="4">
        <f>0+1+1</f>
        <v>2</v>
      </c>
      <c r="Q35" s="4">
        <f>1+1+3+1+3+1+2+2+4</f>
        <v>18</v>
      </c>
      <c r="S35" s="18">
        <f>SUM(P35)/SUM(N35:Q35)</f>
        <v>4.1666666666666664E-2</v>
      </c>
      <c r="T35" s="18">
        <f>SUM(P35:Q35)/SUM(N35:Q35)</f>
        <v>0.41666666666666669</v>
      </c>
      <c r="U35" s="36">
        <f>SUM(P35:Q36)/SUM(N35:Q36)</f>
        <v>0.7117516629711752</v>
      </c>
    </row>
    <row r="36" spans="2:21" x14ac:dyDescent="0.35">
      <c r="B36" s="38"/>
      <c r="C36" s="13">
        <v>7</v>
      </c>
      <c r="D36" s="14">
        <v>0.69</v>
      </c>
      <c r="E36" s="14">
        <v>0.7</v>
      </c>
      <c r="F36" s="14">
        <v>0.79</v>
      </c>
      <c r="G36" s="14">
        <v>0.7</v>
      </c>
      <c r="H36" s="14" t="s">
        <v>7</v>
      </c>
      <c r="I36" s="14">
        <v>0.79</v>
      </c>
      <c r="J36" s="14">
        <v>0.4</v>
      </c>
      <c r="K36" s="14">
        <v>0</v>
      </c>
      <c r="L36" s="15">
        <v>0.69</v>
      </c>
      <c r="N36">
        <f>18+9+9+4+12+9+10+11+10+5</f>
        <v>97</v>
      </c>
      <c r="O36">
        <f>1+2+1+1</f>
        <v>5</v>
      </c>
      <c r="P36" s="4">
        <f>0+1+1</f>
        <v>2</v>
      </c>
      <c r="Q36" s="4">
        <f>22+32+32+33+28+31+28+29+30+34</f>
        <v>299</v>
      </c>
      <c r="S36" s="18">
        <f>SUM(Q36)/SUM(N36:Q36)</f>
        <v>0.74193548387096775</v>
      </c>
      <c r="T36" s="18">
        <f>SUM(P36:Q36)/SUM(N36:Q36)</f>
        <v>0.74689826302729534</v>
      </c>
      <c r="U36" s="36"/>
    </row>
    <row r="37" spans="2:21" x14ac:dyDescent="0.35">
      <c r="B37" s="38"/>
      <c r="C37" s="13">
        <v>8</v>
      </c>
      <c r="D37" s="14">
        <v>0.68</v>
      </c>
      <c r="E37" s="14">
        <v>0.69</v>
      </c>
      <c r="F37" s="14">
        <v>0.68</v>
      </c>
      <c r="G37" s="14">
        <v>0.69</v>
      </c>
      <c r="H37" s="14" t="s">
        <v>7</v>
      </c>
      <c r="I37" s="14">
        <v>0.77</v>
      </c>
      <c r="J37" s="14">
        <v>0.41</v>
      </c>
      <c r="K37" s="14">
        <v>0</v>
      </c>
      <c r="L37" s="15">
        <v>0.7</v>
      </c>
      <c r="S37" s="5"/>
      <c r="T37" s="5"/>
      <c r="U37" s="5"/>
    </row>
    <row r="38" spans="2:21" x14ac:dyDescent="0.35">
      <c r="B38" s="38"/>
      <c r="C38" s="13">
        <v>9</v>
      </c>
      <c r="D38" s="14">
        <v>0.76</v>
      </c>
      <c r="E38" s="14">
        <v>0.77</v>
      </c>
      <c r="F38" s="14">
        <v>0.74</v>
      </c>
      <c r="G38" s="14">
        <v>0.77</v>
      </c>
      <c r="H38" s="14" t="s">
        <v>7</v>
      </c>
      <c r="I38" s="14">
        <v>0.84</v>
      </c>
      <c r="J38" s="14">
        <v>0.35</v>
      </c>
      <c r="K38" s="14">
        <v>0</v>
      </c>
      <c r="L38" s="15">
        <v>0.77</v>
      </c>
      <c r="S38" s="5"/>
      <c r="T38" s="5"/>
      <c r="U38" s="5"/>
    </row>
    <row r="39" spans="2:21" x14ac:dyDescent="0.35">
      <c r="B39" s="38"/>
      <c r="C39" s="13">
        <v>10</v>
      </c>
      <c r="D39" s="14">
        <v>0.72</v>
      </c>
      <c r="E39" s="14">
        <v>0.69</v>
      </c>
      <c r="F39" s="14">
        <v>0.68</v>
      </c>
      <c r="G39" s="14">
        <v>0.69</v>
      </c>
      <c r="H39" s="14" t="s">
        <v>7</v>
      </c>
      <c r="I39" s="14">
        <v>0.78</v>
      </c>
      <c r="J39" s="14">
        <v>0.52</v>
      </c>
      <c r="K39" s="14">
        <v>0</v>
      </c>
      <c r="L39" s="15">
        <v>0.63</v>
      </c>
      <c r="S39" s="5"/>
      <c r="T39" s="5"/>
      <c r="U39" s="5"/>
    </row>
    <row r="40" spans="2:21" ht="15" thickBot="1" x14ac:dyDescent="0.4">
      <c r="B40" s="39"/>
      <c r="C40" s="6" t="s">
        <v>13</v>
      </c>
      <c r="D40" s="7">
        <f>AVERAGE(D30:D39)</f>
        <v>0.70899999999999985</v>
      </c>
      <c r="E40" s="7">
        <f t="shared" ref="E40:L40" si="0">AVERAGE(E30:E39)</f>
        <v>0.69899999999999984</v>
      </c>
      <c r="F40" s="7">
        <f t="shared" si="0"/>
        <v>0.69699999999999995</v>
      </c>
      <c r="G40" s="7">
        <f t="shared" si="0"/>
        <v>0.69899999999999984</v>
      </c>
      <c r="H40" s="7" t="s">
        <v>7</v>
      </c>
      <c r="I40" s="7">
        <f t="shared" si="0"/>
        <v>0.77</v>
      </c>
      <c r="J40" s="7">
        <f t="shared" si="0"/>
        <v>0.45500000000000007</v>
      </c>
      <c r="K40" s="7">
        <f t="shared" si="0"/>
        <v>6.6000000000000003E-2</v>
      </c>
      <c r="L40" s="8">
        <f t="shared" si="0"/>
        <v>0.67999999999999994</v>
      </c>
      <c r="S40" s="5"/>
      <c r="T40" s="5"/>
      <c r="U40" s="5"/>
    </row>
    <row r="41" spans="2:21" ht="15" thickTop="1" x14ac:dyDescent="0.35"/>
    <row r="46" spans="2:21" ht="12" customHeight="1" thickBot="1" x14ac:dyDescent="0.4"/>
    <row r="47" spans="2:21" ht="38" customHeight="1" thickBot="1" x14ac:dyDescent="0.4">
      <c r="E47" s="20" t="s">
        <v>4</v>
      </c>
      <c r="F47" s="20" t="s">
        <v>21</v>
      </c>
      <c r="G47" s="20" t="s">
        <v>23</v>
      </c>
      <c r="H47" s="20" t="s">
        <v>22</v>
      </c>
    </row>
    <row r="48" spans="2:21" ht="14.5" customHeight="1" x14ac:dyDescent="0.35">
      <c r="E48" s="43" t="s">
        <v>31</v>
      </c>
      <c r="F48" s="23">
        <v>0.77945945945945949</v>
      </c>
      <c r="G48" s="23">
        <v>0.90054054054054056</v>
      </c>
      <c r="H48" s="51">
        <v>0.90072202166064985</v>
      </c>
      <c r="I48" s="27">
        <f>AVERAGE(H48:H51)</f>
        <v>0.65963702892987242</v>
      </c>
    </row>
    <row r="49" spans="4:9" x14ac:dyDescent="0.35">
      <c r="E49" s="44"/>
      <c r="F49" s="24">
        <v>0.3551912568306011</v>
      </c>
      <c r="G49" s="24">
        <v>0.90163934426229508</v>
      </c>
      <c r="H49" s="52"/>
      <c r="I49" s="28"/>
    </row>
    <row r="50" spans="4:9" x14ac:dyDescent="0.35">
      <c r="E50" s="44"/>
      <c r="F50" s="24">
        <v>1.3333333333333334E-2</v>
      </c>
      <c r="G50" s="24">
        <v>0.12</v>
      </c>
      <c r="H50" s="53">
        <v>0.41855203619909503</v>
      </c>
      <c r="I50" s="28"/>
    </row>
    <row r="51" spans="4:9" ht="15" thickBot="1" x14ac:dyDescent="0.4">
      <c r="E51" s="45"/>
      <c r="F51" s="25">
        <v>0.47411444141689374</v>
      </c>
      <c r="G51" s="25">
        <v>0.47956403269754766</v>
      </c>
      <c r="H51" s="54"/>
      <c r="I51" s="28"/>
    </row>
    <row r="52" spans="4:9" ht="14.5" customHeight="1" x14ac:dyDescent="0.35">
      <c r="E52" s="43" t="s">
        <v>28</v>
      </c>
      <c r="F52" s="23">
        <v>0.82934782608695656</v>
      </c>
      <c r="G52" s="23">
        <v>0.87282608695652175</v>
      </c>
      <c r="H52" s="51">
        <v>0.87340619307832423</v>
      </c>
      <c r="I52" s="27">
        <f>AVERAGE(H52:H55)</f>
        <v>0.76856150361880815</v>
      </c>
    </row>
    <row r="53" spans="4:9" x14ac:dyDescent="0.35">
      <c r="E53" s="44"/>
      <c r="F53" s="24">
        <v>0.37640449438202245</v>
      </c>
      <c r="G53" s="24">
        <v>0.8764044943820225</v>
      </c>
      <c r="H53" s="52"/>
      <c r="I53" s="28"/>
    </row>
    <row r="54" spans="4:9" x14ac:dyDescent="0.35">
      <c r="D54" s="21"/>
      <c r="E54" s="44"/>
      <c r="F54" s="24">
        <v>0.02</v>
      </c>
      <c r="G54" s="24">
        <v>0.34</v>
      </c>
      <c r="H54" s="53">
        <v>0.66371681415929207</v>
      </c>
      <c r="I54" s="28"/>
    </row>
    <row r="55" spans="4:9" ht="15" thickBot="1" x14ac:dyDescent="0.4">
      <c r="E55" s="45"/>
      <c r="F55" s="25">
        <v>0.69900497512437809</v>
      </c>
      <c r="G55" s="25">
        <v>0.70398009950248752</v>
      </c>
      <c r="H55" s="54"/>
      <c r="I55" s="28"/>
    </row>
    <row r="56" spans="4:9" ht="14.5" customHeight="1" x14ac:dyDescent="0.35">
      <c r="E56" s="43" t="s">
        <v>29</v>
      </c>
      <c r="F56" s="23">
        <v>0.77065217391304353</v>
      </c>
      <c r="G56" s="23">
        <v>0.84565217391304348</v>
      </c>
      <c r="H56" s="51">
        <v>0.83894449499545043</v>
      </c>
      <c r="I56" s="27">
        <f>AVERAGE(H56:H59)</f>
        <v>0.77534807898331282</v>
      </c>
    </row>
    <row r="57" spans="4:9" x14ac:dyDescent="0.35">
      <c r="E57" s="44"/>
      <c r="F57" s="24">
        <v>0.40782122905027934</v>
      </c>
      <c r="G57" s="24">
        <v>0.8044692737430168</v>
      </c>
      <c r="H57" s="52"/>
      <c r="I57" s="28"/>
    </row>
    <row r="58" spans="4:9" x14ac:dyDescent="0.35">
      <c r="E58" s="44"/>
      <c r="F58" s="24">
        <v>4.1666666666666664E-2</v>
      </c>
      <c r="G58" s="24">
        <v>0.41666666666666669</v>
      </c>
      <c r="H58" s="53">
        <v>0.7117516629711752</v>
      </c>
      <c r="I58" s="28"/>
    </row>
    <row r="59" spans="4:9" ht="15" thickBot="1" x14ac:dyDescent="0.4">
      <c r="E59" s="45"/>
      <c r="F59" s="25">
        <v>0.74193548387096775</v>
      </c>
      <c r="G59" s="25">
        <v>0.74689826302729534</v>
      </c>
      <c r="H59" s="54"/>
      <c r="I59" s="28"/>
    </row>
  </sheetData>
  <mergeCells count="27">
    <mergeCell ref="B19:B29"/>
    <mergeCell ref="B8:B18"/>
    <mergeCell ref="B6:B7"/>
    <mergeCell ref="C6:C7"/>
    <mergeCell ref="D6:D7"/>
    <mergeCell ref="H6:H7"/>
    <mergeCell ref="I6:L6"/>
    <mergeCell ref="B30:B40"/>
    <mergeCell ref="E52:E55"/>
    <mergeCell ref="H52:H53"/>
    <mergeCell ref="H54:H55"/>
    <mergeCell ref="U33:U34"/>
    <mergeCell ref="U35:U36"/>
    <mergeCell ref="I52:I55"/>
    <mergeCell ref="I56:I59"/>
    <mergeCell ref="U13:U14"/>
    <mergeCell ref="U15:U16"/>
    <mergeCell ref="V13:V16"/>
    <mergeCell ref="E48:E51"/>
    <mergeCell ref="H48:H49"/>
    <mergeCell ref="H50:H51"/>
    <mergeCell ref="I48:I51"/>
    <mergeCell ref="E56:E59"/>
    <mergeCell ref="H56:H57"/>
    <mergeCell ref="H58:H59"/>
    <mergeCell ref="U24:U25"/>
    <mergeCell ref="U26:U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mono</vt:lpstr>
      <vt:lpstr>poly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campmany garcia</dc:creator>
  <cp:lastModifiedBy>marc campmany garcia</cp:lastModifiedBy>
  <dcterms:created xsi:type="dcterms:W3CDTF">2021-04-12T07:26:33Z</dcterms:created>
  <dcterms:modified xsi:type="dcterms:W3CDTF">2021-04-25T19:19:17Z</dcterms:modified>
</cp:coreProperties>
</file>